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ULIAN\Music\TIMES-UIS-v1-Nov\DataBases\"/>
    </mc:Choice>
  </mc:AlternateContent>
  <xr:revisionPtr revIDLastSave="0" documentId="13_ncr:1_{DB7A9C95-BBA8-4C49-805E-130528D38226}" xr6:coauthVersionLast="47" xr6:coauthVersionMax="47" xr10:uidLastSave="{00000000-0000-0000-0000-000000000000}"/>
  <bookViews>
    <workbookView xWindow="-120" yWindow="-120" windowWidth="29040" windowHeight="15840" firstSheet="3" activeTab="5" xr2:uid="{00000000-000D-0000-FFFF-FFFF00000000}"/>
  </bookViews>
  <sheets>
    <sheet name="Gasfield" sheetId="3" r:id="rId1"/>
    <sheet name="Oilfields" sheetId="2" r:id="rId2"/>
    <sheet name="General Oil_Gas_fields" sheetId="4" r:id="rId3"/>
    <sheet name="BD" sheetId="5" r:id="rId4"/>
    <sheet name="Compracion (2)" sheetId="8" r:id="rId5"/>
    <sheet name="Compracion" sheetId="7" r:id="rId6"/>
    <sheet name="GlobalData" sheetId="6" r:id="rId7"/>
    <sheet name="Datos de Imagenes" sheetId="9" r:id="rId8"/>
    <sheet name="Akacias_" sheetId="11" r:id="rId9"/>
    <sheet name="Hoja1" sheetId="10" r:id="rId10"/>
  </sheets>
  <definedNames>
    <definedName name="_xlnm._FilterDatabase" localSheetId="0" hidden="1">Gasfield!$B$4:$R$4</definedName>
    <definedName name="_xlnm._FilterDatabase" localSheetId="1" hidden="1">Oilfields!$B$4:$Q$4</definedName>
    <definedName name="_xlchart.v6.0" hidden="1">'General Oil_Gas_fields'!$K$53</definedName>
    <definedName name="_xlchart.v6.1" hidden="1">'General Oil_Gas_fields'!$K$54:$K$61</definedName>
    <definedName name="_xlchart.v6.10" hidden="1">'General Oil_Gas_fields'!$N$53</definedName>
    <definedName name="_xlchart.v6.11" hidden="1">'General Oil_Gas_fields'!$N$54:$N$61</definedName>
    <definedName name="_xlchart.v6.12" hidden="1">'General Oil_Gas_fields'!$K$53</definedName>
    <definedName name="_xlchart.v6.13" hidden="1">'General Oil_Gas_fields'!$K$54:$K$61</definedName>
    <definedName name="_xlchart.v6.14" hidden="1">'General Oil_Gas_fields'!$L$53</definedName>
    <definedName name="_xlchart.v6.15" hidden="1">'General Oil_Gas_fields'!$L$54:$L$61</definedName>
    <definedName name="_xlchart.v6.2" hidden="1">'General Oil_Gas_fields'!$N$53</definedName>
    <definedName name="_xlchart.v6.3" hidden="1">'General Oil_Gas_fields'!$N$54:$N$61</definedName>
    <definedName name="_xlchart.v6.4" hidden="1">'General Oil_Gas_fields'!$K$53</definedName>
    <definedName name="_xlchart.v6.5" hidden="1">'General Oil_Gas_fields'!$K$54:$K$61</definedName>
    <definedName name="_xlchart.v6.6" hidden="1">'General Oil_Gas_fields'!$L$53</definedName>
    <definedName name="_xlchart.v6.7" hidden="1">'General Oil_Gas_fields'!$L$54:$L$61</definedName>
    <definedName name="_xlchart.v6.8" hidden="1">'General Oil_Gas_fields'!$K$53</definedName>
    <definedName name="_xlchart.v6.9" hidden="1">'General Oil_Gas_fields'!$K$54:$K$61</definedName>
    <definedName name="DatosExternos_1" localSheetId="8" hidden="1">Akacias_!$A$1:$B$14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5" i="7" l="1"/>
  <c r="N12" i="9"/>
  <c r="N28" i="9"/>
  <c r="T1" i="9"/>
  <c r="T2" i="9" s="1"/>
  <c r="L8" i="9"/>
  <c r="N8" i="9" s="1"/>
  <c r="L9" i="9"/>
  <c r="N9" i="9" s="1"/>
  <c r="L10" i="9"/>
  <c r="N10" i="9" s="1"/>
  <c r="L12" i="9"/>
  <c r="L16" i="9"/>
  <c r="N16" i="9" s="1"/>
  <c r="L27" i="9"/>
  <c r="N27" i="9" s="1"/>
  <c r="L28" i="9"/>
  <c r="L4" i="9"/>
  <c r="N4" i="9" s="1"/>
  <c r="M5" i="9"/>
  <c r="M9" i="9"/>
  <c r="P9" i="9" s="1"/>
  <c r="M13" i="9"/>
  <c r="M17" i="9"/>
  <c r="M20" i="9"/>
  <c r="M21" i="9"/>
  <c r="M24" i="9"/>
  <c r="M25" i="9"/>
  <c r="M28" i="9"/>
  <c r="P28" i="9" s="1"/>
  <c r="M29" i="9"/>
  <c r="M32" i="9"/>
  <c r="M33" i="9"/>
  <c r="M36" i="9"/>
  <c r="M37" i="9"/>
  <c r="N1" i="9"/>
  <c r="M4" i="9" s="1"/>
  <c r="P4" i="9" s="1"/>
  <c r="Q6" i="9" l="1"/>
  <c r="Q10" i="9"/>
  <c r="Q14" i="9"/>
  <c r="Q18" i="9"/>
  <c r="Q22" i="9"/>
  <c r="Q26" i="9"/>
  <c r="Q30" i="9"/>
  <c r="Q34" i="9"/>
  <c r="Q4" i="9"/>
  <c r="R4" i="9" s="1"/>
  <c r="Q9" i="9"/>
  <c r="R9" i="9" s="1"/>
  <c r="Q21" i="9"/>
  <c r="Q33" i="9"/>
  <c r="Q7" i="9"/>
  <c r="Q11" i="9"/>
  <c r="Q15" i="9"/>
  <c r="Q19" i="9"/>
  <c r="Q23" i="9"/>
  <c r="Q27" i="9"/>
  <c r="Q31" i="9"/>
  <c r="Q35" i="9"/>
  <c r="Q5" i="9"/>
  <c r="Q17" i="9"/>
  <c r="Q29" i="9"/>
  <c r="Q8" i="9"/>
  <c r="Q12" i="9"/>
  <c r="Q16" i="9"/>
  <c r="Q20" i="9"/>
  <c r="Q24" i="9"/>
  <c r="Q28" i="9"/>
  <c r="R28" i="9" s="1"/>
  <c r="Q32" i="9"/>
  <c r="Q36" i="9"/>
  <c r="Q13" i="9"/>
  <c r="Q25" i="9"/>
  <c r="Q37" i="9"/>
  <c r="M16" i="9"/>
  <c r="P16" i="9" s="1"/>
  <c r="R16" i="9" s="1"/>
  <c r="M12" i="9"/>
  <c r="P12" i="9" s="1"/>
  <c r="M8" i="9"/>
  <c r="P8" i="9" s="1"/>
  <c r="R8" i="9" s="1"/>
  <c r="M35" i="9"/>
  <c r="M31" i="9"/>
  <c r="M27" i="9"/>
  <c r="P27" i="9" s="1"/>
  <c r="R27" i="9" s="1"/>
  <c r="M23" i="9"/>
  <c r="M19" i="9"/>
  <c r="M15" i="9"/>
  <c r="M11" i="9"/>
  <c r="M7" i="9"/>
  <c r="M34" i="9"/>
  <c r="M30" i="9"/>
  <c r="M26" i="9"/>
  <c r="M22" i="9"/>
  <c r="M18" i="9"/>
  <c r="M14" i="9"/>
  <c r="M10" i="9"/>
  <c r="P10" i="9" s="1"/>
  <c r="R10" i="9" s="1"/>
  <c r="M6" i="9"/>
  <c r="R12" i="9" l="1"/>
  <c r="F5" i="9" l="1"/>
  <c r="I5" i="9" s="1"/>
  <c r="F8" i="9"/>
  <c r="I8" i="9" s="1"/>
  <c r="F9" i="9"/>
  <c r="I9" i="9" s="1"/>
  <c r="F10" i="9"/>
  <c r="I10" i="9" s="1"/>
  <c r="F12" i="9"/>
  <c r="I12" i="9" s="1"/>
  <c r="F16" i="9"/>
  <c r="I16" i="9" s="1"/>
  <c r="F25" i="9"/>
  <c r="I25" i="9" s="1"/>
  <c r="F27" i="9"/>
  <c r="I27" i="9" s="1"/>
  <c r="F28" i="9"/>
  <c r="I28" i="9" s="1"/>
  <c r="F36" i="9"/>
  <c r="I36" i="9" s="1"/>
  <c r="F4" i="9"/>
  <c r="I4" i="9" s="1"/>
  <c r="E18" i="9"/>
  <c r="L18" i="9" s="1"/>
  <c r="E5" i="9"/>
  <c r="L5" i="9" s="1"/>
  <c r="N5" i="9" s="1"/>
  <c r="E42" i="9"/>
  <c r="E41" i="9"/>
  <c r="E40" i="9"/>
  <c r="E39" i="9"/>
  <c r="E37" i="9"/>
  <c r="L37" i="9" s="1"/>
  <c r="E36" i="9"/>
  <c r="L36" i="9" s="1"/>
  <c r="E35" i="9"/>
  <c r="L35" i="9" s="1"/>
  <c r="E34" i="9"/>
  <c r="L34" i="9" s="1"/>
  <c r="E33" i="9"/>
  <c r="L33" i="9" s="1"/>
  <c r="E32" i="9"/>
  <c r="L32" i="9" s="1"/>
  <c r="E31" i="9"/>
  <c r="L31" i="9" s="1"/>
  <c r="E30" i="9"/>
  <c r="L30" i="9" s="1"/>
  <c r="E29" i="9"/>
  <c r="L29" i="9" s="1"/>
  <c r="E26" i="9"/>
  <c r="L26" i="9" s="1"/>
  <c r="E25" i="9"/>
  <c r="L25" i="9" s="1"/>
  <c r="E24" i="9"/>
  <c r="L24" i="9" s="1"/>
  <c r="E23" i="9"/>
  <c r="L23" i="9" s="1"/>
  <c r="E22" i="9"/>
  <c r="L22" i="9" s="1"/>
  <c r="E21" i="9"/>
  <c r="L21" i="9" s="1"/>
  <c r="E20" i="9"/>
  <c r="L20" i="9" s="1"/>
  <c r="E19" i="9"/>
  <c r="L19" i="9" s="1"/>
  <c r="E17" i="9"/>
  <c r="L17" i="9" s="1"/>
  <c r="E15" i="9"/>
  <c r="L15" i="9" s="1"/>
  <c r="E14" i="9"/>
  <c r="L14" i="9" s="1"/>
  <c r="E13" i="9"/>
  <c r="L13" i="9" s="1"/>
  <c r="E11" i="9"/>
  <c r="L11" i="9" s="1"/>
  <c r="E7" i="9"/>
  <c r="L7" i="9" s="1"/>
  <c r="E6" i="9"/>
  <c r="L6" i="9" s="1"/>
  <c r="G40" i="6"/>
  <c r="V50" i="7"/>
  <c r="E59" i="8"/>
  <c r="E47" i="8"/>
  <c r="P55" i="8" s="1"/>
  <c r="T45" i="8"/>
  <c r="T46" i="8" s="1"/>
  <c r="T47" i="8" s="1"/>
  <c r="U49" i="8" s="1"/>
  <c r="G43" i="8"/>
  <c r="G42" i="8"/>
  <c r="G41" i="8"/>
  <c r="G40" i="8"/>
  <c r="H39" i="8"/>
  <c r="P38" i="8"/>
  <c r="M38" i="8" s="1"/>
  <c r="Q38" i="8" s="1"/>
  <c r="R38" i="8" s="1"/>
  <c r="G38" i="8"/>
  <c r="S38" i="8" s="1"/>
  <c r="AB37" i="8"/>
  <c r="AA37" i="8"/>
  <c r="AC37" i="8" s="1"/>
  <c r="AD37" i="8" s="1"/>
  <c r="P37" i="8"/>
  <c r="M37" i="8" s="1"/>
  <c r="Q37" i="8" s="1"/>
  <c r="R37" i="8" s="1"/>
  <c r="G37" i="8"/>
  <c r="S37" i="8" s="1"/>
  <c r="AB36" i="8"/>
  <c r="AA36" i="8"/>
  <c r="P36" i="8"/>
  <c r="M36" i="8"/>
  <c r="Q36" i="8" s="1"/>
  <c r="R36" i="8" s="1"/>
  <c r="G36" i="8"/>
  <c r="S36" i="8" s="1"/>
  <c r="AB35" i="8"/>
  <c r="AA35" i="8"/>
  <c r="P35" i="8"/>
  <c r="M35" i="8" s="1"/>
  <c r="Q35" i="8" s="1"/>
  <c r="R35" i="8" s="1"/>
  <c r="G35" i="8"/>
  <c r="I35" i="8" s="1"/>
  <c r="AB34" i="8"/>
  <c r="AA34" i="8"/>
  <c r="P34" i="8"/>
  <c r="M34" i="8" s="1"/>
  <c r="Q34" i="8" s="1"/>
  <c r="R34" i="8" s="1"/>
  <c r="G34" i="8"/>
  <c r="H34" i="8" s="1"/>
  <c r="J34" i="8" s="1"/>
  <c r="AB33" i="8"/>
  <c r="AE33" i="8" s="1"/>
  <c r="AF33" i="8" s="1"/>
  <c r="AA33" i="8"/>
  <c r="P33" i="8"/>
  <c r="M33" i="8" s="1"/>
  <c r="Q33" i="8" s="1"/>
  <c r="R33" i="8" s="1"/>
  <c r="H33" i="8"/>
  <c r="J33" i="8" s="1"/>
  <c r="G33" i="8"/>
  <c r="S33" i="8" s="1"/>
  <c r="AB32" i="8"/>
  <c r="AA32" i="8"/>
  <c r="P32" i="8"/>
  <c r="M32" i="8" s="1"/>
  <c r="Q32" i="8" s="1"/>
  <c r="R32" i="8" s="1"/>
  <c r="G32" i="8"/>
  <c r="S32" i="8" s="1"/>
  <c r="AB31" i="8"/>
  <c r="AA31" i="8"/>
  <c r="P31" i="8"/>
  <c r="M31" i="8" s="1"/>
  <c r="Q31" i="8" s="1"/>
  <c r="R31" i="8" s="1"/>
  <c r="G31" i="8"/>
  <c r="I31" i="8" s="1"/>
  <c r="AB30" i="8"/>
  <c r="AA30" i="8"/>
  <c r="P30" i="8"/>
  <c r="M30" i="8" s="1"/>
  <c r="Q30" i="8" s="1"/>
  <c r="R30" i="8" s="1"/>
  <c r="G30" i="8"/>
  <c r="H30" i="8" s="1"/>
  <c r="J30" i="8" s="1"/>
  <c r="AB29" i="8"/>
  <c r="AA29" i="8"/>
  <c r="AC29" i="8" s="1"/>
  <c r="AD29" i="8" s="1"/>
  <c r="S29" i="8"/>
  <c r="P29" i="8"/>
  <c r="M29" i="8" s="1"/>
  <c r="Q29" i="8" s="1"/>
  <c r="R29" i="8" s="1"/>
  <c r="I29" i="8"/>
  <c r="H29" i="8"/>
  <c r="J29" i="8" s="1"/>
  <c r="AB28" i="8"/>
  <c r="AA28" i="8"/>
  <c r="AE28" i="8" s="1"/>
  <c r="AF28" i="8" s="1"/>
  <c r="S28" i="8"/>
  <c r="P28" i="8"/>
  <c r="M28" i="8" s="1"/>
  <c r="Q28" i="8" s="1"/>
  <c r="I28" i="8"/>
  <c r="H28" i="8"/>
  <c r="J28" i="8" s="1"/>
  <c r="AB27" i="8"/>
  <c r="AA27" i="8"/>
  <c r="P27" i="8"/>
  <c r="M27" i="8"/>
  <c r="Q27" i="8" s="1"/>
  <c r="R27" i="8" s="1"/>
  <c r="G27" i="8"/>
  <c r="AB26" i="8"/>
  <c r="AA26" i="8"/>
  <c r="P26" i="8"/>
  <c r="M26" i="8" s="1"/>
  <c r="Q26" i="8" s="1"/>
  <c r="R26" i="8" s="1"/>
  <c r="G26" i="8"/>
  <c r="I26" i="8" s="1"/>
  <c r="AB25" i="8"/>
  <c r="AA25" i="8"/>
  <c r="P25" i="8"/>
  <c r="M25" i="8" s="1"/>
  <c r="Q25" i="8" s="1"/>
  <c r="R25" i="8" s="1"/>
  <c r="G25" i="8"/>
  <c r="S25" i="8" s="1"/>
  <c r="AB24" i="8"/>
  <c r="AA24" i="8"/>
  <c r="P24" i="8"/>
  <c r="M24" i="8" s="1"/>
  <c r="Q24" i="8" s="1"/>
  <c r="R24" i="8" s="1"/>
  <c r="G24" i="8"/>
  <c r="S24" i="8" s="1"/>
  <c r="AB23" i="8"/>
  <c r="AA23" i="8"/>
  <c r="P23" i="8"/>
  <c r="M23" i="8" s="1"/>
  <c r="Q23" i="8" s="1"/>
  <c r="R23" i="8" s="1"/>
  <c r="G23" i="8"/>
  <c r="S23" i="8" s="1"/>
  <c r="AB22" i="8"/>
  <c r="AA22" i="8"/>
  <c r="P22" i="8"/>
  <c r="M22" i="8" s="1"/>
  <c r="Q22" i="8" s="1"/>
  <c r="R22" i="8" s="1"/>
  <c r="G22" i="8"/>
  <c r="I22" i="8" s="1"/>
  <c r="AB21" i="8"/>
  <c r="AA21" i="8"/>
  <c r="P21" i="8"/>
  <c r="M21" i="8" s="1"/>
  <c r="Q21" i="8" s="1"/>
  <c r="R21" i="8" s="1"/>
  <c r="G21" i="8"/>
  <c r="S21" i="8" s="1"/>
  <c r="AB20" i="8"/>
  <c r="AA20" i="8"/>
  <c r="P20" i="8"/>
  <c r="M20" i="8" s="1"/>
  <c r="Q20" i="8" s="1"/>
  <c r="R20" i="8" s="1"/>
  <c r="G20" i="8"/>
  <c r="S20" i="8" s="1"/>
  <c r="AB19" i="8"/>
  <c r="AA19" i="8"/>
  <c r="P19" i="8"/>
  <c r="M19" i="8"/>
  <c r="Q19" i="8" s="1"/>
  <c r="R19" i="8" s="1"/>
  <c r="G19" i="8"/>
  <c r="S19" i="8" s="1"/>
  <c r="AB18" i="8"/>
  <c r="AA18" i="8"/>
  <c r="P18" i="8"/>
  <c r="M18" i="8" s="1"/>
  <c r="Q18" i="8" s="1"/>
  <c r="R18" i="8" s="1"/>
  <c r="G18" i="8"/>
  <c r="I18" i="8" s="1"/>
  <c r="AB17" i="8"/>
  <c r="AA17" i="8"/>
  <c r="S17" i="8"/>
  <c r="P17" i="8"/>
  <c r="M17" i="8" s="1"/>
  <c r="Q17" i="8" s="1"/>
  <c r="R17" i="8" s="1"/>
  <c r="I17" i="8"/>
  <c r="H17" i="8"/>
  <c r="J17" i="8" s="1"/>
  <c r="AB16" i="8"/>
  <c r="AA16" i="8"/>
  <c r="P16" i="8"/>
  <c r="M16" i="8" s="1"/>
  <c r="Q16" i="8" s="1"/>
  <c r="R16" i="8" s="1"/>
  <c r="G16" i="8"/>
  <c r="S16" i="8" s="1"/>
  <c r="AC15" i="8"/>
  <c r="AD15" i="8" s="1"/>
  <c r="AB15" i="8"/>
  <c r="AA15" i="8"/>
  <c r="P15" i="8"/>
  <c r="M15" i="8" s="1"/>
  <c r="Q15" i="8" s="1"/>
  <c r="R15" i="8" s="1"/>
  <c r="G15" i="8"/>
  <c r="I15" i="8" s="1"/>
  <c r="AB14" i="8"/>
  <c r="AA14" i="8"/>
  <c r="AE14" i="8" s="1"/>
  <c r="AF14" i="8" s="1"/>
  <c r="P14" i="8"/>
  <c r="M14" i="8" s="1"/>
  <c r="Q14" i="8" s="1"/>
  <c r="R14" i="8" s="1"/>
  <c r="G14" i="8"/>
  <c r="H14" i="8" s="1"/>
  <c r="J14" i="8" s="1"/>
  <c r="AB13" i="8"/>
  <c r="AA13" i="8"/>
  <c r="S13" i="8"/>
  <c r="P13" i="8"/>
  <c r="M13" i="8" s="1"/>
  <c r="Q13" i="8" s="1"/>
  <c r="R13" i="8" s="1"/>
  <c r="I13" i="8"/>
  <c r="H13" i="8"/>
  <c r="J13" i="8" s="1"/>
  <c r="AB12" i="8"/>
  <c r="AA12" i="8"/>
  <c r="AE12" i="8" s="1"/>
  <c r="AF12" i="8" s="1"/>
  <c r="P12" i="8"/>
  <c r="M12" i="8" s="1"/>
  <c r="Q12" i="8" s="1"/>
  <c r="R12" i="8" s="1"/>
  <c r="I12" i="8"/>
  <c r="G12" i="8"/>
  <c r="S12" i="8" s="1"/>
  <c r="AB11" i="8"/>
  <c r="AA11" i="8"/>
  <c r="S11" i="8"/>
  <c r="P11" i="8"/>
  <c r="M11" i="8" s="1"/>
  <c r="Q11" i="8" s="1"/>
  <c r="R11" i="8" s="1"/>
  <c r="I11" i="8"/>
  <c r="H11" i="8"/>
  <c r="J11" i="8" s="1"/>
  <c r="AB10" i="8"/>
  <c r="AA10" i="8"/>
  <c r="S10" i="8"/>
  <c r="P10" i="8"/>
  <c r="M10" i="8" s="1"/>
  <c r="Q10" i="8" s="1"/>
  <c r="R10" i="8" s="1"/>
  <c r="I10" i="8"/>
  <c r="H10" i="8"/>
  <c r="J10" i="8" s="1"/>
  <c r="AB9" i="8"/>
  <c r="AA9" i="8"/>
  <c r="S9" i="8"/>
  <c r="P9" i="8"/>
  <c r="M9" i="8" s="1"/>
  <c r="Q9" i="8" s="1"/>
  <c r="R9" i="8" s="1"/>
  <c r="I9" i="8"/>
  <c r="H9" i="8"/>
  <c r="J9" i="8" s="1"/>
  <c r="AB8" i="8"/>
  <c r="AA8" i="8"/>
  <c r="P8" i="8"/>
  <c r="M8" i="8" s="1"/>
  <c r="Q8" i="8" s="1"/>
  <c r="R8" i="8" s="1"/>
  <c r="G8" i="8"/>
  <c r="AB7" i="8"/>
  <c r="AA7" i="8"/>
  <c r="P7" i="8"/>
  <c r="M7" i="8" s="1"/>
  <c r="Q7" i="8" s="1"/>
  <c r="R7" i="8" s="1"/>
  <c r="G7" i="8"/>
  <c r="S7" i="8" s="1"/>
  <c r="F7" i="8"/>
  <c r="E50" i="8" s="1"/>
  <c r="AB6" i="8"/>
  <c r="AA6" i="8"/>
  <c r="P6" i="8"/>
  <c r="M6" i="8" s="1"/>
  <c r="Q6" i="8" s="1"/>
  <c r="R6" i="8" s="1"/>
  <c r="G6" i="8"/>
  <c r="S6" i="8" s="1"/>
  <c r="AB5" i="8"/>
  <c r="AA5" i="8"/>
  <c r="R5" i="8"/>
  <c r="I5" i="8"/>
  <c r="H5" i="8"/>
  <c r="J5" i="8" s="1"/>
  <c r="G1" i="8"/>
  <c r="R56" i="7"/>
  <c r="T6" i="7"/>
  <c r="T7" i="7"/>
  <c r="T8" i="7"/>
  <c r="T9" i="7"/>
  <c r="T10" i="7"/>
  <c r="T11" i="7"/>
  <c r="T12" i="7"/>
  <c r="T13" i="7"/>
  <c r="T14" i="7"/>
  <c r="T15" i="7"/>
  <c r="T16" i="7"/>
  <c r="T17" i="7"/>
  <c r="T18" i="7"/>
  <c r="T19" i="7"/>
  <c r="T20" i="7"/>
  <c r="T21" i="7"/>
  <c r="T22" i="7"/>
  <c r="T23" i="7"/>
  <c r="T24" i="7"/>
  <c r="T25" i="7"/>
  <c r="T26" i="7"/>
  <c r="T27" i="7"/>
  <c r="T29" i="7"/>
  <c r="T30" i="7"/>
  <c r="T31" i="7"/>
  <c r="T32" i="7"/>
  <c r="T33" i="7"/>
  <c r="T34" i="7"/>
  <c r="T35" i="7"/>
  <c r="T36" i="7"/>
  <c r="T37" i="7"/>
  <c r="T38" i="7"/>
  <c r="T5" i="7"/>
  <c r="U9" i="7"/>
  <c r="U10" i="7"/>
  <c r="U11" i="7"/>
  <c r="U13" i="7"/>
  <c r="U17" i="7"/>
  <c r="U28" i="7"/>
  <c r="U29" i="7"/>
  <c r="O7" i="7"/>
  <c r="S7" i="7" s="1"/>
  <c r="O15" i="7"/>
  <c r="S15" i="7" s="1"/>
  <c r="O23" i="7"/>
  <c r="S23" i="7" s="1"/>
  <c r="O31" i="7"/>
  <c r="S31" i="7" s="1"/>
  <c r="O6" i="7"/>
  <c r="S6" i="7" s="1"/>
  <c r="R7" i="7"/>
  <c r="R8" i="7"/>
  <c r="O8" i="7" s="1"/>
  <c r="S8" i="7" s="1"/>
  <c r="R9" i="7"/>
  <c r="O9" i="7" s="1"/>
  <c r="S9" i="7" s="1"/>
  <c r="R10" i="7"/>
  <c r="O10" i="7" s="1"/>
  <c r="S10" i="7" s="1"/>
  <c r="R11" i="7"/>
  <c r="O11" i="7" s="1"/>
  <c r="S11" i="7" s="1"/>
  <c r="R12" i="7"/>
  <c r="O12" i="7" s="1"/>
  <c r="S12" i="7" s="1"/>
  <c r="R13" i="7"/>
  <c r="O13" i="7" s="1"/>
  <c r="S13" i="7" s="1"/>
  <c r="R14" i="7"/>
  <c r="O14" i="7" s="1"/>
  <c r="S14" i="7" s="1"/>
  <c r="R15" i="7"/>
  <c r="R16" i="7"/>
  <c r="O16" i="7" s="1"/>
  <c r="S16" i="7" s="1"/>
  <c r="R17" i="7"/>
  <c r="O17" i="7" s="1"/>
  <c r="S17" i="7" s="1"/>
  <c r="R18" i="7"/>
  <c r="O18" i="7" s="1"/>
  <c r="S18" i="7" s="1"/>
  <c r="R19" i="7"/>
  <c r="O19" i="7" s="1"/>
  <c r="S19" i="7" s="1"/>
  <c r="R20" i="7"/>
  <c r="O20" i="7" s="1"/>
  <c r="S20" i="7" s="1"/>
  <c r="R21" i="7"/>
  <c r="O21" i="7" s="1"/>
  <c r="S21" i="7" s="1"/>
  <c r="R22" i="7"/>
  <c r="O22" i="7" s="1"/>
  <c r="S22" i="7" s="1"/>
  <c r="R23" i="7"/>
  <c r="R24" i="7"/>
  <c r="O24" i="7" s="1"/>
  <c r="S24" i="7" s="1"/>
  <c r="R25" i="7"/>
  <c r="O25" i="7" s="1"/>
  <c r="S25" i="7" s="1"/>
  <c r="R26" i="7"/>
  <c r="O26" i="7" s="1"/>
  <c r="S26" i="7" s="1"/>
  <c r="R27" i="7"/>
  <c r="O27" i="7" s="1"/>
  <c r="S27" i="7" s="1"/>
  <c r="R28" i="7"/>
  <c r="O28" i="7" s="1"/>
  <c r="S28" i="7" s="1"/>
  <c r="R29" i="7"/>
  <c r="O29" i="7" s="1"/>
  <c r="S29" i="7" s="1"/>
  <c r="R30" i="7"/>
  <c r="O30" i="7" s="1"/>
  <c r="S30" i="7" s="1"/>
  <c r="R31" i="7"/>
  <c r="R32" i="7"/>
  <c r="O32" i="7" s="1"/>
  <c r="S32" i="7" s="1"/>
  <c r="R33" i="7"/>
  <c r="O33" i="7" s="1"/>
  <c r="S33" i="7" s="1"/>
  <c r="R34" i="7"/>
  <c r="O34" i="7" s="1"/>
  <c r="S34" i="7" s="1"/>
  <c r="R35" i="7"/>
  <c r="O35" i="7" s="1"/>
  <c r="S35" i="7" s="1"/>
  <c r="R36" i="7"/>
  <c r="O36" i="7" s="1"/>
  <c r="S36" i="7" s="1"/>
  <c r="R37" i="7"/>
  <c r="O37" i="7" s="1"/>
  <c r="S37" i="7" s="1"/>
  <c r="R38" i="7"/>
  <c r="O38" i="7" s="1"/>
  <c r="S38" i="7" s="1"/>
  <c r="R6" i="7"/>
  <c r="P33" i="9" l="1"/>
  <c r="R33" i="9" s="1"/>
  <c r="N33" i="9"/>
  <c r="P6" i="9"/>
  <c r="R6" i="9" s="1"/>
  <c r="N6" i="9"/>
  <c r="P14" i="9"/>
  <c r="R14" i="9" s="1"/>
  <c r="N14" i="9"/>
  <c r="P20" i="9"/>
  <c r="R20" i="9" s="1"/>
  <c r="N20" i="9"/>
  <c r="P24" i="9"/>
  <c r="R24" i="9" s="1"/>
  <c r="N24" i="9"/>
  <c r="P30" i="9"/>
  <c r="R30" i="9" s="1"/>
  <c r="N30" i="9"/>
  <c r="P34" i="9"/>
  <c r="R34" i="9" s="1"/>
  <c r="N34" i="9"/>
  <c r="F32" i="9"/>
  <c r="I32" i="9" s="1"/>
  <c r="F21" i="9"/>
  <c r="I21" i="9" s="1"/>
  <c r="P19" i="9"/>
  <c r="R19" i="9" s="1"/>
  <c r="N19" i="9"/>
  <c r="P29" i="9"/>
  <c r="R29" i="9" s="1"/>
  <c r="N29" i="9"/>
  <c r="P7" i="9"/>
  <c r="R7" i="9" s="1"/>
  <c r="N7" i="9"/>
  <c r="P15" i="9"/>
  <c r="R15" i="9" s="1"/>
  <c r="N15" i="9"/>
  <c r="P21" i="9"/>
  <c r="R21" i="9" s="1"/>
  <c r="N21" i="9"/>
  <c r="P25" i="9"/>
  <c r="R25" i="9" s="1"/>
  <c r="N25" i="9"/>
  <c r="P31" i="9"/>
  <c r="R31" i="9" s="1"/>
  <c r="N31" i="9"/>
  <c r="P35" i="9"/>
  <c r="R35" i="9" s="1"/>
  <c r="N35" i="9"/>
  <c r="P18" i="9"/>
  <c r="R18" i="9" s="1"/>
  <c r="N18" i="9"/>
  <c r="F17" i="9"/>
  <c r="I17" i="9" s="1"/>
  <c r="P13" i="9"/>
  <c r="R13" i="9" s="1"/>
  <c r="N13" i="9"/>
  <c r="P23" i="9"/>
  <c r="R23" i="9" s="1"/>
  <c r="N23" i="9"/>
  <c r="P37" i="9"/>
  <c r="R37" i="9" s="1"/>
  <c r="N37" i="9"/>
  <c r="P11" i="9"/>
  <c r="R11" i="9" s="1"/>
  <c r="N11" i="9"/>
  <c r="P17" i="9"/>
  <c r="R17" i="9" s="1"/>
  <c r="N17" i="9"/>
  <c r="P22" i="9"/>
  <c r="R22" i="9" s="1"/>
  <c r="N22" i="9"/>
  <c r="P26" i="9"/>
  <c r="R26" i="9" s="1"/>
  <c r="N26" i="9"/>
  <c r="P32" i="9"/>
  <c r="R32" i="9" s="1"/>
  <c r="N32" i="9"/>
  <c r="P36" i="9"/>
  <c r="R36" i="9" s="1"/>
  <c r="N36" i="9"/>
  <c r="F37" i="9"/>
  <c r="I37" i="9" s="1"/>
  <c r="F29" i="9"/>
  <c r="I29" i="9" s="1"/>
  <c r="P5" i="9"/>
  <c r="R5" i="9" s="1"/>
  <c r="D47" i="9"/>
  <c r="F20" i="9"/>
  <c r="I20" i="9" s="1"/>
  <c r="F35" i="9"/>
  <c r="I35" i="9" s="1"/>
  <c r="F31" i="9"/>
  <c r="I31" i="9" s="1"/>
  <c r="F23" i="9"/>
  <c r="I23" i="9" s="1"/>
  <c r="F19" i="9"/>
  <c r="I19" i="9" s="1"/>
  <c r="F15" i="9"/>
  <c r="I15" i="9" s="1"/>
  <c r="F11" i="9"/>
  <c r="I11" i="9" s="1"/>
  <c r="F7" i="9"/>
  <c r="I7" i="9" s="1"/>
  <c r="F33" i="9"/>
  <c r="I33" i="9" s="1"/>
  <c r="F13" i="9"/>
  <c r="I13" i="9" s="1"/>
  <c r="F24" i="9"/>
  <c r="I24" i="9" s="1"/>
  <c r="F34" i="9"/>
  <c r="I34" i="9" s="1"/>
  <c r="F30" i="9"/>
  <c r="I30" i="9" s="1"/>
  <c r="F26" i="9"/>
  <c r="I26" i="9" s="1"/>
  <c r="F22" i="9"/>
  <c r="I22" i="9" s="1"/>
  <c r="F18" i="9"/>
  <c r="I18" i="9" s="1"/>
  <c r="F14" i="9"/>
  <c r="I14" i="9" s="1"/>
  <c r="F6" i="9"/>
  <c r="I6" i="9" s="1"/>
  <c r="AE8" i="8"/>
  <c r="AF8" i="8" s="1"/>
  <c r="AE10" i="8"/>
  <c r="AF10" i="8" s="1"/>
  <c r="AE18" i="8"/>
  <c r="AF18" i="8" s="1"/>
  <c r="AE31" i="8"/>
  <c r="AF31" i="8" s="1"/>
  <c r="I33" i="8"/>
  <c r="AE22" i="8"/>
  <c r="AF22" i="8" s="1"/>
  <c r="AE11" i="8"/>
  <c r="AF11" i="8" s="1"/>
  <c r="AC16" i="8"/>
  <c r="AD16" i="8" s="1"/>
  <c r="AC23" i="8"/>
  <c r="AD23" i="8" s="1"/>
  <c r="AE26" i="8"/>
  <c r="AF26" i="8" s="1"/>
  <c r="AE35" i="8"/>
  <c r="AF35" i="8" s="1"/>
  <c r="H7" i="8"/>
  <c r="J7" i="8" s="1"/>
  <c r="H24" i="8"/>
  <c r="J24" i="8" s="1"/>
  <c r="AC25" i="8"/>
  <c r="AD25" i="8" s="1"/>
  <c r="I30" i="8"/>
  <c r="AC30" i="8"/>
  <c r="AD30" i="8" s="1"/>
  <c r="AC34" i="8"/>
  <c r="AD34" i="8" s="1"/>
  <c r="H38" i="8"/>
  <c r="J38" i="8" s="1"/>
  <c r="H6" i="8"/>
  <c r="J6" i="8" s="1"/>
  <c r="AE6" i="8"/>
  <c r="AF6" i="8" s="1"/>
  <c r="I7" i="8"/>
  <c r="AC7" i="8"/>
  <c r="AD7" i="8" s="1"/>
  <c r="H20" i="8"/>
  <c r="J20" i="8" s="1"/>
  <c r="AC21" i="8"/>
  <c r="AD21" i="8" s="1"/>
  <c r="I24" i="8"/>
  <c r="I38" i="8"/>
  <c r="I6" i="8"/>
  <c r="H12" i="8"/>
  <c r="J12" i="8" s="1"/>
  <c r="H15" i="8"/>
  <c r="J15" i="8" s="1"/>
  <c r="AC19" i="8"/>
  <c r="AD19" i="8" s="1"/>
  <c r="I20" i="8"/>
  <c r="H25" i="8"/>
  <c r="J25" i="8" s="1"/>
  <c r="AE5" i="8"/>
  <c r="AF5" i="8" s="1"/>
  <c r="P56" i="8"/>
  <c r="AC12" i="8"/>
  <c r="AD12" i="8" s="1"/>
  <c r="I14" i="8"/>
  <c r="AE15" i="8"/>
  <c r="AF15" i="8" s="1"/>
  <c r="H21" i="8"/>
  <c r="J21" i="8" s="1"/>
  <c r="AE21" i="8"/>
  <c r="AF21" i="8" s="1"/>
  <c r="AC24" i="8"/>
  <c r="AD24" i="8" s="1"/>
  <c r="I25" i="8"/>
  <c r="AE25" i="8"/>
  <c r="AF25" i="8" s="1"/>
  <c r="AC26" i="8"/>
  <c r="AD26" i="8" s="1"/>
  <c r="AC27" i="8"/>
  <c r="AD27" i="8" s="1"/>
  <c r="AC31" i="8"/>
  <c r="AD31" i="8" s="1"/>
  <c r="AC33" i="8"/>
  <c r="AD33" i="8" s="1"/>
  <c r="I34" i="8"/>
  <c r="AC35" i="8"/>
  <c r="AD35" i="8" s="1"/>
  <c r="H37" i="8"/>
  <c r="J37" i="8" s="1"/>
  <c r="T49" i="8"/>
  <c r="AC17" i="8"/>
  <c r="AD17" i="8" s="1"/>
  <c r="AE7" i="8"/>
  <c r="AF7" i="8" s="1"/>
  <c r="AC8" i="8"/>
  <c r="AD8" i="8" s="1"/>
  <c r="AC10" i="8"/>
  <c r="AD10" i="8" s="1"/>
  <c r="AC13" i="8"/>
  <c r="AD13" i="8" s="1"/>
  <c r="AC18" i="8"/>
  <c r="AD18" i="8" s="1"/>
  <c r="AC20" i="8"/>
  <c r="AD20" i="8" s="1"/>
  <c r="I21" i="8"/>
  <c r="AC22" i="8"/>
  <c r="AD22" i="8" s="1"/>
  <c r="AC28" i="8"/>
  <c r="AD28" i="8" s="1"/>
  <c r="AE30" i="8"/>
  <c r="AF30" i="8" s="1"/>
  <c r="AC32" i="8"/>
  <c r="AD32" i="8" s="1"/>
  <c r="AC36" i="8"/>
  <c r="AD36" i="8" s="1"/>
  <c r="I37" i="8"/>
  <c r="I8" i="8"/>
  <c r="H8" i="8"/>
  <c r="J8" i="8" s="1"/>
  <c r="AC6" i="8"/>
  <c r="AD6" i="8" s="1"/>
  <c r="S8" i="8"/>
  <c r="I23" i="8"/>
  <c r="H23" i="8"/>
  <c r="J23" i="8" s="1"/>
  <c r="I36" i="8"/>
  <c r="H36" i="8"/>
  <c r="J36" i="8" s="1"/>
  <c r="I40" i="8"/>
  <c r="H40" i="8"/>
  <c r="J40" i="8" s="1"/>
  <c r="E51" i="8"/>
  <c r="E52" i="8" s="1"/>
  <c r="E54" i="8"/>
  <c r="I27" i="8"/>
  <c r="H27" i="8"/>
  <c r="J27" i="8" s="1"/>
  <c r="I43" i="8"/>
  <c r="H43" i="8"/>
  <c r="J43" i="8" s="1"/>
  <c r="I19" i="8"/>
  <c r="H19" i="8"/>
  <c r="J19" i="8" s="1"/>
  <c r="AE24" i="8"/>
  <c r="AF24" i="8" s="1"/>
  <c r="AE29" i="8"/>
  <c r="AF29" i="8" s="1"/>
  <c r="AE34" i="8"/>
  <c r="AF34" i="8" s="1"/>
  <c r="AE37" i="8"/>
  <c r="AF37" i="8" s="1"/>
  <c r="I41" i="8"/>
  <c r="H41" i="8"/>
  <c r="J41" i="8" s="1"/>
  <c r="AC5" i="8"/>
  <c r="AD5" i="8" s="1"/>
  <c r="AE9" i="8"/>
  <c r="AF9" i="8" s="1"/>
  <c r="AE13" i="8"/>
  <c r="AF13" i="8" s="1"/>
  <c r="I16" i="8"/>
  <c r="H16" i="8"/>
  <c r="J16" i="8" s="1"/>
  <c r="AE17" i="8"/>
  <c r="AF17" i="8" s="1"/>
  <c r="AE20" i="8"/>
  <c r="AF20" i="8" s="1"/>
  <c r="S27" i="8"/>
  <c r="I32" i="8"/>
  <c r="H32" i="8"/>
  <c r="J32" i="8" s="1"/>
  <c r="I42" i="8"/>
  <c r="H42" i="8"/>
  <c r="J42" i="8" s="1"/>
  <c r="E48" i="8"/>
  <c r="G48" i="8" s="1"/>
  <c r="AC9" i="8"/>
  <c r="AD9" i="8" s="1"/>
  <c r="AC11" i="8"/>
  <c r="AD11" i="8" s="1"/>
  <c r="AC14" i="8"/>
  <c r="AD14" i="8" s="1"/>
  <c r="S15" i="8"/>
  <c r="AE16" i="8"/>
  <c r="AF16" i="8" s="1"/>
  <c r="S18" i="8"/>
  <c r="AE19" i="8"/>
  <c r="AF19" i="8" s="1"/>
  <c r="S22" i="8"/>
  <c r="AE23" i="8"/>
  <c r="AF23" i="8" s="1"/>
  <c r="S26" i="8"/>
  <c r="AE27" i="8"/>
  <c r="AF27" i="8" s="1"/>
  <c r="S31" i="8"/>
  <c r="AE32" i="8"/>
  <c r="AF32" i="8" s="1"/>
  <c r="S35" i="8"/>
  <c r="AE36" i="8"/>
  <c r="AF36" i="8" s="1"/>
  <c r="S14" i="8"/>
  <c r="H18" i="8"/>
  <c r="J18" i="8" s="1"/>
  <c r="H22" i="8"/>
  <c r="J22" i="8" s="1"/>
  <c r="H26" i="8"/>
  <c r="J26" i="8" s="1"/>
  <c r="S30" i="8"/>
  <c r="H31" i="8"/>
  <c r="J31" i="8" s="1"/>
  <c r="S34" i="8"/>
  <c r="H35" i="8"/>
  <c r="J35" i="8" s="1"/>
  <c r="E49" i="8"/>
  <c r="G49" i="8" s="1"/>
  <c r="E60" i="8" l="1"/>
  <c r="E55" i="8"/>
  <c r="E56" i="8" s="1"/>
  <c r="E59" i="7" l="1"/>
  <c r="E47" i="7"/>
  <c r="R55" i="7" s="1"/>
  <c r="V45" i="7"/>
  <c r="V46" i="7" s="1"/>
  <c r="V47" i="7" s="1"/>
  <c r="G43" i="7"/>
  <c r="I43" i="7" s="1"/>
  <c r="G42" i="7"/>
  <c r="I42" i="7" s="1"/>
  <c r="G41" i="7"/>
  <c r="H41" i="7" s="1"/>
  <c r="J41" i="7" s="1"/>
  <c r="G40" i="7"/>
  <c r="H40" i="7" s="1"/>
  <c r="J40" i="7" s="1"/>
  <c r="H39" i="7"/>
  <c r="G38" i="7"/>
  <c r="AD37" i="7"/>
  <c r="AC37" i="7"/>
  <c r="G37" i="7"/>
  <c r="AD36" i="7"/>
  <c r="AC36" i="7"/>
  <c r="AG36" i="7" s="1"/>
  <c r="AH36" i="7" s="1"/>
  <c r="G36" i="7"/>
  <c r="AD35" i="7"/>
  <c r="AC35" i="7"/>
  <c r="AG35" i="7" s="1"/>
  <c r="AH35" i="7" s="1"/>
  <c r="G35" i="7"/>
  <c r="AD34" i="7"/>
  <c r="AC34" i="7"/>
  <c r="G34" i="7"/>
  <c r="AD33" i="7"/>
  <c r="AC33" i="7"/>
  <c r="G33" i="7"/>
  <c r="AD32" i="7"/>
  <c r="AC32" i="7"/>
  <c r="G32" i="7"/>
  <c r="AD31" i="7"/>
  <c r="AC31" i="7"/>
  <c r="AG31" i="7" s="1"/>
  <c r="AH31" i="7" s="1"/>
  <c r="G31" i="7"/>
  <c r="AD30" i="7"/>
  <c r="AC30" i="7"/>
  <c r="G30" i="7"/>
  <c r="AD29" i="7"/>
  <c r="AC29" i="7"/>
  <c r="I29" i="7"/>
  <c r="H29" i="7"/>
  <c r="J29" i="7" s="1"/>
  <c r="AD28" i="7"/>
  <c r="AC28" i="7"/>
  <c r="I28" i="7"/>
  <c r="H28" i="7"/>
  <c r="J28" i="7" s="1"/>
  <c r="AD27" i="7"/>
  <c r="AC27" i="7"/>
  <c r="G27" i="7"/>
  <c r="AD26" i="7"/>
  <c r="AC26" i="7"/>
  <c r="G26" i="7"/>
  <c r="AD25" i="7"/>
  <c r="AC25" i="7"/>
  <c r="AE25" i="7" s="1"/>
  <c r="AF25" i="7" s="1"/>
  <c r="G25" i="7"/>
  <c r="AD24" i="7"/>
  <c r="AC24" i="7"/>
  <c r="G24" i="7"/>
  <c r="AD23" i="7"/>
  <c r="AC23" i="7"/>
  <c r="G23" i="7"/>
  <c r="AD22" i="7"/>
  <c r="AC22" i="7"/>
  <c r="AG22" i="7" s="1"/>
  <c r="AH22" i="7" s="1"/>
  <c r="G22" i="7"/>
  <c r="AD21" i="7"/>
  <c r="AC21" i="7"/>
  <c r="AE21" i="7" s="1"/>
  <c r="AF21" i="7" s="1"/>
  <c r="G21" i="7"/>
  <c r="AD20" i="7"/>
  <c r="AC20" i="7"/>
  <c r="G20" i="7"/>
  <c r="AD19" i="7"/>
  <c r="AC19" i="7"/>
  <c r="G19" i="7"/>
  <c r="AD18" i="7"/>
  <c r="AC18" i="7"/>
  <c r="AG18" i="7" s="1"/>
  <c r="AH18" i="7" s="1"/>
  <c r="G18" i="7"/>
  <c r="AD17" i="7"/>
  <c r="AC17" i="7"/>
  <c r="AE17" i="7" s="1"/>
  <c r="AF17" i="7" s="1"/>
  <c r="I17" i="7"/>
  <c r="H17" i="7"/>
  <c r="J17" i="7" s="1"/>
  <c r="AD16" i="7"/>
  <c r="AC16" i="7"/>
  <c r="G16" i="7"/>
  <c r="AD15" i="7"/>
  <c r="AE15" i="7" s="1"/>
  <c r="AF15" i="7" s="1"/>
  <c r="AC15" i="7"/>
  <c r="G15" i="7"/>
  <c r="AD14" i="7"/>
  <c r="AC14" i="7"/>
  <c r="G14" i="7"/>
  <c r="AD13" i="7"/>
  <c r="AC13" i="7"/>
  <c r="I13" i="7"/>
  <c r="H13" i="7"/>
  <c r="J13" i="7" s="1"/>
  <c r="AD12" i="7"/>
  <c r="AC12" i="7"/>
  <c r="G12" i="7"/>
  <c r="AD11" i="7"/>
  <c r="AC11" i="7"/>
  <c r="AG11" i="7" s="1"/>
  <c r="AH11" i="7" s="1"/>
  <c r="I11" i="7"/>
  <c r="H11" i="7"/>
  <c r="J11" i="7" s="1"/>
  <c r="AD10" i="7"/>
  <c r="AC10" i="7"/>
  <c r="I10" i="7"/>
  <c r="H10" i="7"/>
  <c r="J10" i="7" s="1"/>
  <c r="AD9" i="7"/>
  <c r="AC9" i="7"/>
  <c r="I9" i="7"/>
  <c r="H9" i="7"/>
  <c r="J9" i="7" s="1"/>
  <c r="AD8" i="7"/>
  <c r="AC8" i="7"/>
  <c r="AG8" i="7" s="1"/>
  <c r="AH8" i="7" s="1"/>
  <c r="G8" i="7"/>
  <c r="AD7" i="7"/>
  <c r="AC7" i="7"/>
  <c r="G7" i="7"/>
  <c r="F7" i="7"/>
  <c r="E50" i="7" s="1"/>
  <c r="AD6" i="7"/>
  <c r="AC6" i="7"/>
  <c r="G6" i="7"/>
  <c r="AD5" i="7"/>
  <c r="AC5" i="7"/>
  <c r="I5" i="7"/>
  <c r="H5" i="7"/>
  <c r="J5" i="7" s="1"/>
  <c r="G1" i="7"/>
  <c r="M45" i="6"/>
  <c r="M46" i="6" s="1"/>
  <c r="M47" i="6" s="1"/>
  <c r="G1" i="6"/>
  <c r="I9" i="6"/>
  <c r="I10" i="6"/>
  <c r="I11" i="6"/>
  <c r="I13" i="6"/>
  <c r="I17" i="6"/>
  <c r="I28" i="6"/>
  <c r="I29" i="6"/>
  <c r="I5" i="6"/>
  <c r="H9" i="6"/>
  <c r="J9" i="6" s="1"/>
  <c r="H10" i="6"/>
  <c r="J10" i="6" s="1"/>
  <c r="H11" i="6"/>
  <c r="J11" i="6" s="1"/>
  <c r="H13" i="6"/>
  <c r="J13" i="6" s="1"/>
  <c r="H17" i="6"/>
  <c r="J17" i="6" s="1"/>
  <c r="H28" i="6"/>
  <c r="J28" i="6" s="1"/>
  <c r="H29" i="6"/>
  <c r="J29" i="6" s="1"/>
  <c r="H39" i="6"/>
  <c r="H5" i="6"/>
  <c r="J5" i="6" s="1"/>
  <c r="E59" i="6"/>
  <c r="M49" i="6" l="1"/>
  <c r="N49" i="6"/>
  <c r="I8" i="7"/>
  <c r="U8" i="7"/>
  <c r="I16" i="7"/>
  <c r="U16" i="7"/>
  <c r="I35" i="7"/>
  <c r="U35" i="7"/>
  <c r="H15" i="7"/>
  <c r="J15" i="7" s="1"/>
  <c r="U15" i="7"/>
  <c r="I20" i="7"/>
  <c r="U20" i="7"/>
  <c r="I24" i="7"/>
  <c r="U24" i="7"/>
  <c r="H30" i="7"/>
  <c r="J30" i="7" s="1"/>
  <c r="U30" i="7"/>
  <c r="H34" i="7"/>
  <c r="J34" i="7" s="1"/>
  <c r="U34" i="7"/>
  <c r="H38" i="7"/>
  <c r="J38" i="7" s="1"/>
  <c r="U38" i="7"/>
  <c r="I12" i="7"/>
  <c r="U12" i="7"/>
  <c r="I18" i="7"/>
  <c r="U18" i="7"/>
  <c r="I22" i="7"/>
  <c r="U22" i="7"/>
  <c r="I26" i="7"/>
  <c r="U26" i="7"/>
  <c r="H32" i="7"/>
  <c r="J32" i="7" s="1"/>
  <c r="U32" i="7"/>
  <c r="H36" i="7"/>
  <c r="J36" i="7" s="1"/>
  <c r="U36" i="7"/>
  <c r="I21" i="7"/>
  <c r="U21" i="7"/>
  <c r="I25" i="7"/>
  <c r="U25" i="7"/>
  <c r="I31" i="7"/>
  <c r="U31" i="7"/>
  <c r="I6" i="7"/>
  <c r="U6" i="7"/>
  <c r="H7" i="7"/>
  <c r="J7" i="7" s="1"/>
  <c r="U7" i="7"/>
  <c r="I14" i="7"/>
  <c r="U14" i="7"/>
  <c r="I19" i="7"/>
  <c r="U19" i="7"/>
  <c r="I23" i="7"/>
  <c r="U23" i="7"/>
  <c r="I27" i="7"/>
  <c r="U27" i="7"/>
  <c r="I33" i="7"/>
  <c r="U33" i="7"/>
  <c r="I37" i="7"/>
  <c r="U37" i="7"/>
  <c r="AG6" i="7"/>
  <c r="AH6" i="7" s="1"/>
  <c r="AG7" i="7"/>
  <c r="AH7" i="7" s="1"/>
  <c r="AE32" i="7"/>
  <c r="AF32" i="7" s="1"/>
  <c r="AE5" i="7"/>
  <c r="AF5" i="7" s="1"/>
  <c r="AG24" i="7"/>
  <c r="AH24" i="7" s="1"/>
  <c r="AG30" i="7"/>
  <c r="AH30" i="7" s="1"/>
  <c r="AG34" i="7"/>
  <c r="AH34" i="7" s="1"/>
  <c r="I41" i="7"/>
  <c r="AE7" i="7"/>
  <c r="AF7" i="7" s="1"/>
  <c r="AE23" i="7"/>
  <c r="AF23" i="7" s="1"/>
  <c r="AG29" i="7"/>
  <c r="AH29" i="7" s="1"/>
  <c r="AG37" i="7"/>
  <c r="AH37" i="7" s="1"/>
  <c r="AE13" i="7"/>
  <c r="AF13" i="7" s="1"/>
  <c r="AE36" i="7"/>
  <c r="AF36" i="7" s="1"/>
  <c r="H6" i="7"/>
  <c r="J6" i="7" s="1"/>
  <c r="AE10" i="7"/>
  <c r="AF10" i="7" s="1"/>
  <c r="H24" i="7"/>
  <c r="J24" i="7" s="1"/>
  <c r="H25" i="7"/>
  <c r="J25" i="7" s="1"/>
  <c r="AG26" i="7"/>
  <c r="AH26" i="7" s="1"/>
  <c r="AE28" i="7"/>
  <c r="AF28" i="7" s="1"/>
  <c r="AG32" i="7"/>
  <c r="AH32" i="7" s="1"/>
  <c r="AG33" i="7"/>
  <c r="AH33" i="7" s="1"/>
  <c r="I38" i="7"/>
  <c r="H22" i="7"/>
  <c r="J22" i="7" s="1"/>
  <c r="H27" i="7"/>
  <c r="J27" i="7" s="1"/>
  <c r="I15" i="7"/>
  <c r="H20" i="7"/>
  <c r="J20" i="7" s="1"/>
  <c r="AE30" i="7"/>
  <c r="AF30" i="7" s="1"/>
  <c r="AE34" i="7"/>
  <c r="AF34" i="7" s="1"/>
  <c r="E48" i="7"/>
  <c r="G48" i="7" s="1"/>
  <c r="H43" i="7"/>
  <c r="J43" i="7" s="1"/>
  <c r="I7" i="7"/>
  <c r="AE11" i="7"/>
  <c r="AF11" i="7" s="1"/>
  <c r="H26" i="7"/>
  <c r="J26" i="7" s="1"/>
  <c r="H31" i="7"/>
  <c r="J31" i="7" s="1"/>
  <c r="I32" i="7"/>
  <c r="H35" i="7"/>
  <c r="J35" i="7" s="1"/>
  <c r="I36" i="7"/>
  <c r="AE9" i="7"/>
  <c r="AF9" i="7" s="1"/>
  <c r="AG10" i="7"/>
  <c r="AH10" i="7" s="1"/>
  <c r="AE12" i="7"/>
  <c r="AF12" i="7" s="1"/>
  <c r="AG13" i="7"/>
  <c r="AH13" i="7" s="1"/>
  <c r="AG14" i="7"/>
  <c r="AH14" i="7" s="1"/>
  <c r="AG15" i="7"/>
  <c r="AH15" i="7" s="1"/>
  <c r="AE16" i="7"/>
  <c r="AF16" i="7" s="1"/>
  <c r="H18" i="7"/>
  <c r="J18" i="7" s="1"/>
  <c r="AE19" i="7"/>
  <c r="AF19" i="7" s="1"/>
  <c r="AG20" i="7"/>
  <c r="AH20" i="7" s="1"/>
  <c r="AE27" i="7"/>
  <c r="AF27" i="7" s="1"/>
  <c r="AG28" i="7"/>
  <c r="AH28" i="7" s="1"/>
  <c r="I30" i="7"/>
  <c r="H33" i="7"/>
  <c r="J33" i="7" s="1"/>
  <c r="I34" i="7"/>
  <c r="H37" i="7"/>
  <c r="J37" i="7" s="1"/>
  <c r="H42" i="7"/>
  <c r="J42" i="7" s="1"/>
  <c r="W49" i="7"/>
  <c r="V49" i="7"/>
  <c r="E49" i="7"/>
  <c r="G49" i="7" s="1"/>
  <c r="E54" i="7"/>
  <c r="E51" i="7"/>
  <c r="E52" i="7" s="1"/>
  <c r="I40" i="7"/>
  <c r="AG5" i="7"/>
  <c r="AH5" i="7" s="1"/>
  <c r="AE6" i="7"/>
  <c r="AF6" i="7" s="1"/>
  <c r="H8" i="7"/>
  <c r="J8" i="7" s="1"/>
  <c r="AG9" i="7"/>
  <c r="AH9" i="7" s="1"/>
  <c r="AG12" i="7"/>
  <c r="AH12" i="7" s="1"/>
  <c r="H14" i="7"/>
  <c r="J14" i="7" s="1"/>
  <c r="H16" i="7"/>
  <c r="J16" i="7" s="1"/>
  <c r="AG17" i="7"/>
  <c r="AH17" i="7" s="1"/>
  <c r="AE18" i="7"/>
  <c r="AF18" i="7" s="1"/>
  <c r="AG19" i="7"/>
  <c r="AH19" i="7" s="1"/>
  <c r="AE20" i="7"/>
  <c r="AF20" i="7" s="1"/>
  <c r="AG21" i="7"/>
  <c r="AH21" i="7" s="1"/>
  <c r="AE22" i="7"/>
  <c r="AF22" i="7" s="1"/>
  <c r="AG23" i="7"/>
  <c r="AH23" i="7" s="1"/>
  <c r="AE24" i="7"/>
  <c r="AF24" i="7" s="1"/>
  <c r="AG25" i="7"/>
  <c r="AH25" i="7" s="1"/>
  <c r="AE26" i="7"/>
  <c r="AF26" i="7" s="1"/>
  <c r="AG27" i="7"/>
  <c r="AH27" i="7" s="1"/>
  <c r="AE29" i="7"/>
  <c r="AF29" i="7" s="1"/>
  <c r="AE31" i="7"/>
  <c r="AF31" i="7" s="1"/>
  <c r="AE33" i="7"/>
  <c r="AF33" i="7" s="1"/>
  <c r="AE35" i="7"/>
  <c r="AF35" i="7" s="1"/>
  <c r="AE37" i="7"/>
  <c r="AF37" i="7" s="1"/>
  <c r="AG16" i="7"/>
  <c r="AH16" i="7" s="1"/>
  <c r="AE8" i="7"/>
  <c r="AF8" i="7" s="1"/>
  <c r="H12" i="7"/>
  <c r="J12" i="7" s="1"/>
  <c r="AE14" i="7"/>
  <c r="AF14" i="7" s="1"/>
  <c r="H19" i="7"/>
  <c r="J19" i="7" s="1"/>
  <c r="H21" i="7"/>
  <c r="J21" i="7" s="1"/>
  <c r="H23" i="7"/>
  <c r="J23" i="7" s="1"/>
  <c r="E47" i="6"/>
  <c r="G42" i="6"/>
  <c r="G43" i="6"/>
  <c r="G41" i="6"/>
  <c r="E60" i="7" l="1"/>
  <c r="E55" i="7"/>
  <c r="E56" i="7" s="1"/>
  <c r="H43" i="6"/>
  <c r="J43" i="6" s="1"/>
  <c r="I43" i="6"/>
  <c r="H42" i="6"/>
  <c r="J42" i="6" s="1"/>
  <c r="I42" i="6"/>
  <c r="H40" i="6"/>
  <c r="J40" i="6" s="1"/>
  <c r="I40" i="6"/>
  <c r="H41" i="6"/>
  <c r="J41" i="6" s="1"/>
  <c r="I41" i="6"/>
  <c r="G38" i="6" l="1"/>
  <c r="T33" i="6"/>
  <c r="U33" i="6"/>
  <c r="X33" i="6" s="1"/>
  <c r="Y33" i="6" s="1"/>
  <c r="T34" i="6"/>
  <c r="U34" i="6"/>
  <c r="T35" i="6"/>
  <c r="U35" i="6"/>
  <c r="T36" i="6"/>
  <c r="U36" i="6"/>
  <c r="T37" i="6"/>
  <c r="U37" i="6"/>
  <c r="G37" i="6"/>
  <c r="G36" i="6"/>
  <c r="G35" i="6"/>
  <c r="G34" i="6"/>
  <c r="G33" i="6"/>
  <c r="G32" i="6"/>
  <c r="T32" i="6"/>
  <c r="U32" i="6"/>
  <c r="G31" i="6"/>
  <c r="T31" i="6"/>
  <c r="U31" i="6"/>
  <c r="G30" i="6"/>
  <c r="T30" i="6"/>
  <c r="U30" i="6"/>
  <c r="T29" i="6"/>
  <c r="U29" i="6"/>
  <c r="T27" i="6"/>
  <c r="U27" i="6"/>
  <c r="T28" i="6"/>
  <c r="U28" i="6"/>
  <c r="G27" i="6"/>
  <c r="G26" i="6"/>
  <c r="T26" i="6"/>
  <c r="U26" i="6"/>
  <c r="G25" i="6"/>
  <c r="T25" i="6"/>
  <c r="U25" i="6"/>
  <c r="G24" i="6"/>
  <c r="T24" i="6"/>
  <c r="U24" i="6"/>
  <c r="G23" i="6"/>
  <c r="T23" i="6"/>
  <c r="U23" i="6"/>
  <c r="T21" i="6"/>
  <c r="U21" i="6"/>
  <c r="T22" i="6"/>
  <c r="U22" i="6"/>
  <c r="G22" i="6"/>
  <c r="G21" i="6"/>
  <c r="G20" i="6"/>
  <c r="T20" i="6"/>
  <c r="U20" i="6"/>
  <c r="T19" i="6"/>
  <c r="U19" i="6"/>
  <c r="G19" i="6"/>
  <c r="G18" i="6"/>
  <c r="T18" i="6"/>
  <c r="U18" i="6"/>
  <c r="T17" i="6"/>
  <c r="U17" i="6"/>
  <c r="G16" i="6"/>
  <c r="T16" i="6"/>
  <c r="U16" i="6"/>
  <c r="G15" i="6"/>
  <c r="T15" i="6"/>
  <c r="U15" i="6"/>
  <c r="T14" i="6"/>
  <c r="U14" i="6"/>
  <c r="G14" i="6"/>
  <c r="T13" i="6"/>
  <c r="U13" i="6"/>
  <c r="G12" i="6"/>
  <c r="T12" i="6"/>
  <c r="U12" i="6"/>
  <c r="T11" i="6"/>
  <c r="U11" i="6"/>
  <c r="T10" i="6"/>
  <c r="U10" i="6"/>
  <c r="T9" i="6"/>
  <c r="U9" i="6"/>
  <c r="G8" i="6"/>
  <c r="T8" i="6"/>
  <c r="U8" i="6"/>
  <c r="F7" i="6"/>
  <c r="G7" i="6"/>
  <c r="T7" i="6"/>
  <c r="U7" i="6"/>
  <c r="T6" i="6"/>
  <c r="U6" i="6"/>
  <c r="U5" i="6"/>
  <c r="T5" i="6"/>
  <c r="G6" i="6"/>
  <c r="L36" i="5"/>
  <c r="K36" i="5"/>
  <c r="I37" i="5"/>
  <c r="K37" i="5" s="1"/>
  <c r="L37" i="5" s="1"/>
  <c r="I38" i="5"/>
  <c r="K38" i="5" s="1"/>
  <c r="L38" i="5" s="1"/>
  <c r="I39" i="5"/>
  <c r="K39" i="5" s="1"/>
  <c r="L39" i="5" s="1"/>
  <c r="I40" i="5"/>
  <c r="K40" i="5" s="1"/>
  <c r="L40" i="5" s="1"/>
  <c r="I41" i="5"/>
  <c r="K41" i="5" s="1"/>
  <c r="L41" i="5" s="1"/>
  <c r="I42" i="5"/>
  <c r="K42" i="5" s="1"/>
  <c r="L42" i="5" s="1"/>
  <c r="I43" i="5"/>
  <c r="K43" i="5" s="1"/>
  <c r="L43" i="5" s="1"/>
  <c r="I44" i="5"/>
  <c r="K44" i="5" s="1"/>
  <c r="L44" i="5" s="1"/>
  <c r="I45" i="5"/>
  <c r="K45" i="5" s="1"/>
  <c r="L45" i="5" s="1"/>
  <c r="I46" i="5"/>
  <c r="K46" i="5" s="1"/>
  <c r="L46" i="5" s="1"/>
  <c r="I47" i="5"/>
  <c r="K47" i="5" s="1"/>
  <c r="L47" i="5" s="1"/>
  <c r="I48" i="5"/>
  <c r="K48" i="5" s="1"/>
  <c r="L48" i="5" s="1"/>
  <c r="I36" i="5"/>
  <c r="H7" i="6" l="1"/>
  <c r="J7" i="6" s="1"/>
  <c r="I7" i="6"/>
  <c r="H8" i="6"/>
  <c r="J8" i="6" s="1"/>
  <c r="I8" i="6"/>
  <c r="H14" i="6"/>
  <c r="J14" i="6" s="1"/>
  <c r="I14" i="6"/>
  <c r="H16" i="6"/>
  <c r="J16" i="6" s="1"/>
  <c r="I16" i="6"/>
  <c r="H21" i="6"/>
  <c r="J21" i="6" s="1"/>
  <c r="I21" i="6"/>
  <c r="H23" i="6"/>
  <c r="J23" i="6" s="1"/>
  <c r="I23" i="6"/>
  <c r="H30" i="6"/>
  <c r="J30" i="6" s="1"/>
  <c r="I30" i="6"/>
  <c r="H34" i="6"/>
  <c r="J34" i="6" s="1"/>
  <c r="I34" i="6"/>
  <c r="H6" i="6"/>
  <c r="J6" i="6" s="1"/>
  <c r="I6" i="6"/>
  <c r="E50" i="6"/>
  <c r="H12" i="6"/>
  <c r="J12" i="6" s="1"/>
  <c r="I12" i="6"/>
  <c r="H15" i="6"/>
  <c r="J15" i="6" s="1"/>
  <c r="I15" i="6"/>
  <c r="H18" i="6"/>
  <c r="J18" i="6" s="1"/>
  <c r="I18" i="6"/>
  <c r="H22" i="6"/>
  <c r="J22" i="6" s="1"/>
  <c r="I22" i="6"/>
  <c r="H26" i="6"/>
  <c r="J26" i="6" s="1"/>
  <c r="I26" i="6"/>
  <c r="H35" i="6"/>
  <c r="J35" i="6" s="1"/>
  <c r="I35" i="6"/>
  <c r="H19" i="6"/>
  <c r="J19" i="6" s="1"/>
  <c r="I19" i="6"/>
  <c r="H25" i="6"/>
  <c r="J25" i="6" s="1"/>
  <c r="I25" i="6"/>
  <c r="H27" i="6"/>
  <c r="J27" i="6" s="1"/>
  <c r="I27" i="6"/>
  <c r="H32" i="6"/>
  <c r="J32" i="6" s="1"/>
  <c r="I32" i="6"/>
  <c r="H36" i="6"/>
  <c r="J36" i="6" s="1"/>
  <c r="I36" i="6"/>
  <c r="H38" i="6"/>
  <c r="J38" i="6" s="1"/>
  <c r="I38" i="6"/>
  <c r="H20" i="6"/>
  <c r="J20" i="6" s="1"/>
  <c r="I20" i="6"/>
  <c r="H24" i="6"/>
  <c r="J24" i="6" s="1"/>
  <c r="I24" i="6"/>
  <c r="H31" i="6"/>
  <c r="J31" i="6" s="1"/>
  <c r="I31" i="6"/>
  <c r="H33" i="6"/>
  <c r="J33" i="6" s="1"/>
  <c r="I33" i="6"/>
  <c r="H37" i="6"/>
  <c r="J37" i="6" s="1"/>
  <c r="I37" i="6"/>
  <c r="X10" i="6"/>
  <c r="Y10" i="6" s="1"/>
  <c r="X18" i="6"/>
  <c r="Y18" i="6" s="1"/>
  <c r="X37" i="6"/>
  <c r="Y37" i="6" s="1"/>
  <c r="V17" i="6"/>
  <c r="W17" i="6" s="1"/>
  <c r="X36" i="6"/>
  <c r="Y36" i="6" s="1"/>
  <c r="X17" i="6"/>
  <c r="Y17" i="6" s="1"/>
  <c r="V22" i="6"/>
  <c r="W22" i="6" s="1"/>
  <c r="V5" i="6"/>
  <c r="W5" i="6" s="1"/>
  <c r="X21" i="6"/>
  <c r="Y21" i="6" s="1"/>
  <c r="X25" i="6"/>
  <c r="Y25" i="6" s="1"/>
  <c r="V9" i="6"/>
  <c r="W9" i="6" s="1"/>
  <c r="V35" i="6"/>
  <c r="W35" i="6" s="1"/>
  <c r="V19" i="6"/>
  <c r="W19" i="6" s="1"/>
  <c r="V32" i="6"/>
  <c r="W32" i="6" s="1"/>
  <c r="V33" i="6"/>
  <c r="W33" i="6" s="1"/>
  <c r="V13" i="6"/>
  <c r="W13" i="6" s="1"/>
  <c r="X26" i="6"/>
  <c r="Y26" i="6" s="1"/>
  <c r="V30" i="6"/>
  <c r="W30" i="6" s="1"/>
  <c r="X35" i="6"/>
  <c r="Y35" i="6" s="1"/>
  <c r="V7" i="6"/>
  <c r="W7" i="6" s="1"/>
  <c r="V27" i="6"/>
  <c r="W27" i="6" s="1"/>
  <c r="V31" i="6"/>
  <c r="W31" i="6" s="1"/>
  <c r="X11" i="6"/>
  <c r="Y11" i="6" s="1"/>
  <c r="X15" i="6"/>
  <c r="Y15" i="6" s="1"/>
  <c r="X23" i="6"/>
  <c r="Y23" i="6" s="1"/>
  <c r="X27" i="6"/>
  <c r="Y27" i="6" s="1"/>
  <c r="X29" i="6"/>
  <c r="Y29" i="6" s="1"/>
  <c r="X32" i="6"/>
  <c r="Y32" i="6" s="1"/>
  <c r="V37" i="6"/>
  <c r="W37" i="6" s="1"/>
  <c r="V34" i="6"/>
  <c r="W34" i="6" s="1"/>
  <c r="X13" i="6"/>
  <c r="Y13" i="6" s="1"/>
  <c r="V15" i="6"/>
  <c r="W15" i="6" s="1"/>
  <c r="V28" i="6"/>
  <c r="W28" i="6" s="1"/>
  <c r="X31" i="6"/>
  <c r="Y31" i="6" s="1"/>
  <c r="E48" i="6"/>
  <c r="E49" i="6" s="1"/>
  <c r="V8" i="6"/>
  <c r="W8" i="6" s="1"/>
  <c r="V11" i="6"/>
  <c r="W11" i="6" s="1"/>
  <c r="V14" i="6"/>
  <c r="W14" i="6" s="1"/>
  <c r="X19" i="6"/>
  <c r="Y19" i="6" s="1"/>
  <c r="X22" i="6"/>
  <c r="Y22" i="6" s="1"/>
  <c r="V21" i="6"/>
  <c r="W21" i="6" s="1"/>
  <c r="V23" i="6"/>
  <c r="W23" i="6" s="1"/>
  <c r="V24" i="6"/>
  <c r="W24" i="6" s="1"/>
  <c r="V25" i="6"/>
  <c r="W25" i="6" s="1"/>
  <c r="X34" i="6"/>
  <c r="Y34" i="6" s="1"/>
  <c r="X8" i="6"/>
  <c r="Y8" i="6" s="1"/>
  <c r="X12" i="6"/>
  <c r="Y12" i="6" s="1"/>
  <c r="V18" i="6"/>
  <c r="W18" i="6" s="1"/>
  <c r="V29" i="6"/>
  <c r="W29" i="6" s="1"/>
  <c r="V36" i="6"/>
  <c r="W36" i="6" s="1"/>
  <c r="X30" i="6"/>
  <c r="Y30" i="6" s="1"/>
  <c r="X28" i="6"/>
  <c r="Y28" i="6" s="1"/>
  <c r="V26" i="6"/>
  <c r="W26" i="6" s="1"/>
  <c r="X24" i="6"/>
  <c r="Y24" i="6" s="1"/>
  <c r="V20" i="6"/>
  <c r="W20" i="6" s="1"/>
  <c r="X20" i="6"/>
  <c r="Y20" i="6" s="1"/>
  <c r="V16" i="6"/>
  <c r="W16" i="6" s="1"/>
  <c r="X16" i="6"/>
  <c r="Y16" i="6" s="1"/>
  <c r="X14" i="6"/>
  <c r="Y14" i="6" s="1"/>
  <c r="V12" i="6"/>
  <c r="W12" i="6" s="1"/>
  <c r="V6" i="6"/>
  <c r="W6" i="6" s="1"/>
  <c r="X7" i="6"/>
  <c r="Y7" i="6" s="1"/>
  <c r="X9" i="6"/>
  <c r="Y9" i="6" s="1"/>
  <c r="V10" i="6"/>
  <c r="W10" i="6" s="1"/>
  <c r="X6" i="6"/>
  <c r="Y6" i="6" s="1"/>
  <c r="X5" i="6"/>
  <c r="Y5" i="6" s="1"/>
  <c r="I49" i="5"/>
  <c r="E54" i="6" l="1"/>
  <c r="E51" i="6"/>
  <c r="E52" i="6" s="1"/>
  <c r="E60" i="6"/>
  <c r="E55" i="6"/>
  <c r="E56" i="6" s="1"/>
  <c r="G49" i="6"/>
  <c r="G48" i="6"/>
  <c r="T11" i="5"/>
  <c r="T12" i="5"/>
  <c r="T13" i="5"/>
  <c r="T14" i="5"/>
  <c r="T15" i="5"/>
  <c r="T16" i="5"/>
  <c r="T17" i="5"/>
  <c r="T18" i="5"/>
  <c r="T19" i="5"/>
  <c r="T20" i="5"/>
  <c r="T21" i="5"/>
  <c r="T22" i="5"/>
  <c r="T23" i="5"/>
  <c r="T24" i="5"/>
  <c r="T25" i="5"/>
  <c r="T26" i="5"/>
  <c r="T27" i="5"/>
  <c r="T28" i="5"/>
  <c r="T29" i="5"/>
  <c r="T10" i="5"/>
  <c r="W22" i="5"/>
  <c r="W23" i="5"/>
  <c r="W24" i="5"/>
  <c r="W25" i="5"/>
  <c r="W26" i="5"/>
  <c r="W27" i="5"/>
  <c r="W28" i="5"/>
  <c r="W21" i="5" l="1"/>
  <c r="W20" i="5"/>
  <c r="M18" i="4"/>
  <c r="W18" i="5"/>
  <c r="W17" i="5"/>
  <c r="W16" i="5"/>
  <c r="W15" i="5"/>
  <c r="W14" i="5"/>
  <c r="W11" i="5"/>
  <c r="U19" i="5"/>
  <c r="W19" i="5" s="1"/>
  <c r="U13" i="5"/>
  <c r="W13" i="5" s="1"/>
  <c r="U12" i="5"/>
  <c r="W12" i="5" s="1"/>
  <c r="U10" i="5"/>
  <c r="W10" i="5" s="1"/>
  <c r="V122" i="4"/>
  <c r="U122" i="4"/>
  <c r="V121" i="4"/>
  <c r="U121" i="4"/>
  <c r="V120" i="4"/>
  <c r="U120" i="4"/>
  <c r="V119" i="4"/>
  <c r="U119" i="4"/>
  <c r="V118" i="4"/>
  <c r="U118" i="4"/>
  <c r="V117" i="4"/>
  <c r="U117" i="4"/>
  <c r="V113" i="4"/>
  <c r="U113" i="4"/>
  <c r="V112" i="4"/>
  <c r="U112" i="4"/>
  <c r="V111" i="4"/>
  <c r="U111" i="4"/>
  <c r="V110" i="4"/>
  <c r="U110" i="4"/>
  <c r="V109" i="4"/>
  <c r="U109" i="4"/>
  <c r="V108" i="4"/>
  <c r="U108" i="4"/>
  <c r="T87" i="4"/>
  <c r="U87" i="4" s="1"/>
  <c r="R87" i="4"/>
  <c r="S87" i="4" s="1"/>
  <c r="T86" i="4"/>
  <c r="R86" i="4"/>
  <c r="S84" i="4" s="1"/>
  <c r="T84" i="4"/>
  <c r="U84" i="4" s="1"/>
  <c r="T83" i="4"/>
  <c r="U83" i="4" s="1"/>
  <c r="R83" i="4"/>
  <c r="S83" i="4" s="1"/>
  <c r="T82" i="4"/>
  <c r="U82" i="4" s="1"/>
  <c r="R82" i="4"/>
  <c r="S82" i="4" s="1"/>
  <c r="T81" i="4"/>
  <c r="U81" i="4" s="1"/>
  <c r="R81" i="4"/>
  <c r="S81" i="4" s="1"/>
  <c r="U80" i="4"/>
  <c r="S80" i="4"/>
  <c r="R80" i="4"/>
  <c r="T79" i="4"/>
  <c r="U79" i="4" s="1"/>
  <c r="S79" i="4"/>
  <c r="R79" i="4"/>
  <c r="T78" i="4"/>
  <c r="U78" i="4" s="1"/>
  <c r="S78" i="4"/>
  <c r="R78" i="4"/>
  <c r="T77" i="4"/>
  <c r="U77" i="4" s="1"/>
  <c r="S77" i="4"/>
  <c r="R77" i="4"/>
  <c r="R85" i="4" s="1"/>
  <c r="S85" i="4" s="1"/>
  <c r="T72" i="4"/>
  <c r="U68" i="4" s="1"/>
  <c r="R71" i="4"/>
  <c r="R72" i="4" s="1"/>
  <c r="T70" i="4"/>
  <c r="U70" i="4" s="1"/>
  <c r="T69" i="4"/>
  <c r="U69" i="4" s="1"/>
  <c r="L69" i="4"/>
  <c r="T68" i="4"/>
  <c r="L61" i="4"/>
  <c r="R48" i="4"/>
  <c r="R47" i="4"/>
  <c r="R46" i="4"/>
  <c r="R45" i="4"/>
  <c r="R49" i="4" s="1"/>
  <c r="T62" i="4"/>
  <c r="R62" i="4"/>
  <c r="T19" i="4"/>
  <c r="S19" i="4"/>
  <c r="T18" i="4"/>
  <c r="N84" i="4" s="1"/>
  <c r="O84" i="4" s="1"/>
  <c r="S18" i="4"/>
  <c r="L84" i="4" s="1"/>
  <c r="N61" i="4"/>
  <c r="T17" i="4"/>
  <c r="N17" i="4"/>
  <c r="S17" i="4"/>
  <c r="T16" i="4"/>
  <c r="S16" i="4"/>
  <c r="T15" i="4"/>
  <c r="S15" i="4"/>
  <c r="T14" i="4"/>
  <c r="N60" i="4"/>
  <c r="L60" i="4"/>
  <c r="T13" i="4"/>
  <c r="N82" i="4" s="1"/>
  <c r="O82" i="4" s="1"/>
  <c r="N59" i="4"/>
  <c r="S13" i="4"/>
  <c r="L82" i="4" s="1"/>
  <c r="T12" i="4"/>
  <c r="N81" i="4" s="1"/>
  <c r="O81" i="4" s="1"/>
  <c r="N58" i="4"/>
  <c r="L58" i="4"/>
  <c r="T11" i="4"/>
  <c r="N80" i="4" s="1"/>
  <c r="O80" i="4" s="1"/>
  <c r="N57" i="4"/>
  <c r="L57" i="4"/>
  <c r="T10" i="4"/>
  <c r="N79" i="4" s="1"/>
  <c r="O79" i="4" s="1"/>
  <c r="N56" i="4"/>
  <c r="L56" i="4"/>
  <c r="T9" i="4"/>
  <c r="N78" i="4" s="1"/>
  <c r="O78" i="4" s="1"/>
  <c r="N9" i="4"/>
  <c r="N55" i="4"/>
  <c r="L68" i="4"/>
  <c r="T8" i="4"/>
  <c r="N8" i="4"/>
  <c r="S8" i="4"/>
  <c r="T7" i="4"/>
  <c r="S7" i="4"/>
  <c r="N7" i="4"/>
  <c r="N70" i="4"/>
  <c r="T6" i="4"/>
  <c r="S6" i="4"/>
  <c r="T5" i="4"/>
  <c r="N77" i="4" s="1"/>
  <c r="N5" i="4"/>
  <c r="L54" i="4"/>
  <c r="N88" i="4"/>
  <c r="O88" i="4" s="1"/>
  <c r="N83" i="4" l="1"/>
  <c r="O83" i="4" s="1"/>
  <c r="T63" i="4"/>
  <c r="S48" i="4"/>
  <c r="S47" i="4"/>
  <c r="S46" i="4"/>
  <c r="S45" i="4"/>
  <c r="R63" i="4"/>
  <c r="S68" i="4"/>
  <c r="S69" i="4"/>
  <c r="S71" i="4"/>
  <c r="S70" i="4"/>
  <c r="K5" i="4" a="1"/>
  <c r="S10" i="4"/>
  <c r="L79" i="4" s="1"/>
  <c r="S11" i="4"/>
  <c r="L80" i="4" s="1"/>
  <c r="N69" i="4"/>
  <c r="T85" i="4"/>
  <c r="U85" i="4" s="1"/>
  <c r="N86" i="4"/>
  <c r="O86" i="4" s="1"/>
  <c r="S5" i="4"/>
  <c r="S12" i="4"/>
  <c r="L81" i="4" s="1"/>
  <c r="L4" i="4"/>
  <c r="S9" i="4"/>
  <c r="L78" i="4" s="1"/>
  <c r="S14" i="4"/>
  <c r="L83" i="4" s="1"/>
  <c r="N54" i="4"/>
  <c r="L55" i="4"/>
  <c r="L62" i="4" s="1"/>
  <c r="L59" i="4"/>
  <c r="N68" i="4"/>
  <c r="L70" i="4"/>
  <c r="T71" i="4"/>
  <c r="U71" i="4" s="1"/>
  <c r="U72" i="4" s="1"/>
  <c r="N87" i="4"/>
  <c r="O87" i="4" s="1"/>
  <c r="K14" i="4" a="1"/>
  <c r="L87" i="4" l="1"/>
  <c r="M87" i="4" s="1"/>
  <c r="M61" i="4"/>
  <c r="M56" i="4"/>
  <c r="M58" i="4"/>
  <c r="M57" i="4"/>
  <c r="M54" i="4"/>
  <c r="M60" i="4"/>
  <c r="S60" i="4"/>
  <c r="S58" i="4"/>
  <c r="S56" i="4"/>
  <c r="S54" i="4"/>
  <c r="S61" i="4"/>
  <c r="S59" i="4"/>
  <c r="S57" i="4"/>
  <c r="S55" i="4"/>
  <c r="U61" i="4"/>
  <c r="U59" i="4"/>
  <c r="U57" i="4"/>
  <c r="U55" i="4"/>
  <c r="U60" i="4"/>
  <c r="U58" i="4"/>
  <c r="U56" i="4"/>
  <c r="U54" i="4"/>
  <c r="K14" i="4"/>
  <c r="N62" i="4"/>
  <c r="L5" i="4" a="1"/>
  <c r="L5" i="4" s="1"/>
  <c r="L14" i="4" a="1"/>
  <c r="L14" i="4" s="1"/>
  <c r="N71" i="4"/>
  <c r="O70" i="4" s="1"/>
  <c r="L71" i="4"/>
  <c r="U62" i="4"/>
  <c r="M10" i="4"/>
  <c r="O10" i="4" s="1"/>
  <c r="K5" i="4"/>
  <c r="S72" i="4"/>
  <c r="M59" i="4"/>
  <c r="L86" i="4"/>
  <c r="M79" i="4" s="1"/>
  <c r="L77" i="4"/>
  <c r="M77" i="4" s="1"/>
  <c r="M55" i="4"/>
  <c r="L88" i="4"/>
  <c r="M88" i="4" s="1"/>
  <c r="S62" i="4"/>
  <c r="S49" i="4"/>
  <c r="O77" i="4"/>
  <c r="O69" i="4" l="1"/>
  <c r="M8" i="4"/>
  <c r="O8" i="4" s="1"/>
  <c r="O68" i="4"/>
  <c r="M86" i="4"/>
  <c r="M84" i="4"/>
  <c r="M82" i="4"/>
  <c r="M13" i="4"/>
  <c r="O13" i="4" s="1"/>
  <c r="M12" i="4"/>
  <c r="O12" i="4" s="1"/>
  <c r="M11" i="4"/>
  <c r="O11" i="4" s="1"/>
  <c r="M81" i="4"/>
  <c r="M78" i="4"/>
  <c r="M83" i="4"/>
  <c r="M6" i="4"/>
  <c r="O6" i="4" s="1"/>
  <c r="M7" i="4"/>
  <c r="O7" i="4" s="1"/>
  <c r="O71" i="4"/>
  <c r="O57" i="4"/>
  <c r="O60" i="4"/>
  <c r="O59" i="4"/>
  <c r="O58" i="4"/>
  <c r="O61" i="4"/>
  <c r="O55" i="4"/>
  <c r="O56" i="4"/>
  <c r="M16" i="4"/>
  <c r="O16" i="4" s="1"/>
  <c r="U63" i="4"/>
  <c r="S63" i="4"/>
  <c r="M80" i="4"/>
  <c r="M5" i="4"/>
  <c r="M9" i="4"/>
  <c r="O9" i="4" s="1"/>
  <c r="M69" i="4"/>
  <c r="M68" i="4"/>
  <c r="O54" i="4"/>
  <c r="M19" i="4"/>
  <c r="M70" i="4"/>
  <c r="M15" i="4"/>
  <c r="O15" i="4" s="1"/>
  <c r="M14" i="4"/>
  <c r="O14" i="4" s="1"/>
  <c r="M17" i="4"/>
  <c r="O17" i="4" s="1"/>
  <c r="M62" i="4"/>
  <c r="J25" i="3"/>
  <c r="C25" i="3"/>
  <c r="J24" i="3"/>
  <c r="C24" i="3"/>
  <c r="H15" i="2"/>
  <c r="H14" i="2"/>
  <c r="H12" i="2"/>
  <c r="H11" i="2"/>
  <c r="C29" i="2" s="1"/>
  <c r="H10" i="2"/>
  <c r="H8" i="2"/>
  <c r="H7" i="2"/>
  <c r="H6" i="2"/>
  <c r="C30" i="2" s="1"/>
  <c r="O62" i="4" l="1"/>
  <c r="L24" i="4"/>
  <c r="L23" i="4"/>
  <c r="O5" i="4"/>
  <c r="L22" i="4"/>
  <c r="M71" i="4"/>
  <c r="O19" i="4"/>
  <c r="O18" i="4"/>
  <c r="L25" i="4" l="1"/>
  <c r="L48" i="4"/>
  <c r="L47" i="4"/>
  <c r="L46" i="4"/>
  <c r="L45" i="4"/>
  <c r="L49" i="4" l="1"/>
  <c r="M45" i="4" s="1"/>
  <c r="M48" i="4" l="1"/>
  <c r="M47" i="4"/>
  <c r="M46" i="4"/>
  <c r="M49"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tc={B5DC5291-6A6D-48C7-A6C7-D48CFE382A60}</author>
    <author>tc={554B21F3-EFB7-49C5-962B-7A8B26EF7170}</author>
    <author>tc={8A7D8302-9A73-4C71-B1C6-4B3DCE14D226}</author>
    <author>tc={EC31951F-36DB-4BB9-889B-66C815AE699D}</author>
    <author>tc={0366A16D-EEAC-403F-96A9-4310780EA050}</author>
    <author>tc={4262ED9D-7D4D-4979-A886-69ABD815975C}</author>
    <author>tc={D776B7B1-62B5-4346-9580-94152522D5BD}</author>
    <author>tc={BA761599-396A-49D5-AA6D-4BC19FBDF2BD}</author>
    <author>tc={E320C1C6-DE32-49A6-870A-0918B7BE0E85}</author>
    <author>tc={21204627-F6DC-4143-9567-33068CB8C7FA}</author>
    <author>tc={9873AE17-3FF6-4804-B27E-E3E701DD8B0C}</author>
    <author>tc={56DB3520-C5F7-4FA4-B4D9-82B6B2808C68}</author>
    <author>tc={91993813-061C-47E7-A3AB-2463BC6DB191}</author>
    <author>tc={10EC9C8E-F434-45E3-B814-D8578688DD09}</author>
    <author>tc={2E6F47D5-070C-44D3-BAB1-67ADAE18466B}</author>
    <author>tc={0023FFC6-039A-46E8-8E63-6F287132D253}</author>
    <author>tc={70A75F81-4CAB-4384-A689-206C8CFA0516}</author>
    <author>tc={99DC78EC-4683-44A1-AD26-041BE706B124}</author>
    <author>tc={CD64E6C6-5474-4A71-9BAB-A199E58F34DC}</author>
    <author>tc={D2921E57-2D44-4B35-989E-5AA00252E3C8}</author>
    <author>tc={1371A6D2-3AC0-4404-BBF4-3F45CF4B722B}</author>
    <author>tc={7AF6FB8E-74D6-4C88-BA41-503CE35E7727}</author>
    <author>tc={4D46370C-7FFD-4489-9A9B-2DC1439F982E}</author>
  </authors>
  <commentList>
    <comment ref="P3" authorId="0" shapeId="0" xr:uid="{B5DC5291-6A6D-48C7-A6C7-D48CFE382A60}">
      <text>
        <t>[Comentario encadenado]
Su versión de Excel le permite leer este comentario encadenado; sin embargo, las ediciones que se apliquen se quitarán si el archivo se abre en una versión más reciente de Excel. Más información: https://go.microsoft.com/fwlink/?linkid=870924
Comentario:
    BP is Beam Pump, PCP is Progressive Cavity Pump, ESP is Electrical Submersible Pump</t>
      </text>
    </comment>
    <comment ref="Q3" authorId="1" shapeId="0" xr:uid="{554B21F3-EFB7-49C5-962B-7A8B26EF7170}">
      <text>
        <t>[Comentario encadenado]
Su versión de Excel le permite leer este comentario encadenado; sin embargo, las ediciones que se apliquen se quitarán si el archivo se abre en una versión más reciente de Excel. Más información: https://go.microsoft.com/fwlink/?linkid=870924
Comentario:
    WI is Water Injection; GI is Gas Injection</t>
      </text>
    </comment>
    <comment ref="R3" authorId="2" shapeId="0" xr:uid="{8A7D8302-9A73-4C71-B1C6-4B3DCE14D226}">
      <text>
        <t>[Comentario encadenado]
Su versión de Excel le permite leer este comentario encadenado; sin embargo, las ediciones que se apliquen se quitarán si el archivo se abre en una versión más reciente de Excel. Más información: https://go.microsoft.com/fwlink/?linkid=870924
Comentario:
    SI is Steam Injection; AI is Air Injection; CHI is Chemical Inyection (includes Polymer and/or surfractant injection); nnI is Nanofluids Inections; NI is Nitrogen Injection; SAG is surfractang alternative gas</t>
      </text>
    </comment>
    <comment ref="Q43" authorId="3" shapeId="0" xr:uid="{EC31951F-36DB-4BB9-889B-66C815AE699D}">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ANH (https://www.anh.gov.co/documents/4172/Cuencas_Sedimentarias_de_Colombia_PDF.pdf)</t>
      </text>
    </comment>
    <comment ref="Q66" authorId="4" shapeId="0" xr:uid="{0366A16D-EEAC-403F-96A9-4310780EA05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Upstream Characterization UPME (2021)</t>
      </text>
    </comment>
    <comment ref="T72" authorId="5" shapeId="0" xr:uid="{4262ED9D-7D4D-4979-A886-69ABD815975C}">
      <text>
        <t>[Comentario encadenado]
Su versión de Excel le permite leer este comentario encadenado; sin embargo, las ediciones que se apliquen se quitarán si el archivo se abre en una versión más reciente de Excel. Más información: https://go.microsoft.com/fwlink/?linkid=870924
Comentario:
    ANH use to report de fiscalized gas that includes:  Gas lift + Reinjected gas + Gas to plant + transformed gas + gas to gaseoduct.
In 2018 the fiscalized gas production was 2253 Mscf/d, but the commercialized gas production was 1050 Mscf/d.
in 2010 the commercialized gas was 1040 Mscf/d.
Respuesta:
    https://www.valoraanalitik.com/2019/01/16/colombia-cerro-el-2018-con-record-en-produccion-de-gas-y-petroleo/</t>
      </text>
    </comment>
    <comment ref="R76" authorId="6" shapeId="0" xr:uid="{D776B7B1-62B5-4346-9580-94152522D5BD}">
      <text>
        <t>[Comentario encadenado]
Su versión de Excel le permite leer este comentario encadenado; sin embargo, las ediciones que se apliquen se quitarán si el archivo se abre en una versión más reciente de Excel. Más información: https://go.microsoft.com/fwlink/?linkid=870924
Comentario:
    Data from ANH report: Reserves 2018</t>
      </text>
    </comment>
    <comment ref="T77" authorId="7" shapeId="0" xr:uid="{BA761599-396A-49D5-AA6D-4BC19FBDF2BD}">
      <text>
        <t>[Comentario encadenado]
Su versión de Excel le permite leer este comentario encadenado; sin embargo, las ediciones que se apliquen se quitarán si el archivo se abre en una versión más reciente de Excel. Más información: https://go.microsoft.com/fwlink/?linkid=870924
Comentario:
    Chichimene + Apiay + 10 oilfields</t>
      </text>
    </comment>
    <comment ref="R78" authorId="8" shapeId="0" xr:uid="{E320C1C6-DE32-49A6-870A-0918B7BE0E85}">
      <text>
        <t>[Comentario encadenado]
Su versión de Excel le permite leer este comentario encadenado; sin embargo, las ediciones que se apliquen se quitarán si el archivo se abre en una versión más reciente de Excel. Más información: https://go.microsoft.com/fwlink/?linkid=870924
Comentario:
    Infantas + la Cira + Lisama + LLanito + Yarigui-Cantagallo</t>
      </text>
    </comment>
    <comment ref="T78" authorId="9" shapeId="0" xr:uid="{21204627-F6DC-4143-9567-33068CB8C7FA}">
      <text>
        <t>[Comentario encadenado]
Su versión de Excel le permite leer este comentario encadenado; sin embargo, las ediciones que se apliquen se quitarán si el archivo se abre en una versión más reciente de Excel. Más información: https://go.microsoft.com/fwlink/?linkid=870924
Comentario:
    Cira + Infantas + Yarigui-Cantagallo +12 oilfields</t>
      </text>
    </comment>
    <comment ref="R79" authorId="10" shapeId="0" xr:uid="{9873AE17-3FF6-4804-B27E-E3E701DD8B0C}">
      <text>
        <t>[Comentario encadenado]
Su versión de Excel le permite leer este comentario encadenado; sin embargo, las ediciones que se apliquen se quitarán si el archivo se abre en una versión más reciente de Excel. Más información: https://go.microsoft.com/fwlink/?linkid=870924
Comentario:
    Caño limon + 24 campos</t>
      </text>
    </comment>
    <comment ref="T79" authorId="11" shapeId="0" xr:uid="{56DB3520-C5F7-4FA4-B4D9-82B6B2808C68}">
      <text>
        <t>[Comentario encadenado]
Su versión de Excel le permite leer este comentario encadenado; sin embargo, las ediciones que se apliquen se quitarán si el archivo se abre en una versión más reciente de Excel. Más información: https://go.microsoft.com/fwlink/?linkid=870924
Comentario:
    Andina + Capachos</t>
      </text>
    </comment>
    <comment ref="R80" authorId="12" shapeId="0" xr:uid="{91993813-061C-47E7-A3AB-2463BC6DB191}">
      <text>
        <t>[Comentario encadenado]
Su versión de Excel le permite leer este comentario encadenado; sin embargo, las ediciones que se apliquen se quitarán si el archivo se abre en una versión más reciente de Excel. Más información: https://go.microsoft.com/fwlink/?linkid=870924
Comentario:
    Boquete + cicuco (Yarigui-Cantagallo is not considered as part of Bolivar Department but Santander)</t>
      </text>
    </comment>
    <comment ref="R81" authorId="13" shapeId="0" xr:uid="{10EC9C8E-F434-45E3-B814-D8578688DD09}">
      <text>
        <t>[Comentario encadenado]
Su versión de Excel le permite leer este comentario encadenado; sin embargo, las ediciones que se apliquen se quitarán si el archivo se abre en una versión más reciente de Excel. Más información: https://go.microsoft.com/fwlink/?linkid=870924
Comentario:
    Casabe + Nare + Peñas Blancas + Teca-Corcona</t>
      </text>
    </comment>
    <comment ref="T81" authorId="14" shapeId="0" xr:uid="{2E6F47D5-070C-44D3-BAB1-67ADAE18466B}">
      <text>
        <t>[Comentario encadenado]
Su versión de Excel le permite leer este comentario encadenado; sin embargo, las ediciones que se apliquen se quitarán si el archivo se abre en una versión más reciente de Excel. Más información: https://go.microsoft.com/fwlink/?linkid=870924
Comentario:
    Casabe + Peñas Blancas</t>
      </text>
    </comment>
    <comment ref="R82" authorId="15" shapeId="0" xr:uid="{0023FFC6-039A-46E8-8E63-6F287132D253}">
      <text>
        <t>[Comentario encadenado]
Su versión de Excel le permite leer este comentario encadenado; sin embargo, las ediciones que se apliquen se quitarán si el archivo se abre en una versión más reciente de Excel. Más información: https://go.microsoft.com/fwlink/?linkid=870924
Comentario:
    Gibraltar + Girasol + Moriche + Velasquez + 8 oilfields</t>
      </text>
    </comment>
    <comment ref="T82" authorId="16" shapeId="0" xr:uid="{70A75F81-4CAB-4384-A689-206C8CFA0516}">
      <text>
        <t>[Comentario encadenado]
Su versión de Excel le permite leer este comentario encadenado; sin embargo, las ediciones que se apliquen se quitarán si el archivo se abre en una versión más reciente de Excel. Más información: https://go.microsoft.com/fwlink/?linkid=870924
Comentario:
    Gibraltar + 5 gasfields</t>
      </text>
    </comment>
    <comment ref="T83" authorId="17" shapeId="0" xr:uid="{99DC78EC-4683-44A1-AD26-041BE706B124}">
      <text>
        <t>[Comentario encadenado]
Su versión de Excel le permite leer este comentario encadenado; sin embargo, las ediciones que se apliquen se quitarán si el archivo se abre en una versión más reciente de Excel. Más información: https://go.microsoft.com/fwlink/?linkid=870924
Comentario:
    Cupiagua + Cusiana + Pauto + 9 gasfields</t>
      </text>
    </comment>
    <comment ref="T84" authorId="18" shapeId="0" xr:uid="{CD64E6C6-5474-4A71-9BAB-A199E58F34DC}">
      <text>
        <t>[Comentario encadenado]
Su versión de Excel le permite leer este comentario encadenado; sin embargo, las ediciones que se apliquen se quitarán si el archivo se abre en una versión más reciente de Excel. Más información: https://go.microsoft.com/fwlink/?linkid=870924
Comentario:
    Ballena + Chuchupa</t>
      </text>
    </comment>
    <comment ref="R87" authorId="19" shapeId="0" xr:uid="{D2921E57-2D44-4B35-989E-5AA00252E3C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https://nuevoportal.ecopetrol.com.co/wps/portal/ecopetrol-web/nuestra-empresa/sala-de-prensa/boletines-de-prensa/boletines-2019/boletines-2018/Grupo%20Ecopetrol%20incremento%20sus%20reservas%20probadas%20de%20hidrocarburos%20al%20cierre%20de%202018</t>
      </text>
    </comment>
    <comment ref="T87" authorId="20" shapeId="0" xr:uid="{1371A6D2-3AC0-4404-BBF4-3F45CF4B722B}">
      <text>
        <t>[Comentario encadenado]
Su versión de Excel le permite leer este comentario encadenado; sin embargo, las ediciones que se apliquen se quitarán si el archivo se abre en una versión más reciente de Excel. Más información: https://go.microsoft.com/fwlink/?linkid=870924
Comentario:
    1 Equivalent oil barrel is about 5800 scf</t>
      </text>
    </comment>
    <comment ref="R97" authorId="21" shapeId="0" xr:uid="{7AF6FB8E-74D6-4C88-BA41-503CE35E772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https://nuevoportal.ecopetrol.com.co/wps/portal/ecopetrol-web/nuestra-empresa/sala-de-prensa/boletines-de-prensa/boletines-2019/boletines-2018/Grupo%20Ecopetrol%20incremento%20sus%20reservas%20probadas%20de%20hidrocarburos%20al%20cierre%20de%202018</t>
      </text>
    </comment>
    <comment ref="Q104" authorId="22" shapeId="0" xr:uid="{4D46370C-7FFD-4489-9A9B-2DC1439F982E}">
      <text>
        <t>[Comentario encadenado]
Su versión de Excel le permite leer este comentario encadenado; sin embargo, las ediciones que se apliquen se quitarán si el archivo se abre en una versión más reciente de Excel. Más información: https://go.microsoft.com/fwlink/?linkid=870924
Comentario:
    Boletin Estadistico UPME 2016-2020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U22" authorId="0" shapeId="0" xr:uid="{9A7E7D35-8E04-4306-B9E3-CEF0D97B40FA}">
      <text>
        <r>
          <rPr>
            <b/>
            <sz val="9"/>
            <color indexed="81"/>
            <rFont val="Tahoma"/>
            <family val="2"/>
          </rPr>
          <t>JULIAN:</t>
        </r>
        <r>
          <rPr>
            <sz val="9"/>
            <color indexed="81"/>
            <rFont val="Tahoma"/>
            <family val="2"/>
          </rPr>
          <t xml:space="preserve">
spe-171080-ms</t>
        </r>
      </text>
    </comment>
    <comment ref="U23" authorId="0" shapeId="0" xr:uid="{DEED395F-1D1B-424C-A1A8-2483B506D4A8}">
      <text>
        <r>
          <rPr>
            <b/>
            <sz val="9"/>
            <color indexed="81"/>
            <rFont val="Tahoma"/>
            <family val="2"/>
          </rPr>
          <t>JULIAN:</t>
        </r>
        <r>
          <rPr>
            <sz val="9"/>
            <color indexed="81"/>
            <rFont val="Tahoma"/>
            <family val="2"/>
          </rPr>
          <t xml:space="preserve">
spe-165273-ms</t>
        </r>
      </text>
    </comment>
    <comment ref="F24" authorId="0" shapeId="0" xr:uid="{3AEA3F1E-ACF2-42CF-9928-7D104AA72A5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U24" authorId="0" shapeId="0" xr:uid="{721FB5EC-A40A-4A58-9A4A-3D991283EEA3}">
      <text>
        <r>
          <rPr>
            <b/>
            <sz val="9"/>
            <color indexed="81"/>
            <rFont val="Tahoma"/>
            <family val="2"/>
          </rPr>
          <t>JULIAN:</t>
        </r>
        <r>
          <rPr>
            <sz val="9"/>
            <color indexed="81"/>
            <rFont val="Tahoma"/>
            <family val="2"/>
          </rPr>
          <t xml:space="preserve">
spe-138979-ms</t>
        </r>
      </text>
    </comment>
    <comment ref="U25" authorId="0" shapeId="0" xr:uid="{021120BA-4355-4767-B534-349B36E47141}">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U26" authorId="0" shapeId="0" xr:uid="{AB424C1A-019E-4FB3-9CA1-987A9D0ACC1F}">
      <text>
        <r>
          <rPr>
            <b/>
            <sz val="9"/>
            <color indexed="81"/>
            <rFont val="Tahoma"/>
            <family val="2"/>
          </rPr>
          <t>JULIAN:</t>
        </r>
        <r>
          <rPr>
            <sz val="9"/>
            <color indexed="81"/>
            <rFont val="Tahoma"/>
            <family val="2"/>
          </rPr>
          <t xml:space="preserve">
9-16 api</t>
        </r>
      </text>
    </comment>
    <comment ref="U27" authorId="0" shapeId="0" xr:uid="{03F48D67-635D-40EF-8147-C3E6BDC78A04}">
      <text>
        <r>
          <rPr>
            <b/>
            <sz val="9"/>
            <color indexed="81"/>
            <rFont val="Tahoma"/>
            <family val="2"/>
          </rPr>
          <t>JULIAN:</t>
        </r>
        <r>
          <rPr>
            <sz val="9"/>
            <color indexed="81"/>
            <rFont val="Tahoma"/>
            <family val="2"/>
          </rPr>
          <t xml:space="preserve">
Solo vapor.</t>
        </r>
      </text>
    </comment>
    <comment ref="U29" authorId="0" shapeId="0" xr:uid="{8FF7CB05-762A-4817-8177-C646D05EFBD9}">
      <text>
        <r>
          <rPr>
            <b/>
            <sz val="9"/>
            <color indexed="81"/>
            <rFont val="Tahoma"/>
            <family val="2"/>
          </rPr>
          <t>JULIAN:</t>
        </r>
        <r>
          <rPr>
            <sz val="9"/>
            <color indexed="81"/>
            <rFont val="Tahoma"/>
            <family val="2"/>
          </rPr>
          <t xml:space="preserve">
http://www.scielo.org.co/scielo.php?script=sci_arttext&amp;pid=S0122-53832001000100009
Usa gas lift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1272EF-5D77-4F82-AF39-0C76AD9EB519}" keepAlive="1" name="Consulta - Akacias_" description="Conexión a la consulta 'Akacias_' en el libro." type="5" refreshedVersion="8" background="1" saveData="1">
    <dbPr connection="Provider=Microsoft.Mashup.OleDb.1;Data Source=$Workbook$;Location=Akacias_;Extended Properties=&quot;&quot;" command="SELECT * FROM [Akacias_]"/>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1">
    <bk>
      <extLst>
        <ext uri="{3e2802c4-a4d2-4d8b-9148-e3be6c30e623}">
          <xlrd:rvb i="0"/>
        </ext>
      </extLst>
    </bk>
    <bk>
      <extLst>
        <ext uri="{3e2802c4-a4d2-4d8b-9148-e3be6c30e623}">
          <xlrd:rvb i="10"/>
        </ext>
      </extLst>
    </bk>
    <bk>
      <extLst>
        <ext uri="{3e2802c4-a4d2-4d8b-9148-e3be6c30e623}">
          <xlrd:rvb i="18"/>
        </ext>
      </extLst>
    </bk>
    <bk>
      <extLst>
        <ext uri="{3e2802c4-a4d2-4d8b-9148-e3be6c30e623}">
          <xlrd:rvb i="26"/>
        </ext>
      </extLst>
    </bk>
    <bk>
      <extLst>
        <ext uri="{3e2802c4-a4d2-4d8b-9148-e3be6c30e623}">
          <xlrd:rvb i="35"/>
        </ext>
      </extLst>
    </bk>
    <bk>
      <extLst>
        <ext uri="{3e2802c4-a4d2-4d8b-9148-e3be6c30e623}">
          <xlrd:rvb i="44"/>
        </ext>
      </extLst>
    </bk>
    <bk>
      <extLst>
        <ext uri="{3e2802c4-a4d2-4d8b-9148-e3be6c30e623}">
          <xlrd:rvb i="52"/>
        </ext>
      </extLst>
    </bk>
    <bk>
      <extLst>
        <ext uri="{3e2802c4-a4d2-4d8b-9148-e3be6c30e623}">
          <xlrd:rvb i="61"/>
        </ext>
      </extLst>
    </bk>
    <bk>
      <extLst>
        <ext uri="{3e2802c4-a4d2-4d8b-9148-e3be6c30e623}">
          <xlrd:rvb i="70"/>
        </ext>
      </extLst>
    </bk>
    <bk>
      <extLst>
        <ext uri="{3e2802c4-a4d2-4d8b-9148-e3be6c30e623}">
          <xlrd:rvb i="78"/>
        </ext>
      </extLst>
    </bk>
    <bk>
      <extLst>
        <ext uri="{3e2802c4-a4d2-4d8b-9148-e3be6c30e623}">
          <xlrd:rvb i="86"/>
        </ext>
      </extLst>
    </bk>
  </futureMetadata>
  <cellMetadata count="1">
    <bk>
      <rc t="1" v="0"/>
    </bk>
  </cellMetadata>
  <valueMetadata count="11">
    <bk>
      <rc t="2" v="0"/>
    </bk>
    <bk>
      <rc t="2" v="1"/>
    </bk>
    <bk>
      <rc t="2" v="2"/>
    </bk>
    <bk>
      <rc t="2" v="3"/>
    </bk>
    <bk>
      <rc t="2" v="4"/>
    </bk>
    <bk>
      <rc t="2" v="5"/>
    </bk>
    <bk>
      <rc t="2" v="6"/>
    </bk>
    <bk>
      <rc t="2" v="7"/>
    </bk>
    <bk>
      <rc t="2" v="8"/>
    </bk>
    <bk>
      <rc t="2" v="9"/>
    </bk>
    <bk>
      <rc t="2" v="10"/>
    </bk>
  </valueMetadata>
</metadata>
</file>

<file path=xl/sharedStrings.xml><?xml version="1.0" encoding="utf-8"?>
<sst xmlns="http://schemas.openxmlformats.org/spreadsheetml/2006/main" count="1251" uniqueCount="571">
  <si>
    <t>2. Oil and Gas Production by Oilfield (TOP 5) at 2018</t>
  </si>
  <si>
    <t>Characteristic / Main features</t>
  </si>
  <si>
    <t>Order by oil production</t>
  </si>
  <si>
    <t>Department</t>
  </si>
  <si>
    <t>City-town-location</t>
  </si>
  <si>
    <t>Basin</t>
  </si>
  <si>
    <t>Oilfield</t>
  </si>
  <si>
    <t>Company</t>
  </si>
  <si>
    <t>Oil Production [B/d]</t>
  </si>
  <si>
    <t>Gas commercialized [Mscf/d]
= to Plant + to pipelines (Jun/2018)</t>
  </si>
  <si>
    <t>Gas Production [Mscf/d]</t>
  </si>
  <si>
    <t>API Gravity</t>
  </si>
  <si>
    <t>Viscocity</t>
  </si>
  <si>
    <t>Year of initial production</t>
  </si>
  <si>
    <t>Primary production formation</t>
  </si>
  <si>
    <t>Porosity (%)</t>
  </si>
  <si>
    <t>Permeability (mD)</t>
  </si>
  <si>
    <t xml:space="preserve">Reserves </t>
  </si>
  <si>
    <t>FR [%]</t>
  </si>
  <si>
    <t>Primary method</t>
  </si>
  <si>
    <t>Artificial lift method</t>
  </si>
  <si>
    <t>Water production</t>
  </si>
  <si>
    <t>Gas production</t>
  </si>
  <si>
    <t>Secondary production</t>
  </si>
  <si>
    <t>Tertiary production</t>
  </si>
  <si>
    <t>Special considerations</t>
  </si>
  <si>
    <t>Meta</t>
  </si>
  <si>
    <t>Puerto Gaitan</t>
  </si>
  <si>
    <t>Llanos Orientales</t>
  </si>
  <si>
    <t>Rubiales</t>
  </si>
  <si>
    <t>ECP</t>
  </si>
  <si>
    <t>-</t>
  </si>
  <si>
    <t>11.3 - 14.4</t>
  </si>
  <si>
    <t>310 - 730 cP @147F</t>
  </si>
  <si>
    <t>1980 (discovered) 2003-2006 (production)</t>
  </si>
  <si>
    <t>Carbonera "Arenas Basales"</t>
  </si>
  <si>
    <t>0.25 - 0.32</t>
  </si>
  <si>
    <t>5000, 50000 (5 - 13 D RU3)</t>
  </si>
  <si>
    <t>OOIP = 4608 MSTB, Reserves (2011) = 385 MSTB</t>
  </si>
  <si>
    <t>3.7% (2011)</t>
  </si>
  <si>
    <t>Water bottom drive</t>
  </si>
  <si>
    <t>PCP, ESP</t>
  </si>
  <si>
    <t>BS&amp;W = 81% (emulsion state)</t>
  </si>
  <si>
    <t>GOR = 5 - 8 scf/STB</t>
  </si>
  <si>
    <t>88% of wells are horizontals (RU 2). ALS information is contained in RU1</t>
  </si>
  <si>
    <t>Acacias/Castilla Nueva</t>
  </si>
  <si>
    <t>Castilla (c, e, n, n)</t>
  </si>
  <si>
    <t>150 cp</t>
  </si>
  <si>
    <t xml:space="preserve">1969 (discovered) and </t>
  </si>
  <si>
    <t>Guadalupe (K2, k1)</t>
  </si>
  <si>
    <t>0.2, 16-22 (CAS 2)</t>
  </si>
  <si>
    <t>500 - 10000 Md</t>
  </si>
  <si>
    <t>OOIP= 1900 MBBL (K2) OOIP= 900 MSTB (K1)</t>
  </si>
  <si>
    <t>FR=15%  Np= 198 MSTB (2007)</t>
  </si>
  <si>
    <t>Active-bottom aquifer</t>
  </si>
  <si>
    <t>ESP</t>
  </si>
  <si>
    <t>205 MBWPD</t>
  </si>
  <si>
    <t xml:space="preserve">Water injection </t>
  </si>
  <si>
    <t>Nanofluids</t>
  </si>
  <si>
    <t>Multilateral wells reduces water cut and boost oil production. CAS 1 (Some date about drilling costs). CAS2  (Nanofluids)</t>
  </si>
  <si>
    <t>Acacias/Guamal</t>
  </si>
  <si>
    <t>Chichimene</t>
  </si>
  <si>
    <t>20 (Guadalupe) / 7-9 (San Fernando)</t>
  </si>
  <si>
    <t>150-500 cp@150F (Guadalupe) and 2000-7000 cp@180F (San Fernando)</t>
  </si>
  <si>
    <t>1969 (discovered) and 1985 (production). Since 2000 is operated by ECP</t>
  </si>
  <si>
    <t>San Fernando T2, Guadalupe K1-K2</t>
  </si>
  <si>
    <t xml:space="preserve">16-22% (Guadalupe), 16-20% (San Fernando) </t>
  </si>
  <si>
    <t>500 - 10000 mD (Guadalupe) 800 - 4000 mD (San Fernando)</t>
  </si>
  <si>
    <t>OOIP = 247 MSTB (Guadalupe) and OOIP= 2577 MST (San Fernando)</t>
  </si>
  <si>
    <t>FR=16.92% (Np=41.80 MSTB)</t>
  </si>
  <si>
    <t>Gas in solution (San Fernando) and Active Aquifer (Guadalupe)</t>
  </si>
  <si>
    <t>93% of wells uses ESP, the others use PCP</t>
  </si>
  <si>
    <t>BSW=90-95% (Guadalupe) and BSW=10% (San Fernando)</t>
  </si>
  <si>
    <t>GOR= 0 (Guadalupe) GOR=200-500 scf/STB (San Fernando)</t>
  </si>
  <si>
    <t xml:space="preserve">Water injection to pressure maintenance </t>
  </si>
  <si>
    <t>ISC, Nanofluids injection</t>
  </si>
  <si>
    <t>ISC (CHI 1), Reducing skin through ChemInj (CHI 2), 70,000 bbl water is discharged (CHI 8), comparision between ESP - PCP (CHI 7, 3)</t>
  </si>
  <si>
    <t>Santander</t>
  </si>
  <si>
    <t>Barrancabermeja</t>
  </si>
  <si>
    <t>VMM</t>
  </si>
  <si>
    <t>La Cira</t>
  </si>
  <si>
    <t>20 - 25</t>
  </si>
  <si>
    <t>10 - 40cP</t>
  </si>
  <si>
    <t>1918 (discovered and produced)</t>
  </si>
  <si>
    <t>Colorado (Sand A), Mugrosa (Sand B and C). Sand C contributes over 90% oil production and reserves</t>
  </si>
  <si>
    <t xml:space="preserve">22% (Sand C), </t>
  </si>
  <si>
    <t>50 - 2000 Md</t>
  </si>
  <si>
    <t>OOIP=  3900 MSTB (CIRA 11), Reserves = 172 MMSTO (CIRA 10)</t>
  </si>
  <si>
    <t>FR = 13% (Primary production until 1957), FR= 3% (Waterflooding 1959-2005) FR= 3% (Waterflooding 2005-2018)</t>
  </si>
  <si>
    <t>BP 760 wells (76%), PCP 135 wells (14%), ESP 99 wells (10%), ESPCP 6 wells (2014)</t>
  </si>
  <si>
    <t>Produced 506000 BWPD  and Injected 618000 BWIPD (2018), Water-cut=90%.</t>
  </si>
  <si>
    <t>150 scf/STB</t>
  </si>
  <si>
    <t>Gas injection / Water Injection (since 60s) / Water injection optimization (2006)</t>
  </si>
  <si>
    <t>2014 the field has 1000 producing wells and 408 injectors (CIRA 2). 95% producing wells are under waterflooding (CIRA 9)</t>
  </si>
  <si>
    <t>Quifa</t>
  </si>
  <si>
    <t>Frontera</t>
  </si>
  <si>
    <t>13 - 14</t>
  </si>
  <si>
    <t>180 - 300 cP@Reservoir</t>
  </si>
  <si>
    <t>2008 (discovered) 2010 (production)</t>
  </si>
  <si>
    <t>0.25 - 0.33</t>
  </si>
  <si>
    <t>5000 - 10000</t>
  </si>
  <si>
    <t>OOIP= 1500 MBBL</t>
  </si>
  <si>
    <t>12% Vertical wells, 22.3% horizontal wells (all primary production), 30% ISC</t>
  </si>
  <si>
    <t>Mainly ESP. PCP</t>
  </si>
  <si>
    <t>BS&amp;W &gt; 90% (emulsion state)</t>
  </si>
  <si>
    <t>GOR = 7 - 8 scf/STB</t>
  </si>
  <si>
    <t>ISC (2011 - 2014) Pilot</t>
  </si>
  <si>
    <t>QU 2, 3 (ISC) Q5 (Treatment), QU 7 (ALS)</t>
  </si>
  <si>
    <t>Arauca</t>
  </si>
  <si>
    <t>Llanos Orientales*</t>
  </si>
  <si>
    <t>Caño Limon</t>
  </si>
  <si>
    <t>OXY</t>
  </si>
  <si>
    <t>1983 (discovered)</t>
  </si>
  <si>
    <t>Carbonera, Units K1, K2, K3</t>
  </si>
  <si>
    <t>500 - 5000</t>
  </si>
  <si>
    <t>Reserves more than 1 MMSTB, OOIP 1.7 MMSTB</t>
  </si>
  <si>
    <t>FR=58% (1995)</t>
  </si>
  <si>
    <t>Edge-water drive</t>
  </si>
  <si>
    <t>ESP (304 in 2006) nearly 98% of active wells</t>
  </si>
  <si>
    <t>Watercut=80% this is 1 MBWD (1995), Watercut= 93% this is 2.851.721 barrels of fluids  ( CAÑO 3, 2012)</t>
  </si>
  <si>
    <t>GOR = 6 scf/STB</t>
  </si>
  <si>
    <t>Waterflooding</t>
  </si>
  <si>
    <t>394 productor wells, 9 injection wells (2012 according to CAÑO 3).  Waterflooding (CAÑO 7)
ALS consumes nearly 75% of the energy in the oilfield, and the 25% is consumed by production facilities, injection water.  Nearly 50% of the energy generated is based on diesel (CAÑO 3). Cost of energy generated is U S86/MWh and purchased energy 83 UAS/MWh, for a total an annual 96,000,000 USD</t>
  </si>
  <si>
    <t>Bolivar</t>
  </si>
  <si>
    <t>Puerto Wilches</t>
  </si>
  <si>
    <t>Yarigui-Cantagallo</t>
  </si>
  <si>
    <t>24 cP@ReservoirTemperature</t>
  </si>
  <si>
    <t>1940 (discovered) 1941 (production)</t>
  </si>
  <si>
    <t>Mainly Cantagallo sands. Mugrosa, La Paz</t>
  </si>
  <si>
    <t>0.18 - 20</t>
  </si>
  <si>
    <t>50 - 182 Md</t>
  </si>
  <si>
    <t>OOIP= 1,048 MMSTB (77% of the total)in 2015. YARI 7OOIP= 750 MMSTB in 1974.</t>
  </si>
  <si>
    <t>FR= 20.7%, Np= 155 MMSTB in 1999</t>
  </si>
  <si>
    <t xml:space="preserve">Gas in solution / water drive </t>
  </si>
  <si>
    <t>WaterCut&gt;90% (YARI 3)</t>
  </si>
  <si>
    <t>Waterflooding since 2008</t>
  </si>
  <si>
    <t>Polymer Injection</t>
  </si>
  <si>
    <t>Sand production represents costs about 913,860 USD/y (YARI 4). Waterflooding will incorporate 35  MMSTB of reserves (YARI 5). Cost data about PI is in YARI 7.</t>
  </si>
  <si>
    <t>Antioquia</t>
  </si>
  <si>
    <t>Yondo</t>
  </si>
  <si>
    <t>Casabe</t>
  </si>
  <si>
    <t>1941 (discovered)</t>
  </si>
  <si>
    <t>La Paz, Mugrosa, Colorado</t>
  </si>
  <si>
    <t>10 - 300 mD</t>
  </si>
  <si>
    <t>OOIP= 1,700 MSTB. Np= 350 MMSTB (CASA 3)</t>
  </si>
  <si>
    <t>FR@ Primary= 13% (CASA 7). FR@ Secondary=3.4%, FR@ SecondarySelective= 5.4% (CASA 5).
FR=19% (CASA 3)</t>
  </si>
  <si>
    <t>Fluid and rock expansion, solution gas drive</t>
  </si>
  <si>
    <t>PCP (61%) BP (35%)</t>
  </si>
  <si>
    <t xml:space="preserve">Watercut= 80% </t>
  </si>
  <si>
    <t>Waterflooding since 1985. Water Injection 125,000 BWPD (CASA 6). 1 BOPD to 6 BWPD (CASA 5)</t>
  </si>
  <si>
    <t>Oil, water produced and injected data (CASA 1). Water Injection Plant energy consumption (CASA 1).
ALS data  in (CASA 4)</t>
  </si>
  <si>
    <t>Boyaca</t>
  </si>
  <si>
    <t>Puerto Boyaca</t>
  </si>
  <si>
    <t>Moriche</t>
  </si>
  <si>
    <t>Mansarovar</t>
  </si>
  <si>
    <t>800 - 2600cP</t>
  </si>
  <si>
    <t>1983 (discovered) and 2008 (produced)</t>
  </si>
  <si>
    <t>Sand A and B (Chuspas Group)</t>
  </si>
  <si>
    <t>0.2 - 0.28</t>
  </si>
  <si>
    <t>300 - 2000 Md</t>
  </si>
  <si>
    <t>Np= 7 MMSTB (MORI 1), Reserves (2021)= 46 MMBL, OOIP= 1072 MMBL</t>
  </si>
  <si>
    <t>FR= 2% (MORI 1), FR= 6.3% (MORI 6)</t>
  </si>
  <si>
    <t>Gas solution, parcial water drive</t>
  </si>
  <si>
    <t>BP</t>
  </si>
  <si>
    <t>CSS (OSR)&lt; 1 STB/MMBTU</t>
  </si>
  <si>
    <t>604 wells: 522 producers and 13 injectors (MORI 2 - 2016). Energy requirements for CSS 10900 MMBTU/D (MORI 2). GHG Emissions 420.404 CO2eq (MORI 2), 10% by flaring. Steam injected is abouyt 27,000 MMBTU at 80% quality (MARI 3)</t>
  </si>
  <si>
    <t>Casanare</t>
  </si>
  <si>
    <t>Jacana + Tigana (t+ n + s +s )</t>
  </si>
  <si>
    <t>GEOPARK</t>
  </si>
  <si>
    <t>19 (Jacana)</t>
  </si>
  <si>
    <t>Jacana was discovered in 2015. Tigana was discovered in 2014.</t>
  </si>
  <si>
    <t>Cesar</t>
  </si>
  <si>
    <t>Acordionero</t>
  </si>
  <si>
    <t>GRAN TIERRA</t>
  </si>
  <si>
    <t>7 - 487cP</t>
  </si>
  <si>
    <t>2013 (production)</t>
  </si>
  <si>
    <t>Mugrosa, Colorado, Esmeralddas</t>
  </si>
  <si>
    <t>0.15-0.2</t>
  </si>
  <si>
    <t>20-6000 mD</t>
  </si>
  <si>
    <t>Waterflooding (40,000 bwpd)</t>
  </si>
  <si>
    <t>21 wells in 2018  (ARCO 1). Energy generated is based on diesel, there are data and analysis to reuse the gas produced (ARCO 1)</t>
  </si>
  <si>
    <t>All production data is taken from https://www.anh.gov.co/es/operaciones-y-regal%C3%ADas/sistemas-integrados-operaciones/estad%C3%ADsticas-de-producci%C3%B3n/</t>
  </si>
  <si>
    <t>RU2</t>
  </si>
  <si>
    <t xml:space="preserve"> RU 1, RU 2</t>
  </si>
  <si>
    <t>RU1</t>
  </si>
  <si>
    <t>RU1 (review information about AL)</t>
  </si>
  <si>
    <t>RU3</t>
  </si>
  <si>
    <t>Castilla also includes Castilla Norte and Castilla Este</t>
  </si>
  <si>
    <t>CAS 1</t>
  </si>
  <si>
    <t>CAS 2</t>
  </si>
  <si>
    <t>CAS1</t>
  </si>
  <si>
    <t>CAS 6</t>
  </si>
  <si>
    <t>CAS 3</t>
  </si>
  <si>
    <t>Chichimene also includes Chichimene SW</t>
  </si>
  <si>
    <t>CHI 6</t>
  </si>
  <si>
    <t>CHI 9, CHI 7</t>
  </si>
  <si>
    <t>CHI 4</t>
  </si>
  <si>
    <t>CHI 9</t>
  </si>
  <si>
    <t>CHI 7</t>
  </si>
  <si>
    <t>CHI 5</t>
  </si>
  <si>
    <t>CHI 8, CHI 5</t>
  </si>
  <si>
    <t>CHI 1, CHI 4</t>
  </si>
  <si>
    <t>La Cira also includes Infantas</t>
  </si>
  <si>
    <t>CIRA 11</t>
  </si>
  <si>
    <t>CIRA 1</t>
  </si>
  <si>
    <t>CIRA 11, 10</t>
  </si>
  <si>
    <t>CIRA 11, 10, 9</t>
  </si>
  <si>
    <t>CIRA 8</t>
  </si>
  <si>
    <t>CIRA 11, 9</t>
  </si>
  <si>
    <t>Tigana includes Tigana sur and tigana norte</t>
  </si>
  <si>
    <t>QU 5</t>
  </si>
  <si>
    <t>QU 2</t>
  </si>
  <si>
    <t>QU 2, QU 4</t>
  </si>
  <si>
    <t>QU 7</t>
  </si>
  <si>
    <t>QU 3</t>
  </si>
  <si>
    <t>QU5</t>
  </si>
  <si>
    <t>Acordionero also includes Acordionero-24</t>
  </si>
  <si>
    <t>CAÑO 1</t>
  </si>
  <si>
    <t>CAÑO 2</t>
  </si>
  <si>
    <t>CAÑO 1, CAÑO 3</t>
  </si>
  <si>
    <t>CAÑO 7</t>
  </si>
  <si>
    <t>Casabe also includes Casabe Sur</t>
  </si>
  <si>
    <t>https://www.geo-park.com/files/releases/Jacana_Press_Release_ESP.pdf</t>
  </si>
  <si>
    <t>https://www.grantierra.com/operations/company-snapshot</t>
  </si>
  <si>
    <t>ARCO 3</t>
  </si>
  <si>
    <t>ARCO 1</t>
  </si>
  <si>
    <t>ARCO 2</t>
  </si>
  <si>
    <t>Observation (Pending): most of gas is flared or used in oilfield. The gas is not reinjected.</t>
  </si>
  <si>
    <t>YARI 7</t>
  </si>
  <si>
    <t>YARI 3</t>
  </si>
  <si>
    <t>YARI 5, 7</t>
  </si>
  <si>
    <t>YARI 5</t>
  </si>
  <si>
    <t>YARI 3, 5</t>
  </si>
  <si>
    <t>YARI 3, 6</t>
  </si>
  <si>
    <t>CASA 3</t>
  </si>
  <si>
    <t>CASA 1</t>
  </si>
  <si>
    <t>CASA 15</t>
  </si>
  <si>
    <t>CASA 6, CASA 3</t>
  </si>
  <si>
    <t>CASA 7</t>
  </si>
  <si>
    <t>CASA 6</t>
  </si>
  <si>
    <t>CASA 7, 6</t>
  </si>
  <si>
    <t>MORI 1</t>
  </si>
  <si>
    <t>MORI 6</t>
  </si>
  <si>
    <t>MORI 3</t>
  </si>
  <si>
    <t>Oil production</t>
  </si>
  <si>
    <t>Total [B/d]</t>
  </si>
  <si>
    <t>% respect to national production</t>
  </si>
  <si>
    <t>Total [Mscf/d]</t>
  </si>
  <si>
    <t>% respect to ECP production</t>
  </si>
  <si>
    <t>Total ECP [Mscf/d]</t>
  </si>
  <si>
    <t>BP is Beam Pump, PCP is Progressive Cavity Pump, ESP is Electrical Submersible Pump</t>
  </si>
  <si>
    <t>Order by gas production</t>
  </si>
  <si>
    <t>Gas Production* [Mscf/d] June 2018</t>
  </si>
  <si>
    <t>SG gas</t>
  </si>
  <si>
    <t>Heating Value</t>
  </si>
  <si>
    <t>Aguazul</t>
  </si>
  <si>
    <t>Cupiagua (Cupiagua + Liria + Sur)</t>
  </si>
  <si>
    <t>37 (initially), 48 (current)</t>
  </si>
  <si>
    <t>HHV= 42.67 MJ/kg, LHV= 38.62 MJ/kg</t>
  </si>
  <si>
    <t>1992 (discovered) and 1996 (produced)</t>
  </si>
  <si>
    <t>Mirador, Barco, Guadalupe</t>
  </si>
  <si>
    <t>1 - 10 mD</t>
  </si>
  <si>
    <t>OOIP= 1000 MMSTB and OGIP= 4 Tcf (CUPI 3)</t>
  </si>
  <si>
    <t>FR= 42%, Frsomelayers=60%</t>
  </si>
  <si>
    <t>Gas cap expansion, solution gas drive</t>
  </si>
  <si>
    <t>280 stb/MMscf</t>
  </si>
  <si>
    <t>Gas injection, 450 MMscfd (stars 1998)</t>
  </si>
  <si>
    <t>Nanofluids and Foams, SAG</t>
  </si>
  <si>
    <t>CPF has the capacity of 16,000 BOPD and 850 MMscfd (660 from Cupiagua and 180  from Pauto/Receptor)(CUPI 1)</t>
  </si>
  <si>
    <t>Tauramena</t>
  </si>
  <si>
    <t>Cusiana (Cusiana + Norte)</t>
  </si>
  <si>
    <t>1988 (discovered) and 1994 (production)</t>
  </si>
  <si>
    <t xml:space="preserve">OOIP= 1500 MMSTB OGIP= 3 Tcf </t>
  </si>
  <si>
    <t>RF= 50% (Mirador) RF=25% (Barco, Guadalupe)</t>
  </si>
  <si>
    <t>Water injection (Barco and Guadalupe) / Gas injection (Mirador)</t>
  </si>
  <si>
    <t>SAG</t>
  </si>
  <si>
    <t>Yopal</t>
  </si>
  <si>
    <t>Pauto Sur (Sur + Recetor)</t>
  </si>
  <si>
    <t>EQUION*</t>
  </si>
  <si>
    <t>Gross= 1210 BTU/ft3, Net= 1098  BTU/ft3</t>
  </si>
  <si>
    <t>1995 (Discovered) and 2001 (production)</t>
  </si>
  <si>
    <t>Z</t>
  </si>
  <si>
    <t>0.03 - 0.05</t>
  </si>
  <si>
    <t>&lt; 10mD</t>
  </si>
  <si>
    <t>IGIP&gt; 1 Tcf. 
Reserves (Pauto&amp;Floreña)= 70 MSTB  (Light Oil)
Reserves (Pauto&amp;Floreña)= 5000 Gcf  (Gas)</t>
  </si>
  <si>
    <t>Np= 180,000 Bl &amp; Gp= 12,000 Mcf (2016)</t>
  </si>
  <si>
    <t>Natural flow</t>
  </si>
  <si>
    <t>30 - 350 STB/MMscf</t>
  </si>
  <si>
    <t>Nitrogen Injection</t>
  </si>
  <si>
    <t>Between Pauto&amp;Floreña: 25 wells: 1 water injection, 4 gas injection, 20 producer wells (PAU 8). 
Gas composition and Gas distribution in PAU 9</t>
  </si>
  <si>
    <t>Floreña (Floreña + Mirador)</t>
  </si>
  <si>
    <t>44 - 47</t>
  </si>
  <si>
    <t>Gross= 1158 BTU/ft3, Net= 1049  BTU/ft3</t>
  </si>
  <si>
    <t>Reserves (Pauto&amp;Floreña)= 70 MSTB  (Light Oil)
Reserves (Pauto&amp;Floreña)= 5000 Gcf  (Gas)</t>
  </si>
  <si>
    <t>Np= 80,000 Bl &amp; Gp=5,500 Mcf (2016)</t>
  </si>
  <si>
    <t xml:space="preserve"> P&amp;F =3000 BWPD, BSW&lt;0.5</t>
  </si>
  <si>
    <t>P&amp;F= 30000 BOPD / 180 MMscfd</t>
  </si>
  <si>
    <t>Gas injection 80 MMsfcd</t>
  </si>
  <si>
    <t>Between Pauto&amp;Floreña: 25 wells: 1 water injection, 4 gas injection, 20 producer wells (PAU 8).
Treatment in site (FLO 1, 2)
Gas composition in PAU 9</t>
  </si>
  <si>
    <t>Guajira</t>
  </si>
  <si>
    <t>Manaure</t>
  </si>
  <si>
    <t>Chuchupa</t>
  </si>
  <si>
    <t>CHEVRON</t>
  </si>
  <si>
    <t>HHV= 37.13 MJ/kg, LHV= 33.44 MJ/kg</t>
  </si>
  <si>
    <t>1973 (discovered) and 1979 (production)</t>
  </si>
  <si>
    <t>Units A, B1, B2, C</t>
  </si>
  <si>
    <t>0.2-0.3</t>
  </si>
  <si>
    <t>210mD - &gt;1 D</t>
  </si>
  <si>
    <t>OGIP: P10= 4.1 Tcf,  P50= 4.7 Tcf   P90= 5.3 Tcf</t>
  </si>
  <si>
    <t>FR=45% (2009)</t>
  </si>
  <si>
    <t>WGR= 0.2 bwpd/MMscfd</t>
  </si>
  <si>
    <t>Ballena</t>
  </si>
  <si>
    <t>OGIP= 1.5 Tcf</t>
  </si>
  <si>
    <t>FR=30% (1996)</t>
  </si>
  <si>
    <t>Cordoba</t>
  </si>
  <si>
    <t>Nelson</t>
  </si>
  <si>
    <t>GEOPRODUCTION OIL AND GAS COMPANY</t>
  </si>
  <si>
    <t>Norte de Santander</t>
  </si>
  <si>
    <t>Gibraltar</t>
  </si>
  <si>
    <t>PAU 7</t>
  </si>
  <si>
    <t>PAU 8</t>
  </si>
  <si>
    <t>PAU 5</t>
  </si>
  <si>
    <t>CUPI 8,9, PAU 10</t>
  </si>
  <si>
    <t>CUPI 1</t>
  </si>
  <si>
    <t>CUSI 7</t>
  </si>
  <si>
    <t>CUPI</t>
  </si>
  <si>
    <t>CUPI 6</t>
  </si>
  <si>
    <t>CUSI 5</t>
  </si>
  <si>
    <t>CUPI 4</t>
  </si>
  <si>
    <t>CUPI 3</t>
  </si>
  <si>
    <t>CUPI 1, 6</t>
  </si>
  <si>
    <t>CHU 3</t>
  </si>
  <si>
    <t>CUSI 7,8</t>
  </si>
  <si>
    <t>CHU 1</t>
  </si>
  <si>
    <t>CHU 5</t>
  </si>
  <si>
    <t>CUSI 8</t>
  </si>
  <si>
    <t>CUSI 2</t>
  </si>
  <si>
    <t>PAU 1, CUSI 2, CUSI 6</t>
  </si>
  <si>
    <t>CUSI 2, 4</t>
  </si>
  <si>
    <t>FLO 5</t>
  </si>
  <si>
    <t>PAU 1, FLO 5</t>
  </si>
  <si>
    <t>Deparment</t>
  </si>
  <si>
    <t>Akacias</t>
  </si>
  <si>
    <t>Dina</t>
  </si>
  <si>
    <t>San Francisco</t>
  </si>
  <si>
    <t>Tello</t>
  </si>
  <si>
    <t>Apiay</t>
  </si>
  <si>
    <t>Area Teca-Corcona</t>
  </si>
  <si>
    <t>Type of Oil producing</t>
  </si>
  <si>
    <t>Primary Recovery - SLA*</t>
  </si>
  <si>
    <t>Secondary Recovery</t>
  </si>
  <si>
    <t>Tertiary Recovery</t>
  </si>
  <si>
    <t>WI</t>
  </si>
  <si>
    <t>nnI</t>
  </si>
  <si>
    <t>AI, nnl</t>
  </si>
  <si>
    <t>ESP, PCP</t>
  </si>
  <si>
    <t>AI</t>
  </si>
  <si>
    <t>BP, PCP,. ESP</t>
  </si>
  <si>
    <t>GI, WI</t>
  </si>
  <si>
    <t>CHI</t>
  </si>
  <si>
    <t>PCP, BP</t>
  </si>
  <si>
    <t>SI</t>
  </si>
  <si>
    <t>GI</t>
  </si>
  <si>
    <t>nnI, SAG</t>
  </si>
  <si>
    <t>WI, GI</t>
  </si>
  <si>
    <t>NI</t>
  </si>
  <si>
    <t>Chichimene quema y usa el gas en campo</t>
  </si>
  <si>
    <t>Cira solo envia un pequeño porcentaje a planta para el aprovechamiento del gas</t>
  </si>
  <si>
    <t>Yarigui-Cantagallo sí envia un % del gas a oleducto</t>
  </si>
  <si>
    <t>Gas commercialized [Mscf/d]</t>
  </si>
  <si>
    <t>Oil production (&gt; 1% modeled production)</t>
  </si>
  <si>
    <t>Gas production (&gt; 1% modeled production )</t>
  </si>
  <si>
    <t>Clasification by production</t>
  </si>
  <si>
    <t>Cummulative Production in R/P@Oil (MSTB) =</t>
  </si>
  <si>
    <t>Cummulative Production en R/P GAS (Gscf - MMScf) =</t>
  </si>
  <si>
    <t>STB/d</t>
  </si>
  <si>
    <t>Mscf/d</t>
  </si>
  <si>
    <t>Oil producers</t>
  </si>
  <si>
    <t>Gas producers</t>
  </si>
  <si>
    <t>Oil and gas producers</t>
  </si>
  <si>
    <t>Total</t>
  </si>
  <si>
    <t>Oil classification by API gravity</t>
  </si>
  <si>
    <t>Lower limit</t>
  </si>
  <si>
    <t>Upper Limit</t>
  </si>
  <si>
    <t>Extra Heavy Oil</t>
  </si>
  <si>
    <t>Heavy Oil</t>
  </si>
  <si>
    <t>Medium Oil</t>
  </si>
  <si>
    <t>Light Oil</t>
  </si>
  <si>
    <t>Oil and gas production in the model and Colombia in 2018</t>
  </si>
  <si>
    <t xml:space="preserve">Colombia </t>
  </si>
  <si>
    <t>Model</t>
  </si>
  <si>
    <t>Model/Colombia</t>
  </si>
  <si>
    <t>Oil and gas production in the model (oilfields operated by ECP) and ECP in 2018</t>
  </si>
  <si>
    <t>Oil Production (STB/d)</t>
  </si>
  <si>
    <t>Oilfield in the model  by ECP</t>
  </si>
  <si>
    <t>ECP/ Model ECP</t>
  </si>
  <si>
    <t>Gas production (Mscf/d)</t>
  </si>
  <si>
    <t>Gas commercialized (Mscf/d)</t>
  </si>
  <si>
    <t>Production of the model according API gravity</t>
  </si>
  <si>
    <r>
      <t xml:space="preserve">Production of the Colombia according API gravity </t>
    </r>
    <r>
      <rPr>
        <b/>
        <sz val="11"/>
        <color rgb="FFFF0000"/>
        <rFont val="Calibri"/>
        <family val="2"/>
        <scheme val="minor"/>
      </rPr>
      <t>in 2010</t>
    </r>
  </si>
  <si>
    <t>Oil production STB/d</t>
  </si>
  <si>
    <t>Production of the model according Deparment in 2018</t>
  </si>
  <si>
    <t>Production of Colombia 2018</t>
  </si>
  <si>
    <t>%</t>
  </si>
  <si>
    <t>Gas production Mscf/d</t>
  </si>
  <si>
    <t>Other Deparments</t>
  </si>
  <si>
    <t>Production of the model according sedimentary basin in 2018</t>
  </si>
  <si>
    <t>Production of Colombia 2010 according sedimentary basins in 2018</t>
  </si>
  <si>
    <t>Other bains</t>
  </si>
  <si>
    <t xml:space="preserve">Reserves in model </t>
  </si>
  <si>
    <t>Reserves in Colombia at the end of 2018</t>
  </si>
  <si>
    <t>Oil Reserves (MSTB)</t>
  </si>
  <si>
    <t>Gas Reserves ( Gscf - MMscf)</t>
  </si>
  <si>
    <t>Model/Reality</t>
  </si>
  <si>
    <t>Colombia</t>
  </si>
  <si>
    <t>Oifields by ECP in the model</t>
  </si>
  <si>
    <t>Oifields by ECP&amp;EQUION in the model</t>
  </si>
  <si>
    <t>reserve-replacement ratio (RRR) in Colombia 2018</t>
  </si>
  <si>
    <t>Oil Reserves added (MSTB)</t>
  </si>
  <si>
    <t>Gas Reserves added (Gscf - MMscf)</t>
  </si>
  <si>
    <t>New discoveries</t>
  </si>
  <si>
    <t>EOR and new projects</t>
  </si>
  <si>
    <t>Re-evaluations</t>
  </si>
  <si>
    <t>General balance last years in Colombia</t>
  </si>
  <si>
    <t>Oil</t>
  </si>
  <si>
    <t>Reserves P1 (MSTB)</t>
  </si>
  <si>
    <t>Annual Production  (MSTB)</t>
  </si>
  <si>
    <t>Reserves added (MSTB)</t>
  </si>
  <si>
    <t>RRR</t>
  </si>
  <si>
    <t>R/P</t>
  </si>
  <si>
    <t>R</t>
  </si>
  <si>
    <t>P</t>
  </si>
  <si>
    <t>I</t>
  </si>
  <si>
    <t>I/P</t>
  </si>
  <si>
    <t>Gas</t>
  </si>
  <si>
    <t>GAS</t>
  </si>
  <si>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</si>
  <si>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</si>
  <si>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FISCA</t>
    </r>
  </si>
  <si>
    <r>
      <t>G</t>
    </r>
    <r>
      <rPr>
        <b/>
        <vertAlign val="subscript"/>
        <sz val="14"/>
        <color theme="1"/>
        <rFont val="Calibri"/>
        <family val="2"/>
        <scheme val="minor"/>
      </rPr>
      <t>sla</t>
    </r>
  </si>
  <si>
    <r>
      <t>G</t>
    </r>
    <r>
      <rPr>
        <b/>
        <vertAlign val="subscript"/>
        <sz val="14"/>
        <color theme="1"/>
        <rFont val="Calibri"/>
        <family val="2"/>
        <scheme val="minor"/>
      </rPr>
      <t>REI</t>
    </r>
  </si>
  <si>
    <r>
      <t>O</t>
    </r>
    <r>
      <rPr>
        <b/>
        <vertAlign val="subscript"/>
        <sz val="14"/>
        <color theme="1"/>
        <rFont val="Calibri"/>
        <family val="2"/>
        <scheme val="minor"/>
      </rPr>
      <t>FISCA</t>
    </r>
  </si>
  <si>
    <r>
      <t>G</t>
    </r>
    <r>
      <rPr>
        <b/>
        <vertAlign val="subscript"/>
        <sz val="14"/>
        <color theme="1"/>
        <rFont val="Calibri"/>
        <family val="2"/>
        <scheme val="minor"/>
      </rPr>
      <t>FISC</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</si>
  <si>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</si>
  <si>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</si>
  <si>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</si>
  <si>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</si>
  <si>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</si>
  <si>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t>2019, MPC/D</t>
  </si>
  <si>
    <t>Orito</t>
  </si>
  <si>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</si>
  <si>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PUTUMAYO</t>
  </si>
  <si>
    <t>Aipe</t>
  </si>
  <si>
    <t>Neiva/Palermo</t>
  </si>
  <si>
    <t>Neiva</t>
  </si>
  <si>
    <t>Villavicencio</t>
  </si>
  <si>
    <t>Puerto Nare</t>
  </si>
  <si>
    <t>Toledo</t>
  </si>
  <si>
    <t>VSM</t>
  </si>
  <si>
    <t>Cordillera Oriental</t>
  </si>
  <si>
    <t>LLO</t>
  </si>
  <si>
    <t>Putumayo</t>
  </si>
  <si>
    <t>ANTIOQUIA</t>
  </si>
  <si>
    <t>CASANARE</t>
  </si>
  <si>
    <t>CESAR</t>
  </si>
  <si>
    <t>CUNDINAMARCA</t>
  </si>
  <si>
    <t>HUILA</t>
  </si>
  <si>
    <t>META</t>
  </si>
  <si>
    <t>NORTE DE SANTANDER</t>
  </si>
  <si>
    <t>SANTANDER</t>
  </si>
  <si>
    <t>SUCRE</t>
  </si>
  <si>
    <t>TOLIMA</t>
  </si>
  <si>
    <t>BOLIVAR</t>
  </si>
  <si>
    <t>MI MODELO</t>
  </si>
  <si>
    <t>offshore</t>
  </si>
  <si>
    <t>RR (Mmboe)</t>
  </si>
  <si>
    <t>G</t>
  </si>
  <si>
    <t>O</t>
  </si>
  <si>
    <t>G (bcf)</t>
  </si>
  <si>
    <t>Total production, boed</t>
  </si>
  <si>
    <t>FR</t>
  </si>
  <si>
    <t>EC year</t>
  </si>
  <si>
    <t>Intercepto</t>
  </si>
  <si>
    <t>Pendiente</t>
  </si>
  <si>
    <t>boe =</t>
  </si>
  <si>
    <t>scf</t>
  </si>
  <si>
    <t>Produccion@LE (boed)</t>
  </si>
  <si>
    <t>Potencial estimado</t>
  </si>
  <si>
    <t>Mmboe</t>
  </si>
  <si>
    <t>Integral</t>
  </si>
  <si>
    <t>Error</t>
  </si>
  <si>
    <t>Apiay Este</t>
  </si>
  <si>
    <t>Castilla</t>
  </si>
  <si>
    <t>Castilla Este</t>
  </si>
  <si>
    <t>Castilla Norte</t>
  </si>
  <si>
    <t>Casabe Sur</t>
  </si>
  <si>
    <t>Chichimene SW</t>
  </si>
  <si>
    <t>Cupiagua</t>
  </si>
  <si>
    <t>Cupiagua Liria</t>
  </si>
  <si>
    <t>Cupiagua Sur</t>
  </si>
  <si>
    <t>Cusiana Norte</t>
  </si>
  <si>
    <t>Cusiana</t>
  </si>
  <si>
    <t>Dina Terciarios</t>
  </si>
  <si>
    <t>Dina Cretaceos</t>
  </si>
  <si>
    <t>Dina Norte</t>
  </si>
  <si>
    <t>Florena</t>
  </si>
  <si>
    <t>Florena Mirador</t>
  </si>
  <si>
    <t>Según ellos</t>
  </si>
  <si>
    <t>Infantas</t>
  </si>
  <si>
    <t>Pauto Sur Recetor</t>
  </si>
  <si>
    <t>Pauto Sur</t>
  </si>
  <si>
    <t>Teca</t>
  </si>
  <si>
    <t>Yarigui</t>
  </si>
  <si>
    <t>RESERVAS TOTAL</t>
  </si>
  <si>
    <t>RESSERVAS CRUDO</t>
  </si>
  <si>
    <t>RESREVAS GAS</t>
  </si>
  <si>
    <t>Bscf</t>
  </si>
  <si>
    <t>RESERVAS DE GAS</t>
  </si>
  <si>
    <t>según ecp</t>
  </si>
  <si>
    <t>Bonga</t>
  </si>
  <si>
    <t>Provincia</t>
  </si>
  <si>
    <t>Mamey</t>
  </si>
  <si>
    <t>Bonanza</t>
  </si>
  <si>
    <t>Mscf</t>
  </si>
  <si>
    <t>años</t>
  </si>
  <si>
    <t>scf/boe</t>
  </si>
  <si>
    <t>Scf</t>
  </si>
  <si>
    <t>ca</t>
  </si>
  <si>
    <t>be/d</t>
  </si>
  <si>
    <t>Mbe/d</t>
  </si>
  <si>
    <t>g</t>
  </si>
  <si>
    <t>o</t>
  </si>
  <si>
    <t>Según yo</t>
  </si>
  <si>
    <t>ECP, 2019</t>
  </si>
  <si>
    <t>G, Mpc</t>
  </si>
  <si>
    <t>O, bl</t>
  </si>
  <si>
    <t>Barriles</t>
  </si>
  <si>
    <t>%O</t>
  </si>
  <si>
    <t>%O, global</t>
  </si>
  <si>
    <t xml:space="preserve">  </t>
  </si>
  <si>
    <t>Total Reservas</t>
  </si>
  <si>
    <t>Total O</t>
  </si>
  <si>
    <t>O (Mmboe)</t>
  </si>
  <si>
    <t>G (Mmboe)</t>
  </si>
  <si>
    <t>O PJ</t>
  </si>
  <si>
    <t>TJ/kbl</t>
  </si>
  <si>
    <t>PJ</t>
  </si>
  <si>
    <t>G, PJ</t>
  </si>
  <si>
    <t>TJ/MPC</t>
  </si>
  <si>
    <t>PJ/MPC</t>
  </si>
  <si>
    <t>J/bl</t>
  </si>
  <si>
    <t>PJ/bl</t>
  </si>
  <si>
    <t>R, totales, PJ</t>
  </si>
  <si>
    <t>Error calculado</t>
  </si>
  <si>
    <t>GOR</t>
  </si>
  <si>
    <t>AKACIAS</t>
  </si>
  <si>
    <t>2018,0231850117098; 8114,754098360656</t>
  </si>
  <si>
    <t>2018,9135831381734; 19754,09836065574</t>
  </si>
  <si>
    <t>2020,027400468384; 9590,163934426233</t>
  </si>
  <si>
    <t>2021,0482435597191; 16885,245901639348</t>
  </si>
  <si>
    <t>2022,0573770491803; 20081,967213114756</t>
  </si>
  <si>
    <t>2023,125761124122; 19016,393442622953</t>
  </si>
  <si>
    <t>2023,9777517564403; 17213,114754098362</t>
  </si>
  <si>
    <t>2024,9744730679158; 16065,573770491805</t>
  </si>
  <si>
    <t>2029,96018735363; 11065,573770491806</t>
  </si>
  <si>
    <t>2035,0222482435597; 7786,885245901642</t>
  </si>
  <si>
    <t>2039,9440281030445; 5409,836065573771</t>
  </si>
  <si>
    <t>2045,0110070257613; 3852,4590163934445</t>
  </si>
  <si>
    <t>2047,9374707259954; 3114,754098360656</t>
  </si>
  <si>
    <t>Column1</t>
  </si>
  <si>
    <t>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</si>
</sst>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_-* #,##0.0_-;\-* #,##0.0_-;_-* &quot;-&quot;??_-;_-@_-"/>
    <numFmt numFmtId="166" formatCode="0.0"/>
    <numFmt numFmtId="167" formatCode="0.0%"/>
    <numFmt numFmtId="168" formatCode="0.0000"/>
    <numFmt numFmtId="169" formatCode="0.000"/>
    <numFmt numFmtId="170" formatCode="_-* #,##0.0_-;\-* #,##0.0_-;_-* &quot;-&quot;?_-;_-@_-"/>
  </numFmts>
  <fonts count="22"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0"/>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sz val="5"/>
      <color theme="1"/>
      <name val="Calibri"/>
      <family val="2"/>
      <scheme val="minor"/>
    </font>
    <font>
      <sz val="8"/>
      <color theme="0" tint="-0.249977111117893"/>
      <name val="Calibri"/>
      <family val="2"/>
      <scheme val="minor"/>
    </font>
    <font>
      <b/>
      <sz val="8"/>
      <color theme="1"/>
      <name val="Calibri"/>
      <family val="2"/>
      <scheme val="minor"/>
    </font>
    <font>
      <b/>
      <sz val="9"/>
      <color theme="1"/>
      <name val="Calibri"/>
      <family val="2"/>
      <scheme val="minor"/>
    </font>
    <font>
      <sz val="11"/>
      <color theme="0" tint="-4.9989318521683403E-2"/>
      <name val="Calibri"/>
      <family val="2"/>
      <scheme val="minor"/>
    </font>
    <font>
      <b/>
      <sz val="11"/>
      <color rgb="FFFF0000"/>
      <name val="Calibri"/>
      <family val="2"/>
      <scheme val="minor"/>
    </font>
    <font>
      <sz val="11"/>
      <color theme="0" tint="-0.34998626667073579"/>
      <name val="Calibri"/>
      <family val="2"/>
      <scheme val="minor"/>
    </font>
    <font>
      <b/>
      <sz val="12"/>
      <color rgb="FF202124"/>
      <name val="Arial"/>
      <family val="2"/>
    </font>
    <font>
      <b/>
      <sz val="14"/>
      <color theme="1"/>
      <name val="Calibri"/>
      <family val="2"/>
      <scheme val="minor"/>
    </font>
    <font>
      <b/>
      <vertAlign val="subscript"/>
      <sz val="14"/>
      <color theme="1"/>
      <name val="Calibri"/>
      <family val="2"/>
      <scheme val="minor"/>
    </font>
    <font>
      <b/>
      <sz val="12"/>
      <color rgb="FFFF0000"/>
      <name val="Calibri"/>
      <family val="2"/>
      <scheme val="minor"/>
    </font>
    <font>
      <sz val="9"/>
      <color indexed="81"/>
      <name val="Tahoma"/>
      <family val="2"/>
    </font>
    <font>
      <b/>
      <sz val="9"/>
      <color indexed="81"/>
      <name val="Tahoma"/>
      <family val="2"/>
    </font>
    <font>
      <sz val="11"/>
      <color rgb="FFFF0000"/>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00"/>
        <bgColor indexed="64"/>
      </patternFill>
    </fill>
  </fills>
  <borders count="27">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top style="double">
        <color indexed="64"/>
      </top>
      <bottom/>
      <diagonal/>
    </border>
    <border>
      <left style="double">
        <color indexed="64"/>
      </left>
      <right/>
      <top style="double">
        <color indexed="64"/>
      </top>
      <bottom/>
      <diagonal/>
    </border>
    <border>
      <left/>
      <right style="double">
        <color indexed="64"/>
      </right>
      <top/>
      <bottom/>
      <diagonal/>
    </border>
    <border>
      <left style="double">
        <color indexed="64"/>
      </left>
      <right/>
      <top/>
      <bottom/>
      <diagonal/>
    </border>
    <border>
      <left style="double">
        <color indexed="64"/>
      </left>
      <right/>
      <top/>
      <bottom style="double">
        <color indexed="64"/>
      </bottom>
      <diagonal/>
    </border>
    <border>
      <left/>
      <right style="double">
        <color indexed="64"/>
      </right>
      <top style="double">
        <color indexed="64"/>
      </top>
      <bottom/>
      <diagonal/>
    </border>
    <border>
      <left/>
      <right style="double">
        <color indexed="64"/>
      </right>
      <top style="thin">
        <color indexed="64"/>
      </top>
      <bottom style="double">
        <color indexed="64"/>
      </bottom>
      <diagonal/>
    </border>
    <border>
      <left/>
      <right style="double">
        <color indexed="64"/>
      </right>
      <top/>
      <bottom style="double">
        <color indexed="64"/>
      </bottom>
      <diagonal/>
    </border>
    <border>
      <left/>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cellStyleXfs>
  <cellXfs count="273">
    <xf numFmtId="0" fontId="0" fillId="0" borderId="0" xfId="0"/>
    <xf numFmtId="0" fontId="0" fillId="2" borderId="0" xfId="0" applyFill="1"/>
    <xf numFmtId="0" fontId="4" fillId="3" borderId="1"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2" fillId="2" borderId="0" xfId="0" applyFont="1" applyFill="1" applyAlignment="1">
      <alignment horizontal="center" vertical="center" wrapText="1"/>
    </xf>
    <xf numFmtId="0" fontId="5" fillId="2" borderId="1" xfId="0" applyFont="1" applyFill="1" applyBorder="1" applyAlignment="1">
      <alignment horizontal="center" vertical="center" wrapText="1"/>
    </xf>
    <xf numFmtId="0" fontId="5" fillId="2" borderId="2" xfId="0" applyFont="1" applyFill="1" applyBorder="1" applyAlignment="1">
      <alignment horizontal="center" vertical="center" wrapText="1"/>
    </xf>
    <xf numFmtId="164" fontId="5" fillId="2" borderId="2" xfId="1" applyNumberFormat="1" applyFont="1" applyFill="1" applyBorder="1" applyAlignment="1">
      <alignment horizontal="center" vertical="center" wrapText="1"/>
    </xf>
    <xf numFmtId="43" fontId="5" fillId="2" borderId="2" xfId="1" applyFont="1" applyFill="1" applyBorder="1" applyAlignment="1">
      <alignment horizontal="center" vertical="center" wrapText="1"/>
    </xf>
    <xf numFmtId="17" fontId="5" fillId="2" borderId="2" xfId="0" applyNumberFormat="1" applyFont="1" applyFill="1" applyBorder="1" applyAlignment="1">
      <alignment horizontal="center" vertical="center" wrapText="1"/>
    </xf>
    <xf numFmtId="0" fontId="5" fillId="2" borderId="3" xfId="0" applyFont="1" applyFill="1" applyBorder="1" applyAlignment="1">
      <alignment horizontal="center" vertical="center" wrapText="1"/>
    </xf>
    <xf numFmtId="0" fontId="6" fillId="2" borderId="0" xfId="0" applyFont="1" applyFill="1" applyAlignment="1">
      <alignment horizontal="left" vertical="top"/>
    </xf>
    <xf numFmtId="10" fontId="5" fillId="2" borderId="2" xfId="0" applyNumberFormat="1" applyFont="1" applyFill="1" applyBorder="1" applyAlignment="1">
      <alignment horizontal="center" vertical="center" wrapText="1"/>
    </xf>
    <xf numFmtId="15" fontId="5" fillId="2" borderId="2" xfId="0" applyNumberFormat="1" applyFont="1" applyFill="1" applyBorder="1" applyAlignment="1">
      <alignment horizontal="center" vertical="center" wrapText="1"/>
    </xf>
    <xf numFmtId="9" fontId="5" fillId="2" borderId="2" xfId="0" applyNumberFormat="1" applyFont="1" applyFill="1" applyBorder="1" applyAlignment="1">
      <alignment horizontal="center" vertical="center" wrapText="1"/>
    </xf>
    <xf numFmtId="0" fontId="5" fillId="2" borderId="2" xfId="3"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164" fontId="5" fillId="2" borderId="5" xfId="1" applyNumberFormat="1" applyFont="1" applyFill="1" applyBorder="1" applyAlignment="1">
      <alignment horizontal="center" vertical="center" wrapText="1"/>
    </xf>
    <xf numFmtId="43" fontId="5" fillId="2" borderId="5" xfId="1" applyFont="1" applyFill="1" applyBorder="1" applyAlignment="1">
      <alignment horizontal="center" vertical="center" wrapText="1"/>
    </xf>
    <xf numFmtId="0" fontId="5" fillId="2" borderId="6" xfId="0" applyFont="1" applyFill="1" applyBorder="1" applyAlignment="1">
      <alignment horizontal="center" vertical="center" wrapText="1"/>
    </xf>
    <xf numFmtId="15" fontId="6" fillId="2" borderId="0" xfId="0" applyNumberFormat="1" applyFont="1" applyFill="1" applyAlignment="1">
      <alignment horizontal="left" vertical="top"/>
    </xf>
    <xf numFmtId="0" fontId="5" fillId="4" borderId="1" xfId="0" applyFont="1" applyFill="1" applyBorder="1" applyAlignment="1">
      <alignment horizontal="center" vertical="center" wrapText="1"/>
    </xf>
    <xf numFmtId="0" fontId="5" fillId="4" borderId="2" xfId="0"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5" fillId="4" borderId="3" xfId="0" applyFont="1" applyFill="1" applyBorder="1" applyAlignment="1">
      <alignment horizontal="center" vertical="center" wrapText="1"/>
    </xf>
    <xf numFmtId="0" fontId="7" fillId="2" borderId="4" xfId="0" applyFont="1" applyFill="1" applyBorder="1" applyAlignment="1">
      <alignment horizontal="left" vertical="center"/>
    </xf>
    <xf numFmtId="0" fontId="0" fillId="2" borderId="5" xfId="0" applyFill="1" applyBorder="1"/>
    <xf numFmtId="0" fontId="8" fillId="2" borderId="5" xfId="0" applyFont="1" applyFill="1" applyBorder="1" applyAlignment="1">
      <alignment horizontal="center" vertical="center"/>
    </xf>
    <xf numFmtId="0" fontId="6" fillId="2" borderId="5" xfId="0" applyFont="1" applyFill="1" applyBorder="1" applyAlignment="1">
      <alignment horizontal="center"/>
    </xf>
    <xf numFmtId="0" fontId="8" fillId="2" borderId="6" xfId="0" applyFont="1" applyFill="1" applyBorder="1" applyAlignment="1">
      <alignment horizontal="center" vertical="center"/>
    </xf>
    <xf numFmtId="0" fontId="7" fillId="2" borderId="0" xfId="0" applyFont="1" applyFill="1" applyAlignment="1">
      <alignment horizontal="center" vertical="center"/>
    </xf>
    <xf numFmtId="0" fontId="7" fillId="2" borderId="7" xfId="0" applyFont="1" applyFill="1" applyBorder="1"/>
    <xf numFmtId="0" fontId="8" fillId="2" borderId="0" xfId="0" applyFont="1" applyFill="1" applyAlignment="1">
      <alignment horizontal="center" vertical="center"/>
    </xf>
    <xf numFmtId="0" fontId="6" fillId="2" borderId="0" xfId="0" applyFont="1" applyFill="1" applyAlignment="1">
      <alignment horizontal="center"/>
    </xf>
    <xf numFmtId="0" fontId="8" fillId="2" borderId="8" xfId="0" applyFont="1" applyFill="1" applyBorder="1" applyAlignment="1">
      <alignment horizontal="center" vertical="center"/>
    </xf>
    <xf numFmtId="0" fontId="8" fillId="2" borderId="0" xfId="0" applyFont="1" applyFill="1" applyAlignment="1">
      <alignment horizontal="center"/>
    </xf>
    <xf numFmtId="0" fontId="8" fillId="2" borderId="8" xfId="0" applyFont="1" applyFill="1" applyBorder="1" applyAlignment="1">
      <alignment horizontal="center"/>
    </xf>
    <xf numFmtId="0" fontId="7" fillId="2" borderId="9" xfId="0" applyFont="1" applyFill="1" applyBorder="1"/>
    <xf numFmtId="0" fontId="0" fillId="2" borderId="10" xfId="0" applyFill="1" applyBorder="1"/>
    <xf numFmtId="0" fontId="6" fillId="2" borderId="10" xfId="0" applyFont="1" applyFill="1" applyBorder="1" applyAlignment="1">
      <alignment horizontal="center"/>
    </xf>
    <xf numFmtId="0" fontId="6" fillId="2" borderId="11" xfId="0" applyFont="1" applyFill="1" applyBorder="1" applyAlignment="1">
      <alignment horizontal="center"/>
    </xf>
    <xf numFmtId="0" fontId="2" fillId="3" borderId="9" xfId="0" applyFont="1" applyFill="1" applyBorder="1" applyAlignment="1">
      <alignment horizontal="centerContinuous"/>
    </xf>
    <xf numFmtId="0" fontId="0" fillId="3" borderId="10" xfId="0" applyFill="1" applyBorder="1" applyAlignment="1">
      <alignment horizontal="centerContinuous"/>
    </xf>
    <xf numFmtId="0" fontId="0" fillId="3" borderId="10" xfId="0" applyFill="1" applyBorder="1" applyAlignment="1">
      <alignment horizontal="center"/>
    </xf>
    <xf numFmtId="0" fontId="6" fillId="3" borderId="11" xfId="0" applyFont="1" applyFill="1" applyBorder="1" applyAlignment="1">
      <alignment horizontal="center"/>
    </xf>
    <xf numFmtId="0" fontId="2" fillId="3" borderId="10" xfId="0" applyFont="1" applyFill="1" applyBorder="1" applyAlignment="1">
      <alignment horizontal="left"/>
    </xf>
    <xf numFmtId="0" fontId="2" fillId="2" borderId="0" xfId="0" applyFont="1" applyFill="1" applyAlignment="1">
      <alignment horizontal="centerContinuous"/>
    </xf>
    <xf numFmtId="0" fontId="6" fillId="2" borderId="0" xfId="0" applyFont="1" applyFill="1" applyAlignment="1">
      <alignment horizontal="centerContinuous"/>
    </xf>
    <xf numFmtId="0" fontId="2" fillId="3" borderId="7" xfId="0" applyFont="1" applyFill="1" applyBorder="1"/>
    <xf numFmtId="164" fontId="2" fillId="3" borderId="8" xfId="0" applyNumberFormat="1" applyFont="1" applyFill="1" applyBorder="1"/>
    <xf numFmtId="0" fontId="2" fillId="3" borderId="7" xfId="0" applyFont="1" applyFill="1" applyBorder="1" applyAlignment="1">
      <alignment horizontal="left"/>
    </xf>
    <xf numFmtId="0" fontId="2" fillId="3" borderId="0" xfId="0" applyFont="1" applyFill="1" applyAlignment="1">
      <alignment horizontal="left"/>
    </xf>
    <xf numFmtId="0" fontId="2" fillId="3" borderId="5" xfId="0" applyFont="1" applyFill="1" applyBorder="1" applyAlignment="1">
      <alignment horizontal="left"/>
    </xf>
    <xf numFmtId="0" fontId="2" fillId="3" borderId="0" xfId="0" applyFont="1" applyFill="1"/>
    <xf numFmtId="9" fontId="2" fillId="3" borderId="8" xfId="2" applyFont="1" applyFill="1" applyBorder="1"/>
    <xf numFmtId="9" fontId="2" fillId="3" borderId="0" xfId="2" applyFont="1" applyFill="1" applyBorder="1"/>
    <xf numFmtId="2" fontId="2" fillId="3" borderId="0" xfId="2" applyNumberFormat="1" applyFont="1" applyFill="1" applyBorder="1"/>
    <xf numFmtId="10" fontId="2" fillId="3" borderId="12" xfId="0" applyNumberFormat="1" applyFont="1" applyFill="1" applyBorder="1" applyAlignment="1">
      <alignment horizontal="left"/>
    </xf>
    <xf numFmtId="0" fontId="2" fillId="2" borderId="0" xfId="0" applyFont="1" applyFill="1"/>
    <xf numFmtId="9" fontId="2" fillId="2" borderId="0" xfId="2" applyFont="1" applyFill="1" applyBorder="1"/>
    <xf numFmtId="0" fontId="2" fillId="3" borderId="9" xfId="0" applyFont="1" applyFill="1" applyBorder="1"/>
    <xf numFmtId="164" fontId="2" fillId="3" borderId="11" xfId="0" applyNumberFormat="1" applyFont="1" applyFill="1" applyBorder="1"/>
    <xf numFmtId="0" fontId="2" fillId="3" borderId="10" xfId="0" applyFont="1" applyFill="1" applyBorder="1"/>
    <xf numFmtId="9" fontId="2" fillId="3" borderId="11" xfId="2" applyFont="1" applyFill="1" applyBorder="1"/>
    <xf numFmtId="9" fontId="2" fillId="3" borderId="10" xfId="2" applyFont="1" applyFill="1" applyBorder="1"/>
    <xf numFmtId="2" fontId="2" fillId="3" borderId="10" xfId="2" applyNumberFormat="1" applyFont="1" applyFill="1" applyBorder="1"/>
    <xf numFmtId="10" fontId="2" fillId="3" borderId="13" xfId="0" applyNumberFormat="1" applyFont="1" applyFill="1" applyBorder="1" applyAlignment="1">
      <alignment horizontal="left"/>
    </xf>
    <xf numFmtId="165" fontId="5" fillId="2" borderId="2" xfId="1" applyNumberFormat="1" applyFont="1" applyFill="1" applyBorder="1" applyAlignment="1">
      <alignment horizontal="center" vertical="center" wrapText="1"/>
    </xf>
    <xf numFmtId="0" fontId="5" fillId="5" borderId="1" xfId="0" applyFont="1" applyFill="1" applyBorder="1" applyAlignment="1">
      <alignment horizontal="center" vertical="center" wrapText="1"/>
    </xf>
    <xf numFmtId="0" fontId="5" fillId="5" borderId="2" xfId="0" applyFont="1" applyFill="1" applyBorder="1" applyAlignment="1">
      <alignment horizontal="center" vertical="center" wrapText="1"/>
    </xf>
    <xf numFmtId="164" fontId="5" fillId="5" borderId="2" xfId="1" applyNumberFormat="1" applyFont="1" applyFill="1" applyBorder="1" applyAlignment="1">
      <alignment horizontal="center" vertical="center" wrapText="1"/>
    </xf>
    <xf numFmtId="165" fontId="5" fillId="5" borderId="2" xfId="1" applyNumberFormat="1" applyFont="1" applyFill="1" applyBorder="1" applyAlignment="1">
      <alignment horizontal="center" vertical="center" wrapText="1"/>
    </xf>
    <xf numFmtId="0" fontId="2" fillId="3" borderId="11" xfId="0" applyFont="1" applyFill="1" applyBorder="1"/>
    <xf numFmtId="0" fontId="2" fillId="2" borderId="0" xfId="0" applyFont="1" applyFill="1" applyAlignment="1">
      <alignment horizontal="center" wrapText="1"/>
    </xf>
    <xf numFmtId="0" fontId="5" fillId="2" borderId="5" xfId="0" applyFont="1" applyFill="1" applyBorder="1" applyAlignment="1">
      <alignment horizontal="center" vertical="center"/>
    </xf>
    <xf numFmtId="0" fontId="2" fillId="2" borderId="0" xfId="0" applyFont="1" applyFill="1" applyAlignment="1">
      <alignment horizontal="center" vertical="center"/>
    </xf>
    <xf numFmtId="0" fontId="0" fillId="2" borderId="0" xfId="0" applyFill="1" applyAlignment="1">
      <alignment horizontal="center" vertical="center"/>
    </xf>
    <xf numFmtId="0" fontId="0" fillId="2" borderId="5" xfId="0" applyFill="1" applyBorder="1" applyAlignment="1">
      <alignment horizontal="center" vertical="center"/>
    </xf>
    <xf numFmtId="0" fontId="0" fillId="2" borderId="5" xfId="0" applyFill="1" applyBorder="1" applyAlignment="1">
      <alignment horizontal="center"/>
    </xf>
    <xf numFmtId="0" fontId="0" fillId="2" borderId="5" xfId="0" applyFill="1" applyBorder="1" applyAlignment="1">
      <alignment horizontal="center" vertical="center" wrapText="1"/>
    </xf>
    <xf numFmtId="0" fontId="9" fillId="2" borderId="0" xfId="0" applyFont="1" applyFill="1" applyAlignment="1">
      <alignment horizontal="center" vertical="center"/>
    </xf>
    <xf numFmtId="0" fontId="9" fillId="2" borderId="0" xfId="0" applyFont="1" applyFill="1"/>
    <xf numFmtId="0" fontId="0" fillId="2" borderId="0" xfId="0" applyFill="1" applyAlignment="1">
      <alignment horizontal="right"/>
    </xf>
    <xf numFmtId="0" fontId="0" fillId="2" borderId="0" xfId="0" applyFill="1" applyAlignment="1">
      <alignment horizontal="left"/>
    </xf>
    <xf numFmtId="0" fontId="2" fillId="2" borderId="0" xfId="0" applyFont="1" applyFill="1" applyAlignment="1">
      <alignment horizontal="center"/>
    </xf>
    <xf numFmtId="0" fontId="10" fillId="2" borderId="0" xfId="0" applyFont="1" applyFill="1" applyAlignment="1">
      <alignment horizontal="center" wrapText="1"/>
    </xf>
    <xf numFmtId="164" fontId="6" fillId="2" borderId="0" xfId="1" applyNumberFormat="1" applyFont="1" applyFill="1" applyAlignment="1">
      <alignment horizontal="center" vertical="center"/>
    </xf>
    <xf numFmtId="164" fontId="6" fillId="2" borderId="0" xfId="1" applyNumberFormat="1" applyFont="1" applyFill="1" applyAlignment="1">
      <alignment horizontal="center" vertical="center" wrapText="1"/>
    </xf>
    <xf numFmtId="0" fontId="11" fillId="2" borderId="0" xfId="0" applyFont="1" applyFill="1" applyAlignment="1">
      <alignment horizontal="center"/>
    </xf>
    <xf numFmtId="0" fontId="12" fillId="2" borderId="0" xfId="0" applyFont="1" applyFill="1"/>
    <xf numFmtId="164" fontId="7" fillId="2" borderId="5" xfId="1" applyNumberFormat="1" applyFont="1" applyFill="1" applyBorder="1" applyAlignment="1">
      <alignment horizontal="center" vertical="center" wrapText="1"/>
    </xf>
    <xf numFmtId="166" fontId="0" fillId="6" borderId="5" xfId="0" applyNumberFormat="1" applyFill="1" applyBorder="1"/>
    <xf numFmtId="164" fontId="0" fillId="2" borderId="0" xfId="0" applyNumberFormat="1" applyFill="1"/>
    <xf numFmtId="2" fontId="0" fillId="2" borderId="0" xfId="0" applyNumberFormat="1" applyFill="1"/>
    <xf numFmtId="0" fontId="5" fillId="2" borderId="0" xfId="0" applyFont="1" applyFill="1"/>
    <xf numFmtId="0" fontId="0" fillId="2" borderId="14" xfId="0" applyFill="1" applyBorder="1" applyAlignment="1">
      <alignment horizontal="center" vertical="center"/>
    </xf>
    <xf numFmtId="0" fontId="0" fillId="2" borderId="0" xfId="0" applyFill="1" applyAlignment="1">
      <alignment horizontal="center"/>
    </xf>
    <xf numFmtId="0" fontId="12" fillId="2" borderId="0" xfId="0" applyFont="1" applyFill="1" applyAlignment="1">
      <alignment horizontal="center"/>
    </xf>
    <xf numFmtId="0" fontId="0" fillId="2" borderId="0" xfId="0" applyFill="1" applyAlignment="1">
      <alignment horizontal="right" vertical="center"/>
    </xf>
    <xf numFmtId="164" fontId="0" fillId="2" borderId="0" xfId="1" applyNumberFormat="1" applyFont="1" applyFill="1" applyAlignment="1">
      <alignment vertical="center"/>
    </xf>
    <xf numFmtId="167" fontId="0" fillId="2" borderId="0" xfId="0" applyNumberFormat="1" applyFill="1"/>
    <xf numFmtId="0" fontId="0" fillId="2" borderId="0" xfId="0" applyFill="1" applyAlignment="1">
      <alignment horizontal="right" wrapText="1"/>
    </xf>
    <xf numFmtId="167" fontId="0" fillId="2" borderId="0" xfId="0" applyNumberFormat="1" applyFill="1" applyAlignment="1">
      <alignment horizontal="center" vertical="center"/>
    </xf>
    <xf numFmtId="164" fontId="0" fillId="2" borderId="0" xfId="1" applyNumberFormat="1" applyFont="1" applyFill="1"/>
    <xf numFmtId="43" fontId="0" fillId="2" borderId="0" xfId="0" applyNumberFormat="1" applyFill="1"/>
    <xf numFmtId="164" fontId="0" fillId="2" borderId="0" xfId="1" applyNumberFormat="1" applyFont="1" applyFill="1" applyBorder="1" applyAlignment="1">
      <alignment horizontal="center" vertical="center"/>
    </xf>
    <xf numFmtId="167" fontId="0" fillId="2" borderId="0" xfId="1" applyNumberFormat="1" applyFont="1" applyFill="1" applyBorder="1" applyAlignment="1">
      <alignment horizontal="center" vertical="center"/>
    </xf>
    <xf numFmtId="164" fontId="0" fillId="2" borderId="0" xfId="1" applyNumberFormat="1" applyFont="1" applyFill="1" applyAlignment="1">
      <alignment horizontal="center" vertical="center"/>
    </xf>
    <xf numFmtId="10" fontId="0" fillId="2" borderId="0" xfId="0" applyNumberFormat="1" applyFill="1" applyAlignment="1">
      <alignment horizontal="center" vertical="center"/>
    </xf>
    <xf numFmtId="9" fontId="0" fillId="2" borderId="0" xfId="0" applyNumberFormat="1" applyFill="1" applyAlignment="1">
      <alignment horizontal="center" vertical="center"/>
    </xf>
    <xf numFmtId="164" fontId="0" fillId="2" borderId="14" xfId="1" applyNumberFormat="1" applyFont="1" applyFill="1" applyBorder="1" applyAlignment="1">
      <alignment horizontal="center" vertical="center"/>
    </xf>
    <xf numFmtId="9" fontId="0" fillId="2" borderId="14" xfId="0" applyNumberFormat="1" applyFill="1" applyBorder="1" applyAlignment="1">
      <alignment horizontal="center" vertical="center"/>
    </xf>
    <xf numFmtId="0" fontId="0" fillId="2" borderId="16" xfId="0" applyFill="1" applyBorder="1"/>
    <xf numFmtId="9" fontId="0" fillId="2" borderId="0" xfId="0" applyNumberFormat="1" applyFill="1" applyAlignment="1">
      <alignment horizontal="center"/>
    </xf>
    <xf numFmtId="164" fontId="0" fillId="2" borderId="17" xfId="1" applyNumberFormat="1" applyFont="1" applyFill="1" applyBorder="1"/>
    <xf numFmtId="167" fontId="0" fillId="2" borderId="18" xfId="0" applyNumberFormat="1" applyFill="1" applyBorder="1" applyAlignment="1">
      <alignment horizontal="center" vertical="center"/>
    </xf>
    <xf numFmtId="164" fontId="0" fillId="2" borderId="0" xfId="1" applyNumberFormat="1" applyFont="1" applyFill="1" applyBorder="1"/>
    <xf numFmtId="167" fontId="0" fillId="2" borderId="0" xfId="0" applyNumberFormat="1" applyFill="1" applyAlignment="1">
      <alignment horizontal="center"/>
    </xf>
    <xf numFmtId="0" fontId="0" fillId="2" borderId="0" xfId="0" applyFill="1" applyAlignment="1">
      <alignment vertical="center"/>
    </xf>
    <xf numFmtId="164" fontId="0" fillId="2" borderId="19" xfId="1" applyNumberFormat="1" applyFont="1" applyFill="1" applyBorder="1"/>
    <xf numFmtId="164" fontId="0" fillId="2" borderId="14" xfId="1" applyNumberFormat="1" applyFont="1" applyFill="1" applyBorder="1"/>
    <xf numFmtId="167" fontId="0" fillId="2" borderId="14" xfId="0" applyNumberFormat="1" applyFill="1" applyBorder="1" applyAlignment="1">
      <alignment horizontal="center" vertical="center"/>
    </xf>
    <xf numFmtId="164" fontId="0" fillId="2" borderId="20" xfId="1" applyNumberFormat="1" applyFont="1" applyFill="1" applyBorder="1"/>
    <xf numFmtId="167" fontId="0" fillId="2" borderId="14" xfId="1" applyNumberFormat="1" applyFont="1" applyFill="1" applyBorder="1" applyAlignment="1">
      <alignment horizontal="center"/>
    </xf>
    <xf numFmtId="167" fontId="0" fillId="2" borderId="21" xfId="0" applyNumberFormat="1" applyFill="1" applyBorder="1" applyAlignment="1">
      <alignment horizontal="center" vertical="center"/>
    </xf>
    <xf numFmtId="164" fontId="0" fillId="2" borderId="16" xfId="0" applyNumberFormat="1" applyFill="1" applyBorder="1"/>
    <xf numFmtId="0" fontId="0" fillId="7" borderId="15" xfId="0" applyFill="1" applyBorder="1"/>
    <xf numFmtId="164" fontId="0" fillId="7" borderId="15" xfId="0" applyNumberFormat="1" applyFill="1" applyBorder="1"/>
    <xf numFmtId="167" fontId="0" fillId="7" borderId="22" xfId="0" applyNumberFormat="1" applyFill="1" applyBorder="1" applyAlignment="1">
      <alignment horizontal="center" vertical="center"/>
    </xf>
    <xf numFmtId="0" fontId="0" fillId="2" borderId="21" xfId="0" applyFill="1" applyBorder="1" applyAlignment="1">
      <alignment horizontal="center" vertical="center"/>
    </xf>
    <xf numFmtId="9" fontId="0" fillId="2" borderId="18" xfId="0" applyNumberFormat="1" applyFill="1" applyBorder="1" applyAlignment="1">
      <alignment horizontal="center" vertical="center"/>
    </xf>
    <xf numFmtId="43" fontId="0" fillId="2" borderId="0" xfId="0" applyNumberFormat="1" applyFill="1" applyAlignment="1">
      <alignment horizontal="center" vertical="center"/>
    </xf>
    <xf numFmtId="164" fontId="14" fillId="2" borderId="0" xfId="1" applyNumberFormat="1" applyFont="1" applyFill="1" applyAlignment="1">
      <alignment horizontal="center" vertical="center"/>
    </xf>
    <xf numFmtId="167" fontId="0" fillId="2" borderId="0" xfId="0" applyNumberFormat="1" applyFill="1" applyAlignment="1">
      <alignment vertical="center"/>
    </xf>
    <xf numFmtId="0" fontId="0" fillId="2" borderId="14" xfId="0" applyFill="1" applyBorder="1"/>
    <xf numFmtId="9" fontId="0" fillId="2" borderId="23" xfId="0" applyNumberFormat="1" applyFill="1" applyBorder="1" applyAlignment="1">
      <alignment horizontal="center" vertical="center"/>
    </xf>
    <xf numFmtId="43" fontId="0" fillId="2" borderId="14" xfId="0" applyNumberFormat="1" applyFill="1" applyBorder="1" applyAlignment="1">
      <alignment horizontal="center" vertical="center"/>
    </xf>
    <xf numFmtId="0" fontId="14" fillId="2" borderId="0" xfId="0" applyFont="1" applyFill="1"/>
    <xf numFmtId="166" fontId="14" fillId="2" borderId="0" xfId="0" applyNumberFormat="1" applyFont="1" applyFill="1"/>
    <xf numFmtId="164" fontId="0" fillId="2" borderId="0" xfId="0" applyNumberFormat="1" applyFill="1" applyAlignment="1">
      <alignment horizontal="center" vertical="center"/>
    </xf>
    <xf numFmtId="0" fontId="0" fillId="7" borderId="14" xfId="0" applyFill="1" applyBorder="1"/>
    <xf numFmtId="164" fontId="14" fillId="7" borderId="14" xfId="1" applyNumberFormat="1" applyFont="1" applyFill="1" applyBorder="1" applyAlignment="1">
      <alignment horizontal="center" vertical="center"/>
    </xf>
    <xf numFmtId="9" fontId="0" fillId="7" borderId="23" xfId="0" applyNumberFormat="1" applyFill="1" applyBorder="1" applyAlignment="1">
      <alignment horizontal="center" vertical="center"/>
    </xf>
    <xf numFmtId="167" fontId="0" fillId="7" borderId="14" xfId="0" applyNumberFormat="1" applyFill="1" applyBorder="1" applyAlignment="1">
      <alignment vertical="center"/>
    </xf>
    <xf numFmtId="164" fontId="14" fillId="2" borderId="0" xfId="0" applyNumberFormat="1" applyFont="1" applyFill="1"/>
    <xf numFmtId="9" fontId="0" fillId="2" borderId="0" xfId="0" applyNumberFormat="1" applyFill="1"/>
    <xf numFmtId="2" fontId="14" fillId="8" borderId="0" xfId="0" applyNumberFormat="1" applyFont="1" applyFill="1"/>
    <xf numFmtId="0" fontId="0" fillId="2" borderId="24" xfId="0" applyFill="1" applyBorder="1"/>
    <xf numFmtId="0" fontId="2" fillId="2" borderId="24" xfId="0" applyFont="1" applyFill="1" applyBorder="1" applyAlignment="1">
      <alignment horizontal="center" vertical="center"/>
    </xf>
    <xf numFmtId="0" fontId="0" fillId="2" borderId="24" xfId="0" applyFill="1" applyBorder="1" applyAlignment="1">
      <alignment horizontal="center" vertical="center"/>
    </xf>
    <xf numFmtId="1" fontId="0" fillId="2" borderId="0" xfId="0" applyNumberFormat="1" applyFill="1" applyAlignment="1">
      <alignment horizontal="center"/>
    </xf>
    <xf numFmtId="9" fontId="0" fillId="2" borderId="0" xfId="2" applyFont="1" applyFill="1" applyAlignment="1">
      <alignment horizontal="center"/>
    </xf>
    <xf numFmtId="1" fontId="0" fillId="2" borderId="0" xfId="0" applyNumberFormat="1" applyFill="1" applyAlignment="1">
      <alignment horizontal="center" vertical="center"/>
    </xf>
    <xf numFmtId="2" fontId="0" fillId="2" borderId="0" xfId="0" applyNumberFormat="1" applyFill="1" applyAlignment="1">
      <alignment horizontal="center"/>
    </xf>
    <xf numFmtId="166" fontId="0" fillId="2" borderId="0" xfId="0" applyNumberFormat="1" applyFill="1" applyAlignment="1">
      <alignment horizontal="center" vertical="center"/>
    </xf>
    <xf numFmtId="0" fontId="0" fillId="2" borderId="14" xfId="0" applyFill="1" applyBorder="1" applyAlignment="1">
      <alignment vertical="center"/>
    </xf>
    <xf numFmtId="1" fontId="0" fillId="2" borderId="14" xfId="0" applyNumberFormat="1" applyFill="1" applyBorder="1" applyAlignment="1">
      <alignment horizontal="center"/>
    </xf>
    <xf numFmtId="9" fontId="0" fillId="2" borderId="14" xfId="2" applyFont="1" applyFill="1" applyBorder="1" applyAlignment="1">
      <alignment horizontal="center"/>
    </xf>
    <xf numFmtId="1" fontId="0" fillId="2" borderId="14" xfId="0" applyNumberFormat="1" applyFill="1" applyBorder="1" applyAlignment="1">
      <alignment horizontal="center" vertical="center"/>
    </xf>
    <xf numFmtId="167" fontId="0" fillId="2" borderId="14" xfId="0" applyNumberFormat="1" applyFill="1" applyBorder="1" applyAlignment="1">
      <alignment horizontal="center"/>
    </xf>
    <xf numFmtId="2" fontId="0" fillId="7" borderId="15" xfId="0" applyNumberFormat="1" applyFill="1" applyBorder="1" applyAlignment="1">
      <alignment horizontal="center"/>
    </xf>
    <xf numFmtId="9" fontId="0" fillId="7" borderId="15" xfId="2" applyFont="1" applyFill="1" applyBorder="1" applyAlignment="1">
      <alignment horizontal="center"/>
    </xf>
    <xf numFmtId="166" fontId="0" fillId="7" borderId="15" xfId="0" applyNumberFormat="1" applyFill="1" applyBorder="1" applyAlignment="1">
      <alignment horizontal="center" vertical="center"/>
    </xf>
    <xf numFmtId="167" fontId="0" fillId="7" borderId="15" xfId="0" applyNumberFormat="1" applyFill="1" applyBorder="1" applyAlignment="1">
      <alignment horizontal="center"/>
    </xf>
    <xf numFmtId="1" fontId="0" fillId="2" borderId="5" xfId="0" applyNumberFormat="1" applyFill="1" applyBorder="1" applyAlignment="1">
      <alignment horizontal="center" vertical="center"/>
    </xf>
    <xf numFmtId="9" fontId="0" fillId="2" borderId="5" xfId="0" applyNumberFormat="1" applyFill="1" applyBorder="1" applyAlignment="1">
      <alignment horizontal="center" vertical="center"/>
    </xf>
    <xf numFmtId="2" fontId="0" fillId="2" borderId="5" xfId="0" applyNumberFormat="1" applyFill="1" applyBorder="1" applyAlignment="1">
      <alignment horizontal="center" vertical="center"/>
    </xf>
    <xf numFmtId="166" fontId="0" fillId="2" borderId="5" xfId="0" applyNumberFormat="1" applyFill="1" applyBorder="1" applyAlignment="1">
      <alignment horizontal="center" vertical="center"/>
    </xf>
    <xf numFmtId="0" fontId="0" fillId="2" borderId="15" xfId="0" applyFill="1" applyBorder="1"/>
    <xf numFmtId="1" fontId="0" fillId="2" borderId="15" xfId="0" applyNumberFormat="1" applyFill="1" applyBorder="1" applyAlignment="1">
      <alignment horizontal="center" vertical="center"/>
    </xf>
    <xf numFmtId="9" fontId="0" fillId="2" borderId="15" xfId="0" applyNumberFormat="1" applyFill="1" applyBorder="1" applyAlignment="1">
      <alignment horizontal="center" vertical="center"/>
    </xf>
    <xf numFmtId="2" fontId="0" fillId="2" borderId="15" xfId="0" applyNumberFormat="1" applyFill="1" applyBorder="1" applyAlignment="1">
      <alignment horizontal="center" vertical="center"/>
    </xf>
    <xf numFmtId="166" fontId="0" fillId="2" borderId="15" xfId="0" applyNumberFormat="1" applyFill="1" applyBorder="1" applyAlignment="1">
      <alignment horizontal="center" vertical="center"/>
    </xf>
    <xf numFmtId="0" fontId="0" fillId="2" borderId="14" xfId="0" applyFill="1" applyBorder="1" applyAlignment="1">
      <alignment horizontal="right"/>
    </xf>
    <xf numFmtId="9" fontId="0" fillId="2" borderId="0" xfId="2" applyFont="1" applyFill="1" applyAlignment="1">
      <alignment horizontal="center" vertical="center"/>
    </xf>
    <xf numFmtId="9" fontId="0" fillId="2" borderId="14" xfId="2" applyFont="1" applyFill="1" applyBorder="1" applyAlignment="1">
      <alignment horizontal="center" vertical="center"/>
    </xf>
    <xf numFmtId="2" fontId="0" fillId="2" borderId="14" xfId="0" applyNumberFormat="1" applyFill="1" applyBorder="1" applyAlignment="1">
      <alignment horizontal="center"/>
    </xf>
    <xf numFmtId="0" fontId="16" fillId="2" borderId="0" xfId="0" applyFont="1" applyFill="1" applyAlignment="1">
      <alignment horizontal="center" vertical="center" wrapText="1"/>
    </xf>
    <xf numFmtId="0" fontId="0" fillId="9" borderId="0" xfId="0" applyFill="1"/>
    <xf numFmtId="0" fontId="16" fillId="6" borderId="0" xfId="0" applyFont="1" applyFill="1" applyAlignment="1">
      <alignment horizontal="center" vertical="center" wrapText="1"/>
    </xf>
    <xf numFmtId="0" fontId="5" fillId="6" borderId="5" xfId="0" applyFont="1" applyFill="1" applyBorder="1" applyAlignment="1">
      <alignment horizontal="center" vertical="center" wrapText="1"/>
    </xf>
    <xf numFmtId="0" fontId="2" fillId="0" borderId="0" xfId="0" applyFont="1"/>
    <xf numFmtId="1" fontId="5" fillId="6" borderId="5" xfId="0" applyNumberFormat="1" applyFont="1" applyFill="1" applyBorder="1" applyAlignment="1">
      <alignment horizontal="center" vertical="center" wrapText="1"/>
    </xf>
    <xf numFmtId="166" fontId="5" fillId="2" borderId="5" xfId="0" applyNumberFormat="1" applyFont="1" applyFill="1" applyBorder="1" applyAlignment="1">
      <alignment horizontal="center" vertical="center" wrapText="1"/>
    </xf>
    <xf numFmtId="9" fontId="0" fillId="0" borderId="0" xfId="2" applyFont="1"/>
    <xf numFmtId="164" fontId="0" fillId="0" borderId="0" xfId="1" applyNumberFormat="1" applyFont="1"/>
    <xf numFmtId="164" fontId="0" fillId="0" borderId="0" xfId="0" applyNumberFormat="1"/>
    <xf numFmtId="0" fontId="5" fillId="9" borderId="5" xfId="0" applyFont="1" applyFill="1" applyBorder="1" applyAlignment="1">
      <alignment horizontal="center" vertical="center"/>
    </xf>
    <xf numFmtId="164" fontId="0" fillId="9" borderId="0" xfId="1" applyNumberFormat="1" applyFont="1" applyFill="1"/>
    <xf numFmtId="9" fontId="0" fillId="9" borderId="0" xfId="2" applyFont="1" applyFill="1"/>
    <xf numFmtId="164" fontId="0" fillId="9" borderId="0" xfId="0" applyNumberFormat="1" applyFill="1"/>
    <xf numFmtId="0" fontId="0" fillId="9" borderId="5" xfId="0" applyFill="1" applyBorder="1" applyAlignment="1">
      <alignment horizontal="center" vertical="center" wrapText="1"/>
    </xf>
    <xf numFmtId="0" fontId="0" fillId="0" borderId="0" xfId="0" applyAlignment="1">
      <alignment horizontal="center" vertical="center"/>
    </xf>
    <xf numFmtId="43" fontId="0" fillId="0" borderId="0" xfId="1" applyFont="1" applyAlignment="1">
      <alignment horizontal="center" vertical="center"/>
    </xf>
    <xf numFmtId="10" fontId="0" fillId="0" borderId="0" xfId="0" applyNumberFormat="1" applyAlignment="1">
      <alignment horizontal="center" vertical="center"/>
    </xf>
    <xf numFmtId="165" fontId="0" fillId="0" borderId="9" xfId="1" applyNumberFormat="1" applyFont="1" applyBorder="1" applyAlignment="1">
      <alignment horizontal="center" vertical="center"/>
    </xf>
    <xf numFmtId="165" fontId="0" fillId="0" borderId="10" xfId="1" applyNumberFormat="1" applyFont="1" applyBorder="1" applyAlignment="1">
      <alignment horizontal="center" vertical="center"/>
    </xf>
    <xf numFmtId="0" fontId="0" fillId="0" borderId="11" xfId="0" applyBorder="1" applyAlignment="1">
      <alignment horizontal="center" vertical="center"/>
    </xf>
    <xf numFmtId="10" fontId="0" fillId="0" borderId="13" xfId="0" applyNumberFormat="1" applyBorder="1" applyAlignment="1">
      <alignment horizontal="center" vertical="center"/>
    </xf>
    <xf numFmtId="1" fontId="0" fillId="0" borderId="9" xfId="1" applyNumberFormat="1" applyFont="1" applyBorder="1" applyAlignment="1">
      <alignment horizontal="center" vertical="center"/>
    </xf>
    <xf numFmtId="164" fontId="0" fillId="0" borderId="9" xfId="1" applyNumberFormat="1" applyFont="1" applyBorder="1" applyAlignment="1">
      <alignment horizontal="center" vertical="center"/>
    </xf>
    <xf numFmtId="164" fontId="0" fillId="0" borderId="10" xfId="1" applyNumberFormat="1" applyFont="1" applyBorder="1" applyAlignment="1">
      <alignment horizontal="center" vertical="center"/>
    </xf>
    <xf numFmtId="0" fontId="0" fillId="0" borderId="11" xfId="0" applyBorder="1"/>
    <xf numFmtId="0" fontId="0" fillId="0" borderId="0" xfId="0" applyAlignment="1">
      <alignment horizontal="center"/>
    </xf>
    <xf numFmtId="0" fontId="0" fillId="0" borderId="10" xfId="0" applyBorder="1" applyAlignment="1">
      <alignment horizontal="center" vertical="center"/>
    </xf>
    <xf numFmtId="0" fontId="0" fillId="0" borderId="4" xfId="0" applyBorder="1" applyAlignment="1">
      <alignment horizontal="centerContinuous" vertical="center"/>
    </xf>
    <xf numFmtId="0" fontId="0" fillId="0" borderId="5" xfId="0" applyBorder="1" applyAlignment="1">
      <alignment horizontal="centerContinuous" vertical="center"/>
    </xf>
    <xf numFmtId="0" fontId="0" fillId="0" borderId="6" xfId="0" applyBorder="1" applyAlignment="1">
      <alignment horizontal="centerContinuous" vertical="center"/>
    </xf>
    <xf numFmtId="0" fontId="0" fillId="0" borderId="9" xfId="0" applyBorder="1"/>
    <xf numFmtId="1" fontId="0" fillId="0" borderId="13" xfId="0" applyNumberFormat="1" applyBorder="1"/>
    <xf numFmtId="165" fontId="0" fillId="0" borderId="0" xfId="0" applyNumberFormat="1"/>
    <xf numFmtId="164" fontId="0" fillId="0" borderId="0" xfId="1" applyNumberFormat="1" applyFont="1" applyBorder="1" applyAlignment="1">
      <alignment horizontal="center" vertical="center"/>
    </xf>
    <xf numFmtId="164" fontId="0" fillId="0" borderId="0" xfId="0" applyNumberFormat="1" applyAlignment="1">
      <alignment horizontal="center"/>
    </xf>
    <xf numFmtId="164" fontId="0" fillId="0" borderId="0" xfId="1" applyNumberFormat="1" applyFont="1" applyBorder="1" applyAlignment="1">
      <alignment horizont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5" xfId="0" applyFont="1" applyBorder="1" applyAlignment="1">
      <alignment horizontal="center" vertical="center"/>
    </xf>
    <xf numFmtId="0" fontId="2" fillId="0" borderId="1" xfId="0" applyFont="1" applyBorder="1"/>
    <xf numFmtId="0" fontId="2" fillId="0" borderId="3" xfId="0" applyFont="1" applyBorder="1"/>
    <xf numFmtId="0" fontId="2" fillId="0" borderId="25" xfId="0" applyFont="1" applyBorder="1"/>
    <xf numFmtId="168" fontId="0" fillId="0" borderId="0" xfId="0" applyNumberFormat="1"/>
    <xf numFmtId="168" fontId="0" fillId="0" borderId="7" xfId="0" applyNumberFormat="1" applyBorder="1"/>
    <xf numFmtId="168" fontId="0" fillId="0" borderId="8" xfId="0" applyNumberFormat="1" applyBorder="1"/>
    <xf numFmtId="168" fontId="0" fillId="0" borderId="9" xfId="0" applyNumberFormat="1" applyBorder="1"/>
    <xf numFmtId="168" fontId="0" fillId="0" borderId="11" xfId="0" applyNumberFormat="1" applyBorder="1"/>
    <xf numFmtId="10" fontId="0" fillId="0" borderId="0" xfId="0" applyNumberFormat="1"/>
    <xf numFmtId="166" fontId="0" fillId="0" borderId="0" xfId="0" applyNumberFormat="1"/>
    <xf numFmtId="166" fontId="0" fillId="0" borderId="0" xfId="0" applyNumberFormat="1" applyAlignment="1">
      <alignment horizontal="center" vertical="center"/>
    </xf>
    <xf numFmtId="1" fontId="0" fillId="0" borderId="0" xfId="0" applyNumberFormat="1" applyAlignment="1">
      <alignment horizontal="center" vertical="center"/>
    </xf>
    <xf numFmtId="0" fontId="0" fillId="0" borderId="7" xfId="0" applyBorder="1"/>
    <xf numFmtId="0" fontId="0" fillId="0" borderId="8" xfId="0" applyBorder="1"/>
    <xf numFmtId="1" fontId="0" fillId="0" borderId="26" xfId="0" applyNumberFormat="1" applyBorder="1"/>
    <xf numFmtId="9" fontId="21" fillId="10" borderId="0" xfId="2" applyFont="1" applyFill="1"/>
    <xf numFmtId="169" fontId="2" fillId="0" borderId="25" xfId="0" applyNumberFormat="1" applyFont="1" applyBorder="1" applyAlignment="1">
      <alignment horizontal="center" vertical="center"/>
    </xf>
    <xf numFmtId="1" fontId="2" fillId="0" borderId="25" xfId="0" applyNumberFormat="1" applyFont="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1" fontId="2" fillId="3" borderId="9" xfId="1" applyNumberFormat="1" applyFont="1" applyFill="1" applyBorder="1" applyAlignment="1">
      <alignment horizontal="center" vertical="center"/>
    </xf>
    <xf numFmtId="1" fontId="0" fillId="3" borderId="0" xfId="0" applyNumberFormat="1" applyFill="1" applyAlignment="1">
      <alignment horizontal="center" vertical="center"/>
    </xf>
    <xf numFmtId="9" fontId="0" fillId="3" borderId="0" xfId="2" applyFont="1" applyFill="1" applyAlignment="1">
      <alignment horizontal="center" vertical="center"/>
    </xf>
    <xf numFmtId="9" fontId="0" fillId="0" borderId="0" xfId="0" applyNumberFormat="1"/>
    <xf numFmtId="170" fontId="0" fillId="0" borderId="0" xfId="0" applyNumberFormat="1"/>
    <xf numFmtId="166" fontId="0" fillId="0" borderId="0" xfId="0" applyNumberFormat="1" applyAlignment="1">
      <alignment horizontal="center"/>
    </xf>
    <xf numFmtId="0" fontId="2" fillId="0" borderId="0" xfId="0" applyFont="1" applyAlignment="1">
      <alignment horizontal="center" vertical="center"/>
    </xf>
    <xf numFmtId="1" fontId="0" fillId="0" borderId="0" xfId="0" applyNumberFormat="1"/>
    <xf numFmtId="1" fontId="0" fillId="0" borderId="0" xfId="0" applyNumberFormat="1" applyAlignment="1">
      <alignment horizontal="center"/>
    </xf>
    <xf numFmtId="2" fontId="0" fillId="0" borderId="5" xfId="0" applyNumberFormat="1" applyBorder="1"/>
    <xf numFmtId="0" fontId="0" fillId="10" borderId="0" xfId="0" applyFill="1" applyAlignment="1">
      <alignment horizontal="center" vertical="center"/>
    </xf>
    <xf numFmtId="1" fontId="0" fillId="10" borderId="0" xfId="0" applyNumberFormat="1" applyFill="1" applyAlignment="1">
      <alignment horizontal="center" vertical="center"/>
    </xf>
    <xf numFmtId="169" fontId="0" fillId="0" borderId="0" xfId="0" applyNumberFormat="1"/>
    <xf numFmtId="2" fontId="2" fillId="0" borderId="0" xfId="1" applyNumberFormat="1" applyFont="1" applyBorder="1" applyAlignment="1">
      <alignment horizontal="center" vertical="center"/>
    </xf>
    <xf numFmtId="1" fontId="2" fillId="0" borderId="0" xfId="0" applyNumberFormat="1" applyFont="1" applyAlignment="1">
      <alignment horizontal="center" vertical="center"/>
    </xf>
    <xf numFmtId="1" fontId="2" fillId="0" borderId="0" xfId="1" applyNumberFormat="1" applyFont="1" applyBorder="1" applyAlignment="1">
      <alignment horizontal="center" vertical="center"/>
    </xf>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0" fillId="3" borderId="5" xfId="0" applyFill="1" applyBorder="1" applyAlignment="1">
      <alignment horizontal="center"/>
    </xf>
    <xf numFmtId="0" fontId="2" fillId="3" borderId="7" xfId="0" applyFont="1" applyFill="1" applyBorder="1" applyAlignment="1">
      <alignment horizontal="left"/>
    </xf>
    <xf numFmtId="0" fontId="2" fillId="3" borderId="0" xfId="0" applyFont="1" applyFill="1" applyAlignment="1">
      <alignment horizontal="left"/>
    </xf>
    <xf numFmtId="0" fontId="15" fillId="0" borderId="5" xfId="0" applyFont="1" applyBorder="1" applyAlignment="1">
      <alignment horizontal="center"/>
    </xf>
    <xf numFmtId="0" fontId="15" fillId="0" borderId="5" xfId="0" applyFont="1" applyBorder="1" applyAlignment="1">
      <alignment horizontal="center" vertical="center"/>
    </xf>
    <xf numFmtId="0" fontId="15" fillId="2" borderId="15" xfId="0" applyFont="1" applyFill="1" applyBorder="1" applyAlignment="1">
      <alignment horizontal="center" vertical="center"/>
    </xf>
    <xf numFmtId="0" fontId="2" fillId="2" borderId="15" xfId="0" applyFont="1" applyFill="1" applyBorder="1" applyAlignment="1">
      <alignment horizontal="center"/>
    </xf>
    <xf numFmtId="0" fontId="2" fillId="2" borderId="14" xfId="0" applyFont="1" applyFill="1" applyBorder="1" applyAlignment="1">
      <alignment horizontal="center"/>
    </xf>
    <xf numFmtId="0" fontId="2" fillId="2" borderId="0" xfId="0" applyFont="1" applyFill="1" applyAlignment="1">
      <alignment horizontal="center" vertical="center" wrapText="1"/>
    </xf>
    <xf numFmtId="0" fontId="2" fillId="2" borderId="15" xfId="0" applyFont="1" applyFill="1" applyBorder="1" applyAlignment="1">
      <alignment horizontal="center" vertical="center"/>
    </xf>
    <xf numFmtId="0" fontId="2" fillId="2" borderId="15" xfId="0" applyFont="1" applyFill="1" applyBorder="1" applyAlignment="1">
      <alignment horizontal="center" wrapText="1"/>
    </xf>
    <xf numFmtId="0" fontId="18" fillId="0" borderId="0" xfId="0" applyFont="1" applyAlignment="1">
      <alignment horizontal="center"/>
    </xf>
    <xf numFmtId="0" fontId="0" fillId="0" borderId="10" xfId="0" applyBorder="1" applyAlignment="1">
      <alignment horizontal="center"/>
    </xf>
  </cellXfs>
  <cellStyles count="4">
    <cellStyle name="Hipervínculo" xfId="3" builtinId="8"/>
    <cellStyle name="Millares" xfId="1" builtinId="3"/>
    <cellStyle name="Normal" xfId="0" builtinId="0"/>
    <cellStyle name="Porcentaje" xfId="2" builtinId="5"/>
  </cellStyles>
  <dxfs count="46">
    <dxf>
      <fill>
        <patternFill>
          <bgColor rgb="FFFF0000"/>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Structure" Target="richData/rdrichvaluestructure.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connections" Target="connections.xml"/><Relationship Id="rId17" Type="http://schemas.microsoft.com/office/2017/06/relationships/rdRichValue" Target="richData/rdrichvalue.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20/07/relationships/rdRichValueWebImage" Target="richData/rdRichValueWebImage.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microsoft.com/office/2017/06/relationships/rdArray" Target="richData/rdarray.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SupportingPropertyBag" Target="richData/rdsupportingpropertybag.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8">
          <cx:pt idx="0">10106924</cx:pt>
          <cx:pt idx="1">10106936</cx:pt>
          <cx:pt idx="2">10106929</cx:pt>
          <cx:pt idx="3">9421486</cx:pt>
          <cx:pt idx="4">10106933</cx:pt>
          <cx:pt idx="5">10106930</cx:pt>
          <cx:pt idx="6">10106928</cx:pt>
          <cx:pt idx="7">10106951</cx:pt>
        </cx:lvl>
      </cx:strDim>
      <cx:strDim type="cat">
        <cx:f>_xlchart.v6.13</cx:f>
        <cx:nf>_xlchart.v6.12</cx:nf>
      </cx:strDim>
      <cx:numDim type="colorVal">
        <cx:f>_xlchart.v6.15</cx:f>
        <cx:nf>_xlchart.v6.14</cx:nf>
      </cx:numDim>
    </cx:data>
  </cx:chartData>
  <cx:chart>
    <cx:title pos="t" align="ctr" overlay="0">
      <cx:tx>
        <cx:txData>
          <cx:v>Oil production</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Oil production</a:t>
          </a:r>
        </a:p>
      </cx:txPr>
    </cx:title>
    <cx:plotArea>
      <cx:plotAreaRegion>
        <cx:series layoutId="regionMap" uniqueId="{4E3DC997-3E87-41FC-ACE6-F30E991338C0}" formatIdx="0">
          <cx:tx>
            <cx:txData>
              <cx:f>_xlchart.v6.14</cx:f>
              <cx:v>Oil production STB/d</cx:v>
            </cx:txData>
          </cx:tx>
          <cx:spPr>
            <a:solidFill>
              <a:schemeClr val="bg1">
                <a:lumMod val="95000"/>
              </a:schemeClr>
            </a:solidFill>
          </cx:spPr>
          <cx:dataPt idx="7">
            <cx:spPr>
              <a:solidFill>
                <a:sysClr val="window" lastClr="FFFFFF">
                  <a:lumMod val="95000"/>
                </a:sysClr>
              </a:solidFill>
            </cx:spPr>
          </cx:dataPt>
          <cx:dataLabels>
            <cx:spPr>
              <a:noFill/>
            </cx:spPr>
            <cx:txPr>
              <a:bodyPr spcFirstLastPara="1" vertOverflow="ellipsis" horzOverflow="overflow" wrap="square" lIns="0" tIns="0" rIns="0" bIns="0" anchor="ctr" anchorCtr="1"/>
              <a:lstStyle/>
              <a:p>
                <a:pPr algn="ctr" rtl="0">
                  <a:defRPr sz="400">
                    <a:solidFill>
                      <a:sysClr val="windowText" lastClr="000000"/>
                    </a:solidFill>
                  </a:defRPr>
                </a:pPr>
                <a:endParaRPr lang="es-ES" sz="4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regionLabelLayout val="showAll"/>
            <cx:geography viewedRegionType="countryRegion" cultureLanguage="es-ES" cultureRegion="CO" attribution="Con tecnología de Bing">
              <cx:geoCache provider="{E9337A44-BEBE-4D9F-B70C-5C5E7DAFC167}">
                <cx:binary>lJrZkqW4lqZfJS2um0wJSSAdO1kXgj377OEeww3m4eGOBEICSYyvVY/QL9Yr6kSfysyqruoy8xtn
sxGINfz/t/bfX5e/vZq3F//L0hkb/va6/P5Bxdj/7bffwqt6617Cr51+9S649/jrq+t+c+/v+vXt
t+/+Zda2/i1FmP72ql58fFs+/Mvf4Wr1mytf4svORh3X+/HNrw9vYTQx/Jef/j8+/OXt3y7zce3f
fv/w8r3TttQhev0aP/z86PT99w8YYZQJkn745bc/XufnGTcvHXy5UO71f//rf/6tt5cQf/+Q5Nmv
CBGKc5HxnH34ZX77x+H8Vy4IZYwhRnKMBP3wi3U+qt8/8F+znFEq4DAhORco+/BLcOOPj8ivIqNZ
LgTLKMkwy9N/bs+dM2vt7D835Of/v9ixu3PaxvD7h4yRD7/0/zjvxxNySnJEM0wJTxGF+xM5fP76
8gDvAE7H/8vPiCmlh7Rc10DFnidJ/ro4yl7TTgxIzsGIIGtH2H3XWHckix4uua7FXS1IuxWdXsS0
C47Yz7MP6a3LHS6reeCiSJvQzHLqYv3kkB1UkXd65HINyVBsQbHCotbkRVb5xRa40f5rZRNMS2HH
+sTHULGyqbz6RFs9fFtF4g5pMqn3BJFYlS3T9SDJ7KpLG7Zxkn3eVjvUCdLLuaHTPYQlSXe81cHv
8m5w5Ib0SZ3LWPPNynRJRy07YbXZMauW/mQWs94oQ5vvtp25lnqK4yvrmHiL45JGGXIXyl4stNyW
NN853RAn4zhvh00Zp8u6neMs3RbzU6As0iNxU8plXWtzHRJt912ehXOeTHCXMc4PM85GdZ0ixqKE
8Bxe3JiJ25mg+UKHub9DCWIfGZ3JV6+JaI5uTZiXgZD0Pm8p2q0YdVfblqanFLVjWfeKXpOQFmM6
d/uZtN37gDp3Nwxi/NRFgepDWGJ/oELZQ69WtcjE6P4wNa7ZhXQbD54Tf+I2ToeMcL9b+2zapxML
h2qNU1JkLN1OPM79c87dZgpnW35jcegfNz/6ukAGd1auU8cPtedTWW+DmorM5u1rHIg+Q6A177jB
8arJcrMT7di9GUiZb+mGukOf2uoxqf3WyTUdxNcqmPqwQMReUeHQPohuOLf14B+ZMt05RaE5ojj7
j0lCptJTpUvPs+28NDQczBbTMkvhvNaEBFbK/CIhZPWJp9zstzHA7TPvyHvCuPvmlo1ddRmtGrlm
eLhJ5pw/zZvTH1VXDyc1OnQKnLMrk7W+QL0L54YR9iZo7Xe6y+NdBwlc9j5Pdnw128dxtuk+tbH+
gtVorxGtSFmJZpC8z3MsKxLUQSdVfqTWDbfNnGyqYI6IYz2082Hks/1G9cBnWVk23+EqhLe2Yv0d
mbU79SNJHuYk14VO1v7KrHgc5UJEetM1eLk4U0O6VnkrboP32Xn1PDwECMSSzvNw7MO2FF2j9bFR
ZMZPcZiXVSokspc4uPo21IGf+mirncFLcmZm1LupX3IrF0Tw6zRP/Jmjpq4Old6Sq75ryC7Rw9JK
P43daaFqK+lC2wsxXOOSEN0h2Uxz+6lGY7eU9cyH/ap0w47pVkEZID6UwfE4St17PX+qfBX3dHaZ
udR03ELZrmbui4qMyyej3ZIdM8dRXWzW12KHZ9a+LxiFbxsj1RdvabgbY9NmEi4MpcVubrwxSYPv
mMlwIyFd+u9a4PVzZQbMJJqxaMq+2ZoaAqJpO0nZmOAiNnSuC6G39naZq6EvtiyDtHQzg92osC7t
1rpdN0/ti9Bk3K18FE+19/pmISs6qXyb+H6xYT4zJJpvdUzX63SLqpO8jToth5S390PN0+tlnsO+
wyg959aTIk4OXa8tGgordPtKpwkXk6nWz7xO2IltQ0alcwO9yojNHy3y2wN163ZNzBhKFTLfSlrx
8THRIz4h1S8Q2Mi/atbZWMxDT3spUDXtqxEtX6Lp6uMQebyIbcFfvKf+JaRIfFeUuYOfu+q0rnNS
jHmdXSpIoH09j+M1n4f8GJYku55Gvb4nPA8Pm2rCJHVj1ZUTtXZyJWvzCA+iCoxYfzW3PC8EM+RW
1JneNxbN30dbZ67kfq4/bRnf7l0Q435J4voUcrGpXe1t/yQYmc6+89NpFRxdFBZT2Wb98Bxj4suR
h7gnsHnLOlCpFs2fugr5I6Od340UyoBmvS4H8anGRh02GuyVYC37inyXFczmdD+kHXtzg7ZXnIxY
jss8nEydqkfSz/pxsdt0ZmnSF0vTLbcx2zomY0/Tt6zaaGly3tzWiWOVDD5zrHCDsOeqU83jNKT1
DR4TdwkijEIGlCa63Ohg3jqvkJVzUqFvwptJ8kHg3TqpquBmmO8yo9jBhjHdka6rn+tEk6vIlTrh
jcALy7qlx/sch+yGmSqektzRuy1mtJznTbWJXFqow9osCGKhmU2BLNxeSrahDDpTO6P4sjMpHxvp
dBzv02VccOG3Ifb3oyJ5L+0CBUIatOLToj0ph4F3sltE8+6Fzq9WYsnVQIJ9MIu1V2Ry+Zm4NT0K
kXTv6Uzqy4TX4b7CImNS6TbAotjS/nqdeALvRvGPLa+XU7vZ4SSIms+4GtiuhSb1BB2axBIyDX8m
7YgK0/vskIfR3sTUJYcKT/OxIi4cMPX+4iB9D6G2eZSr6KDK9n0GfXZt7qA2ai8bFtNY+OGQZc48
dcSR5yyG/hh4D3s6kfGg7BZbOSZM30xzT08kbuOuEYu+ZGJE+xkPuZIdmfo93zh+aqHxnNiMYybV
kDbl5Dg0ZZ23ocj6ypyqpE6KJOXdXKB6ppdhVeS9Y7VL5Woi6QoaRbvDsZ6zcmNGuAdswopkndep
HDY7y3zlTxi3KS+metZf8YTUs2Ox3XV1lvUlHaCI5O28fa95kpXjYMi9xSs+dLiuS96S5pMyg4OQ
b9A1hGzYJZzzsgFBd5s2+Xzns63ZStO7JgO1FP1+HZd61wbmd1Cc2cNs2brXZlL7hMsK17IO1XDI
O9zftb2qL1xswylp8/mcxlAf8RKPtjJbKyGRq6s8M9k5EIeKKkLrhV6mSqFyJHvbQRMGOb+8TWEx
DNTmph7bgOZnakP/vlVjftxwNRmpMzN+U0JUT950mzRwtNzsanZjV7Un0Va8aLHK5Lx6UdbZMn0e
mGpK1ViipLBrIkE3VxrKhHubetft2jYup25Yu2NdpaZYXNPvkwapPSdMfB+Tut67UfkiXULaSdsM
RE6b5tciE/MX3/K4x001gbSjw23Wk/hdZS2R1BpC5Lgm4zkRpFZFjbLwTJqZPZEMar2MabMdXGzi
oeI0hxSY55NfCJPMzF7vszmm9mwtwhfP2/yedsu3xcHOTdi6a9U14eCGaNuyr1aJRaovfsp1udKM
XHCtw2WYKNnlYUYvUM3TLy2n8x1BGxQ+PS/f1x4Ka5EHT65UwszZjmq96drEFWKqxhfFQA0XXR+a
7mL6DZHCrGg4ce39J7rS7R7Uf3JWiQ1FwxuhpE0hJyXnOt4InrnnVeixGBTLrzucZKdJb+yabAl5
zT3Gh7ln6/fKKHc0DVp+tOMwOzmOMTmu6XxkOtVFP9XmuqtqDe015/xzrXNz66Gm8MIQlWIJggYF
OXHrL4y34EV83aFyS1SjJEeVe2smLHDR6DR55otqjluozHVMAv7kh2nZjSBhCpXkard0qL5r1kwg
iRwP99AIOl3A7lL6QxPMT1a7pJYxF/wWOs52lQ9QneWwVN1561N6xxNKOzkvYMyKfEjZVzat+hzG
mXyxLNffxajRe1NVIxQD1DePw4Zjvv+DrfxPrBoYxb8YtRSnFNqloJRB6eR/MWqL2NIBjaLs0CYX
/UUNq5wgEP/rVfCPy/zZD/55GfHnZdLG2nadhdklx+xp26OdKY2SKhTzPtu3++lel7z4b9YEQ/3n
NTn4XMoQPB9H8Ih/eTQW5lyMCze7WKIiLUJhHrPy1Z3sLrlrDv/NYv9hH2ExxjDOkQB3j/kPQ/wH
w2vGMbFp15td2OF9usNl+jQUqsQP5Lwcsm/mnJTN//gBwcFnaQrr8izlJPvLA5rVxSWPpNktr+CM
juGgD8nTUpCiK/tDXv7bE/72DwbyM1L+YfJfXb96XaufEOSf//7L9f9lK3//8bV/P/4DpPz7f7f9
m32M/u0tXr/0fz3zT1+E5X6u/4PB/Omf/wBk/ohK/n8//BOPeXWjjT/wDihF+0eywvAf3vWPG/kz
iXHGdd/0y1+/8ZPCZNmvHF4745imiAtOAbf8JDEc/5qTlGYIpVjkacYAt/wkMZj8SjgTXGD4o7mg
kA8/SUxCf00JBmQiUiEyeLn8f4Ri4Cb+nAeM5ZDb+MdqKdh4AEJ/YTGhDbrpKt2WyM/pre4mrfIz
ODVtunvVW18lq0Q4WeyOoyHkj6GfZnpMq8SzG9wmS5R5Pd3ifnjftulE8um9iUud3C8MRDlU+2qa
yzhl+r0jG5ZsGZN1vzqcrw9U4DorSFUhe2pra9NWWp2m4JYx6plMQt2uO0tinD5a1dRbmRo0LM8d
n03wRQXWM32ZuHOmGFoRXcEalM1FD51eyIH1xlzGTYtEaotr/+DVVIfTsqVqk6mdKvINfM/Yv0/B
6unAiG6pnFWbL/uYTOsoczFBvlZjktuHCewaLaxt4gMCowS1IooBcITqZrZHJMmD7EzehV3tUAss
aGum9IBBzBmpwMbloNFHR2XbQnUoGz9krqBtA2a3mmslCri1zJwUtXknFZi9fleZ2lXFuAzKybbO
Rw87OYH1yuWStLoDUAKusgzRxPrcmLlpbpoo1u3ZqRbp+hWFTnwFc2cbMMKZF9IOXXLPBlZr6RbH
E5m0Nrz0FTNwZHQWmi1RaFLSJ+Avvtaqmakc0mmuvvq+0hbJJdBl3Y/BVs1numIATINnqj5FSltX
2sltfUEDeO+joSqkpRIUzFLFF7d98hlpwG1ko3BlZmOCjRTJ4ACJCRS2B1M5XB9EGtEPjoGGLxqB
TkYgSx1TO0unjuwUuCu1C9ilAyiASOLR8a3Gx65ZaRMAK8Hd35jAu+kCzrYyF5rxoS26dRvRYQSR
0O54Uqvp3NI60N1Wd7o90WVr6HnK1DDfUzos/JKuBJsSeBpR1yPd1hWCClyxRCB8T9DA8XCshTW0
JD0bkdyQXd/nyNul7OJUMXYKFajlMwRKwwBjahfkwLd5e7AsZHBSi7zfBZMJfNd3YzXuxsTw7Kpd
aLKeSAd5UQbwis5J5dd5BXs7jSi/imvMadH0dNHgmvqpPYu+0W7f8mxVu1l5v77kOar6b7j3oMTx
NAEx3fAA275NyZhfQuir6gVso3Afk2prmn0U2teg5Rz+NCbVPH5WAadTDS4u59M92xBvXteKCL4L
YU59Af1Z6MLWCPPTHLaZXRhzY16uiXCayW0dlg0cJ5vjLiNmM/ctV0adLIAddpdsS6KvqqDhnCED
MHVA2WBFWiYd0r3sx65pS85t3vegYfGalWnlR7dD2yLQqRnHzvWAQ0eehaOuqnW+iuNUtQ9tHVZS
GoNYdgZ4O8x7CuiFlqlbhuZTrdb1Etoe9q6jk3mu+zXFu6WyzVwAyxj1KeA8Gni73K+XLJuW6WXr
eEOKbTR22AkckrwUKV/eOYcEvlJNZyE8etNVXsJ79/bIxxXkpExF2+UHhSEcd4hMhO0nB/f8JW1X
3wOwBoh+RvnC0QnMXTRflqXpcTl1Q6cvNcOVOdO2hmhxtu+Hnc4pGr6NiCz1R/BLvC+mhfIwlNvc
2dlIs+DRP3Rb3wfQvpx/RE1qQNLarL7UeMEEwrZnnyozjbioe9rVp2CzsJZ4MGKTs/HztBszlORA
0SmHWtv3yZdWUWEl8jEr5jRWi0Rd3hymlg0PAkqNhdCrmlgwWrsoTUR+knU2pZdOJWb+Aam8LnEb
2gtQFhVk30/8QtLUXlVxSa1kiHQ7kxsMrIeu39jikZZT1k9XNKrFl00S5kdP6xS4RLXcBUH4KNXc
O7CpcW4qIOG0ypJyG1tSXQ9GhbxMaB/XHVhX4PBZW8fwYibKbcFStGzAaGmopE5daI852kR73CYa
8kz6FK3zoamzpm4kGcFXSF9VZIUakffTOZu1sceqYtnXuUvT+qpjSpj6CHHnh/c4AAV9ChAEsSsi
CwAyGkBHXYxPPK2KOoUxBVIPscGXRWQDsJD5nEMmyc2lH5eBPww5nYt8gvKXY4D8wP30fmFJXrSh
y2QWenRENNHH2mUDgJ0p7tBYY9k79jladhd6Dqgm3jdQC6V2EDQJ2qZyrrYM3gcxsrHxOqH4qu30
AEWUzCde21uYkTz7Vj0yvHKJV/M26+V+2MIEUCCt4UWEt3pJXsDx3zYEOlO3zoVaSTzjEIA/0ZRf
odnTTyS1RLYWAyIz7dFOSl042dCBDQTaiuHdvh4SyI4AwxeStI9zLy4chiMSxzaVHgJ8x5ZYf0as
HgsO76SvbTywtsrPpu/EAaeuvo+QonXZ2L5lEtB2dwuTC4X2uIr0AIjxew1wEWzWoqSB7NhNbfai
k7a+UktwuxySH64s2lKNHfQxtFEueR9vV6UArBh7sy7rIn1b6wendbbnht0Y4FovIGc+JyvOiqYh
57lrPyZamd0M7/oACatkxdSLcAO+Vd0CFtvNQQoNJs3nTuwR8+lbbJb2dtPze74uai/Q2hSjyc9J
px7SrRPXgA7upxQp2TpLDu24rAfv+qqIff9iXEsfVjWr56Qbu3NUrC/d0rLPa0zaC3BldkjsjyGP
dUmhsf22eh9k3o9XWzLkZYBZSLkRXBUhgrG0HrXfwoSujTFXHHc3cYOyaQfX7KeqHwogiNlOrPxF
wYxDZnZqZLp5Uayku+T11uygm5cwRHFFFMYdF7ruYXx1B1s3X1GIKTfHVY5D/wa2Bmwq7o/e8mP0
5tlv6TenhmMz0FmmwVxrtp1zKlgp2nAFI5qmaFPfnCKz+8bYu1ah01jnrzSGU0DTXhFRS1Et+3lZ
9ipVh1Sp7qVJWn+cVf29zRsMvLBjh3kJ3aFZxedJLAnEND7k85YVNXGHZWoOPK8LBZiigNnaXEIZ
eAD9/dhicmG9vwo1MA5XAb1eebgsQOPNCDU0bepkF2GkWUQ1tfsqadERBj6QwlOfbbKmXXbAFg37
XtTiI920e3QAoj8hmk6PNYnoTVhVPerVjk2xEA+YonGqlhgmWtC1LW6fxj6CSsozse9cw1eYr2F1
EWShV9UKEnXy4/gywgTkKde8fYBTzB0HYl7anqlrFT2Ryiz9HmQ3f+tzpGE+6rajXUV/M3Zb/XmK
1XrTrm0sKmyz94zy9i7aMZbZOgzuBrRoS+FhMa7k5qdYAH4Mn50SiTo6gLTsepn6tZE1zAA6KGeb
Ax/erJvfG1+J8WRBR3/rAJqOBRVtHEqeJbXZUb9OjwzmLFD5p5ivJ0jDKZbTaDJ9YJO2zZlk48K+
OqNzGMhFnDVQJaj7otckG9+4QTo/DM5YGMcOa23rvhDOJ1kRsKi5zDmu77WBIYB0A8g3mbYtX6Re
Fx1KNI/ofkSjv7a5R8+r9hE6QU/PaB3sKtvB8xEeIm6AL/NQpXLrsQZ1ZcARASDvfPgBfONUeD/C
NtDaDAYUUhrFcQFdk0o+VvibS7JPDcd2R9MllxhobQMuZbydk3WXZIDfNjLGYgJXUULKLk/d4tuL
mW1/bEIMUBdb6MBzn+y7+scoIINW7FoiTnPlkGRNg89QED6anKqHZfHDna1XctH1yqAQo+bkJ3Ry
I/pscYbKZQCcpZtgpKPkOXr2lZo+u01z99g5jr+qtPdn1yFoz9G7krFhPuIkeRPDkt1ueHpxW/5t
Bi4KI6V2PQN9V4XKkL1lsYuXrp+6A4zm2bVKeYB2qnQhZjM/9evKywiDyj0ojO59E2bdQxHfiqbT
ag9xCdyGqBHf9xvM2yId1a6hPnkAR4F2s5hMqcE/gXTsYDooeph+AXzOAtgelJxDDZJSIpJ20CJC
csoWgq5ByIWDHWxe0Jpem6Hp5ZDn01WaV77oPMcwckBOfRQWuQsb+wqkeGsOqe3NNc+qAfrO/H2I
YoaJ2dIctK2Wk7AdLxyJz1AZFDwY35sf7aJaxpuOsu/5IAoKs1FWsWJaDZYD1g81IW94pcDepscR
z1AttWsKkH2LrCbxJVYUJiC9NtDmR7EzA6PSdumXlDDo84nAknp3znKoM7OatsJm4Ku3KjsmOrtZ
enLjk/gM2m+VXVClX+qnpg/HKkwwKYjZdZK1L2MaPlMLsqFB+Lai6ZWAgxFPJ4v4YcYOhrd4dcdM
1ObMMCuG3kBjSWkig2nYnrfzzbK2H+00fl9RwHKb+2tQXtd+RfE61yACSAVsL2vpu3CJlnzOZuiS
6DpNs1ObCyK7diO7ifhBRg5VtCYw1Q+DnDU7+Qp9jLU+jBncR0Zh+mRFjAefVFRO1L0qvA37MWpX
VtBGCvhdQlrWGmpgk2kidcuMxDXcdLKkRK5x+UqWrPT5Cp0SfrsDI3D/pOvsKYYAM6RVmyK68WMV
u8PYikkSBD8zsEs+naISo/RQYk/9bO7jtpS+jQbo/Yp32Ff7vkmhaCTNjZisg54hlsJPjdgFm9RF
363PTTNeoejT3SASCKUEXN6cNlJ789HH4R6AOzo4VyO5wsh9x9DwKggOcubkfquXAi/oI23E3WSa
c6rCLWDVQtlmKWer6/vek37fzDYe0xbqT5MCG2dh4EBYTHs3UEuLEHxbZE06ztJ0Y35lmpDBlbT+
AfvXK6ezThpmN4lGBSMPo6/g5w9wSKGtGBN0s7H8lq7hRBYLd8M9LdjaQ4NG/CIc21O00oNZdXfy
CYR5ChatMt1abjh/ZoNwhSXJKHkmHlw+X/3A5WvbYQme4tiQ+pnRdYeSFNj81n4FbHAd2PrJTOFp
bYd5p7bElQ1KDYQ+P0LN64/ca7TLx8qUII3mItgtKfAMKvXHL3/kAnshB1rBb2QgTe11vwI0aE31
cXKL2fWdfcJJf9XVRNxT7GA2PMIlB5Oue0cNzGJr4a4QSvoT6LjhMOCZQsPJx2dQq6SWg286EILc
n3yY+lDggbIOmMNC9myb2h4wThe6ohF9BdP92VffhrWfTqqNuN6zfp00mNG+eolju4w7XvcbOyLC
oCsy205oJ9SwLMDDsd4LXU0Pyf9h50ya5caxLP1XynqPMBIAQXDLwcc3D3qSNrCniRM4kyDAX9/H
X0RWaqgKZXVbL9qqNhlpIVO4O4nh3nO+cytFz3ybfJQwBDgZ1KqnUmITqYtnjZe2dx48gpxxd3uB
P3YLMVMEpck1Nc4OvuxyrudD2JnpEIi5+aZ9EpxmKBnH2RvQcwkf7iFdsP9oubkWXJEoJf4SGrV4
QXMKfwOvmWxrsY88aXi8aOXhmPFUE5yiLarYuW7q6ZpTsrxvfDF2+6qGSx3TENrGMYK1sS+jMjpD
vFmja+3r/NjqtcaOggc2HttGzYmAsXLrwbS/3aiK7opCuPKhr+xkj3re2NVW8kLjAbfjyTYj3Q+5
9W4qHxXNnqxl3sas5dpPayhdUAqcHws0dGeUEDYby9l+K1TYZmir/EO9dT7EQ7bRVAYzwXEQ0piQ
6j4gm7sq/eZpYHQ79zTI3+kG9qbiVXmbj9706I/5fbeZs4M9T8dpPHYU5aoTI9+1pXoqqm2H941O
WrBXV610NxBRxtzmJrbwXJumulf5cLPMrEzYMt3xBSiHDeTRVvSG22ZXdyzrQg827xR80VV/8tEb
mJF8bGwAV8eOJyBaXlaJ7mVsqtseBlsGJ8slPhSzVDRTm9ChWdDuAWSZqcC9J8QuZ/Ct0YmmNIQT
jOL0eiklanxRfRhNeVWjiATRNnUx3slBuO5a1NGJhEFGRithWxm3GzUUxUZF3T0PihninqlTP/c8
3JJRnslOrbBn0TdUfFvjeQzZqaZ+eRuhM7gNWlqBWOl7UGauBY82cnw7Lvweul03w+Fd9NVaQJVr
Gs+7IR6vElqbaxOhTyNQi/FYACvUBdkL3V0tvDjIzTyyusryvL8fqWrhe5M6tlwfoLrVyVySM1XT
M+tnnvhbXWcKHGImyIxDkPPy2AvWoHhWx1X0PLaC3EXz9jKtQxQbq54qhvuX0/k9GcltVc8zmDwr
k4n3Km49uq9K+Nulnm+WNsTNpoCpWXsLafZTZ7CeQ3UTFs19ZeHJ0GCfO/egVx7ETdubuAHwEC81
OfoL/UQIPUMqzuNNkFc/kh/9EmxaVVZdOhL0wl19pxxABeGu59w7boV8savLllw/T5oeIJimI52O
gJX27bbmMfXarJIj/MOuOirl0yQM12vHi280n07NZq91NdxPQXCPY+c+JPlzHg7fAriqHTSAnKEA
qRt3O9C63VcbOhMXjt8MjOMkYuYd3m0ajRJXu8yoAqkI9fjFyep+cKqHjUyOXC+x2oo7M3df+s5k
xDJsv2kXgNiaug7SLN5twBhs/CY1lhbJFOSoOMYHSgZ0kHO2WXakEPB51d2tlD/qMhjBMk1zvNXi
bm3JDZS667AxVeLz5nNNvPdaFLe1Gw7LFOGiDp5x5l9QrAlQlp3npF/lSw87U8s5T2hjPIitobj1
0d6hG3FdrBRh8aRqup+Vd8wN4Uld4ILt/bB/N82Q2/1uGmNgcQkf+mc8wVtZmdOyLcks7aHqvHNk
UFENyp4qoXeS9+daDhnn0E42XwKWGeoisc5rYuz8l8aLgjhv+3wXgQyLu7E4Ql2M16B7ncp1j6Ly
OZdsv1XdJ+3GG0hiV7lePpduDrAo9VNdjdm48Wy0/W01sttBlwUuPptCIExrUl2hPv1YiepeVyrR
G9SXZn4N14DEcGSx8Sj4nJlOe7ZuAEfRR2kz3M5F8RL25VNXj2Vs2yE/FN34tTM5JG40gihn/LRv
AB62uklAyn6yk/o018FuyIsnNkWv+KHVWeT2ppywMC+VkqeuCrVcQTlPbAPwiGnY/LQgRRbQ/qml
0d7YtnvlIFNPSwPIZbrULHT1sTWr9t7Wk0qjssffDmyRmW25CxXkD0q7u3J1u5aQKPFKvaOqf6pB
LLxRbbQbtl0Yii9hL8h+mRqe9GPQ7TjJH6D+fG6JvF6JT9C3hZeCczuXyr8e5VDEq+nvA6hFiRuW
w+yveKjBApLIYnV0+dO8mvfYqsWh7KO9HOiTLPVx2XQXj5asu38NldNVw64X1f/rqJzrfRT9DJDW
/zNUDrLKJzM4yCrhRXQBvwVnBOBcVZTApk2jEuXKu1HTEu45eZKGtfsWt3EXBjoJWQne5h80HRrR
26CHrT8tjiab529x1ARDNpRr6pMQynAVlnFOsUuVh2NARBDKI2wTqB0mRktwz2t+8tn4CN8PyzSU
bifamt2VjM0xdFEPrtOg0zcgzw3CxjU09bgZwjqGIvtAul7GnR7SaJMvrhEjOMX6o6jCTx3q42Qp
6iBhvRlgNaqXfCxSLbupQe9jP4kyfO8KSd4HU7eHkTRmHt8Ozew9KN//NA7sSxHaJBIbSRn475ib
+sVZ6yU97JK0GmgX9wqltg+X4xhcmlAggNNuLPH6rGFHvWxPYUEEtML5/VyTK5BSt5Pxb+aBujRv
JnHIgagnbe5PqcClHo9Fo2NSTmUs0Gn5bX8Oo/LQkQoH/bC9h3Zx24Tjq/a8xzIYtthfuk+bcN6N
P5qDz/mjslsOLQHKvWX6WDBx/D1iWBvj9iHH14dWcsddNyTO9pDO/s9oQypXeytnpf+HNvz/jTaE
dr38S6ghX+YlW6X4b4sauvH2L8YwpNMIqz6SroYb/itbqFrodTHIBWB+8CL1QzAMQbNTc10VGclN
+9VXzP+ipmg9uTysv/5JAJpWTR8VlIh3htWdiGeQ09ufbF8PxMyP9bBVH/22th/bwuuCDOXMHJwF
sibTjjfRaJt4qrCXQeKjaYjNKiYDtahBIf4nXxex0QdSHRqmMn+AvAkRcnNa3OVhgbNAqHxcD1tX
oNAbPOWHx3+n39Bi1gbAZgGwL1Bd9CzRq3fA+zQDT9GCzc6WTk1k7+cuErtwefOD2xWV1DrP9R4Y
k2NZz6IZfFYEATCegpY3WTm2sOvraEUZOjo4fHHjgi5P8iGU+SGgTp98K4t5N3Mzf4IAO9Vp409w
aZY5miNouHR4D3IFN0wZ5KRIVK/tuJtpzuRJy764KX2Q4mkZmj0U4NA/hI5U2wNAlAu4WvR0TRvG
traGntH6X7qWwKGUpMVJK8Sy2F3eLFBRg5yjlcUfgt1gYrzIUAr4YLwoVvPM52DZ06lduMgqT7bN
uQCdLmEzBc1wLUwuy+vOQgd+DYJaB9drt1h7PdVB+2GqltXiW1MNb8RffOfifAhMooBqNIOdOxgt
KvpKWxd8UwI1BQjAbpnOUWmbe1kY0iQTxKKkGsFAJARZF2gmoEWWmE2z7PeBN7cmnVSOBABdoSEd
l8ibv3JCYXF4m+c88HLbs1ojFweyh40a8Q188lyXnxvLlz7r52iJoCC0DDRIE0XuwZ9RUHvd3Czn
hTL5GSaHswngn8Wmi1IAcDxBpLcbPVVf55HZvs21RdMvvN4bUqKQstt7DQllVlg99inx4HPEc7mU
RdqtTX/FV0ftlbkgI3tU3mN1ac0KNKOVnNh56SaoZVhDQH9Xx0MgDyJSm73iZOnCx9CokKSrLZvb
HnpGnokcSEXS5Dofb5eS5SxzEQOQEC4QePbGgDq5GmcSBeelbvq70KoNpBv1zzOu2RUd1mLrxwrx
iPGaLrlBQbMRCmxHKCxDGG8rQVnfSvBI1usHPM5q62OwUABHVh6B+/YFCoXMNy1rdiYkvoVXPzRR
1lYT+Vz0CONd9YBzoHz4BnJSp4bqi93CQsWz6Fgigwo/dOjkvSEdABKQOsIAsakLlmAFQ4asywi2
UuOpSCW9W+0j0KApR9vlqmeJ/Je8d/mqP1XBNm3HNSyK4akB+ODvZkHQzntT3hdxhaJNvdOC2uba
L6Zyjg3+KxaGWbFAk7UIAqEMMm3zISSXEoiTIq9QhU8SAjWdhHsJxsArEw8UdQiluhpFEuqieIdY
CJPxQIohvxct3b6sw6K2tKEK+M1Myu19XQk4p061kseIPS6f/GFr6qRsCmiG8xry8bbPtfkG+7Oq
467AfzHro22yMbhJ9m6jTYPyKxyA7vdQM+oEXBaxXz24SMMuB10T7r3IAHr2CilCbLDCNIisVFV+
0rRy33gD2uGIDA6XWddrE8Xa2a09h17XjgkSPWCp2qDiemeiGSx32VT0neErd/uBh4HLQhqo1wIi
7/IxAKQxnXpS0THNq2DAOR6Oa5TMCFdAMCYNuUJbXraxwJphcWSQR2nN6N24TjV1WuakDdLJjd0S
u0WDs8FhjpYauIo+WMBQO5yGIik9Y/qkrmkFJxxRSIs4ScOCKzHYYUzLwtPTSbM84jgWRxyfMDfg
Usw69GH3w9Nv06XicOODYuN2p8wwLC/wMOWrgtEIXdXX9JKoJC+qDnqTRk5zNPpYHHAE+og3u87Y
MbiH4sHqxAtcXRwHNYX8Cvmw8ZZXfVslZTltCPhpPtJkJqsNjjhpZ3aeIzQQ6QrEbErnNg8G3HHd
plKNiKFLsHlnxHKYAh4/2qC+1jn+4NyMPhjoenA1/GkpLbZFP623SJDYcscmBtCrbIkez3O/QSXz
+27rYuDkdXE1QR7ZYiXF/LlxQ9fs2kHlUzJpx4LEwUgZ9o4NvNwXiEPM+DXb+hkRQhtBXPMCuadl
DWCqyHPb731Vq0+I0pFtDwYK4UGy8DHaCePB9t2qYgC1hXwoUh9L0ZXJWjYCSmFhxusB0as6G6og
MLgB1+12Dg21iZ50WMUjdyNAkx4gCjrozkP+kDazzUDN4ORg1cyn49bNDNk5fNyUCeQPXNLg7wYZ
hyo4JeHaIQo5DWDF0HFrGIJFB3Eu4WCHS27jAbzAc925i25EHHcJ8qG+O+mKBgR8Otc5NlMj3Hbj
h3yo9jxag+VypNAGpwxubPEbcvsCh/4AbkOM83zBwoBKNDEUrOz3XDPQSeD6TUHRVKkRu2GefBxN
bNzxhfQxnmR9cMNvYOoLDP7DZ4ZeEAJ/9XG+I5JML0Drdyw1oO4S0nzNUh423kMooTqyYQCSWnfT
DrK02rU5d2mNB5Gswbgtv/nNv7DcoScYDWB+Mk5DRBB//HyoeMXmAnz+PLTbzi8LcwipAy/hFfbr
dyzxX1D190np/+ijuBdGAfBxHoY/s7nbisKzL3qW+nTUN9RDQ04AzKV1XsuHv/8o//K1f3ysFDAx
FwAjBfCGt8z2d481L7G7DSRXlBkOpO0CRTEfUGAGqRqId1UtE4SvekQJ5HD49pDg48UT3m+odUDP
P38LySWkaFDyAiLCT6A8gkHNglODpfnc0E81ClOT2JrouB90ez8h/LX95hN/WcIhfquIQklBQfuh
+Gk5IYqnSuxJ/MxOFHFXma+Ab7wUEPD7YvSQmAQg+PeP+te3ypCzR/yeCeiHkl6ewXdPemxswQez
BilsmTZFSbrFTAMS8kIz/2av/PI4kfKRgcA8ARFwxvhPGQBmwLutywyO2a+G94WV1WlbODI1OcKK
nY7I4e9/GnD2H18fPgx5FMo5aHeGbP+PP21gRV8FeYuWQA5IHpChBABnoS3+Lr7xH3wQ4hu4kVHd
4fD5+RlGdsF1YxG0CkbPPIKJLW4sN2H29z/H//VjpEQQlgYABnko+GXxfPeqFgc43ua8ytomYLu2
q+i+9nmNK2GqkhHSUZKPcovxJd65NlcZSI42rnmLuQOyuHQEFgZ1qPLfrKDLa/thryI/9/3X+um1
trXCjzVBlbm2APxRA0TYlga5uZ7USbAF83Wd59WdVhH9zYL65YHgvMVrxZZhvu+ztwf23QPpS/AE
jNUakU7WXnXKRXeu9MLffMrPO4RLHOySIhqBVYvK+aff5yEaqWGy+fDuQUiMsrS3Heq8WFaqSP/+
Ff/8g7D/5GVMhhdQzLZg7KcVOzLQ7ejeK8jOPpyyDXl7QPu2D9ffrKWffxNWKvIVuDlCCrQrEN6P
Swmpw8hMw1LsfOvoeB10pnrgwnqAe8CcmD9/1n+fPM5/Oh+FcaCC373jXyI57161/vpvX77qf0te
l88/JHP++rv/GJES/IHXLiTOSKRvKF7YP6M5uH0C/PswlIy+XfF/RXOCP2Dwy9DzLodOIJmHa/Sv
aA77A7cW0jQoSfA/WMLsvzIkxb/cO//c4whtYdkLZBCpjwENIuQ/3UsiH3NUeCFLzXuTloftQDIe
61eWjMnvw2I/Ls4/PyzEfkNJE1w+7rJLvtvW/zc1Df8lcYS4HWpGgcgRv+xu+VMBxQWCEXQFnz1b
RE2jRsHZJyHZ9dBTIIEok5Vi8/eT62Q25sBdxFCXn/LCU7clFCuQsMuQhTBjM5QzkBwCT8TBpmak
cxmiOc494p2We+7Quy8SBG6OEz4xdl1uADZGx2iq2gTQJ7wMDQgLmECbdCUw4hll2EEAzD9glExa
G/dt9BpQin3n4TtVNTlJt2zJ1COvjSYGqTot5G6dvGXPKx/tfVlUN2iRihSVGonDWZWgaCk/90FD
zpJ43j4XOjyHS8Bvhy1yyJE7c91Oobxq0EM9B4CEbkkvYe4qaTS98QY9d3HUAz+Pe+QEcjgNmEfh
j/X2FelFv0hgU8GTE1H3eQ6L7Ysobfms22ioU2uW4MmfJMIfCiw2ug2x77Yt/zZOW9kkmgqTDV2E
5DHYnwVCgz8NMBSp2O6cdPzYB1V0qmjNsrlau6+45+w3Y/N5g9bgijNGAMDrI6PIYQfn3oj+d4K8
6Q1DveOjCR58y9gzsVvz4Gi/PnWmRNyk36YM4AV80Ybq6j2SOu6+Qfx2t4rZj5Ko0FvaOysxn6Zb
ljWZ3UDOi0c2c0DIa3mgAKWmWJe5eqz8qn8alZyPUUDmHUr99jzW1lOxAJ36EVNIEOQmq3jgyLbf
gQQb0yDk6hBpVX9pQ0YOvSoQHivnucQLV/S+F1FzaGu62QwpXxGmeuCTBEQzaD/xcxS/pI0ABXl6
RPEGcfNAzCJPePfja4OW/2XTja5iTfvqWOMGOY+FsF/qCh4mAzO8Q0qjT0fRr7ioG5sstaAJ5Wj+
e6/LM4QSNlhVEPp4qaPd0i40WXv/XTT16bDwNZv6YXwIprDoMbynUR+rJZo+VXlBXnJq3VOHKPm3
AIGdOZm62St3ulr666HV2A/KjAc9RsXHqOkgNpJoadjNhGEyY0brCFCPUZdpFhKroYdsoqLM85Tw
Y2e9ee8tK5q5zjJkX4ppczNEVd7tOaquT62v8pfwbW6SuoxQojoHvlvIbfg4FN7aJkjEo/csC2Dp
pkULm0dNK4FmXGYzLZcxTf7bxKbobXpTi5BCSuaGXzuvDz8sNYiWjFeq2hJ5Gf9UmaA/L4a0B9Ji
OBSKFHJTKF+2KSII4hHBHAIZcdMs2o1vaehlm5BEbErIweotLm2n8gtCHtNjK7r6Oe/x/+xbwjp6
S1u3IF7unPKbk5EMP7StJ3NXKCdvu7e0tncJbo9vGe6W+xpaBg6z+/ot5Y2nXR2phAJpLiFwU9fF
nhNBH8pt6U/IinsnFnTkXY215eP3mO4roRZAANlyL3V0zXtIrgozB3JHUjUHoA77fOzvI71On2ft
B3gTyKitK10+DEK2yBW5skqrKdfJIu3YZG3ZaowH8gSk+iNbouHbSgDdDdUY3opqgLOneGQ/KMJJ
xjTUAKYuCJi3rQkSOyqVng5TPvD6OPZ0OPvlNmQtXObT4tUIElm/y2pkHe4xMSfc5wzrBoLMhDNu
6JKBQOv3g6g9ULOYq8kg94Sz4MKfFC0SmrV+4IuPUQBglk+BrHoMknKfRqMm2LIAuWcTDqBuQR8U
BTR5DC2BMdD2MumR9DyuDWD8tgZcxMVc7pZuK1KmiLkoQog+mGGFvYyTVnjVdg09kWdtvUFHZRha
5HIPhZ0/zx+btnBJ3xqz29YuOId8NtcXBSdZjcdP4YyRCcyq4MSKAUgbW7ZjH2EiCURVTOZp9ZLl
xiIrhAgpgL2oiYqTK5oeesNUphgzIfe1t9CYQpy/N7gA0TVQDOrpF3PEaBUcNYEoydXYze7pMooN
w1OG8gbZDXbtFet0YrlBcKFfFRDFwTsyAH37vMT4nEqXyBV5vQRECnRo2+YxBeQdZBsEUYw9MuTB
n5R96MOhPqkSx82yGHqwbW6u/rRVlCv0aSQF+ThDDsuYEmuGT5fnxc5lVmu+4NTt7pkNwhj5qgkM
d9s9t3Xp3o09WJ+oYBuqYoxhSk07jk99XiJSM+USASPtphjjcfiNZ3ykGYDl+QlipUtCJiaTi2cj
t64CUAOQ5tAg1nxuTRiBGjYbuykZckOHPhqKPHmzc4QZRHhF+m2+HkMIZpY6iFrKoyuaZOxRhGJN
fYfDNwBxNyLiU8z5fBragB1D3BKQIavWwq1ZAZExTFGiHuBY2XnewYSYKzZqXDCmctUTyJLqrop0
+Zm6hWT4d+RsG9Xeb6Zon0NXhocozMsTDsPPpOmad2IGUxa10PIr0+VIaFqMQJskmRJXIyWp0Rph
/6LcgJaTJ8gwAhAdanDUdc0IGKEIgFonAMDlU5dgAJkAtzM3O4ek1c6XDYkRKuwSYHnkwvy4D906
FKnz0Yhw2vLPGNFVfEWoY7rbVu+S1ar8F7KO9soigXSGYYPDtpB+8QqgsCHAiDFUIaa8dTmoALz+
RCL8V+N+1hi2Vm/VOwcUZN/7ht0j5ouJXLRecbNsYmL3DVjRDx0r6b5kpjwQt+B7I+8rTq0Klx1I
1ejquxL97s+69nuli1466X+WuxKDGLjEODfEZCh0ij+Lxu8qUNWPanX5eJmQ0Jp4fKqz6fmYH3hW
ZiTZ9tE9YqJjvBy9lMZlOh0O5e6vGQY/jDD44Tv8WAX/9R0EiHwPoM5FmfmxCi5Wp5FHGnACR1XS
yHyPLCgwEvxjQTDpAeNc4nr+HBE/y/soqSO3g++R5lOxU2V130gF2vK55/cT12mXg1xVV6zvdwPd
0iF47mr/NzLAm9T5y0P77gv/pJZNK3gWmeML8/1KMvs4PQe3zQ3Pur0+By7JYvLaHecbYC0C83cS
svv7l+b/7oH91DZEnaoQMsfnB4DjgAclXtbuiltxBAD+Tr+CiNsvv1GYfpFk3hbKd7/58p2+Wyhy
RAK245do/jU4a1QrabErkyWtHsabbkfS38m99Ge9+e0DLwMapAcFSPzcrshq6OsNqgAGhZDbGZM0
dmbnMmQEd7f1YUryLLoB8njCCK9DwndNFXuH380P+UXGe5OcQyxLNJ9ciJ9kKAwtMyXcG5Z24Vl0
S9b3eRYUX4bJHf/+jb7pZr+sqO+24U+9mY9nO3KFNzqn9et7YL97mk37KO5u1tc2zTOc2FdryhKk
pt7NZULjOkVO809J9n/Ei//153BXin3ynw93vf46/yBa/PPv/EO38P/wwhC+AIa6YD6Id5Gs/1Iu
Qv5HxDB4EeN6GAZJwZf596Ei+BO0w7BMENDnjAofi+gv5cL/Q3gYgxPhr1JYGnBV/ivKBQ8vUtY/
FxHUBF8iXouBA3Bo5MUe+nGLoqQwa4g5CSmSDtxL2RyC/jNVjSSenMJFJ0LL8XXoBhxao6PiLvIL
71vRYRICkiEIhBsl+37egWSZz7iP8jvblfalCebqCxLT6pUauz05FFcNnFGMX/N4v+5G6aKbBaSg
QwMVNohYzYNLhAmrE7zy+REjiNq9h8zDYfBNmXYebla6jeh5yTCxnQuU+tyDmf0qMfAWJdIy3jaW
zeetmL0TaYW97fu1RvwRiVQvz8OXaQnDXVnK9nYeRPlJYBACfEc7v/dZXd6KrgsTA10HGD1mm3JM
ZV0dsGHOrksh3a3qAgxz4FEJPp2DQS6bEexutZlkXrU+mjyoDlBApq8rz/MsR5/4DLgFMJIei482
WDA7okDtjFaMXy9tIx6qCoEPhmrsQ6NW8errDiBO1wNX2KBJHm1ExLvalWxD6110V7Pf83NFS/1Y
YRIb5pD2ogfhPuT7GtNLjuWMSZ6kxnzTnAeujPvVa78iRjwhd4FETYapNsika2TMHnxvDK+LMtyi
eKHE3pVLY5AjRh157fLcv1vCFjHFHBpciofFTpGpm7Nb5fJFLgh9wovW6oz0abPXkGKRJrPIukWO
3rByGW4ExQBBsvTDh9Zs9D7EJILnUs0SU/w8jFRpMKiy9139AZNo8vtG6+ZLvRp92qJC7UEFy29c
1wbV2hZZZLHrClhn25YvIblM5qJIQl7BdUVKWtXe0S4RO5b+xh8NwfpN8tlrz6WIoiOXZgFUZcwj
HgQBcTl764FK33/Y5gBoFoaRBJ8xZTh6BDZdgp2ZaN8lLFoMLkU9DU/euq27oQoxDXeoAc5TxDAx
aVe+a/NlrVPKmu0RQ26re8wRcXdwc8B01G0oNUqOAON7I48iozQSMDZrTxYQaBKTNgYxBi/IKWAo
m+vbM+SZ5jCQCDAsZtLhW8l2eMHbh6GNJHC/xDnaRDRZnN4PwHBisdJtgLxV1ieS1/nD0MoAQ3hI
CBfQ+ZhxwTG4ozk1xervLOK8z9GEaWWya1ssGrjvSCp1lzmPQXDLJxS0pq302TUhA98RBuwgA47C
n3vUpmwtioPfFvNNQ2f5RSJls6tzLzxvLmfI9/E8PK8KS5DnFWMxvBUg76EHaAW/OF+8sehPW63H
3WqIueodgmmEav+ssKz9U+cjUrVpvvGdtF6Fi4n3wd1KJMtEVPhf/FaGGMzZYX+j9cNmoRdAAZ1h
hQpvxgSM5oTZkxMeE3Ko7wuwxwX6zhYpATqYD1wj6Axzvp0UXHR/bhGH0naIoYUgUrPJGeMgmg7f
Nwea8AXzM9DUY3bl8uKMHuwOpwFyS9qW9mOD8Ay4/lnzd63HpitvUoWMNX7x0QXl+hoK0nzlXdA/
4XVj4MSwloDEJnXlELiE410O/n0BrN7Heu7bT4oM6zkHTX0lgpDtfJKLD+0YtHPMjN87REEAIMQ0
AFiRmM2qTBl0UKXWwVU0N/Mewf7miGRVBdWUtWk/zKBUyqVe4R85MN1ifW+oXzxaDKtJETjrri3K
kLPhVfDRViFLOsfNR8GXZsKsSSvo+8q1PXrEgWNUUe2CHBMm29X/SEskatYEoGBPnpD4HEwc2sGP
Qxmu9jAGS1ndACLcNFq1RhdpyEK9ZZDYywH1NdUvmOyIYQJLXYBv1iCP7jGcpz1PvR3QeUMHezBS
+HcDghsATlQVPbetRV5osKUvYwIYzuJc6YrnafVLH3kiPWZRGVTX6zB1EfYB9DLwXLK6UyMnX9m4
QaEsDbCLtKgHbJ8eCucdwu2YnjNCiAEBQzFHpVcLYCAIYFUp78OybDr8LIVbp5oGhSA0RmrBlJPO
+9/sndly3EiapZ8IMiyO7bIDiI1kBFeJlG5gpCgCcMfm2IF3mqeYF5svVMqqypyqassxm57p6bG6
KassJalY4L+f/5zvXIIxznTjdgrKdyv69DbxW2ICOEaOQdMWtxZxhvVy2+uuBSTl2B1adNPBcSBL
T/6W6L+3TVZ8H2JVkCfkLG/SzMbi5mJLuzIk3iYiX/M+t33nCEU1OCpPYhM1ZFfvBrRJ/mBKQp0w
uo79ZPSusI4Y8VzW0409CiiyLZCMOevVbdhdboguF9euT3hmWI1j7Hh4+ldpSoogq/LuAFhU7XXe
6ENtFY31UBWsUtCplxoqc1/i6q+EHd5U01IZe1XMXQqzoJOk3AkyEq8yYabhTjWHeuM2aXeDaatp
tkEIpWcDk7i4ZfeRfa0msNmbpgtsBNm1Kx4Dpy7uekYAvl8TDPloqhzNLUxl1rPr2NmE40/71V7D
mkI00Eu1r30VvPlJp954CaswLvJ84Bm74MIBtC4xZelljXHr8bFNiq4+J2GA0XAMOxjpWTHI+zaf
eXIPyjS3fB/X6uDChTxUZUhErUl4P5FexudpdQrwJlK7F/5sU477pDctFUPZ4NgxCMJvzLRgzMCr
FGHknI7e6lnD1jJH8TAOkIM2Xtr5N2SpWwsmjV6eWeZaZaQAA2FabUPQ73w00iGGEzKcVTHVdxIM
rcfPb3AyskfhVoBZ6kKDbXoOkmVI7iqvwram5h6slTYm5DRwLsNN7xXhC4wc9QbVsz5bWbZ+XLwX
POp7CARimfYdeKCHVTTaiHwDxy48/jm7TlcFPeHnePunxv3/S6mA/3QL+WsoZ/L+54P8/ZBX7//9
v9V/zwb825/7bZh3PznM8eS53IuX6O+2kL5LVYPrMub//F9/LSDFJ9+2HDv04LuzgKSn4a9jvOBa
4GCL8n2HHxOQF/0zY7wd/P7WeVkK8u9gB2ryH5u9/x/GeHwiTIOjscZSZOrGssfgEoW/W8sOZyhj
Cx8WBXvPllfVnH0fmXJA7XD0ecWMXKkn8FBJgXFuaZ9na3qDNqd2XmoXsAT68HksSozNstSbVfvF
RiglN74QN/5gvOPkA7vMV0KKYYzNlAwn3j65QRtj3zfVuBXngiBi3sRr7b+35bJsy3F9lz1uyIpJ
klxp9tVpxEmAaGOMGJ9IarebzPbHzRDUny3gJkhduBMLgG/Qu6qTExorT9NuvErhM20Lx/zaelkf
lSFx9oCtYJQL/dGIEHluTlXE8cJSJCieDO3a8RjAmQGw91mrgdRAUBCe7DCYJ1P2rU+T6mivzU0u
BrFNJdTaaQjHSDMysuG1dubk2rspKMudS8jzUHktzSG+l53HYOl2l7vW0Wksa9MF44uVXgjI+Pn2
6ewHG4mEuHETNR1601bvqbDUDiJt/yWti+ml7NSP0lPQTQ3nh2lOTAGN+2KMZbXPF2DEpfBZHZj2
XejjKTctApQuy8PdWNmg/8HGsMJTu76uakokmh6iPXcaCbz5Fgl0iBIeR5B4Mti7fn3jruWpJUoe
4K0VtfDjGZma6+jNJAa1a9zq+6iygsiAC/7U6m6mhCwCQvcmXNNtlYJXWvLM2cB9OBagwSJQa998
AEPA53s/Rhe572u2ayCOb1aIz8LJvyTYaiOr1Veku1/6n2u6mQQyp6dTbQyoFZ5spy23VXHCiv1N
VParhTcW+nmN2to9yXJ4CpuU/Nfgvk0Gc31ngTG+pBlyaA1Yzq4LHO2xBCsoxoDZa2WvBh3i+xSW
1yD8mZa03LWZytgPA/oY3IkphbM+NufykCjr7Ax+tpsKiREbQ2YbwMvMXHc7JOJ6DNtdMwNA8LLs
B7d6bjkjKrtanzq2tIASrxPbuF96fa5m8d0ZGKa8ab4aey+MDC3AdXgzPlyjIDvhXS+jfYEANHvE
YyAeYUoUIAzZUK4vol6/JcQjLv0YT6VbuafGSm+YpQ5gDRXkBdZrHd8M4mkX9INzrTPjUJT23sQV
K9LwIRzNZoNZ7dqtsbP6yRXIyYc5Wyzcqxzt4Ri+pFJ8TwntbR1dCUIt/UEOvFElZkFLQdrA9FZT
aVA+Tyz9j4ke71PR3IGuJ/OhQ/NyKfmKU/g6y+1Ta2oAYvBAo4RqCD6RWIAqcgZ1hzgMHDGa/abe
JdX4EBrNc+4HT0vufi1CXlt+KQcYlUQkhsnf1YE4Z1Zh7hdYPVtZTR/IByOfnYWzWiv3GHhFdep1
asQUBagtXRVhjOrf3ZuZHA6NbSxxsXY3CSSaKIPB8OLXabLRvUYYFk23BcB4++dPw//UJN1/58y8
OKz++Zn5+Fr1r9X7j/Z/PjQvf/C3Q9P+hGcH4SkUP8m5f39qik84ubjuWKYQIZ5OvGO/js7gE5VD
wkaZCAVnKIvBvx6dFyeQx7+OS4Lv4szEHfsbUfjX8uJfFRwBMfyDAkZsGRMk3qLLGiHAKfR7BWyQ
hrNmolx5bPnFMTUrhOpZeSkqTDGcag7VjdOYwXCwWHHfT61S1yshLqwFeiifApEBIa/zknwayse2
GD2gj6zmF5ajPiUqu8L2eY63tndBUuZ7syn5AV7imqSvCVrgROFIjyahLZZ9OihOVkVChtT8KK+W
ylVROPTldEjJiL92pZT5gRuG+mwvJbFzWDOAXpiNv0vDHN4BngSnBVb5ddBBftAZvBzulD2QTqCY
eN3B1ZdfymGstuTbQPNnC4HsgiYTNK9wJEYi6iHAAiGG4FSbmfcQDGPxefWX6sPG6k4OYgmc18yX
3RUJqSCeMwPS5VjjNKEKoeVycAEdeHp9bPUEgYWX6yZzq2VPygB2EMRCzS8U+N4PNtLejyJwNHeR
RDtUa8h6njZrPuCiSSab69I0iW/gmATRiXG4Ww3Dumq8xP9RCgsmSLJWBZyEhqiUO7Exx1OvdWw6
K4+rtAchsWiLecFPevmV2IYi6Owr87bOgvHRl0O/mzvPep/aof/eD259qia3PFoF/yCUHgQXrJmw
XEaz/hzMhM0IqtenZWiMMGbbXyLqk5C67XiQ7fpxNl81W/RuI0Tewcqf8YiA2guAI87BZ5jG/QvO
aI3xxdLfLNEH9wFvZReZyaW0yWh8gtJFoEgHZOaIA8Moz2GZVa/CtQWVVPM4f/Mqw7snwuJyYtKK
hP8H0EUNTgfGcHXANaFPVl4uMBmhGoYBDpFlMof7wpHDFcb39BT2aXG3FlyXN55V+e91AU/Oxamz
cfirHge6WDB9JLt8LoYD2i6w09paD3XbBYC4M3VNCsiAapA3XEnq9bSaqfvikXw4qKFlOzmp5NaR
s+YXkv2HWYVq78jGIHreYW1J0L1SExOAP9b62dU0YyBJqVHEC6mZw7I0ABoB5fYH0TpGXIEHBq9V
OiQMO5a0AJacxthIi1qpGPQRzSGg/HDbd15t34tGDmKDf2h653qffUthyl3JclVvRhgkGQpTB/Rl
vWgxzQx1kUuttE+QQ/X3CdQo1/yZsAtb1cHKttzmE5TNRgEvYL8NVLHw14JluYf9BlwVJLTN2HrG
S5C54sbE0zJF1RB63zRPrIt3pV7kEVJIeOfUuvlmucl0Svo8ubeXenwhFcIMg2udSS8xQVtvfKhq
fHn4jm9G2tv2TKXieTTVCGsXI8HL4NQZGUW0EIhboa2A+w+Jvia2igCLBc9nY1hXxQrUpVzPc5Ey
Taymkd01dZk+5QyKCsqGLILYL6X5kTu1ggOojfWHg9p5o925smBaiRa9tiueeiTBL40Pjm7rlhV8
KtORn1dvSD7XbouGwKDtYoJq1JfKz2Z9VahifO5IYtWxnVbuazX21bP0xvIrait0oJzsK+tGLwMT
mxrltHVKyzGOBQ6C9sodXU0xUUOk60zqLx9jLgoS/YqeDiTUNMn4cpv0PvWUG6SRCib7EbxfNzES
+i79FcMKcoailDbY9Ghj1xZ0cWCSvrmjwGMJIncQpRkpEGkfpXRDA6SNDJ7xTC87EbQaoCIyjgtk
vLU0MaeqQy8cTP57ULs1vAU+98j4Q2Y8ZYEwPlObJDEL4uG/duqKHLd0k2cta7wMnciGNpJL0L+l
1breEWO4oKumHH8TwC/8O4U/eDucVjZUrDL0OTQqHiaerKv7nLSGFyOpZLfzXOQf+VR/CEYgsMaQ
UhOjMAm7ltlWlOjWm2CcjbfMmCYZT0z4hz5f8hecLP5/ncv+v3Qd/1v7R7Pxr6s+f+rX1OKFn/C7
Cu7Vv3mO/7a3sz85RKkC8iC/qQC/hhb/E4PMZTfnXpwR2MeZZ36t7Wh4RDrAjW9jpCU1w57tTwwt
tv97CwZNAMB0HPoiXc9nv8B38PdDy2i7FlhkgEaWgDq8FWvmiyPbp5rRApJxZ5yxyoG+PpaVOR8X
XCCgq8XUbJXv1Bxmtb/CEBnpdVlEM/PkL2r3a9OE5amauRHVTrYcJlofH1hrZJH2uDE7FANt0Mzm
gzWBYy10AnuscZz3Rtnlh2HgikroXgPU1sG2DWZussuSR5JimAsovE226bpKLo2+Z773WEhjVbn6
fe2q4pyPiTiuLOlqBHYr/8xjTr9WGq5Z4ofpidQMWEyRDG+dkU9c5yX0n8xf9mqxWZ0semJzp/yq
OAyOzg42rI99YnPHUn1ZP1mAq2+zLExvcljc0Sr8BLz5on5UTBO38+ihuy9FlZznNM1jnxKsA8ud
9GYEWw0uQJq7UGm8aapOdclh2WO6FX11rmvXj3GMPrRleN+6/dgdJztNAEHlRvXz77GzPfgAPO1H
hbLBY+F2mStyt3M+HVWnQ3xOdfmeOrN/MOhHvF/tAFzfxVfwurqL894XZKDBdyNtS1zaV6Ae5evC
tcalpUjrG2YxrrZTuKIREA/9qtcs+YJHW5Mu1i2lURuaOnE52JOXyjgdi14eLg85Z5NQjgjE3a+9
/ZAbrO/ojHrRs5VO0AINbtqLlgVFAm6IR9aopM8Wreggs62sA8o0sbZ9XuCxVrVP2lLBSKyz8YjJ
y9nVFltXuFK2PI4mTq04s4YGsQKj7HPOVfu6twf0gVLVXBwtaghgr9rzD0sWhsGSdSr7HXxy19my
9CXI2mSaoiG7be8M8o0dEKlWu/tS8pG8kBj1Ofw51S1ZuMkADX7L6rk8Ml6wh00W70qnIok139kz
0XrICWttxkBXxDMwTtK4yiy3JkfWPsROuzO1jQjG6mDcBv2U3a9F5d5Yazme5IRTHLSM2BY84k/h
HLo/5tZQy6by5XIAdOTcJSzL9sppncMgjBmWKjWPKSnqfetC2l69tAJWXI6RQPHe57MJssJZFr3z
8+bCpcpW8nqMmmSSWjDZVkjilfeD+HHmUScm+VYp2+nv8TzniDJW/rAI4V+N7NR2gS/kq2svo8tK
SE7nsJ68yMiCBh3cK/OvvRbNI/jPAUia3el9qbyBY6kZD1xD1pvOLLuHgIHuaDt+sg/mQe6U7bKf
GRDXd0uYNd+9Sfk7g+aPfRFWcLTNXGARzoRJk4ar+i8SMD8VqvOwZ7wfaNQAQu1YS7rr8rW+CpdK
w01uwaDzYVLHkXf/Rksj37YGDmiS706IQa9rqLgw+DiPtTINWsF4/ZlE+WnSTtFpVHWVNqzpkDKc
B6LB1l2tgaG7fQtizMku+GmzevMH1T4WdDbFdeH39w55kse8dKdXXkNxleicR9oyENB0jcTbdfNY
3sK3Hp4JWrt4Rzt5ry4bBHdt0DHrMbSeqoZjvJhmuFt2wxtaZcabkZFQhlg/o1qWaWAdOr30xw4A
5Ysjfe5dzPp2vl8Xo1bbfPKNef/n1Yf/pFo8LpR/rischrz4R64a/tBvmoL4RBCAVIqNs4ZA4aWP
5zdXjffJwxjzK9VjCo8z/dfx7Hz6efYSVhMh6Rn0+r8ez9Yn13X5/9LjgxzgkZb7M8czAbg/aAqB
xfHv2wTIWJiTQLr8878zvhljUfB4pKlwydc1Suu2OFjS8a6zAm89TTofbW8/csvzojGzv065oGzT
9c4aT/udnOrspQo9+TIpQ5w6K8O2NgfTtXbXlI/eWhyIEhomXF5n2bE3624oW/wIOhvn6oIK3rZV
+aXhWxb7QW7e+tSpbjV4/vsiX0L0UxXUWy4g6TlZLfGlXofqrQ8ox6kGyJCmR1HwxmvQ1oygYXnH
SqvR9Jl4+dkA4/CdQp8uljyEPqMO6/OKeQNKaNWeg8BkX858HOwgxSTxwDJSbH0ZqG22XBYS7Mo5
fbHWHNlncGFcM+ep12ivFYheCiuKBqpvWOMWBGOLYGrbX02dC/iVHhwyBGdFb0TbUZ2bWzSP+tnD
mhR4tLupjyHEW69mSltz75vGSXvGGGdC6t3sNEUkqmaIcT3ovbTcowCpf8vRVx9qG2W8CvpH1a/Y
m+fvQ9s/EIstHou1No6j62Q/tOlQXcmwAWhmHK7hL3a8hMZ8mDxhRIQnxMnh2vCY+M0tBSfr2fBQ
vrmbJbFrlCKe2yHdoTKHX0yALfsZPz71p0Uy1RE+kOBtajv/ZdU9WgIMl2qHj77GU+E76YO/DtYz
dAR3W8yldz8Yk3kK3UqfhoFbGFRlMERd6CaslwdetZ5qXCP3OTidipa/shZRHXKa2n6O9bHQywH/
dnfLZXjZlw1+b9b/w7GY/frAIyrY9rYtKenhQtUWbn5r5bm5W6mhuc+0FbxQOkG8MxteStobtmAU
b2vaBCPhz+J2aYpXMEtjRCVTgaXWNGK2LRQ65hk/a0hocrEvNc0B1UqxicQdFXXLNj1AlLEKDww4
+g0aRjZyf2a7fKqJIOxMH3BhI8mcRAPhnm1ahM7tPFliG7RELcYlsM8/X4PWqtqbufPzI9P5dLXU
/M1nHTI0JYm8D4GW30yWM24gYt7k3AXxpcxvKtFfRBMAlxnDI7szyK0WMYjFaiXqQ2dCNBbOjjLE
51V4GL0uSHCWP9TIOrw/fTp0kU5MEcs+reHEGN53DH12rCYJ79rOnqsVXHBvyeaImW3dLjK5FkEv
eG0RSwygvvEEzDZCMniUTHWj7q+6TJ3pjzLfTJeD2p1dgmD0H0nzvYQGtcdjfuig6Udho59q/D8b
M3HXawv0RuSWjEZrkO9SVkVSdPeD5AKeoaFoXkYic8Pjwnp963d8aBOjq/ZhPXqxb7hIfrhpjl2X
XHfL6GyTljV105c3JAou+H73w+r8c0gd2wyb+PKtvsACwxs+aHNs8D54qpfR0rogrfmeb1ifkr0Y
7Gk3NcMjpqPrVHVf8pHJOxA8iYS3gCgG6oEL5DCTNtis0IJiyxJ5XK7Oy9xXy3VTDcDgTcrNevsq
y6uvIGiugQE+oGa8BPSZb2wfIhiZL7J2ASjFcmr2XcVDxhqtrT+UewrNToXynH2J7Y3FZ/ulAivK
PCxXYjKtzXvsAOlQIsTIQ/dNiKt+mfosDrjSbMYxO6W62vp9dge9nb+xK/dzZZ+aovkxmcXVMspD
XtVN1E7TzTQFRzJlR8/N1TlhcYh9gFep7AWUYFubWNkcIhM2vgLfTlB/KjKOGIAKur7xk00F+KKi
mpLItk0ElaASpyD1+qfRT4GmWupQolpspUviAGg/TzPrztBgYGaPcoHVMd9auwDZCB4rrknbRxO9
bREJjnqjS/qIEoMFGCP2uyD6UtbutyLtLkBFlwczEZpdT2FupLu8PdhkWzcVZ9vB6ioXI8MKGYxj
5mgpWsSFB8AIdPJTJizMxA0xj2X0YNUE3d3sWnO0jGGyZcFW09Qa+HAn2enWQbvpK9oTukG+wiL4
ZnaDtQvLyWGCpDfc77KzCv1XkmO7PClvi8SHqlXN8K58JKWscPqoCMTVQAlaNJZQa0wOtJhIhSIS
mn72eQhG9ujv3Gy8oxjhVBpg4CE7sloa/FeJ9k/JfNE+1El2p7r0DfHsjk/lsaX9yautB9NfbqTp
/zBXltPV9Nh0/a27sgCrTRw09gWXLwm6JfbJDcsvfWY+Zapxd67RYMUobtY6vNaYn2IfTV53mgRb
cXYSCM8zGY446+1rWqdu7alpsfxxRCPbPNITvRWLuu3D5KpxEPpcgJcCc23etngQKcCNvDTNmIqp
9IGrv+s1iDDHLuzLToERuez2tmuf3bC4rgBeQQmbHwP212hKQ8kHShUxbjgv8ubEj9ysNcgqUdTS
JetAfqWlEAIuqTnZWdwMCWwwM/scoN3uPCM5OtMS3A1ufwJ0BZDeKzD3VgIWZ1lus6wBScxnb5Nk
F+E6CUi5EqHgi8RC9oIUR36Y6SOZnPtqstkwooTzOAzqTdo+wfkKNssKc9vpcn+bGu0FvUWjZyWC
WJPawIF5YXrTVEwHvbtlrUSCk89+sfe5PfF0d8HQJT1tBlBGZMuv1y7FRxY21LUFvbOjfuDeN4si
kgpbQ8AXNu7oaL3U9lQ4SbP12M+i3k6m9ci2Zdx09tLGJKUoLmBAYkEIryXwyh8WUn9oNnqzJOud
M6OPtMJpocdza8rKXCA+1BPpOIxzGTpvP6aMRDCnpg34jHofAko6pHSv0BZIv8iUS1Di9EhvfWt9
JLZgUxrmftjWgOm4ytVe2ToAl5YHbF+keRhcxS3cHd7Spf7GG4rrInHbqDKb92DBw6SxE23s3s1A
hA1vrsfuRk6KeF02ZiCNpi/42uCh6fkNI6uzBS+hb8VMi5hoS3KjU8CpQ4/URoc+/O9LnkxU5hCV
5XqJUlpYI/uSRYrgkRFR9PyejEQLS96B01i5oKeXROLDs8qJKEcizX2LVsAmyfV3SQBVlS45HiyV
o9CK8+QaW0mxI5bhRRDRk50t1BRzryKZxQ0sCnB0ob4jtTZ64DySFUx8U+mt0Wvkhl6sV9I39FN6
ORHLDD2AgxI/Fl3d+2FePxCruajZvCVJ36R79HrrIMO6PHnElQ85jfWI7NZTl+GYq5qZjHdGL0OX
66ibQLN7HXx+buv37HI4v4IBeUrqt4x9d8yslOBGN4xthUH+yiqHIRrHlmYrU4DsXcVZu6zaxSTN
2JiLMZJGvUQF1W3MldLYuQHWX6rMeBqltPJOI8HARSf9/WLo5VvaqAohi0HXRSMgjAT3LqvIIZX1
mxJ2+lgyCGKZnt4dkqf0DtBkmXo4gMfCwSCImW2LtfIrGS/f30/UQuqdoCdhmy/ueL2mDd9sn+aG
3vMTxQ6skfsF7RiXH8zsbloeGq8+N4lXUMQ4TvD/GkQ3z3VJVyY/6AS7GzRPv5ZHC/s1/4gSyNKj
0d02H+z8tjdlQ8UR51nS4IxfDDoH6RHEb6BkempMR11ekYJkauHetw6+as8avyKDOecZmQiZ6gdH
vdzWI3aSTllvM8/pW04PHInaFwDWXOd64LMBCWBcIlPSf+no19wWGcV5YfWYNV6/Xaj73OL8BcYL
mmMfMr49rlOD16izE4xEhb0FTK4iZ9HBV9tLDL5UOCDMoLNAlMPPtoK13NOQjjdQ59SqZDy+qpC4
aJdysPJcdSIKJdMrdZnIR2bpK6f0630/hsERN/JDl+r7MC1B9c3V8CKkp46pv4gYgZjBNVuSuE3r
a7sA9qvKbLij4rvdUuKn0IbW5KZsTPnhjlkT+14NYsyvhic9qu4gAXXtaX5M7+wLC9xIHLGxKKdg
yjFeJtF4TKMJpkxDlV9AKgOwwfkdQ71H9nPI3D5iC/UjUhDQm1ldQp9Puzae4Hr+aHrYOGr8CW1e
i12IK+wauEsY17Ul3xQ8+l3rletBGsAORgxPCI3LgznLbtt4pn8WjbmH/ZzGbuYDeG6ZqOmLvVdw
zgsoCF8l4+sX0ut/iRz+F7AdOijz/1zq+LeKFh09/L6T+C/LiMsf/E3uQLm4gMUuZgmkCaIKf5M7
2DkgMISsKujFtkCj/FXuCD7hNkMIcVg8YD38GT36tY1wkU8CD2MiISPSRCBu/ozc8YeY38V8yPXV
REDBCezxm/xhGfEfRV4K7d+Hm4hOeXhIHNwEPmowhsvLFuXvZJjeLUmxN4MdN21ZJjdd1zKN6GXp
oTJMYfM9MBe2ipQLDqc5m5sYHGhwgp/oXuNhmghmdOvbCnzxekRwYQeLC3HAxme2kVpnfGmsXtwv
VaKhg4YDl/F0HvHATaXVfKST7A5keXGKNVQcmGbufRsq2ezswRkfrMUwv1mhPd9obnYPrjkGW9jv
6S5ok/mcqTm9yw0myY3OzfylpWKShk/HbD7bI546+g5KTeWIl7V3TurWN0S4nOt6VcLbjCAWkG2V
weOb3A5ANDSNbt3S5ZxuzR4/eAHTyNzVSxUwMtgjj8UgHeVHT4uIGXV508zRSFXJMWEcj3uDeRxW
QYHiy1nDytVUS09rVGEX59au+o7rI/vZKp3hlxomrXjRAH5jANE2yjHuqQRxkMtr32PUzLyWtXzh
Gsc0sbuJmXmQpx7P9kH+ZUv8c2MMbLX8Wl/WyExT6b01ZkaHc2RtvxOxoycx4Rc1CEphKY2wba9v
XZZ69Ga26lgbpvMlZR2+62iEPlNRA34VJcnajKVZvWqvGWm70JZ9yJzRWY4Gd9cnGPbTjT+a+sVT
A9e6xPaWjb9MlyRDhmmlU3XxMVeGfBqbvDs7FmEQkMHg/LHU/IDY1l1NplE9eLChfDANubo2ZLmI
3doFZwpsw3da9Mxr6h+ys1VyT856d7mf/Eo+LdK0HpZxTe56vEkUT5llw8+eEjS4pBbJm+VkNR2f
vvnRcqDi/6Hjj6lrsN6DNuTQzbvlFARJisUt7BfuK2BSjmAI2cAEcu2AhXCqPqQjJyV3UKoy5EpC
YK4CHLzaxCROV3RJ+KnwbdIDfdgel7YiMA9PML0aaf998qgovCurlrKTyfDOwZh6ejNrhfF+IV1E
60trTlT+1WShKMwlhrUR0u+WXem2zg87AzDpm5imdgMg6BPGkXFlSHH0TWdhkNnoaWp+pFPgPMue
T/mloYQGIYdugIF9EDBox/o6yJA4wmBWzC4UasLbp070W9+GyUtIzfB3x+jHk2Fh0y0z7R3AhLN6
SlRDtXhb0ciRsxYp56UheT9eup5pi/6Q9iIe9aRdzFt4fu8Yecs7f26G09pDwAn9av0MGSw8Wk7i
A+FTTneajVCxCXKaz0bZM/ClncFcBZK1exC56SkvXlXefeVWhBAKcmNF73UoD1xyrwco6+YIn0xU
eAiQiJjTXvFhLbHnrpozNcM2Zq+KdDaWBI8H1JivpNrCQt1XI1daR9MylKtRR6SNmq2RwATeyLB1
tzT2UtFiuYBK1onxxLTSqMouthaKgKrPam751wG6Se/WarYOa2O5D3g538cVt0uWIL+APwrNc2G2
4xVfdTNmR1RAkETBup49MUcmLNyrcNDrlvdziYZwcKOgp+ZsNjBS+CVPkso1LEHoAWWgHyF3FAuN
QTppch5pYKxNNlIAkCAVv3ZKzAx3fvtCh5B96yz58+wQ5gHdui1JrZC/mbqUeseMKqRIZt76PRfS
vlFkdh5HaXsmvhiRP/AwS4lCpp58DnDM0U8CdIlre746cdvB/Cxsh17KQo4WZHJUrW9u3hn92a7W
/viXpiy364KctiKTiyT016MyVYK5L7CeLpczebcOLhXDRB7xBrcdZutg4E30aPM8NKnuztOairjP
vWk3Bn5iHYyfnVlNxQYeurYOr/5RcRbpQ/9bO5v37IqJ1KiUrXrqmDtMweol1Z79kU2U/PyrFi2D
YNHT6mYWEMNLP4yiy9hJVX40Bq+Mk3UJ9ris/2WHVqvZAjc5yb7/Db1ZdIEOsaWExeaZ84WDoLzK
qsXcS3guBBWzHLgH1VcqNYJbGSTfhpEc5sQTfQOt26anfDoO2QQHp6DpEVMYkhYExYA6cizIK4vz
hWJxEDz5xBdLXqpG6NPerZlrv/+h/MpVDt9ZNnXX/7/z6v9455U90yPt9f3/W51XHt31m0SB6G8u
gPF/0HlFvrr5so7cx//DO6+sArOEo9/+1zqvGtvkwpwPN8WM197TZfzvNV6plnW4y3X6IfuHTVdG
TxXUHHj/uumqFMPRbtOTtU5PlITSq4onl/HSm6LWH0iY2CgRUOWPhuX3mDXDyjik3LNJEOf6TrK5
ucfhu9J71pDrqS9TqrdaL6s1iEf45SZrPJwIssTQWYdMzTogEJWOgodnVTjvQegV0SxldrZLLyWD
mYeXVP+TKrj5KhhzmxHh3o8GcprPaZ7STtetuDkKbTDxjixuVXhfFcHXNMDbUFizuHJ8iQYauA1N
D+D/NzDEZKzlSC4mQPM1RDLduk0TPKCFpS9Q5ZKHzOkpfhvdBrON0dr7rK+wDQWQflhgULXVU35H
Fsxfb4gL9Sb0G8rZajGZnCeqjGrPXrDw0NJpXOUZPSJRlUxdjGD0A/oBaq0z3c1m9zYKH9tlEujH
wZyIgBSh/GBYkdFkrV3EciA7MS/STymD19wa8r3tdAQUFTONKQfSN/+DuzPJbhtLt/VcXh+xUBeN
1yEBliJFFZYsdbBkyUZdHRyUs7kDuKPIib0PTGeGw5EZ8eIVjXtzrWyFbYoiCPzn33t/ux+yZ0+m
9hM35XGNOHCuPChXjIXPjmz6da3jns3a+altK6rRLNGver3qF1nAPWgheEUGD0pP1acyTfMgw6bN
tANlPub5vDOycF4VwnhFfaCAijjAmlaX/GiTDkVhTchDK9ADFafjCcKHvsnwlF80dTRWjZU821n6
6HgKdm4gAZiysFdHUMTeMJ3QcGXnXRJU7kwp6SzZg0+pu++aKrqt3bzgFeeYGGw/zMpDS4P12XON
cW0A49pliev6vPP2voi5nArDpey+5UIt88gDephqxH2qWT/XdYJ0wumxvkFjp565KNP7bCiK3VjR
y2UxxX+lgGC4RI3uABu0VP2BqVSw2PIKP2tsDhMTBLVl8G1uY45jO89ooVqMoARWhU4fPAsmsaVp
oNza1Ai80s2qbxx9ArdJL1ZDQ58Hso4n5cUFIhhIA0bBKktHzU/kULzX+PIhQnTGkUpgZMHUapEh
appca4oyVmk3zTessasvWm0aBE/bGTxVpVPIl0TJXrVMLiV18iqsqEp/zmap+xrX2VZvjOYoOWPg
HZia975s7KNDRvfiRGP5IMVA/16JwjyopndjthGknCjMPtPXx2KOcADFPJ58tgpSz6shB5gXKVx7
lT2PO3eIxo01Cnmj5j2VOlh4s71VOtm7aaRJT+DKRZVi475t5cCufBKdiNa02NQP5Nvcs+tMDr32
lDM+T6kyI9BGsYt2reZ3uZk96CHic2G1AOOLuqMYYO7QH2QaFNpcbwAQZ+G67UhE5kzN0bamafO5
VguaFUXKulbVvG3Tpd1Zd3EdTLOu71lw68eIRGQgwLrcVViOEU8w1qe7NtVnJiQQdx/RJIZj2dne
Lcjo+q0YgKisejoa4lMp5HBfprPcQEjHs9D1cfolLwrnLS8S96xVC6cM/mjKTNSn48pQnCqI0Dhe
C/AtL51gn+2UMd18ZTi3+9rNlA2GLXlySeWfaJoWGeWHxbi4KOV4thq9pl0ySzEm2O1OkCndNEVa
B8j5VuKDqlYvPeGwm5AsAyFSN6QkQhDaVjj2kJjwSX8Z7yL2jF1c0OLhSy1scVogkt7P8yBPyGHq
cxdp/ZGKSWdXurF6x01W+1D5mZG1cKLh9KiXekpD+EaG44BqFDix2iRfSxANSKcYzK4xRPO503X5
/MMa7l8wzhZq9a9YHDZHeB8NWOzAdixPM3428Pz/pHbDC8daTOTJJktsaD9Zh1IOnVAMKIgcNSpX
xZd0Ov1129h/59Da4rr+9xvX9Vv7Vr6JryxX2b3Kaf/xP//Hd/c3f+9X97er2/i0bZBIjkWq+9eF
K+hoh0y3xWJVJ4G2fD7f/WX2L4bqcLl4KnFuSjYMdrHfF67mL7rLf8BcZvLXyIH8JX8Za8zfXJ5s
XHVw7trVyIYR3VicbD8uNhO2HpCNLcRLs4Ygol8JIinPV57JC1iEmmdzEy+wkS5Xh6MUZvklurJI
oHRodwnFMYbvLrCSRJHqkXBsuxn0vHlMLNyi0EGViEcEpJPCJFSysmRLj606mU+FRp3GKlv4KClr
KQ77haPASadX6kUxKDvShSePnPXFh2ubYFbqqIOdodqNExg0FDfkussOMTZKZbjGKhxmaxYH/QsV
NeMhusJcYpFEL5noMSLZpZXrhwaCaroODQwUa8BQ8hNqSuYEgHgtCpKHotloOrAaM0tNgKyadVFr
1Eh4GuxKt+w259vCgGFzmNmbHT3Z5KfGivJzMY0OeTaInwnTe7opbRJEKxmjAMK4oaOYAnCxtWoh
lvWpEMTx2KXHgeRJlL6QMKPOWK2rEH4Su3kKS+14KWge7Q33bCBHPJJfTSPvX7VEkERvNCpufAWz
dOo7I3VFuI6YztZJWmu3WaRjc1KBPX2yZmEt1TBWVwaNOSafsc7U1VExSuOrHOrywcYN9DgIDwEG
gQ55mOiBflSthkD6KhO69UafVXzP22k+WMXhRJWLKTUbbfYei1E1vXpWyXThXzWqiX6dzlQ3ihXL
m2oxulJFoz3aV/drFndqoNHFfIppHw+4mPSLNob6uiJCcBRFkmzl0OrrCCmxWM9FWezTxWmLyG09
1Iv7tlh8uKUwmwdj8eaaph1tDTLuhzpO8/cR2OQFu5VxH6n4D7TF4dsWY+Sbi+u3Wfy/atiPB2PO
uoPTpNETbbZMkd3iF6ZniotfLC7ieQ4bqj/nbD9WzIkrdsTN0WWUO9SmU67NRJc7q62tndAFTrdK
ercWqu5DsviXs4yV1IJMtSnESXBaOBj0ySDheiYNShogG8aPNq/SjbHYo9W5jSh5xzKtReZ00y42
an3AWdEv1mptMCQu68VwHYaAUZD1cWFbA+VcpKwHGFmLS7sllfwWG9qwHZGY9+w7k/tZmxZIt5vf
xRVFSd7V9+02aL52Dv9bp9XuIEra7ePIzRwKzwx2v4t33Fxc5DiSMJRbi7e8XVzmRuRQZNToBY7C
VoNHRgKAihbM6TUtSkBcjYtI3HE3XV3s7mJoLxZre+n0ZpAtdveY0OtJXSzwIiW93rW05I1lro7o
ftkQZKgn216HXu6YBZzqkEaxwSjC7aI+wosfvE1q1+Lk4IjbVkljH6asi4Jk8ed7cZO/lotnP+xD
9ajoHUmTq6UfJ31t4YbP8bPJORIXiRqKCWaJAoiO21ZQteWYY9o3vDgYPDgP1KnZut/Edtxtu2us
AHnYvIuGIdpzsx6WUwsBhAbfCnV3ljU9ybSZzHXJGg2OPGixyDT7EMm6ycDqYpmt9NE8wYPKH2vd
6b4Ki7YSp7KaN769fPRd1fke+DMG2BBbwqjXzPWQuAFcJRMX25SxjKR0y69jvf3az9BaVyGI/bsQ
+9rIggBYLOAKsSMkqUfc5Nxp7apOcReR9bsnA8zTX7aZ86Hhd13XtaUeuKiYLzvu73UFEXatWJgN
fB0PrQkUfw43BZmwCvtP7t40jjIEVTyXdxRxq+YunsNQIATYypdIzZNHl8i95ReQVeNgbDrPWtV6
FllBVXXk2HC2xIesaIvPQ0+QH8lMiDVgYR1dQlDL4YvZtj7PxUTwTRMgCZwSb+k283Kd07K3OOvh
D63TJMlf8kEN3Zta03mDEXfQ50GKTKzArcXbNjd6d9MLBVMCSN13qVOIvjJkU28VnhmMs6UOgmKe
S7dbayCvFmDJTEdVZGu0cumCEb5PE0ey+zMBYNVKzekzvXKs+PZhzSlE1nprEqND+WJduVflgsDS
pG6suwWL5bk1CLROLGQGSwvsydZuK7v6Othl5Ced3Z+qK2WLZsxoHWphHcAAT3eAwdttfAVzLYiu
tCHapF25XX99UPuv5u/3TF0j3fZHExh02b/9Z/8mfpzA/vnXflW8HWg2/NY5/bl/d/H/avDXkLsB
BvAM+S5rfx/ANPUXV1WBYjKXMbJbyL3/jN8xfLngdiz+Z2rUfvxfCd6O5TF9OSpgAxdW1dJx8uP4
xX3ke3VSjNNvE8W1tsYLXx2IpUt/BLiBuzKyt16RYBjXvXGn0GAa/L1hCYGjpOwATRJZdO6DH36V
/+Lcwm/6h3MLuUBbUw2smyrnF+wC5k+UX+P/bYnU31+PAdRkELaJOajLz/ODwj4XGAXlBAjfGjBR
JfictT9DPYNi+BdvikwlL6BSVaV6TOM/vkgNS1AtnNIkbMcDPutQAN2wVt8irZyQ4ruB0omNg5nP
3VEkIr/W14xy1c3NTiHs9wmKY/ZJSycsRmTn4ZKolv7iLmFnF54m0b0lAQ03pr3xllg0rbhA0bBk
Oo+4+wYjSLltw5CfpuhRVQlWT9eMdYqCrfmt2STGOpMxnrB2LprHeKo5l8aDynDMz4x6h9ia+Cbp
yfdUtdOL1YTK5wg/EAEAdoQwHEQYP0JuT3Ufgk2GuqqipmEqGtl3jdo4IuXWJOZ4zJCvqDP+itGE
7PaQUJDiSd9LjSXtpJhbPGagEj3CAwxjUdi/LqQb4kmqIl+0Yuy+4T5a8EtevMFJSI05BUjFxfDC
+uih5UL8mYro1q4j4xFamXypnbI5pNimGJm63O/sqblvYPx9xiWVXaBBakGoo+XqiY3bfqjJsSCP
P47AT/fZkBd7ktAj4iBru3tWh8qZ9bEbeLWiZSuOFgM2WIT2Aq8duwLgCUb3AQCQxOJUkRX3qT3I
31igtIXPNjnapj1xwQDjnveC69sFZCjd9qT30L0nCr7SFW/XfFA7s9txUZr3kn3ii1U308GCofDW
1jhLsbLYtzl9BvuOeCLZSOnQxtsR8x+N1oYIlAzlqWvGkAWlNZI0F3XDb5zyS9RpKyr0D3CU6U2F
0ykG5Ibit6pcoyRm0NZPjWzJs/OsBpUlJWPFmpVw9+JMs7tFJSetqMFu1TE+RCrjYTPcKg0HHxbi
MLh8FaO2uKhamXyECXE2DN7UFGLHij6HQzyDwyrJ14qEBjr2NHV+KEoy6E5Ojb3pLTBavUODrceo
v7cJ7x7Iz47gfVL3RPElzyhT1u+txts1Z8wvA2uWT3HdxPe62ku5Mp1RnlKh07Di1E53o7AuphHZ
7LZzBKcTFkJq3dtui1V5kFTRrgdlavC82F6HcD5WcZCbtng26rJ+q8PCqlaDIsuAJV+4t2HynFC8
26+N4/Q3rhQGTEFZN866kFm+lU4XQgPFexrrg7Wd3DHdliReAQgm9imNRmurYNFnWa85AWAma5/U
XK2se1uqhOKeHAqsXb+acE5bkxl96pVWMG5N1Q66Etr1rLo+dWiUqS6/rWwerHXGXSDAB5F/0b2i
WbMTc46s0dxjZ7NyHNnBXkIsfcRX52bDPFo+RIntbcCsYALCaVwy7crhEk4qRtislwR9dWqVA/6v
0farmScIbEjrjqqtLBGWwEex6pVmGO6oajE2w+DQXlamox9NRTeupZFGG4vjzRJrzS7KDHZqJA3r
bBFATFZmY3E/u328MWScP2RWFj9WoWjvU2EAI4GJsZaRCzg16pxz1ozpZsqaIYhnpaL5VxCmJOcN
q8W0NTR5ikmyc2q3ISSFKcNLr6pF867jMw8xpMoe4qITp6fOy4uTmyqWPyK0HLTSaD18t1XsZ7RO
RivZFYIYd+xSRrvMe1qff3P7ZW8Z91m6VdKhC3rLQY0Yojh6Nyk9+ZzFaO4G3BUg0T3HX5mYdwnR
mYtiT2C0Gt24SWTuHQC6TSs7M0PSypE1bR2SKT7n4fElGbntdzamWscSbrMeaKB9ojtnfA1jUHdh
Ww9fZ4Fs4s62um/tWufrWqfnQq3MXdta6tbAmJGtbHPi++K0RQPTDqb0F0N0+QPF1j0HKSLwZwxL
MrCmGamjwtDTrTkmiPfJDJMdhYaUlxqS+7lLqXXcp1Kwe41Bo2lDO79CTwahzXFSPeOGsk+NLrV3
IcP4WEh9OlqqlQRJaJBsIUHqu57M390OuzSHaSXdcWChATqepuwzh8QZqq5H8AT7b3YLOjsF+SqE
tpq1jPNBJXMZtEVRF8ysc/stRBiiI8ZUmy9W5YxYSIyOVM/SsFohg0dsSC55kqp3miKG2JdtIWDB
Zc7tmKrVjVCjbhMlMFLaSO91WMRYqIw2jQ9pi7d9hbWF47wHlJNmp4bvoIh6HjmUTeegK+fiXIqi
ucsXY0xXzrD3LCJUpT9OSX2hKxlPcaiNNzpVjLti6nAQTybA2zKr7BMtPchG+BbJfGv6Y+8N8ZZS
6PB5UHto4IlJN2OdQFRm7i+8Wwik1V1dUt2t9XN73y1mpYZeisN4dTCpi5lJv/qahqvHqZnt+Dhc
nU8GroRNFfYDv+M8t5+cq1VKkpv66tXeRltMVHjN+Wkxq+BbgYRYnFsjXuQwrFdJxfYWIkuhBHzq
yoPJYzzFn09B+KpFMmD9wC6+h0tnL47pogov/G61+4jL4TFazF+1SnQOIxrZl8UaBoqpfeek+Sm8
+sa40rOjzQEEZZPz1z1cUPwTetd/zcvcDDRbmaDvtO1ZziJ7FIs9rb061aRIzE8efn8biRBTW7jY
2+J2nA/mDHhkA0rOiPdhbXi3BEDLt4rHGcVRaT3vKWXKz1HdlxuhdfKTEz/98WCq/7yyXCbTH4e4
ZeP+w6QY1bMyzXVcBMOaPuZ+3Z5fiQYRb9uVR2TYcd3sdX/NMqFam8dDsvleVPBvG0N+51J1HOxa
MDhYr4PI/N0U6YimwkjVFoHwe3/2IewdHqNTv9bWL9XGe/mzsXVZwf5WQTCpc+VFWQc7nDl+XtFW
EXvCgTpX7nKrxGxWlntu0Gf++Ne6OFh/9ypXGy8baV37ueB4cll/ZiPpzyGrPso+9YVSbyA/PhYy
OXDl+X/8cr+dxBdZhM5YqGzqAhx1OYP99kOU4NY7Y1byoHE+j9Nn4kSrXIRobbs/fp2fPqzvLwRH
0fQ4ZWGE/cm5S3xEUWPaxaiY0fJNsgNZsGbP/c6iSfX/d1oVf7o+//GKzvIOHU406k+vyGg5dHyZ
8wAeoUp/Y7B0ZcyNL/1Q26pBFoS+s+bBOwak0jZo/+HJ3Kg7OoT++K0vJ7TffqL8io1ff46fvif4
vwwso/wcsOTpKJCiWvGc+JNjovYvP0iKf2k5tbilXgWGH76NAtJEjm+loDuETJ9Pr9QOpvLFCao9
Wd2Vrq6c/R+/LySOf/HGbGo4PZOgFsLab68dt+tlpTmEyGDb7YuaThbXb31l6z2FX8Cu/MmVqiG2
/O73iOsbTC8wHk78P73cbOVx3BdRETBYR7tyE/pLT+EKaIrPaSL4s5Jj/c9e76eTt213QyRMXo/S
xGB8xImxrdb75Jj7hFHpvJkD4v9cO0ggYND/5DawfO9+vmh+fLM/3WxcIKwswehytruaVaB8o80Y
UH9tPLSkNld955w0DIybrCyMP3npf3G9OuwcliwBv23bXX4vP1xJkPtCdcq5kuamwZs6esweRv7X
vxQOFEhWLQbEB8P+6cMk1Pp/UiH9u7cCOJkbzpKN4CtINuK3b+WPC5P/Upblv7P+avwh3GNVTW/v
f/uPH5d/3/MuP+A9tF88EyOEy/OTfSKbrF/lV/MXsB9cB7aJnkonO5/hP+lbmE1cLkRNI49C8xJ3
zn/Kr0TXUNVJ0RiqTn/8X8q70P/+m6/b8k/xT9i6ylMDddhyfrrmQSQokz7DqWNO7T8LRXo3SqSo
T1YSTZ5P7Hs+5FIlT9LPacswWIVnKhw6OliIjfFUua6ws8gxaAhmJvHHMrTvEk8+gn4X/dpSsF+t
OpwY+64rsVbYTtFsR54ZnEOWXbljwWSW1wV6UfXx9YCusjAPhwVOKSLS+cv6XQ3rutnKxDW0bX3d
1U/Xtf2ywO8bC86XIicDb5YXtYtAwLo/s63ic7JIAIw2mG0XLS7ZSCcN6aNU0CeDJK9Zx4TVNLHL
CCGJXHWFq8RAYEEzd7RORGfBLw6zTufexF6BooanioPrVa6AUVVPvhar+bxmO8WJACnnhkziV69h
nxBzG8UlNbpvsdn3TVDhO7knBN/fzrVH/DOpRMMYjoRiWKPdr/CHiQlMhFW/qXbPS9VaqW1azabn
Uo5OeKTRtl0PCKWESPKR5YM5qX6aoOG5i6SDquWwkRL91+Hvgg/SD2Wa4SWnWfLGrDJrhGaM6bxa
5KIcpRulmJ3nCeRAv8+Qc3fE65xF6FYObMX0YI5HLPWGY+OmZ/PjMSI1If2gtgNSq5iha01ZHYM6
nabhs1zoW71HuHSbyRrjFml6g9PzgurqkLVTKF219U3YlVjgKsDQKSEl4fBcW6I9CaUjpAM6FIyA
JqGPAbgaa/pDUu/GTWMJ7xmE93PooT/XbC3P3VxV28wW+r4EUvY62uMQzJRw+GUcwrKAu0A3raNd
wjHKxc5WFGw7TQdXNZQNgelJGwtGPguUOVjZiRKjRgnFU1zF46txZZWOxlS8RVjZb9TSHF5Mr5QP
iTrTdVkDOVVLifOpNcghrROu7Nu+abMPOZvNplggqSzx3E/VAk5lSRAFZlMJCHWj27QrtSB7u5Kh
FV5sfeGv4qkFnzgBYLkddaISrPOqT72aN/sxKeG3IoDJTTEAdc2NKTrq+sg3aWht7aMc+S9K6Th3
eaQal8Tk4195slNfqklEh0mNmhvaKgr6NY25v3MWrqx5Rcw23LSIOS3kWUWLoeqPIbuQDl0Txibc
l5M6xfpJQRbyOSimOxlb/V2ZukSNQ1rlkQHrjj1RXwgnXKDB4ptKXuEbJzawuDnG/eU+EZ6ThZir
Jgns3EmzNxxtladeFi3JsKYj2jyTGVCkxWdaKMQ7XY+SlaIdLdByC6nXWZi95ULvdebMPQ2wcpR1
fMX71qqcUAyv2N9USLnLFxZwX2raM6UU7J5ImGueL67gYFWf4wAQTnSUpp4e2dQmyUqzp/Ldi/ro
iU8aAjGngfxTprF/20We7F/YOlXTrmlp4allmYIJ7qEZO12aYtAAvBJEBrfWNUshL3BqUX7kZsg/
4+YwM1Z5psTbUMBKzhZqst5PfbuxrIFvcJeDi6e1p8DYVtf1yjMX8LK2MJipnAbHPKAIHtU5LJ7m
jOcGfQUdDOCF4ZxnU7TPYdPw0zsqlhBu34Ezd/lTbjrDITfxzPl4WpQv1pWvKRfUZtcK1YfYPn+4
3LNXhigJ3OcgAE8joBzAArzGQ0Hq0PZ77vjGCqSnuScGP3L3uQI/x6FSCc5HVvOQNyUpv2kyCDh0
ZHNWaeYRauP0nTy7gOCf3QUpmtCUlKy1RqsekwU5SjEC9FHvSiIta3MEkNuYc77CW4EFuUnQ8Fdx
YUCYsmU0bybdHANE7F4GkabO55S5bcsWLwyDSle7b/IaCpz7nICg0FRXBWNbZBdn6KubztSbS/v3
WCFXANeUUtZ8mwAdoWLU6ZOhZzafKLL8Ga9zl64KYvrfxqQGz4Fb2jfNpoc+1GbH0Cy4aeRql10G
EB4EpwsM1qkVY+IY2GjEswx0XcQXr6olJMqyPBTglvwB9DaxwSLO7+oO3IMPkoZa61wsBYpZMpwd
GqNJJWURJAuYiazm+9BRL8DjWZDNQ1c/mtxfHnovVT5aq0kl3QGZc0/ieQYb0bn9DQAEtg/jED2y
YrF24YzHdaP1YFokPuHPad/3KmHyzNx2eRux+lfxlqz4ylK8Mxoh5BeR3+Sdbnxj6w1DQIFodwa5
pb12MtLP3IbmE87argpsW+DemwjMeZnD7ZUll/2qkFp/5faqbHVFVBvQkh5lZ6LQXkM7dW4yORbn
mAv8MY0GCqhb02OWN/stS6tw40Wut++tKX5NWCQrPhtcrOmZ2llbvmLlB8b7hD+UaLQfjNpnYXNN
rNuGcoYwNdwbyC4U7Fi00qv01x70tMwevNE2XlpNeLQ35wVMmCmLdcLlThx+I/3ZsSxPQgh92SQe
WihSzw5/bFcC/txUuY15qh764ZhZeKIiV4nv4WO1O7cw9WJVzxOGAUtLqxPYKq/1uzIBTabCWbgA
G4+fqqZtAP8PZtysDDc3T4rsGjoX6vr7SfAvzdv/1WT0745Ejjn/3sm47d6S8m//+fb7UVrn7/3D
yWj/4lrEsl2NtQ2L6EUQ/oeQrjJla3Q4s9VByOam+89RmnYak2kSydzE+4pzkb/1fZTWftFssLfI
6aBukedB3/0FkC3wp9+O0jYzNN04zAZM7gD4nZ/OXL1kW2Cxjlknquzp8nCmCnC9Th7jmAHd4ZY7
ucZxNO3xITLQs6CWeMk5Se3yFVqVO66pBlQWPAJEPaa8TrlTZBRtUmkYrz3hutzHizhL4FW9Blx2
6OZTWtSQkkxA0LRZt2I6pwkMZl+rHFUH1mKSFkxblSd+mz85kioOCe+8DzBSW9tl+5UFPbSr5wF6
5FmfhvDTOIXZa2ZCVQo6iLTOGk6ryw06S6p80wkv+zzarvNcar18VDIjfPJ0koKkNIbumIrGeJ+L
WWwMxAPUCMAcJ8vIvYe+cfmJw94hbEHK7x40bElGl1gvjmtPLZ6JsU7TGsfpZRI5bHS31nynoFRG
pSpkP6VpZq0T1IR9ljb5AUI8Tcl6ViQP8ALKL3zrk2BCT/Njz4Siinh9VEad4bOQGOusfRuaTXwo
U+hcjE1J1XI7yEyA3uD3vxpOU1+sVM3OiMM2+J1MFSLQFR5Svi7A+AReqc2Hscv0+1DlDmeUQ3vO
7Tw/c7UmT4RXC+IYnIFe5tGL7lh6zV+tiJT62iimSqP+pO/TNT5NMz4m+MGVtZ1GIZYfUOE7yXMn
26pQ1V0/gikXr6MhFDiEwr54zxqRJ4hSzkwsUNfy+8ybu1c1BxbPB51t0raT+2hgxpMKz6fNDPvd
t/UQClDVWfmhVLKKjGcaf4xTJ3dOWTlB4w72RlDZ+KlIhM0PJJ1gUOYBnH1s2G8wgtvbiYjPUdFK
uC4FIGMODPj/PcLQwyxWaTLTrMSt03e0qvs2tSllAcoQ588j7T5HYhJthqcsCUmSKvamBGKl4AFt
KYvW6B/TNC/7OrqTvRkT3Xnoo7insqdmja7aoXvX6bC8PAo0t3NYjS+xaQwK7CJ1DoxSmpsJwycc
dVyXa3hfyaovC6bGdHayCzpzczabSXkp5fKHYtl1r+2MlSDhmwtEubO+4cKbOZZxyvLQ9h5NuPcV
ha0Vglc7meI49B0Ymz4BQqnnLa62Fg0JSDmQOSEk0oLASbnWat68goKtrUys/RvicOHWmjXqYyoD
C4HdyjHwOjU7RiFxUGYjoW7V0s76nWOEy18KlU9NIpIvldGbLUdHpUq31Nrbx5409hNQdOSidtaf
c6PI73uaCQie0w+/iiO1ptYtAzfUpG7k2zEmuEYUebtWqsgmxYxauxRdUTAw0LLwlNXNEHKOLQX0
k87eY48w12Dv9VeFUWdD1lS0/mSq4Y03z0tuXh21T6Yiw1WiEN9HQrP2Su5Cd9Jd5VllQ56vPTLK
G0sWxV2lzv0rq/zpWXiad4MN1oGyI3uTUcmhJ6+DQvcay5nJQwDp8xuyEhJzhVF800OotkxEsLXF
kMJrG3rl0cxs74aVWXtDxi+5Q4O3icQQMaLYkyKtL0Vp5tuuNoAJ6I0azKZVb0kw6ycnpcQUByCT
ukzb4WUEFaL7aWNSs+Fq7ZEqD64Y5Fr9HpC3c6rqGBde3M3p53Bxma9GTwCrcGPlg+9NFEz8EBRm
hJPhW7SPHHqCd7vZ1LrPdo0f2uknk0HIJNqNU2e57bRuoHpx+mFyMlNWGZzoT2bXc1tCI5sPjjqM
DJhyfIMSYZ9kaM93Y5pTXxGK0ThbEl+VkSvmzeCo1svkleWRL6T+7M5eeprqQvsqPafF2+1mN60b
anscmDGDnUrDkdvZmq/NdrjwxRW/IOO/drW6f6qBfnPbqar0Fjl23tLA0D2EuJsP1Wg3Gw6q1iOY
xMFYVTXlV1oi9W+hwlElxfulBf2YJB30OdorVs1spc3Kg0hxKcxUmjyIVAP76hg+MdeemsZYG2nL
CKfowzbPUldvMCtwxF/1+MshNeXuwXYHh2YVHPOXsMTQUlWe9xgLM4O60fEMiwEu4TrQxZZ5e3z2
8AUFoSGLe89sw3duL+Eh9VSS9oYtwdSVxhNzMzFJdO3uHR9ZbKwxO8mtEbbxZ6jq4Us36xOQ+Fji
RWoLxubI8edaq16tgTLOihzSReHj8xViceemiOxno07ULTfWcFcBVQ7a3MoD0A0563ZIHMGYqRLS
km4eusjMH3NADI8z9uPXmX8rGCeeHGjI8JIiVjAuFIY3bZg8mGd5WnqrfiosjCEi2WemSyFIZbNN
10tWA13o3ECspVDHG6ZDiiv8AKITilaTT49p6pq7uVGii11O1e0caRy2iFttdAmXzJ48LyhlEX/L
6W/b9jjH4LNV2pZduYf4IWyeftqgH1wc2ZeYupzN4FHLGY0hIdQ4mo+KazVf6MQIt8KJYp+KuJm8
a1euG0OW9yNDzMbuDO9gUDlyagsX6xJpBWDhja3ieIHqGcUqzEJF7Q9z4nb3AHUrQK1uHVAigKld
VvBIeIKkylIPYw3FyqsMm8HERvDXIkWDgzXY2ygq2/vI4oa6shMTePYwZN2msBc8RhJC5p0KQGqc
emWBQ6pgAZFAD4/WmO1TAOGuSF81raOmUnfT7ayqhl8OPTD6gsSmZsTRNp8WRsTcek9tWtEU2MOZ
i2v8ERPg35uMkoFNk2M9UvpI2TqgSitAFxgUzLa1l7QYa0W+YFsKDNDlx6YBLImgNUzDuCeNqLMX
gFFiKjhIVnVRjhAwrHJdDYUXFIrtXLiBpXdh5Ax+I2bwrrlC0Uae8O55nG/FgJsaK6h+54omWjN7
1Ed6BaqjhFULlDhTfXXAYt80sttIWfLwpWh7o2cUCuYg9bZ62mnrRrQU8zhsZttgNrD0VMc0c6Co
8K5PRVu1G0MpkqPe5ObehqZyjkI1YhGol7cm0VeuFLC5UTYbOxKHDoxdK+IeTU3n1uhm9SsldpWf
WkyqvZZDN0Tt3M8d60s7LIpxrXDYiuBmzB4yFSxfCxRcuSCVY55dq6Yx7Q/8xfKp4BRNvVk1u9B+
08FcWXU1ZlQqjBYpYEOxX9pyrp7HjA2hn5tlVK61cbZuaAzJP+W2rXz0tUI1UQQ1g6rZqAKhrMCE
HjoYHTtK3wHK5flUfu2mDjB/vfSSEwWu60/RTIclZW22uC87U7kwkXI5Eh0Q30ySCPuZpMF924T9
l4FSm+dZhu22xwi36fM0rPjq5/3mf3F3ZkmOY9mZ3kouoFmGeXhszABHJ31+gdHdwzGQIOaJO9I6
tLH+mFXZHeEZilA9tkyyUqoyIwECF/ee859/IBga6AOZx+WBRSY96PqiJGMoEw8M6q+oMjQ5F5m8
GsWxwZIVZAK08a49Y+9rAa4On+d4qAuMc4Z6T0hRfizTChbWWJpoHshoAkvJtKspUn+NOH8CVxOy
KrTXPV5HHcazsMhfMeq/PvSjkjMAVOkpDEUl2qsfhfrlzzbs32o4/ycPeNRftqWr4x90pnnW/KQx
vf3JvxjeNJJY0kDthqdsYkXGSPOvxlT+B9pHxokYdzHn+bNn/YvhTZgcPSIjHBWRHWNH2sm/GlPh
H8x+sEJjusyoEF/Xf6cx/dKWwqNmsyX6BViEQEa6oB9HgZjn3gx558Qtm3186vFkTV2VSPHvGvbd
Pwe0f1z6YkeUT9fehIY/dL/8MhHStKYTBYulAJf80v2edXKGryaXGbvEFccE0ycZl+zRzvGEHCTZ
j5PZiwdz013+6aj3X9JhvhIAvl75Ngv9bmxbmskVnuKUuJO4ajsHGhBoEozaX//AG1nh+7n016vc
HvN3VxF5Y8Ki4SpsWNbskODk4Cvv/foiP76r20MUGfoBYYBJQPr6qtVFmHcpJppIJu+6evHKtnHT
b7++BMrOv/0SXBDhuRssLUki1/fHX3IyVEwpzzH2w+S++jB+vHqo+9EmnXzR29OpxdQtR8VlNZiz
C24Xm/kreWLF8lQo9XsytygDBNQj982CCHEsyfUVXqrSJ8oj+C1pnK7BHTFFyC/zNbiqbe5qI0cU
PN8WQjaYO6ltWXxd69qieKnqZvHM6KFZ4a2eRRLOSGjC0QKRKC/rdnMeqTryRfuh9VRDoB7pjbtI
XMaWGVfn14Z22l2kRCV/1GDIJ/ezyY3HsTy715uZSY1pq1fnU1dGEInJ9IxjVXsdC0lKVoWammfi
7uexqT9veuzWxYRtwqxc7OIzMVxqK9LDnydPMOMYAydlzLwqHgXV63qojnMyorLptCRge7+silQS
InymFbcGjLXbSiPsF0AXKRBRgEOYi/WiDgBgMHurajSISMKhA9/XC2lQ8KM3hWhusZR3lRhduK0x
lQkJHcb3QLiaZK5LHdLXCUnaUq8brDF6ubp1T6WqPEjXwlyPdUbxp83z00ltqX8WC5k6B5dg83Mq
ZBB3pZODJJVP2Ksv0OoxUBtIfk1KTcWj9hQf9HMhewg98H8Fj8JNFskqx+VChCQFFfgwp0Pyeu7O
5bquRKRm5lD7uHjXqwGgYS2eFuPGiPEoHqWycvoKQKI0KVyQhxU2tfFsnxZ57xrAQBZcqdbvxhNR
lYsPtUakZIi14ixaelhkt+P9IpHn+2GUxlVJhqA3o7xaIcItD6C785OuJPVhQUjDcsxJlLcu45Vo
VMzobtFLzfnjJCTdcoE7f3UvYSAXYHua+10+6LPVa4UZseh4/Yo0h4ZQNsfmclGCsdFGRzFiaX86
TcV7gydb2F/IiiAcRXkb0w5/Jwy5thBHxL10KTTMRwnbtNVLW+0meWicGs5htZloDshN7EWIp91Z
6ezprCZHeuyz5pdUp+q6mLVJjIRCQbRqzKnK6GeA9akIwr5R5e5QNfLFLes/A33KCQMpgiaUd1FI
JsxfzFNXI/3L6sFph9x8A0bPeLdDp8+hXk5D5wz9Wcv8UT+1kjVKswyYmJkLNAPD1HWrvBNpquGR
li+L81VunXqa5W2MU8lp3XX0hy4+v8nJK2VKR4uEhIYmUpQYA9dXTO4uC1kaoIvr54OJket6AIZk
ltqajnBWyHvUzZQka1yiZdq2Ta8ooBYYislPVU024nW+pBu1zabHEgfxHSYnhodVhhnB96+3kjmP
GNMAmthVKfcEKki8TPtEGCRSw1aubv0y+JS9IDk7Qj+hOhdNlzFTT7r5Tu9y8VtFdsg3nUjSD0Cg
eDUzfHbHUQHPKMEz8YTOsugWKwk6KxSml9b9RHqdIHU36dMt1CglDFAZBJycY+nmM7PI7kXtWjYe
1aZKeHE5hxCH2qhZ5FmY1qkZFEo3k2DBbMw21Bh1wQjZ+JCbV/2buBBwuMDJ8fKtSOqPPzfyf6s2
+/9zGKACz//Xw4D/3bynSB7+8z/Ox6T84+PbH4Tz/vG/Lx/Nf/5H+7/+2DXlkH18u7xnxz/m29/q
jn/Yx+54zi4/q9K40l9VmvEPTRH4X4nw23+J7f5VpRkikwXaYfiDxOH9k6TzV5WmYj2LbcYtIA9K
lXG79b+qNIn5gSD+aaxBbJ3yb/kgfOFsIuXTRFUXCdSjduLIvuUHf19eyPJQ61dkDd6IOfuKWF2Z
j6myT/hFreOX+COrreZtwB/aBSiFMAJFZl2t6flKE3sTq15+98h/Vs59ZeNSrcIKEg3qTxPi4VeK
I5yXqi8SnIuyxruEMrTKhV2odtfRBdrtxTa2VxiAkB1V5At3gvmb6//N7xZiksyzvQkgca4gy+jH
50HCUFZe2n7h1p/EjsBZLfwcHz572BEhZEM+CcXPy148tof0lUzy5jeF2BdeFA3T7fqU5zIiUEi7
2pdyT7tKY503M+xZfwgNyQOSH5ooTgOOXEHBGd4dkI7JgfqE+xYJZQVWTlAWLQlvGJOIel95aw8a
e5+Xc7g68o54geqb8jQ+zXjP4NQ7WdU6Myx1N23P1F6v8niXXayD4f76Rcpf63LmZTq0M/oP0TDh
m315kGoHxjAmF/x4MfIkvdS+OtcQqfF5YU/zqgLJxSfrSQQ3eElWus34Sl8PruxWfmw6CvLPkeQI
r10s442xKZ4k/TdP+s9Q6u8L6z9vEI8SIFVcNtivf3zT8D3Lprxygzc2vWK3tsy0e2Hhj3YW7SG2
4xXBuh7xx8k9+MAMv54D05btwovdiRSiy0MXB79+aH8y2n91T19aikHpoK+lZeJV1Z3m6x7BqQ7a
t5N1/uQeDAvLf/di/44v/ZX6+vVJfFlzZZV3qVZx1cHDTSwgdNinyPBy/9e/7m/83tt18OCm9mfX
wVD6dh/ftTJNO2FpQMaAJ9ylIUZ4IEzdR4w3A4kph2Gp2zRq76oBtu2hqJ8d2b1EqYuEgxSTX9/K
38jxX25Fv63e727lIiejPJc1sVLrcxj7UG/xieqsyxN6UT+25G/6wlL2v77oT1YcI1oouAKZ0wiL
v+4tVNdyNnennBVHLC3pEZvCPb0utuW+eGxCwgncYi3vcYhwm8yWNUvxCkd4q0jI837L7f7aVvIa
EHKI9OYkqiqG/mWlzZ0yU6H/eS8G+ZW2DphD2JND61KNDuwT05es1JVHu69subLayi1/s9ca4teO
8OtNfNkjGoye8YDgJlr3piepI8mWPgUu7+r3UnRB4UKQ5a7cn/YL05pn92xuz0YoUkUhfLIW4id2
dliQ4/6KG/CII4iFWoq5YnHLK8HZl0ggrIQj8WxfpdUZjVQ4qW620e7kbcMML7NKOTLQXxVc9irV
hLRa00qIJL8Eb1xlm9jvdgK2F5uGuAM8X6xiI0UI+85ht2p2553hL4jDDq8rcyl6qDELHMlcXPMU
n5QZG/T5FAwrqdq0NySC+E4rfmw3BL/2j9mFAb1dra7vUmVfm+C6xUDw82paxGHmpF4ttEDdDmCN
UlSOjkg3JO+G93QGEbTba3DLUrc4frWN5s5wNJcSDhQL77KaHPLwmArXTr0/LfUuNFRvPgeGwSDN
mSfndTwK8p2YOmew1WZNa2pPkmW+VzHVslNmz6L+oZfWwvCRoe3omJWE3NeVOmzGaV3VZAixmTua
4WCXAh5bxV4Dx6Ve5rKj1Rt62ru5sUSPgAx7CgjdSF4bQr588iHKNeOM3Etbn4eZfqQpUVW2OS3R
NpPqmXeR2fLeHPIritym2+EOjqcaxNcZy10p4K9HeIkt7tSduVIPVCvX53Pip6o7u9TLpmLrgz3c
d51LKOVsPiuP0rAqdI+9hXQWlNZq6Zzs83LEeu8+Y6AadsWnkbjpwi1Wi2MMTZCzfcBelHv39P0J
ih/GHAEhSilfa+ynNCKTW7i5BxeJx8CtBRTdQ4Byb9P61dU5RYunS++qQX6yG2J2rcx96zVLDYiX
Dqb99a5//kbb21jqW20JkRZ1YR1dHVjHn6dj+oI9X4QfEZ4cxsfVGu57H+4AES0PsuBodByCU/oy
nZFNEJS9KGw5KHyc+zIO+Tsav866L8/+1fRHW75v3ZlJiepOq/ZhYV3bQHvElRujSQJ09tKHDJ8v
Ku238we9ooYSOiiCBAA+hHBUtVCk9ngvXs2HmCVxtflPVdu37XsxvOF7OK8l6pClHGBbU1WRqYTJ
XffUj4RbuZfqKb5HAZ6KNmLUhys4iKM4Rh+QLaq4YAENT/dF4pbbXZ0EsEHS05bnDE6vVsFt1TZ2
i6DQ1p9UqHJwECLIuvnFNp+Av3DMoatjm74aHjQ2YwwGIzK+Nds+DeTYNu3MXzwo41P9TKKNdOi9
Ouw2bKGBEuBB32mWSIX03OyxCaWq9fvlmVIytuJtgfm3K8mWlLjoQHu/8E+2ue6warVP6yaoyBvz
6hUOFZldGMFki3e6j0F4NC+JhdymyGcdOHyThYV0aDqVX2yz9zHUGofebIbNcdqLyl0VwfUtCYHu
vImIX4UpN8OtdbkznnX0/tU3uVwWwiaFyTEt57MnUpAPD4n0qOYHfk8H0Yaf2LnVhgnR+yxvBAxe
R9CVLfDVg77ESgjlysVgcGLpT6mnuqO0miJ15tE7ys54ESEPuMaKmMZwcutdxqvsbWlcJsj0T8FJ
IdTNOX9KB3HTuMV9kvhTv78ZhNriw2Wf7frOnRau1EUpOnCNYuTUhqlm5Qu3Gx1yh6DFhbPXSxxb
JAXNB8PTxF3SbIvMnR4XGUnFK6GAOmKdz0F1PGueWVP1hUbqXtBvI3wO5pXKqr3aw+iQXBycN+2u
GhxDcM6J1TM0C+SHDrUnnJS93pBmSTyaJVmVbeyTbX5XeBh0mVj1MOz1S6f5pgSyq3j6Xf8+uPw7
XKZ4MpyOADsnGnrVlY2luD5HC+c0eCenxm+zCiBoisVu6Lz8EvUkZGcgAn5F5rwZmtE5aLdt5Zze
R4Z8wypGi9S5sCHy0ZHO9uCqthRkBDBPvFnFK8Npw2jsubiXE080XYj24rrZnI+al+r2lUiITb4Z
ORbuCN7x42fGlIhrDycnI7WM3LHYvuau0Czb+lBfwjwJ9BdKTsbyDswVeVq3xjp+UhjVNCPeOQ4C
BGtUQ10B/HE7ZdkKB/w0xhWEK4+EQGjH+QYnWeZs72lUfcvvjDdif/p7vcARyyXkguc5e/kjMzQg
5kU4XyxlhUxw8hO+ueoomZ5UBuoYlltTQdtPAKG1ADnDPDWnSg6NZRuSsOXPPo8qOBMrgayaA2oh
epXDoSB/wGmMN8Lb2TdX148yj8oncye/6FCxHprR+nWt9ZNKWhZwlhF0Bs6yCDvvxwIvh8VSpNhg
eI1sayzRg/iWcNt3mCZUx6tm9YfUrQOwHv03U4G/qeYYfAnEwWAYh/SGv6Bz/760NHIYn8rlz8oq
25AU5MbhvAN59Esvc+qn3/zOW5fyY8fw49VuQ4rvClkAU6bRoFNecsw/9MCIZDwufMKVVrzPQvjv
lPHarTb81TW/PNvLIFVVSZvqcSZPu3w1mVaygY++SpaUXTABKkghDyyCKWpRUryL79nCxcuLOmfa
6WH71KvrdomXsFo78jNut1kgr8ZXo3DEZy2Snfah4MDV7urHfGd6rwR3hHFURvC4KYUtLdI2NfVi
7FcfbC3BFvmG8Jjty+XM5PcTpnTn3MpH1SvuqvvUzp3q+kZaU+4V64kV7w3ucORk+CTrgv+SnM8N
Bsb2Jeg9zHk984EN1e+W2WSNaxFhiCW1HnsOVmng/MOHcaxfk9fkG5EfHEn12YWTh1UcT52C/QhX
WKMyCIdtAoM3tijyuszC/VYiw5FPsLDPGQ4g9rQiaHJtbjSna/etpznT4MUTmZiu9IIT2epyPH3g
RHFtPSQ+8cF8VQ5SZUkLy6QxZda0S0fn1ISc++x32a557J/FVw5AsibdazQcxQj2lX3ewjZq13jG
uNjoItqsfAg4ruxjw4XLuoND36NR2Jd9jZ+07pzKLQeBTvLEke3eSVZ5GcDAcps9WDEBJcO+eDGj
+Jnpt5SRRWyxwcALj5/ZJlG2YEioH8XJuk6U6Jae2KrhyJ9FaIBOeDz/kzU+UVgvPlIG+di/UYTZ
9S1o0sbYT4N5/dJD/xktqPPjkzhTGviTcphUp4ouhdUeYNsvEBT/5gO6LdZfLeavABisazUhIJem
VOCMckEC/AQGN0Gjyxvk0+JGhejMIvk1AU75zdX//vkiuIPSa0AeBhw0vrTErTwU6ZSWhYePorie
j9AwXY5Xt5Pv/3sibfHvjd8PVzS/dL6YHULUvF1x8vA6J33Tg+M4lBYE1OCfeuL5uiELDVuip9/3
neptP/rxceMexuwPZrQognB+RV3UNE1hrBQ3WIjN4tz7yVG6S94goOb5a8N/K8yvwvBAeVRvFhyZ
Vr6V99nCg+sFdRmk6yac0IL0cWjsZDVWVpffAMISqAROC4dm5aIkGqXltEy+WX27vfrNJ+Y2Xn2Y
h91C3YlI0O4Ew8qp04jRPT9mDkuQFvfXr/Yn3T5pbjJ5Y6qBVFv4imReCNpoRiJZQFXKzcXHDJ4+
IkPHvFGDDM2fm6wpuD3JAtJZG9jBvOSsMMPu3fZ3sNLfN2xuRZOxUQFb5Tj88tCxxmHw2MgZPWqy
SXe6h9mgDVH6TvIE5+Rc7H97Ks+CZjELuiRg46tATvjxWFLOeqUw5Pwn1JEFWdQEKqASFij+rx/z
TxbULdANDoSiw34Xbo513x+A4qQV2nyNM+/y3ICBAh3UjlR8NvGaeOycLDGj+LylIp6bNRleePPI
+B9MFtTOpLQHxOQVgxJPy1BSkbwqLBmciex29OoWFVsx+lnviuKaSKWpW6VXl3pXzYO5vy+I0wYg
YSZ7dUcs8XtE6SZn1IqQrXiXFX4BYke+FFyam2jNLd9+/culn7xVESoHO4eMfTF40o+/XJDwSq9m
SpwbgCnZOuapmN97aKf2UCDot5eYs7SrCfpbahfhFEkehd7D6VA0/u82Munv37WJlSDoFmQM+ATG
l9cwLlS54W8nXvyQ3kQpzmljRAszuOxO++q67O/KV55N5SpkXn2gQiP/90TCpL68zOvFyW8eFlQG
SDV//Yz+RJl/3G5+vK0vu3s6a3PRZtyW4idBvxeXOLn7uUefXXMC2V101q0WpJkmmTiHz/k53V+P
EL9wviKx2md/cPStjoSKHC3I8ZsBSnlohtK+cX73zfxkw+A7QXjNl4OylQHAj+8TO6zqXE964nX0
bcBhkIqVureS+b4QXGN+5cVaKDRyjxbjxlH9TK7wzu/q6gXjzcZPaieNRs7mmkykXz9GuKQ/eb/c
EWC5pOL7wm7y483NfbyoGSqmXu22n2YCRJdW6yFx89DAr+GC4pD8PtuUV2STdKfVnK5TKI3VNu/C
XHMzMRiRPUh+eyTyqglhPmtRE2pXzLxsrd9j5dMpdjI5ZeEokU7yaoyLHJSh3FIlhAwW8AghqY95
hqsrOkNHMGw4I9gT9RQwjnG1C1d9Ux4ApjLCiY9F4l1B68S18mma/lB4xQRx0ZuFYMAfmKBenuRH
d4/2YdYsirskQIWxmqNqZT4P3MiePzL63cWKbxRPii6/3Uy03rthsAjayGOgBN98B1YbUTswi+ck
u29SB/LKYguXAVsvMrPFQMMT+fQClKG4/I4eQPHmMLvJGDroS/16KIugvjijsSz0A9lnKsL1wk44
mFADfgPWKskB4WcrGmNhP4eGKdiXOojFbSwE1/MqJYy39EH5GnpB6t7UlwyCA6zmAw1otUtMWxzQ
kXnpEGET7Js4NqmWcidFCtjTGVCXPggQzrQA3q7o6EKMrvtIiGjZYks4tpktnQlvQHBoLw7kiZ8y
rLBsTfIBjiRr8a7dwKYPzMXuKorpyobRU29uyX8ERggAbAiUcaG2IBzSgF5BPwWXMuNxduWVGMT8
AxZApJfAKKBG7V8m6+Jpj+zPDXtv9AxnxcE+mG9hCClV6g1A0ZlYY8T8DP3tyjXdek2ka0lQK4zv
3u3MoJ4c6fHkLvbVVnlAW77JgrM3vaF1eCHwoN4wbYD8UHmQBxS7CnXv4tTryzZ90WwBDu9L/CgH
F4ehW2WG7dWuILpnGh5kjtgSlAfkjG025pA+GCzhlMOKd5K+8+u6Q/Mix5a5VKCvcLqYrroME37e
FJ0PZEIfco9AcdWTnVR9WOAM9trfYWti9/6FQjOQ7GwpctFDmbCQpKPg3voWzRdseXV1CndaEjS7
7ML4bliZJAWiKVgSd243W+HIWh7C7uMq2adgWukeJX+jgfwBb3f8wHTHCis3pjc5aShEFCCLpyyK
X+Zv6TvB0e236qB7yHZzrx9wvrOunow4n9OkN23hUSoJQL+hctJDGamCNb4Se38Lccazlz4tubta
zMvI3nFaQGmE8Pe4xfjlQwuc6LceppLOsPGLb/Q5Lt0Qo8jUWsX3Q2WTr63DH0lvaA90d3GzyG11
A1J1eK8BaoKbIHVBTIotrHkH9M/PvEQnWTOKfhs31fYUtMdkSbfXu9qaUW2UPZauSMiwVzzKbNLt
sgw4uUtLfL++SP71WdgLqjXh2gVMd36QX7rEKUUQHGa4hquvGOZ23jkE7qdzM63LKg+1KH8+RUZY
PONAsYbpEab0NQ4cI/eCkN/HqNa5rjq+6MDYVIDdHq2Lxu0kx+vh6vGkBMe40yIwT3/0408K7J3q
TYdxrQPF3lUl8wTRObmlj7OcFtLrbeiWDnS5xApFuxwpOWxzf4i6J2VYNjjNA32Rqn31ecQ+ND2r
DXobpHd+FNbJq/QyLMP6Dlp0CCv6qltSmIWmL7vae70C9zAoaZpN9lGCUX/uTj6B6OXacMRgOhBW
/ci2FYjWffsw0fSljzSIDfOUyaJJtftH6bGO9KcTACs19tnrKksEf1Zd6gpbCJGWOQS2rvEic0wP
NHc61EDcEPVbq46GFV10+3jZaZp1vdefATOBKC0UzuvLQ/bUP302YO8Qzaig2uCyog4T7fltAj4I
5n3PnHiNmXsfMYr4lrw1o/2J/c924U/2DDo5rUWuTj6Vseo9E7rfw21O367oxJ3OOt0X62zVr08P
mZs6dOneyU49IVT3nWv6fhwaTu/Fh4V/cYXlvFzca+xROUFWXnKIyVtfXt4ZK+Fdq4dlgCmHwzyd
t6wmQarZ/MVl/TmCby37JTHV6/ZRHSyNMcXzyCY68M3N6ovs9W7yGD9odwydGHwGVR1q/o1bMAX1
ncJTDfiyxKfqsNhkFiRvJgp2OmZ7JSo31J+BuWT4wPmHN7ChWvKhd2fmOQy47pONkdrKnYzuyRND
LMLPE3ihDfVweE5uaez2In+4PJucSe1mjrqVYte8FfEd1WPjpQ+D1z/2d8lSxILy0Qy1tWDPDDDi
U6TDfzJsAJ5TxcfB/+XkwAHz3LrNip9xDttPiHUozxbb9J5A601uZwUbwHh29BCppCOGZ1++3P4N
+b3qXA/p2sSQn/EN+CVzrQPf4Qz6lvt8eDIuEexm46YJS80irfxVfG/d2M62CV+b4jcsa+rs1bSd
PHIZN+Oeg5YFbad3hju9t49d2G0hOt53ocbibOmzSNiwr37i1mkwP+h44bHNorCzdX83PMlL7B2z
CFM52wjV1bQ03f55uqveRs6pfEM1mA+ewDhG8c9XJ2XIUbn1t1ME1fcumyJyCq7MBd7yzz5OSQYP
ztKDIj8ZOcUJO5Y3LZatBh3D66sV8d8XJKrv458nuWtE86fqnT1mJDeAyefDqNivs5ch8yTFyTRb
yp1pKezGIcB1lCJVDBSCAtjZARJ3cM5u50b3VlYeFBWTT5x9NGMqkOwA8xX88hsPyuuFiFTMVd8L
2ko4kCA1lum+j04a4GBo2MYh9uKPcdd7CgaPzDs4X9hImQM8ahhJADlN8QYozB/sMsSIh0qst/MN
QEhPpgGFmNNtmErO7sBfNw4ZotAkSE3oqh040FRtYE/uLhvlXYUrww20zmBgZxBgbU8br71PBEEX
9g2h5M8NlCO9nW4A/otVfb79E1ytq2EEB8oz9rcXzWrDnBE1czkERQ2x8sxRgLO13o57X2icFO0C
5EAJz2Mr3cfbaoOUhVB2CzZwX1AmWp2+LEJiKLz2cD4v+10pIrLBgXWvxFaxO+3kzwyswU64jzHM
o8ZWtrf/b/DRaSZeHYB3861vZPc8bGWXG2/Dzp6XnQ+n0yt31JqSKz1tTsDtcETc6phw+5YGrLKu
vaeY0eNkG1Zil57oZju+Zq/ZDC57MBto6QjLxu423ZHRaW0deSseqm0hdrD+sOp7RrNbw+MOos5u
mGelk3Vybn8jeb4BNGMAl2dTvKhRY9jyayJZxr3sT495UMfWJbN5sxPl9vNplwd6hHGyf3UXoi+9
q5Gx5dGwbk6pw0D0NoYRNidtL8n2LSPXCOSjQY/GQluZDxnlhMtk5ap6kokY107jzcIfNrclcN0k
HyKjG83iTVz2OBzQhpiP8yrfo9ajWHblTxaGGtU7mY9LnZwzuPD5HRMOazjvNAhmtvzAOMLgyOuo
HcFNLeKWX9Rj9s6j8hOneKrdPCDANLHqYF5Wr7HqE6xo7rKnfK255kseDXfNxZEfGkq721Tlhn/T
EEscAS/GM2uXSQhZhQCX3tRaypJHrHmCN6W88/PmVuRiiWHV3rDud/nd+KYt+9i/UImRNAhkwMBV
Xy6YYw7R7f7jZ2P0EE4yRDPD046FNlEsWS3GE7eHUGJWl+LNuVRW0lPpSCuyz/uVtBqOya5JPEBb
LEdMw24JEE98lX8zbIBhv+DQGvx6p3+m55AIm+6hqS1CU4Q3Q7TN3lEYod8xHzo/1E+XhEbLmR66
O7wjnJRxeUVPaoYYpT+lD4uAcvXsp3e0rcAioeQPL7k/rJOtTg0aNDZwNlFqlr7jwg6dj3PqGM+k
rrCwY3feT7THgxtj+OuXzLKu68ppVrMfr0vdUsP4dVnZkoOIEirX8XK2dI5ctgl9Pe6EbXf7QPTP
2fTbECAl3ZD4RxDRfbpFPe2Pq3MEiXubObm18LFJ6azj6X4MCwdncefsA4YFFTMi+YDNDMuA+Fq7
tyMzmg+8xBsqOi+1t8Jp9sTL0ZutJ5f1zTN+6u5yNw3w8HX6AKp7lN4xnP12MRx8rRxGc/fM8UI8
wrdXmyE8CZRr0uWyl24vvSXew+j0z8wflfdiN6+gpa0K2TWYicF7vD/hwRF2e/Pb1dWPihc/4a28
jJ/RGy5LR1nKj/OhH+y4vT/pn1eMhVRn/FgkT/pjm96Wcl851QOUtm3lk9fhXyYbISguNPCP7ctr
deI3dRs2xt7OXsqX/I57W3zqxz4UJEuOwJxUvqomGvxyW3vMCY3lsOHjBntP96cBS2VWk6uma5kp
3n19r3NUb+Qaij5Ha7ToKWlfrq/8Vxe/zo4E15tvxnz797Bp1h8Sn7UGAGYxI7+yBZgWg9mF3/FJ
nLbwJmyQ/8mXWOCY5rsc7Z48QS+cVwPpwzv+o8bvciTxehsPEOjs8kUKqugGn7jcGCrdi3U6DIpz
jtgT3SsnQrepIoF/RllNR+aHVM6s6+kbe3K3ZnMTAq78YjxlTpIy3dWCy0Nx0IKb7qWNiie+Hnwg
+ROLMH7rvsFe+az4XEuPAUO/ZblXd4tdvjaYNUOcQr8Jxsnjhvp4lHivcQ3cKi6sstvMoqsubiXI
lERJjSm629eu3TJm/81M8CdQHdgXI0EBTRZjwa+oN06s4D5XWLa43gc5hLNrCLHVLaL2G4OGjgcc
aM7N4BJZKC+b6Gpr2jRrjvDid1DO31FDbgVSMQxbiKaAwj8COUZapGJq3Ai//6Q9ogC0UweoIZwZ
9+JAv1Z/M+Qw/j7kuF0SkZEu39At4XZL380o46bU9VMqpBTEi3dCg5ySsis73rhK7UPp42FKMUM1
HKp01MZjEU0H3FTJiie6nE6wfMBbzZPs4ih9FnvFPR9KXywsFL7uTJQsXU3rdEEcxPcVY67J1bzS
qdaxnYZYPMGuWp+84bWzk4/Sq/xxqeyl9edtGisE/VMLMWl3ZkUUS/0lvTtvSqd7+C3+/rsH8OWZ
95omZIuBB4DM1r9VqNMyoygqdold2b/nc/6E3fjjA/8C1klVnAlSz/XysAMDUWg0CFl3RXgGSET/
O3Osn6+q//eKv8C/ajzg4dRxRQ1LoxCWlLOg/B690zoJhdvw7+53wP9P5uy3H4mLpCyB/LO+flxV
17M6XvPTNaVplyANqW8YsVsaRVy/q/zfcRVh1X+dW3E1Exsd+RbOg5Dtx6sNndQm0BlTL/uc6Qtc
TCTENuKQfgZtj+ITcwGHvhcSF7qOqIjORIasszVD23lbAmDc46l3FGk272+OJxyW++lzXiUfxUcf
9ofmIdua+Ims0zUKxt+Btz+5dQXfCXyIoGQLX7muuoiTClFVmEdaMOZnqzVssHBa32rZYh8sPVe1
rUcYOrr/d7z6P1osQiQPH+h/LRSxj+ePY/u9Z9Q//8Rfgg/8VSV4/Gz20o0Hclu4f8ly1X8g5oD5
jCBW4RwwgPj/JfhQ/6HDyMWaUkJ+CRn9ton+S/ChEMl0Q911AzqJwer7txQf/Kkf1sPNelUTUFfw
P9JtRQhfJ8DYoPwf7s5sN3YkS7ZfxASddE6vijk0z8MLIekccSbdOTnJr7+LWZXV2X3RDdRrAfVQ
gFJHoRCD9G3bbJkjYc9tywJ+WA+S6ILGi19TF320oqtvu9QvdxQ7BvtyaIpN0fnlpVNaNWbg1j4v
VP3s46isN/6cpFDQsJsGDlUe/pA/Exscn5WXc4br9Xwse2TjXgQk1uzPps/dG/5BKAmwmjZ6yY9F
jTxGUhRjg43AqwQewMkGJEiZ8g0k/heVQTAy3M92bkp1hRfhBiy68j4Li3uvtgBZLOX3rPSwsfqs
eqLrWZ8qSzGz+TxNp5L/E9N32FVX2ex1J9pcjlrN73oU5VaU/gKCpHl0m/Bk2xxTTMQByvf0D20V
UBHC6rloV18gq70+JB6aT8WHXATP5iR6xsn+6UHn25iUkxTLVayjlPZRV35UA6O062JakKy5PHtq
t1Sd0fE8QbHpA2jsUVz/+H11287ZS5gxDQyJ2tM7RKStjJ1DlvRHsJvn2ZjHIRk/KyJ8MrIu3Rah
1u/2oV0ePFv0u2GhAoNqtW1YUHpkFEzQNsBX6xpkZSSkw0gV56ai4GF0vescyMZx6rsrCZVgoztz
yJPMbOqQtqC4RknvQjyiySBu+cGc6HPmV44trEYLjnMOsUtaNgyt29Mhz1jDR8L5VpMhSBruY1m+
5kohBjQBZXMCjqIqevxj1XAqsnY+N331FE/FZ6Pr9Bgb/TzGC4pxycqBeOeb40JaLQvvJNvx1Tbx
lZ8Vj9B9fsUiG45W6N8pIX9PcXxqx+55dOJHNyARNEbAglv5WqiehW5hX08lY5eeQWBAaZQ3lt3V
j04dq2s7Luxj16K9GvecB0FNHWFxM+aSlUfPb5tGccRf0IhdEOYsTuzs1U6Wdjfk4+eYIiyMtFXc
dyNql7AAbpg43JaN/6pz2tQDCKDtzIrHGwf7EzzlsqNfNtnQM4hrL8vGvQIPSXl9XF9Ss+6ANu3g
HyU2dgBQgxdg2fxt1s3NVeeLYcuaNaXCyqOeMNDzKY+UPHotR2XX0I/ahpT1UILub+WffwWdLttM
ps5Oi4ptWky7uNUG2HM0kkw0wLPJqPNABygNDnqwvGlef3SNhA6cPSZgJUAUu2ITAjDawJlCNHBz
ilgiZ7qqwU0iHzUPM4UYF5my6HIf+i9Zxz9WEvwGhsT86mPocpG9TIDhBz8aSlJDXVdOvTridBrt
IAfRRVggBBTlio1LWOTQakV6ShSXBQ0zF34dPWR+XVyNghas0YP9Q9XFr9rn/DvYswajQS5Yerp8
UQu+ZtLJTxBphm3tdJoPV4/9MsmsrUv3ORtAu+WdL/1N1vGClZWy6C/7Zb8IYYEzQVfr7ZIWqJFl
VuWsZkCDSzdOjbtzhbj1C4adQA/PHhHgzTiTOh9tc5Tw1OiGTY9RTokL4MtrLynO1YDsBLeKN0wk
X8HcXiZmOcUpRCT6qfxWPqUSzaKs55fRhgwHWupVpylC/uj2Gx2gQgbNfZdFD/Fo49fsWdvIosI/
LaEmu26GiABVdq8C/Sn9Ptq0lD1cFt30OQTeiTJKvNRVj0LWi/lcLc0DlTQFwdnc3NPahIbvpgxV
TY0eOkY4ELMJyxg1tJGZ7odhMM9ZVxLWLgPiF7aXb2alxh0EekT31iwbGkEpXJrX3JaLVlQJbmq9
6kAB9cW1lWH9BAB3Fa+XP594CFq7MqjFrmUOYFlm/YrIjqPBdK+xi2u5Ld2fMtCXwkGDTSaqKJbX
NMsYV3v/ztVIe05ksZApO8I/IR2dVKbRotwxI806OVtsWKeqfY9aezN5zqMcJIAu373tR8hqWWgd
s358Gbz6VNQdysmEbNP2HiYO/yfpDSJh2x/aEUV3EdWuzsGLT7HNVWkbSjvber6z7Yk2BaLKLBWL
x9z3JWo+gmfAY8Iu2EoEJRMDGfqBYl3vuQZUO2QVcd7E3UaWY7FRYkXrp81rWJJQSbrC23GvqkEj
J4QlSwGiQnt3QQ2FrlX2gVvvD0TWgwxaKN/qa/are7sSV9RJ3VExylZW6N9DUfwoCuVAN00Z1N/l
lW4WGmQlA7PVCuqb6cgyXW2OgHceq6D09jyp1IkMFEt5mEanlKcWcQvnsbeNdzQ5n5RBZB+2yO+s
TFT7pOR3ieFnAJ32L+LAgIu11KtoHYx7reFq9+DuOH7ebys1XlnV/OqCtNtk1oLBWgD2kCpEDGwD
pCp7euKue59aZQfaL31aePK+9v6o9mES0TdXZDs6CHmOpyxXEznftSObMNku1WHJRgv2N36vwrL3
rl02h6gd9sAhy6NTFsfSw1/ZhNOysS1iAKaQ7b7wXUliDP+XoC1mO8rsN4YZ0AD+YQQ0wc9LC8iY
NnfL3HVA/C3+Pq4WhVfHYzUVVMiEAp9B4o3u3q+bN8+36LJq1dukO9Z0uXlvrdRcz9Iy1/QQYV2Z
ly/dxXdLz74bPLEq/SsesQOUPNwIfX22DI+fLIoefasggIMcWHnFd7BAJoqD5b2JSzZUXk3eICIP
kM6cFkxD91pQYKL3RE2q2xBDadzkh1uqPPJNr3WwipfCModA5E/E6u2LPJ9+zzVreTOpT2Df/aYP
kZ16PCP1sj7M2TDEVvPb16Y/FBQ7X8DDzg5T2FwBo7uzwvR3W7cTMmrzqBvrqxihZiU0o12IBB9B
Rs3e0Yn717Ro6gtANHD0ioGGbarDtk3kEJ2IklvXBhIPk7LYUQjHJlpp7p1We2P6BWueqdSXP8mj
gDd+UQesMIdZX4tx/VwtKKWdldc7YvqvyYgFXNqIT1XCBRK25pexxXAMevPoKlCibqKynTLciESd
o/LH6UfpDXJnDz3v3gBVovOpmjEOK+wiCEiTlr7aE3470pZOTMflkewMsjvYJRuTqJovp0TlOFeI
vEDyIi/DJzDoXpSZjwl+e2fEC7RqSNFoXcUraLeocB64jboLDaq61uh81Agmu3jwWIaa9EaCqrCW
6gxaSiNbug8lwLmj8jzrHE1UAoy13opQrc3a4zcIZLBzkucnpHtSPlNK6o8OsQs74VM7ZPOdq8zV
uGSMbVYYnuNhxUkI7lZ0q0MacYJl0ywxft9WvzmVRUtetsZ6RXxT6+LotpiTfWK0c7w6dMOEbOvc
H/yZJ5bVvWfctGnuPcc+R6SYv5RSnb+G6l5ctvuAHa9oOfjhKfkM5/wHCIi6DrLkV7neiaHDPcQx
sTV/bgjoiOJ5qtNhZ8eYIzieWBtviuJd0uKic+CIAn2FtmFcCuLIXbNgWZYfIQTuYO19p1CLV3rR
hSoc6hMHfc6S6uhRa8nV3UcXgRf/dF5Q7wcd6V3MpxheiZqul2jauzo6wsl+C5r2I4MDvanc8mVo
rGMVxLSlL4/BhLCdLw+J7N7SKboSan7oUofgnBqOJsX20jrxZ5tB8ErxAFVFTZ3xRH5GWeN+lM74
AeYy2HmjtLdzYLDyWdEzz+6nuC33tUixR7PKsaZrD95hPoffSw0Fo8THU4v2caxGbhfLOyM5XnI6
GiZfYlSZyLtFsQP3D7+AVC0dAIPc+s70w0CUs2JVwNBJHyfzRDpbFoDA5infidmzt5PhTZxX9rge
yEA2oMQxXbf2Afml2UT+FN0kDojovqzOTkkfu4LYRtKoaU5en8mTTHP7Zi6qZ0/5v62k+Gl6smU6
8DC2WKzp8H9Zl72b/9hTbm0GGWbbP+fk/2g14B8c6bX96X9XBMg+DdXn3PxdE/iv7/tLF3D/CFcW
NAZJiV+TWf6/dIHgDxH6DP9r4zL5fwf94S8QxB/UsMCNgPIU+vAQVqrSP3UBy/7DW4tcYEz7FKjA
CvD/LWAXBOr/pgygBUOsx/u3tsasvTCrDPJ3oXYAiTCZqay2E8W2u6iTU4tLaxk5XuugdeVDoUK4
JaWI+28f4zO9rTIj6RI5NoOdF8QfurTKE2gihpFcN6/FpEkATRmVnqUf3VD4Yo5pmZacinCpXwmr
HAir1h2uhTIdvsuqGu2NM4byHko+c1GPqEB9hx5ayA+TCC/DKFteO9irRDJScPONphBk4Le6ARAj
b+ZBeO9dNSM+hguBMCrd8VYI7HZdxbGqyoeZXZWBPY1DPA1op5B1ujOVLNZc4Tjts2IB1CJxqG/r
nIQT7xmOqzljGyIkJQQ0YZ5hi9ovQ9LbN44X4Q+kuvBM7yammGTob5NMIwFG0RQWW38YUfPjXBOC
6vO+bvedalnrecWS39VBUnIOq4FLDF3LPbiAdbXLehN+c1iULEskNcocTnvEap9u4QsAQAV3jdJg
rUK4oLy1tZiUxFLJG7tfyvu0xfklMpfYISc+D6XZwEBOZjOcl9HySK7GfNZ9+KT+hT1kuAx01qGq
9A4zrEwZ94OkMvuFDkjiy0FSHKpFEvKQXdpeh8PMncwE5q2ga+eX147V7RIOrLEKvyqcbeH67S8f
WO1LOAsyQMEwvOb0tR4d7SRv3UTb6TboZfC4WB0Z3XIYFOHYLKb4ZU3N08sT1TnuVQo3JqpfnHgb
jxRMMAdX2SlLMvmUWJV1LUtIO+5gOb/h1U7XFEcupz6qLx13js+T1/dfMSfjbVgByeANbtxD1qUB
bRGxAvCf4sezLcXOheaVG6ef9WmAeXlMxKjxjgXgdafYKV/BsOKHovn6xrN0+zMZaeE0mnR5bOBa
b3vQkRuImXw6/DE8tIud78eMobfVo/nGIF0/j7pIDuPimocelujDrNPqNDvt8HuWHjhf1zK3sYOT
BE7G8uIsNvbTZZEHTkTm3quQNSbVpA/SLj24H7TdbpIkc2/pmMn7jVmaKto0foGCMwTpuxyUg38p
T2x21sM0MPNGknR4NyUsYEMbUkWRPkd9tOp9U9I/NGB9jxPlhBgb0ulXACjtNdCj/dM09LcwjqfT
eGUvnXecrQbLYCua5b53dcby3stTrEFcV1bcT88ildZ2nnNckg0vW+wlI+u5b93plou2u6zFhH9K
cWsTF4A15V3m9wUeqX6J6fhAJSXunqi7is/ZfHCt2n/rgB4+dENtP1TJUJA6EgrvQZQM2S8VKOcy
q2epLhpalTk/tnN6kytjoo0xBrOaWpDPDDLL+G2FTvc19w4XaBViwe/S/qxFYO17aulfi3YJT20t
socg7JMbVWOQs+Dg3fXjXOBHzuuXxmW1PxvpbssumG5F76qzlo3ZlxZtm2M/0Ltkj+NLNhbNzLtR
iDMybndnuKCuk1EmO/Dy2ZMtM/mRL5bTXeT2xJ6VyXY8VuNMy1uZN/te6o7laxhX3xW1vJwxJ1uB
oSio8qi7Kn/Jw4zLrsKVEblVeoRQwwwaisH5ImNRnHu0/0eRVw2cMte9iqgQfwOIWrDNDePmoXM8
Os/VSKkJ17dFPkuNprzkeYTZqU2rDDjYzAKQPx69y3iJdbsSphSQ0asRpjpej3hxPic7rY4Lcgvo
82TNfsvwq7Kj/KbNHfVlA7B/TjyvvAIz58Kjyue90U1431KQeKtoDnioHdqRuIfkH01akKzQVL26
m6kf5UEo2d3mVFoc897KTs0wOl+uL6Z3s1REJ6sm3Lth3F4pmLePCdBr3D2LDm6oBxVHJynnuy5b
sGDXKCwPVGPZD3VjYXXx+/zKsevxuU9CcYAH3DwN3dwRTm5b8RR2c3A5U8ON/pUPFl7UIlRfo3aI
SI/C5fTfeM9c4gEnf4UrL5+d6kEZjLJ8oDs8NV14Z/cNCxXIazWa0uIyVAR2wH0/kAjVcCq4q/WG
uT4KfJyxDmUqFyUlYd9B5vgc1tO+7i4GgN2XIUoBUdgkCCFtCDVtWrZR5hzPmgw9x2uGP+C7wVNe
L+0ruLfqPYD/L2ngLhXCcjtzkgQ3ZiG2iLC8d7pWsSDXEHkPSd+uO2bHW56jxWA4m92k/1ae6z5U
VkWtsj9y8AzoenzxuZE/i96LLg2SvgHl3tHgxAUBEUPP7l2ypMt1Y6UEJ0w33k+Uk5yrYIQ8XDkx
yW6a2eVWJCp46C3pnv/zD48QUD0OWf/7yfEh6z7bdZ/096PjP7/rr3Oj9wfUK44SnNekYDn0t32S
/4fD3RC2GNs9zo/rkfJf+yQChZSMQPOEEMuHlS/9a5+EbuWv/xqYK6Cb8t+ivLJ9+vtm9B/rJC7o
9X+R5Fz7P9ZJaNPgWfPAxifpvYtsDG5kifeRZzqWqyTRp3iRd7RElZs58rEdrGeLOYlvZQsfpNMC
olIZfIgIswc1wLg37QKSfDEEh6rvwlOXFiBPVEuBvMJBOs7167CurNSAuytc6ACvNTRJUXrZa5KU
1cZvcD6pdbJJ0uJHZJh21pFnnX3i2iaLKhW+yTb87kZq8MrBe9TrmOSuA9PA5NSVDQKKL04SzLwK
E2Dn63gVMHIdJJ17F76f2Lh3GMPmdSDzStvemnVIs9ZxLV0HN8MER6WDv6UIjc8W0527jnmSrvcL
b6bpLqPaHnL5xbwOhfmf46HBa8y8aJgbaaR4Gzw5bgumShl679k6aSbJFeDT/RzEj4sTPM8UW2P9
WYdTP/bBwzKwUstCjngdYunQ+GiKktws8+2o0q9pHXjLuDv2f47AnQ3RI8cjrpI3a9BbPzNXnPRP
jkhOFQ0dh9HrPzzGa8mYbTNud+vc7bidf4w5COwKLer9aAU/2TqnRwrvT76O7ozwzTrL6zzAqY17
OxtWHMjE/sEzQKw8TJWrFjAZiwbDVR+wNEpB2bhoBiUHd0YMvJk8iHZdnz2Dgc+2lNjgNmvyh2rV
H9wu+o5XRUIhTXRIFE6HRc8XxVWAB6tGw9CrmJFYHKkt9I3OR5JB76iMfg/QPzpID9YqiPiNBM/B
7C5XsQTu5dFHPYHUGCL6Jp+IAhpEIysAipsIkK6yS7kKMNYqxSxhGZ2pCkn3ctVp0Gs6LSF2tJDz
KlS5HdsyfP0wHS+KVeqx0Hw8EJoXmc3GIrWat2YVhopVIqrQiqhx4mthQ/S2vZl0fjM4obrIV4FJ
R85yUSwtwaka6tAqQ8UZnI3R8awrkTT7Vrn3ItRnmXtnKK+PczahHiNuefjZNE+S7aKdO7EKXw6H
74NZxbBslcXsNjzSYkzf9SqZTat4RhWQBuWJoBaGWBUgS0LaR21Le2zEjUGAc1YpzllFuYJQtF/p
I2LIRTRpcwiz5Ve5CnjuKuVZA6Ke3aTUeyLzzXD9LuxV+nN0d906HN+410HVKd2j4pnH5cK4o2JY
4+iHi4uu5wZhR1GPhloTDs0m9rLboABz10hON9orcOqVteTJjFLJJ/O3SiSAnaEo2dfiJm0RNXl/
HrtV5Uyi9Dcdd3cz8qdYddDOwmzlyMVGNg9f+1UtbUkn0tKIuM+RrabYcWOs6nNZNVZXD7/TDkHY
YgOYDBIdNsJ/bSHNjvQ8HRVirYeKR+oL/TZ2WSsmASm1bFV33VXnVRkvmo43AjiIwPQ3+hc1snDb
4BG0kG5yBONFRrBukJBLbV7qVVPWiMsZmWYbsblFdO4r56teVWjLtUAWiW5CZp394MQHhaUS2/OD
ZfN6Q5X2l9U46iOlIKdJZ8NFQyvR3vOz6CINSHK12UCobqpPFk0pW5C+bwGnIdLgXX8e6LbmL2o+
52qZ6FAonctZTo9Or4vDMNOKhpTPuYeSou08NvkRzG3+NIGFeIyyaH43xtrFnaO2S2izpzV65wB7
3AMGrg4Zi6oNp9V81+T2/Nh1zPK8XcWGJPGTiClCG4uc/YMOnplIflhWkJ6lMynpxqdCcqpZJvdL
9B2imSw/U1ac1ug+BlSWXrRV/D33wYc3lT8Bgt9YZtcyhennWSx/0qn6U/zEpj6G0Xaxm/pK9UNx
KLSSV1at23ule7TEzB7plFqyO71k/q1H8QD+RN1yTc/DltpU64X3b7ipi4x0QhLihF4oYsyX/ldo
wzVImwLzaRJw6BsAWznueBIRu8+p8ilRdfjY2FFHxCiHbtXJBeEht15cZUc3VQs6hpXeS9io7CTY
31+YxIX5XcePcxh3WLLFRD8WuTwQ06TrtDBXhU7XVRuVIH3Hp5luGcLdMWqlAXi8yUvT7GLVHGVJ
MMAe1sVdRB6zwu8dOUpe2BLKEoI88CDhZNu68TEODParYueyFTG7L1oWaaVqL1Xv3SFB3aq2hORh
iotOyFNsnIAyVb3LbPMUB6yo/WS+5h6F3uywq1fVzH2k/jDabSAWU4tD570lEwIYzbFX/swSR1/W
QIACDACbPGuurShDoEcX2UaGZ4xNa+g2gd18iMPmffSmX9zCPvLM+cqNeJhaufLTjNpMC9d/4aj8
VOfl/cSK79CguGzzUr+OmSo3RuBS8Iv3NGIBlAC6GLJR7LiL7JNFr42w9bleWFIN7aNny8tGqqcm
dvh1obYUUJ2EOszZAGYJt8mw0qlQUC7oQb3pxvA5dMrLBOIxF/1e1MtjbJmtss3Oazo2ztPBRPph
pM6JuxY/y0uzc8ExSJKM5smXk4LFhxrGl3HaHtAC72QYXQ92cjQ9iQWqkLu2Pfi1f+4MD4We0i7c
G2Rv7FafZ8Ue2R3r57nk605+1TUlecTYv6+bPkCCIgJf1uXHWm64adPwxG/MWjhkQMGSuQtsEBwm
JM0huquitgRsMzZA/aC/ZUkRGrPyVaS7rdvIYDsa5CzJ5puhazWfyF9RzMrKDeEFZsOU3MqSMKZv
qf6ua+rmbFy32P/nTwFYfzlk/x9TAGS2rPpvI8A/v+WvEUD+gRhLASHFsXwlcomx/2Up8/8gjQ0E
QERB4LmRjVD9rxHAhSCLBPkPufnPDvB/jgDOH/zd5FpOyH2XU3v474wASNj/3wjgIRuHwBcQqZnM
V135bwZfVt0p0pJDvqhZiBJkSYCzWpQdI0FHyKyXBlZC4acvlpbWu8PnjaREm9gsbosq2FbBnN8E
ad0eRRlZnBSLSdzkdSNvl8zoy3G0WBcFPBKfoa4rUiRJoS69VTKTaWsdmE9JF+mAhAzSsXOmrJek
azCn+9RyoFvZMAxzHJA1fTaZdTfFQXpKUMluS1/f5sSSqKC9Kuh2+ch63AVDaVocVCgVB3oHcWoY
XatH+pmr62CZ8WwMvb9xtUf2J9L+vWOS5sqBAH/oBN0GHe11L6xYB3mClV/fzLPwzrZHuZwSuoRe
pOd+3hj0/Ocey1GwQfPXZ5dem5fJb+xb6lCnll82CvBphDYajcrydkMTS8oNsWEztg+YUFB5VcVD
pHbUo+a/faGOxr9MfIG0WUZT9NPOfXo7FV56hTRobYNGRzt+EXmaVAj5LWfwmLZuFOAdq9VEiKBX
IUrCJDDo8cCwcjqQpoCK6bFpHjGO6cdI1qdyyaxbFtrWAVK5bHl/yRjazm8/H5JbldoJ2fksB4a0
VFoSzh3NXe9zq5Cxs97dwzZ7VGXGkaXoKJiTtV0czTT6r04dPsQYeg6ZLJaPJIv8F0tgoEg99sWb
slbEvExfXwadHi6Lesn20vb6bccm9jz0ZfwSKPbnrT2YbzFbI/HdzjQvaZVnb1nZwU2kB5cXrJP0
ua6t8NZZHApcpY9zz5lr64W5jA3dUIb1Hnsa+WNTeNZb3EfOdeYbimTrYHW2ePohTwShdss182fH
+vYXemx5nUON3/H0Lj8ACi/XA011T/no11+O3WK8oMjrSeVz9u1KydIb2TW7jDMWh9lc5Gd2ptyw
NfB8os12EX54Xt0fqhzQSNbHbO39Mer3Iu5i99hZnn6dC3u6ZVnIwzMrRu866K3xOAVLAK6AFaF1
UVlFzPuHb44HmXoOEX6/IMwnz5zoqk+vp51olyEQpFt8oO190xV0M0XEjGQxpdeeHzuPJYuSeFdE
QfbtRQqruonj67KT0e8u1UT2w9n9kJXk1SFM6rsRsX/Gg5kzMbAL4PkUoP4+xVwvuBb80X1orYkM
EHIErmi+JWYMxj1qqkoRSMrsc2QkeXvqu2nYTGrPBshV99PjQJfpuaZj81AEbQDaR8zhj60a6y0Z
luDZKtmangYniRCrLHoAOD8zUmKQC+F6pAbTam/88RUPiMPzuYj3pRT6pWSFA7lwqONXi+q4TTOW
sFHisNQ81Zvk06cT+D7zPHEYm1HvylWCMJPbn/uwDO7GRkAoK3ibtqFaup3M4UDUUVi8LH5dPUxC
u8/JkAPR1BqKcugmUAMSu31oLF1XxOw5Pu5qPqmXS9N1y4UOF1r6pqT5PbJ72PWU6pwpqpQnrv7i
xsXQ014UeUQ/qcCDCQbT8QFlO0EKPqAuq8+Yn329eCmpSYYjqJy6L7LnLkiXX5U3NN99nqanNo6o
thQF54g+JWIWNtl1ql1xQ9lVu29NB4ENevN+DHvYSCbp1WckZPTGHhMfL0+Qtxph/LHlin1ThSdI
ieHgwMWD9AMrJwyy1zgzBlqaL9obbLlip5w4pgewN+uhVs6kbPrlzaWD8uHfPxL8Z5ZFrVZwIgf/
19Hhhr7A3/9sK+g/61+/278rif/6B/46SDhrLTHMIEZSCqP+PBL8dZCgMooQhcNz3KWtiZ/8r4NE
9AdcGrziDm5x9Ea++C8tkW7kNdRDLzsLaq454f1bJwmXbfbf8GD46CPhrS3LHGYCFM3/KSbW9shs
5qt5G83BYiHyaZiwKbesTUgrZnSQ2p3vprH1nyo3HLnxtjG6YN98oCRVFEOq5UpQZHfj+AxnNGs4
r7TQ4iymcTO6muUCLJTqwOCilk77xTYiTqCIRhxCDklR2M9YndAtbHcE6zTbi/duL3115ddGXYZN
gprilBURXU/4kpgqZTIvDs3eapOzHpwBqZTAZ2URnpkXx+cxEFmzWdiNAZ9VA/biYAyUu1EUfEYX
3hJiM23bEBdcZcriGUY9aGhR+eIwSRN95m4MeVum7q7oZv9eYtF5qaaGETtlqHCyNMC3p5w3iSt+
Sw/5cp4tEWtMr0Oya7FG7jtvjE9U7jDLi3Hi6Z4KYB51L8JDMZfize6lcy4qTaC0zy2OIsUEwIGD
PgNBEmcbK/HQ3ZwaXqCd+2+07aS3esE2UveKHtoS5mzQOC+dSNW2HPFQ9nkZ7z1tU0KUt94+rR0H
RK3xYTmjjyTsjppouXCzER4VxTkXypb9VnmNPFouRn+eUxivtW1eusSN869yEkP7kDtISy+1q8Ep
pFO487gR7bww7Xi9MV58h8CenZXTKRZteeg7xeo0pMdoaByi+rWfXCZiQmX2cuW9xuVId8WcZOqS
/Ym/zfvEFtsyFPZTGBb63VXlfON7MeeuUa/w2WVEwNV2paHZ5h6V10WCdXOItutmazuGeXBjREMs
n0q/+2j0ggf+BpChl8h/s5Sy3ouUZxKTGodG4/Qx8caKxOFYcJaIup4YRbusK10PVzT8+awL7oTq
6WQuSvfg+VrwfNBdcOx0ZV40yoGFfciNb008TjeD6tSLZhkNzqgKgpMRpnmm8c+Tu1bo8JFG6ZoM
Lf0Bw1zAOh11SsI/Cfr3eJqtvXAFrp+J1/vWdMIc3ShJfB5HmkjH4vvMuq6FNMiSH1vY4t/nkWEj
Vma4WyfykhEXDv+yiM1Zh57YGC6Eo25i/WjiRH61Q+eZCzft4ueAAqVLP+FJtumt0H0jVxIpZtDJ
P/aRGq7SUE57n6PUVWbVzsvU+qCXyzrHlOU2xbXfWsUeYj8MSxasr5kKSetlXvpdTJH7uyg6uNv5
TFVOF3VEZsvgMUjb4kMMUfIVF+P80BsYDpY32RBDYgd0dDzlZLuhtO7HxnDuoqYF3FQUWfEvlQVN
f7C4SQERqVW4rd3OBv1Z2Wf2pMVpMms4wS8mYDa8RN75NiAXLeIJRR6atW258aeeG3gdwHnF3hZd
xI915+LFpL77k0tJKavllPlVDyX2XVaZuleewEyjO999D92mulzSafhJKRzmFogtiB7YIfI/ljSm
FaNrR3k1tL71podIgTpUkQPLr+vRJrmQv726XmGInjsTzJ40iXpWD8Bu6ehGTyoGhpAFN85HTTfa
jeHk811mKr8UsTQG1qkguxuFcbrhfFh+xaLrTh7hjm9KJus3e/EJ7ZpcPOYNYw+PhBRlJKLJ6yIT
mMy3k9NbrFOz1X2AF598ox5dNFl3whudZ/3Rd5yR5ambRMexLtediB6bkNR7o1+tCMKqVbmEr+sM
x+EQxfdLHRUHx42Ya7j6rWNjivjWnWo802UqDqJQw3u2VNW1slroXf+PvTNLjhtZs/RW2uodMsxD
W1U9xBzBKTiIlPgCoyQKs8MBx+i76SW09RJqY/2BqbwpsexmVr6W1dO9aZlkMBAI+D+c8526NvZG
mhYXMXPcb2bUdUeNdOaU28g1fZk5t9or56PLRGcZm8Jodz3j1UlDMpHRAZRnGTbJVeHk0GbGuLpm
3dWuK0OrM+FO0z6tu+YqzyoB492Rx6xkXbIylGs/+l02blu7HBEVOBLXX1f2KxYg2FKs2UFG+D81
Tzcfv/3bvywlCyXFn9Y8iDL/4//+orb7x0/9XuhQmCBn41dZS5DlW67R74VO9ME0XeR0LE5/r4F+
TEzsDz6hGF5E+WFRfyw27h8DE/MDYw2qEyYmrg1qESXf3yl0FiEdMoqkFstbXOyCqK8ocQKkQNQ7
75NAcivRJQsQe9ORvVNigBfWMQ4ffroo599+3c/RmO9fhPWv65n0cayHwyVT6NepjEiyMulyMq7N
mfFL/qmzDJRK6z9/kXdeY9a/FsOtkClSaBPZCML211eZyeozlMdbabZ6F0DNcy6GC+z8a2sNNfM+
2fSrP3/FxUr8x7ULXYflNVTt5T15rA3cdyLFNE9JdZSWjRXhO5nP+6ytL7IOy7epLqP+85+/mGv+
1ctRFv8828rdMs8ia+o2BpHLLDm7hOG9LOBKrsIhsi9cxzSONSXBhvmcvXVmXd1jFmSszzD3Ti/y
IbkIiUxzFI/9Ii5KFDKjKAkAGC3SoyFK8rvCC8JjvwiTJtK/N01DJWMgOunrnqa0LMbiNnJSBlvL
nnIBwLxpntQcptdJX5PPlTGxkLBxkYBNEw/uXKXxK5YxuVMjrp0VYhd91y3SKqKi/U/IndBbGV0r
z3Yxhrj7mkqTOezwu9tO2DfWRHPI/rHoEObFVXexTLeOpeelZ/Gm84r8vtr5HL7EFtbZiWDH8EvN
2h2UjBICksyQ3Q9x2OW4ggCsJh0awlWA3ea2Grtur9q++5wHQlBT00ufCL9uU4SGo5Ftwk7OBAka
5fBg5QlAut5Un43Arm9R5NcwS1IDC8DSxwr4WqgCV63OhxP+BfVgjUPBfokB/8fMT+obU45QP/o2
OPg9NjjIfKmOjoY9GXTIlt4kVO731sSZPUprLtYJ4s+TX7nOdVhU/bPbUkvZozE9xJZYeDoygF22
pJB+La0pPU9e2KRr6lTzI/PvtCcOIek+twOInMS1MY6Wk11c1RMa600WjMX9EkF3IqzU2BdeD01p
aBJgLtjyHlKzqL6VotHfc1yW+7lx9CnNjfTaCrseZisnVJ4P/acoVbyPRMuUJWBcx8Gp7QtAKVaq
kLUihW0+20xI7l0EIvPaY1t9iQ4NTYRfU4+sUkFa1xrH23Dbt1X7ze3oBFDbeWevyaHfdWmdg2kT
rYKUX3jeA8oPSa3jIGoH+teXh9jotUWG+NRi6vSDG1k31WXaoM1ixFPe5qlj3zXSgWmiXC+9Hjqm
oWvH7CYHWUWO/t5AFQyEUWrj1mRBAi8y6jwGq2NfXLhK1FdLVOy5CLJXCpzhtR+SGIdAO3FX0Rzi
MwzsdFO7Br56N0NasK16i5fDyyo+OmnTkeWQV/s0NcMNZuXi0XbC9rJE035IvC68VSr0xdpu2gER
agGWJGN+ZovZ+67iKX3USd9usBp2rHgsYV+gwQCf4AeC3I1loT3ZeBhDhrBHlFDTpnORt6QymQFg
esFlhfp2009cEWv0+tuQ796LUw0C5f/oPDHEh+pJpnl8N0uRX5nYY2kk3YK0TuGar24S9Se0a/Ky
JKimyl2xIRZXXsROiUeHjeDGq81c4MS0ILxzgyM28IP5a1wN6ibxU/ucDbPHNy6gSZ2yFv+SbQDK
63IgoHPTHoOS716ThNVj4Kc0veYodynJ7d+UFNXJcGPrdZRlJbnF0/ZUyp7EJcuaGX87zVXqeXI3
4jqR6BxsEjwxiq3LVH+MR7bBXijHe4OLifeHBW5u2upzk8TzDULjasMxVR+7PkmPc4rHEq8G5F0S
TCP3lEZ8vmyNXDKmql7l+8yM6r2iDr+fRub4K8SImJyGCeZbkVRvOlm5TpXMVuY8Aa2MjGLjBGnU
rSIjxficsRDcO1bmHT3+2n1Z+cWBDUzEfsCpmxdPzSyr24AhnjHlB5RV3alm2ndgOzgcJHm+x04J
Zg3Eol1zwOIGm3JuiXGguBuXcF3UvxvpJ6DaBxSxmEZ4Arngep2u+eRafFtiKdTR8PyaTJFqIMBd
ts9xIpNp3TeILaPKa158U5rNJhtCuTaKTj2h8SO7yc0ovTu8QtdVUhkbBo7ZQ5F5y55heZaHKsP8
5cDxn9LsMNjd9NQH80xWLJocdETFTYeI5GPkCA85qBuu6yIiUMUO+j2aafBQTZzde8r1v6dkIX8R
zHG58kl42xUzQ32WEZcewfaLKS28bGWE/kL5BTbuxEr3Agb3OrOTEYMyrkLLIHlhEm0Bs6IO98iu
EUXPyYLUkRVLaGw2iA2jyCv4mjbjWSiEPi1nYQRy19aPARb6G83i/Tyaobj37AbVGE3JJi00xGrT
HVj79EnY4ZqNYj1dNimS9UbUxVeKeIqmOZ9jiK7IoFetLyT67TQwbsYpq24K8mORBEfpTnUui6Ek
MqovPFGxOw2MBFZj74pl7y2mYjvaMXw9g/hOhjWpv5tR4sHhmnrvEBS1/51oZ3aoMi5Ac9RKBs/s
9LMXWZREpLSdEXkXXlImOyFMsfVY/HYbKsmc1AmyqyrbuuDNm0+h2epD2acgxlqHoIVU82nUsVWe
/7xgWcqRn6sjN3xT/BEJ7/qWY3vvqqPA9QSzKURh2uuAJjzKFm+wu3XFXwUnvK+LfnshF6sW60XL
fwsW/WnnF1eZ23SaFyIm4ZZQqrvA3QSbP38zv1awlNog5FlgOphRCCZn3Pxr7WUaXoYqr7I2bRHj
/EKic4PQhHY9j9O/eClK+3fXLTKZe+K9sXg60jH/+lJCmdmgsflt6pluneoSbd/Vn7+bv3qJdx8N
wxrssJKXaJRuwMlR4KJs/Kvy+P01I0mWS0ULRRtD2qKzyDV/+lxE7g0Sn6S5MYI7OXxv6wVZGuz/
/K28//Dfv8i7q6UE2diC3PFN3sQUIxpN4yZu2+FWUiat8hQt3dz89pp/yzz233PMb5mWycidzumf
C4XXLwjMuv/4Pz9P9//4ud+7XuuDY5v0vUuLxLzY4+nwe9frf2BOv+CS6Aq5wX+SCtsfEBUQyMFe
KbLBwdAn/uEwC9hAcCfhBwscuDVYxv79X79O/zt5JXTvraFV7/75547Ut39VCviOZ9NHBx57R1QL
lvUeo4QEvgismiDhgd60fyr6eY7WOK1CKAZhc6OrLL7JnVGeAzmrCWUOE8qtcjJ2SCIexis9JsQD
Ni41LOzoxQjh18LUu3Lw+U/mSeXIGEsz/twLvzxksekNuy6uW/9Fxz0gmiZoynCF4M2/imzi7PKB
erT04EwsKJIY2rQx9yDvlOY4SfoBob+RNz5pg11sgd4MXKAWQ+3Sb6I4Ti+xIHgPylCRA5wZpil+
gOis/cm4R2eHwaMS49Zvp/BRZ9P0OEgn/TYnbn+bO0o+RHWX3gq7tT95dRk+s1kOboze9TEBS2b0
XVHwVpMpPJmVbZznlJWgzGbn6+wKY1c1ZXNpWFJMixsUvShTt0Ob2PKpns38bmhj5MUyasVHRNWE
i/ty2hr1MrgOnezsofUlaCnPPTSJnP8HU6BhA58RXzRTZ17iTAXc1eUu9rIks59006Q349iDtA+T
CpOMxFUT1P1eD3l9xzyju2EuqT5xW1qXeTSTp5DZEeJGU38hesR6nIOeGia1wLQ2gkvI/PkusZvy
grmCdQ4cC8Qxpg7jmKmRjCJRz48AEpxno8JRz/qmgBMzDL2OsPa2Js8YtwiIJZrbi3pU5Z1GlPyx
p558GKtJ31Wo63aj4RtX49TJI7aE6o5WRd6Bv1D33FR0DkVuXTp+PbD6NoYre1TJ3mnd+TrImxHl
sByj5zBKpu95pt1jhbqKOPth+LLUd09t2/vb2o2Suy5UzdeQ4tMkfJllelKa/rmVKIuxK6JCNqvo
Cf03Bn7biPZSZPNN2VXdInZtPmbVGGzFrAkPNVLvtks7Ik/F2F9YKF6uyjYneR6sYHzs2Zlw7M1O
wAer46OVKbDJXuxUx84202jlenF5bwdxeh5nqa9GZcLxTS2jK2B3KrBEzZQk66rD3WgbFnalWocT
BHzLJJWNpshz1swwqLDD2CdpPhjpTTok+NlUGGdRSXffUUE9zzKMds080wAh5znUaDn3uAVzeumy
+lqUOOmCLshvTNF5+0woiMiuQWjqGOgXLGQEeveVcQhCOunGiPTBHJrhKUfa8UkkZXErIh/Uv6Io
Yv2t79CdlRd6Gu310NXlmvJTo90U8LULrzWvRS/J/pw6YKUDAkLJM+7GhDxzxwPNBk1sTTdRxshf
WpUBAIAFnac93tek2ysjGK1zwYPy6Bjaee3Dtjt5qY3nryZrW1Uj25ES+o+k97zPZciCppwhRw4K
onJQTC9OF9g3fl0PMFikeCqTkGSiplowB+XY8yLwhlZ2nCTHXDSYOZsmH+4HrF/bZtSkj4lq+lR3
PbqGuGhPZthEpzwT9hZqEIIGSdRlK1hilZhlzz5v41b0lv7SksDxjPWzcnFOqHLeum1QhBsdV7gT
4zBGRTu67ZcqqhO95y0G8DUH0B1sh+pD6VjdpdKTzcO1rD4heOVOrRu0upnVtS+RCnC0IbdFsul2
AdEVSenjokDdGhMFXE/pRWgovGRG0Utj3fmmcScNbyTBoJse8ngoLu3Err/yVK6v3b7pvmghq8+s
5/pL5GsM+WMx6s+ixc8JV34yhvXs1ZDCkrT9yPyLejiuYkkEZyxtVoXQ0nyyIkl/RdlAaJKq2mZT
dwVjpNItltEKcjny1AY2KKs0mmjCuMPCHRukfhsKl8m8bQ7uXaB9q9/GtRqPmqCgNRwiexdrruRq
tOwc1YppFRtkvn1z5KmPSN3tFN4SszWGJw+vYb3h3sQF63mLSxXPQmdeyLjBnhYpr1v1plN4a2gn
pDzJIooZ/GTDGV4RnuKEB8pjThP8EGZSLNJQ0wOeUKB9Hwo1QrNJJ2S9NuyjPQSvZj4YcwZ7Ga8F
0bod81aCRQaNmrZSUXfXowE6yioy7oWZzKh7WfPTFVXqpTAHCeE2qEiiFazsAaoH6ls4IIjD1ljE
E/4FsAhs+KJ6baSWd0bFz16QQWsImBZAYAIzfXQQdZt1RhPZOxcc//z0HJatOoJuKGpeL2yuA9pK
vJH9APVC6GQgW5mn6L4aZd/vkoA+y+5q9zFoGy7l1CURDxhYR2Lbx/g31imeSzaqpYgB5QgHBpgn
lFdt3REFAgiCwLhnrct3vsGs+KWdbXxBFjyYPR5OlCZSR0m4Tc02AAA3Jkeu/cKkmO0QBq4gpyWI
81U9eYDZNX/495RG68L1qTPIe8rGhzpkYw+dgmBT16qdTyCtIEZmkXhs1UQqWazViHh+gFsPTa7b
CwWGLixg48Rj3z+ZUew+0IImx14MzuXUtC76ud65N7yaA2ImiYYdOB8m9z/95yzBk5amPFiL01hm
2FGKN/uxmTXTqVg8yazfJyogM5pxT5QudCncy0Gu2+ckccQlDsijzL/N7AzrsKiPVSfGe3uxPwMT
YAKI0SG4bHLhfa51MJwT0xZ3EPViNtcyM1dmbXJY2uYMjAeZpY+bT/cwz8NuEXrbhtvfQyPR5Yby
z/wUILfY9yi3HjEAzIfGK+3HfLF1528Ob0cgTucyD8m5S83mC4OjkZ/BFs7zx78JszG5YReO7H+x
jjudt9ghFkN5/uYtn2Yf7zufv3cV1o4+Z6kXb6bcjYBdWelwMViut3MD0Z+KxbbuvDnY4WUQqMi3
2yeifbG4F6FzjXmau8rULmOussRAfGIUMHor9eabT/FzfAXRVG3twpvxvETMriJXVY+qzpmgI2bv
UWq/+fGjfPHmm4FeIl/6pElwHZnz9waECZ5cdNO7hNLsVKWY6bvF8q+xPj+CRJSnaiaZlamduqYX
Gy67zo3gOYWQ9ZhfLLJEcAL1CFWE+R6QAZfDO2ApurAHejecIJ+/MQkCogrK1ve25QIrCHOHZD64
IVtMwEwlkrz42i14g2EIIB1kXk8kySCGXbCAEIIFiaB6uxHryWgKvOtNOluIPQAoFG8shaIe+6/Q
sMjZVpbxqQi68laIFtSR3bbjwbCL+DoQNXyGhdQgF2aDWOgNcuE4jFVjPHtlXr6IN8xDk7aMToqF
/sCRiDFWvkEhlF4AEYYOIr6pAMLwKbtZSuFoz/oGlxEZLOwcoA42pv6mHD0f0652PqYGUz0H745F
bKXv3KZjmKmtN+vwvoz98WHBu6I2D70SMryl+w1jRUQ9RgbUEk6KR/ZPJdpXzljTW5eInNnXs1Oj
hDF8DFMYNTiBrbgIXIblFixzLrAFQ6tIb9zcx6AXV8I75vWgbnkf+a2VWNiYqLl8xmcu3qA+r2DE
D1E2wuWn0UY+b3C0241b3oYM9y/aUnjQjlxDP/VGhBzT7G147RqF5InpP9rOfKQ8+23j9rf64Bv5
Ku679vW1u3qR/7r86Ndazm2WpN2///qPtGc/fvPmpXv55R+2osu6+bZ/bee7V9WX/Ohvnd3yX/5X
/+X/en37LQ+zfP23f3n5ViF+zRRozq/dz50q61k2powq/nmDe/WSfHspX8UvMvh//NzvDa7zwXMZ
kvukugV0jz8L4d0PkevyL5fkQXyvLjOJH2tdi7aYcZUd2ThUSS+j0f7R4IYfImv5PQya3N/+ze/X
4L/Q3b6jfLPVJetwSf1lMWl5iyju19FLr2Xc9cIotlEuCbDALuccae846o2NoImYPJ/R6MmH4tal
zUeZRyAJ5UPVpRfL+egM5m7I+6OfOesgus64oWcNwc065LaJCNXZ/XR9f/z9P3fjXLJ3Qy8HCLgf
sB52fHQXmAF+/YNh1KkaiVG4MfzMf7GwwDwO8VhseAotOnK38a6SOS8uppT86sau503oxEuqV9rF
JLWE+pbwR9J8Im9AxxIB4nfwY7l5GR1TvrcesdigX0I4dCQetf5zbEHFZXpnp2Ru+mH+OYfFYONv
n+vvrqjVc1G54yercXH7ZumY39hTWjyV3gLVGz20WYdU9oS7WwlPOd0H2eWIwvXCtmxxhHndVms5
g5+rxsmY1wh0awTtaZrDqISHW13inpntlR8OebrHnTx/Fqhgxy3SZr74OjGG224a1VGYfvrdb2NS
yPog0cek83q54p0Bvc/yatjKCvFsWRUM6lVo7tx+7HZeMUFSGSjT9m0phwvXCIt13CyuPQwIV4ZJ
IIzjHdvMxbk33onRucnaqL0pMXcdrZ4+yuqq+Og5+LmoS3N936Y+D1TpG+anRkx4padKyK0xTjzW
2KvGJZYK4s4SREQg7NAZXIYYLndG3cgLjld2An1MYBFE34Maguzsu3V+ZjI8PbC09A5t6y4lfpPH
2Hjj6b6CU7HpzSz8OAG7vvRckoat0pi/LdszBMytPROOawokSQ3VH4VwluCfFp4RPo4N0c5UWv7d
lHOVoMfZZ19l02MhZvu6bZv64CRAEZE2VRTFrtCrwDO+AIDVBw/A4kXWk7OCpoyjgl/Y3YVl3k7r
zqbpbRsjfR7ZMZobJdkcwirmMyrNito0C7R+mdyymjiweMjDJenwLJixlCa5Jn3ZrgdcelssmdG+
l3H5kDXYnUA+zDs1UwciB6jvStv2rkrdMQQp3WxdGKQ+DEHngVKFTyzB+z61yRxtE+kRdM/e6B6k
aHtGxB6x8Y6bY46lHF5vPh6Dvuswz4LBnFyzesTnFV/ac1a/re2B6Y69edubPWT/oDUfuykkw6yZ
XZg0MYtwzHKwc8ec6dSmDxRdl5YY6qlDbAuLOTs+tW+AFQ7IpTrCc9PMDYabSMODoKpRrAbX6CZ6
cRhGHearokYiCzOwAwULMxHVZIw/vmei0AxfJ9fDF5HTPLQrmVTR5ygR+jbI4/AjFn5axjmPkfTr
lk5pnRRebaxEl2Qv0ejUV3NqxGTHoBNUu1xUJdnNcTPe+F5i3puYce3NIHOjOadxnb/iePMIhUrt
hcbf0bZuwhnZoggdcVuqhttgqtmx+bgHLi1tW98CqQwSQ3KP/kR5E/U4rURAkKuHA7E0XFSFlYjF
2uoC/bFycugVhaaqKKlvb1qJo8UyjOGFRf98YsJVflZz7N6Vs+73k29Ej3bGzbiK2ogokMKwrqIC
qTxkV1yPyWiYZ3dWZI4ldZvsZ9tW7LiqqFwKA40W1emTTT4XeKftbCJxIq5NiG4128lqYyet6LaU
HVTJqN/CbWlEM0g2P7hDBYC4N0WCcBhRDR6VYzkPGaiWz1UMhjSyneZyShxrm4qhOEtll5/sVDR3
nGPlJhOe2lrD2ADb8LvPfqCch3aukhvHr3x6qcruL7HWijO6V6i6YmDtlTVetKEqx4ds667/nObo
AlegFMdn2kMmlSEEnr+IubB+VW8jzQHqwMrJZsvEHNp7+/c/7x7snnknbeWWBPaV3uAeOsW7YG+T
O+4d/+Lw+qvXeqdu4h7KMjfhtcY1bSOhErhEi+3O3UJ45itOcfql34WITDfcHsBZ09VfbcDeYpN/
2bW5js2Wjd0X4HYm5+8WOmFbDgqlV7ElfK0k7s+kkt+gzVl7z8B2pLnGPrn987f9n1IP3OU1A2yA
VmiaIOPfbV5qzUeKEL3YkhKySQ4pTIBVeCRIbZ8umSjB373M71/v3XvUJUJy8LGEn5erzZBs4lt7
rR8UkSHGGiw7CZcFyPGNS0gTvUH6PzsfSu7fZI6MfyNu2n9eEa//4/+13+ov7wriHz/2e0Hskhvg
4dYgTp1D4JeC2P9AaAD4l2VNhLFjcWX+KIijD65LDR2xI6YCxCD6R0UcfHDwHlrsh3wTI9ryU3+j
JF7Ef398Q6iIAxspAP9jsvWx3bd10E8PhDGY2gphWbEN2d8clxxwYinT773xFyrEtzfzn1+JRthh
/eX51mKa+XntaVJHMgqR8cYDO3/H0KnN93ECAWAVtHp6EMKvwZjIGtKFKK9MTCFXKaekBdrYj45o
NPVHs5Pjg5h0f+XGwrqi6EvvGZjN0MPHyLzvct84FhqT+6oqw+rOEJGxaTySZIs4BcfhxT7e87Tx
D3mZjWvX6Iar1GqDrxA9jE+OSLOvvWKQHvfA2NYJlGF4DZHlwHXOq2RfmAXUq5yccSeZURO5hnSf
5ixpXk0dVOysZo6IzLRGRgOTUhSzTdGQYxu1u9JrnVc3TPp5JwOGFCunjI35WLfmSI3U2nV2VLNG
xeEzZiX/IwvlbYRNxlhbmRszijQHbAJIIrbjCBcud+P0YzrbznOURvNlEQ9E584wgelFuoS48TmB
gjIIc93HjrO3+3n8hui+XwMSVszdjWmDjE+cQhmps4HeH1rbHLQ+5jw0V9s0mKf0YNJOrFvpF4T8
QEphHlMxit444UgOAUckNBTOrWUvQ6vOhm7wbiOPtNi+MPwzglP/rJUsPueWdk5m4sc77HniISN+
AbOFSWkCESZJ4rVh4TRleN+qCzMyx1uZeOi+IlAiB+wpxQkpPDFsFTuZeRWpoWL8MfbPgeqnuxwr
KNQMJLDkffpjsxE9awameaCnRdtN1+AOgod+mpyHxGmtXWD4DaFbqLeu0BpSlOdBVN1rLaML6Tvu
2RjH4iZlsG6tMDwjvKmKQVOrNc2lY0KSIR5A5Td931kPJEmQqhUF0HJMqNtHMeaobrypIKWce9q5
iFVWP/q1EW36UuVHYjKSS5W43CdZHCc7k/+/ycNhWZTVPVmKQ2FlOyQO43XqVUcjjxGuamXt4PXO
t9MU2s9x7BBCRYqPvTM9GpgiDpxnWzAB85Qk6YupOdVOFhX3LoIr3lydQUAiLwEz8ExrSVFaRvkV
KjtwILFb+cwYHRxOdaT4iLKgzJuLRE19u4ZTyAReh9KXCHsiUBdFPljhSaRVT9HPynLeBmIo9a5p
RPGkO+i+q5qpOuWXAb+yKlXylLo5oXpho782qZWQk8z+blg7U4TvggVJudVxFBHx2ng4me3Yrq5j
6WcPE2Mce2dJaZ+nuVGPdlzOwKXbVLZr2gvcNRI3wZOpctjPCsOF5P422kd7nuqPo26HLwrZxYsR
sq1C5TdThTopasSGJuKSkCsMkGEmgCBEndmLEzLUXq3nYMp3mFx9gFBvB8J/61nQD9UCp9E/P/r2
/cuQvbSvP8+Q/vi5H2efH31YGGYs6dAgvY1d/lA7YGZErIBQ3/fQpaPq+cfZh9rBRq/Op4TbGoce
M5F/aPx9ulq8h0xwGAm5S3H1N86+t1/1y5kUQikNKA2ZfC0DKfNdrTaotgpVWWJE1JTyVaOqbhPF
lYOq05CmvHJ8wyKXAW/y1vQc1JJY5S4T1H18izkkLt06IhSqLsuYdWnJI2XFULm7ZUNIGPYSOWKU
SHmZTJYAh7S3nQKA+XVtzZdtbKtbPGYOLGgXiaLM+AMkgrFvdPAMyr06bS5kn1WPjL6NXVRJsQvh
bW1ct9MX6N2Gq4KAg0NmEmAgW2JrsrYYdhrn2eex7OMT6zxn5fHN3ocF306Z1OPFVChx7Zeec6pz
YuxT3seGIa6/coWHEVgUEMmnOtwOkXqNwwgij9urawuP2jXCkeFOoht/oo+JV90cF8d67rIntApE
bI6ADbtdkZf5CYoVm+8+R0UdtrX7MKZuyCJFNNki2ljC2ct8/ogGBi2iiWyedBkDDktdsLfbt5nl
GNs5mWCCGhWoYxYLBl6pNs2gobhe8WQnYHaA/7srbbD7xPNHsnkkxMGcNRrkxjmEBnQJLnJwqNK0
v4RvamwiUDCI7UB6Y16wV+2su00+jNaFsonzrdFNfE3ysnsMq5bG0h7S/cBWlgXDoJONTuTIsqlo
4GZSGewA4UzbsbX1F9BR1q2Hi/VKdX6+rrsWu6aOp23pmsauFmG5h3JbHmVKnrqQYBi5wS1W3QSw
Di76Wlt200GILMZNFxLrwem/C3LRrqU2IeSzjjpFahzXvmtiS+UgwQQfa7AX4IrcDvKZ2U3+MmFK
D/1omp8qUaZHAYx5r5OOw1rXwyFAaPI85MTU9JOV3rccK1tvBGOAFaHZ58E0H5QfZrBgLGyPrgz3
6DHR8GutdyjuB6wvRnU0C/4qeJ0Ysvha896Gag2srzi21qQB8Lniui3HeM+Sw9uwhCdIlC8ekall
vJK5xgo7JuWW8QuXtidviaAEGASWIgWwm4EDzcJaQyTZ1UULeGpASm7Vldy/2ewC0mf5oLGvVpPx
eZSC/U7hs0c1mx3L/IbqsA/gE83JJTPK+D7ge4YqqC43YK+55sQrrFODhYccK8GlBYYTOSCqNwpC
1RFUzghrDs8/K5IlJWeYiQ3toRRMiZt/0qhct4U/2WtApawtOJ+GncpL5ypwhuzkGP60g/Aj7uaU
fN5Fmr3XnWSNFyTpJujjGLCZ13zRNSihdIqh8E6COPosn3bcUsGVGjz75LBfOiZhEbHH57jcj8qe
GTGTXI0ev/vmSyfagrcFiWRY+a4SYKKAuKXXc2Mk5wyL8nGuPHmPgGzkc1Q+mQrVeEERPm+tsZRn
5lzJVja1d0Akkq7Qc/n7yfYxlECNi1g5AlBcSabzzCogDVsoDV6hJsIhwhc7bhneJ89VBcJqSNzy
AaJxed/aUXNKiHnAuqI0CY0znwFBQuHezjsaCXv2nhL4Itdaung0+TVnsPfWopyqn2ODJC7okRV8
1BAKjZ9au3Yo5POkNDg4t7IhOXrgZ4ER91/JCdAdA+sctEhktp+wz8Sn2FXxV8PpqjvJZd1WZj89
Obnd7kFz8VDxTHxVXWXiEeAh/WAIJky26MU5m0JII/XI0jCY8HiCwsYwzsKNtWCGtzQlgKtSF93g
Jd9S4VL+ogkRx5it+xUaFbkRoTmcRhkSbVlN+bHOcv2CQz14wKPIM1DaPM4tzeAXsZPxaPuFezPM
LYAK17AEpKrSuIphaL/qNCeYg7Qk8LYe5JW1UNGi3pbFKcOedNHMWfDRX0DdcRp+lBlnwArWADg0
BKawGjICTubCO8WNCa4xmbgcox7UZUbj8rnBgbXS9HafHMcUUG+JMFWRGRzqZHavnZJoG5asPGV7
v0X+PVkGR9QcuYfWGkltdryKifusWkbZXpI7PA6CFHzaRPgwKRlM48gCKomitsjXAXv7TYa2unbH
NIVoYk+bol28wRIe0kFXgYMHFubXhcIEfDKKwbyGEw5DnL+F87YW4j63mPiP/KVrs6Q/g1xv3dO9
IdtQesSb4do6YbG5pJgkA2VkK0L+avChyV1ke/kpGG3dgO5iqkS7a98mE8lmnlGx3Tcg6wC+xWJw
j8yOBU9kVTWaFsWTQJjZY4vMd2v30XiTpOHYbWs6xu3cGpT7JJEgcC87L94qUzFiRNON3lABOjhT
yGa3jlORYsF8EaKwO4aPFeO+mxEjFDh0U+5pBUcGT6p5qP4/d2eSHLuVZdup/AlABlwUF2gmvKbT
6c666MBIvkfU1UWN2WTzjyMn9hcoKSRFZqSZfjPMwtQI6T2SThTnnr332t4AYDOInOp1IL3zZEYa
pUpzo3n3HGSsT+CBlPfm7Nex6jUDIVqCJ9AILPfgGbVzbPLA2k+4gPaWsOx7aid0wkbGbIHzM8xD
FGQKAGEanoOw6a+jEsSA349cJfzsJT1xFQBOvvCIF8Tu3K+id7xdRrT4Ksuy/Ics4vC2Jlz1muXB
9DJqg+XX3CAHJo7sUcEwug26qn6dyBhQI5XUNx3Z/RuPt/A9GbrkqPeh9GVbx+tx4u2Omry8PIUO
EMexe3nI446KGTeNP0xvphm2ANW50zjXHVoulx/EvO13W9fcgWmoHnjvLctiK6k2XiSo5fNa08m2
7qQlB42e1gVU6Z41ZRb7MY2N64IQyT1JUjrWiXU8FKaiDp3zI+b/bIhuG33Mj3mVDNcJOCRn05R5
+ToOy6JXBvGODjzKsPlpKYGaNHe846wDATOx5gvgZPtcSQSLRDPBLNYI18+WHIY1LzkcQlVaYvg0
W3MLyQ14BIwEP587tJS0BorolTboQTJe50ZrzVMUgiSa+kJZ/sA2iL1HyTGEoCK+TR26lMlSYz1G
VfIR55N1LHTV4LOYnGfugGhXV0N6sPPROE8EqK6CpmuPskjV2SPUumH/lP+c7SD4VFNmbo1ZwUK1
ZmPYTILfSj1EyT2ej/A5q9mwdI1lgr3J8NthSALqYzfhtB7ZlyB3euIOhn3lW9YUUtlS2BJdqzMe
lajK9ywf0g8ZBahYoWpp6Jkj8TgJaD3upiptWnC+3WzOYmzLvj1uxWANqARaw3DJyfM58NKx38S4
ZONNM1uE+jkZR298hfnDwXtwOxohAlg10CfRdcZaLna7eDHezd8WvMWMVyy2vGYx6FWLVS/BJMHL
DfseQzROPmMx9c3f/r58sfpVwWC+G7wAfLZIApxDP11Ko4w3dOdRAz8N4pwsjkHkm2htLS5CjRFv
VYvOfO1Jdi5qq7bNFt8hJX7mtl28iDOD589k8Seq2DUu8+JZ9LokPXWLjzFbXgLjbI1YUnE5tkFi
0r/Tx3cG2NXzsLghy36IbyYxTNtk8UraAAGjVZKG+k6BBV71uSFW7uKv9BanZbt4Lhmvh0P57cOs
g/aFRoT+WS0uzYI5w2e3r+3F4uE0FjfnGNUFjDYcnvqs20CFcH3y1it2GKzC92nxhAIamXYwIeJ9
HZGCBTzmbbvFRYql09o5keacRJ/kV/biNpWL7xSrDRZU61c76rc1tfi2qWKHxbJKhV98VQZFFK6K
b0/rt70VwwnW4c6juNRY/K+WrMcHl9yN9K3FH2uX7nJgWFyzDa6xu/bbSgtaNDgwC2Kw1Un6Xeei
8uDnGqyu4pJG6Gpw94Rbs3WBk/ExbXHs8pgYz2oMh53dtO0LTU/eczvwZDK5dFbR4vudZ6e7c3i9
YinTm+6jWBzCUGEdtuemeEafLX4MaUH7eVtUP3FpeW/0GjjkIoml7kU3hztjMSOX1Kgewc86J/Qc
kwUxJ+l/650BR2gO0GgP/3plsHrvPv95Vf7rn/l9VW7/Qj7NRpbiZIAbxEVR+j0cIVkKsDyms4a4
ETYOchO/rcpNEhXEIpb40YJAIlfxp32Bh1BOYIKVM8U9FMD8LYwiK/h/2pb/FthfnCPU8hpy2ab/
aVsOfMikhM9oCAUW/UtcMyVj6OISNnDw6KKKL6I2C3r9qBfhZWG9STISa6woya7MowZcXGdfh9FA
aBR32EZWo40W6jjqC/x6cDMVsbWFf5I9K+x2N5VNljeEmMwuGu9iubgYxzaT24hc9VEtHsdUTdYD
nqfumS2o2tAakjzWNcAWMKv962RYKmE6xzapoQw+pPjW1hh9zRfOUPF6wMCCwm52w4PhWsOMnyQ1
jw4mrNditJY6G9Bi/mBimxvIEfvJUGHJhbUUHozClLdYWseQN8ZMa6awouxDBn13O1Yh0YN5xiAP
6NBEeYPggcHDSAhCYN0zt8zfuDy6ibMHI5bS0y0FseE2qirih7aGS8WdCprRqLdN3njzst9vBHgb
5u0eklKrpdMbizz+0ho68I2levFTK0r9niomcQpws2yzqmlPo41WnIEW/rSm2n2d9CG6btXo4Va0
HKzKdFKMiLFABKGuVHh+zNbltSnHtLyrPTf86NuKWDpcK/2C/F8xBsQOmDVZuv21BQqY8jbC6Myh
DRLj2JVFvQXb6klOuL1TsqrpzG4Voh00Kzd0LGsbEx1hX+SVhPLypHrBv62zJLaiH208FfvAs+ka
13K1UpgDG/iN9fQ5dNlY7NSgGP/pXjP3CStZ3qUwIw7CpAVyZQwcVn19soPbqQnKFl60HZwnHHka
c7c9mhtFpVz9VFAdaq28gDGkXFBx+QKNy6Z43mP78V6gv1XvykuoTw6nONiiOXingkMpUrVp3JRh
Ohxb5dZbSICLRSNzbmiltfnRxuSatJmFFzAdKBwOoJx7TsnvP6gipmajhnjkay4km5uwdocE7b2I
z0UR2o9lI91rZIn+NCRYiAeOEZdc192jLlp9R2EN3uCktY5OG8Qb3WXP1o824aQ4Sm7Kzky2GK7j
LcEe9kEB+EHWHBzruS42aTbPqzqTwVVd6v1G6jnmZFFpL65aqP+uC32f6lsbnXqVj4SJ8Ho4fkTj
xorYgncobKs9CVZYlLxRqmhO2MbQz2Ial2A8twWc9YinkS+kCfLeyItNOXc1bGxYCaZyvYusl3nX
Jb6hJpZqiQPwmOGv39QoEhxsFT5SocZTk0nI+CNbBSvtjAPDQc1RBgcTyPJY7Apv9l5ZbWg3OjLK
vPzisUrnWZRfi6RMAr9Jg25XYuSiSqDCDMaBZUICa3Lb5WgelJm2guMj3iZ8DjmmbVDhIUmS62hM
jGd90JufE4mAixta4U9bFNZnbDA3VkMd8awIxldTogYWAR8ERx5iQ0E+4blt4SQKFg19yAFjysaO
qge2WkOuohUHZG0X1CkixNjr+gZubrhKTT7Fop7GW0nDEa/fgVTwOCXmalp2RAr21JOAp3hwOffu
9T4qHkkd5ycga82NABsE7DKLP0OhJRcJkPOBa39aD9JudhIPNY3VnBRss65wvy0oVR43J1eb+9pP
45rcCXkhe41JidA5Hiv9h50YCA0iK4wfE2s3Coz0/i0JguiAqzQ4yVzHiawmV9u0WFkPotbo77QU
9nK/7LtqbROLWAWNReUsbTP0JePrynA21da2pGiBXPoQn7qBK0SWpn4oNM+9mTCEbevB1VEIw+y6
m+CycVxkQWCk4Uo4E2WMVmS/Dq0BtUmoFAI/N/tE6E2rDnlIdUI2WBYOhjinqYaTobnDOpaj/uUt
/5mhLYvTdmFFmAs1Iid0/kPp0Ponj4c9bAIbwARABGAT1sKdGEObOkkrku0L77v6Vf9GVBBXA1ch
C0lHjzYtGAvbRvTxWyG0J8rScmzOsXEXGq/CHuKzQ63RobOJlEapM3+xks5/1KLSH7oFncFJCYrG
NGTAsgNO+TZkgRfuOsEGNiqdk2YuFA5znAidL2iOTtHS5kND1R9x6MDuSBeMB6JT/y6TOGA9K1OP
746eWAqs6nbrmap85sulZxUV+b2eO9kdqGMDPhZsLVuWwXs5ivwhZ7Xhq1FXm2CBi4hkGtGVv5kj
cTPL/byASJxeled4gZNEGaQ5pE+QJVrV9DSXLRyTKadKeR1SeEsbJolIajD7VFzXsxh/2HY+b8N+
6h/kNx/FC0IwafRs5l+BotPCnChO8UmmQXer83bnLqyVEglRYUCPtG33DWMp5yS+l0ZCUwbqA8mg
rIlPFSM0/q5cn2916lqd1eQQxGoNbX6LF1rNztEEENPFUvCuwrTkuUO1QpOaVJIGgTqVQh83E4M3
VNeSjrGGPfYjO1ydMSWoQ6D5HXcwzJ7qaPXgjNnmtRHtTl5PQ9pSZZZ/15pNSw0anP5Ee8CUWl1G
jton+hpYZfb9cDsu/Wh5EhTXzdKZ1tVOt7WJApz//nz875kz9qyFmsRs+6+n6P9os//6Txzdn/9E
1/rtD/4+SuM6YRgmsLAASxiXkdd+H6XtX4TDdaA7izEKR8pfbNjknNHkEMMYdVHt/jFKG/ovgmcD
d5XN3Av/829N0r9Oyn/xnSBl4UTjBWlQn+mIZdL+0yQtY1A4qvOSjTXCOvFl7TQhO0aH+p807dt9
o0ZM/R09bhsR4ElocFvcZ4B1tsPQcHJdbhoeYFCI0ZXV2XZUxRSjMDvoSU0rTzq8MdPF29jGnWh4
lKJT2zuvmgnJwwm9HxgKnzTTpm/dK9/TLPhgYSPXejlFew8QEr7uBvY+HbvRkRcw6zCO41fBEFLI
M2KZoeMak2c9Bua5CRSITPK213SEEzjqK8DiHPhXiSoIbAD4W3f8Ng4xFWBXCY5MesD6qqAbknq+
3ZCIcGMSZ6IgiXrezFVm4o8qRnEINr3db/qGTR9PZWez8A9WoAKL23xU6TEbCn7kynqLR+Zoh1No
WKc09gwV0eMwd1bYZmZfTGbrx4ZFehojpG8niXGVduNDJq3ojp+kvhThZB7jcCJTbeZkMQtwP6rX
KXnTXwrDodS2hogTJ01Gl6j51Cr7rYm9YN+YzD0CBAztb8ZbJCpgQ7kujjnG17Vt1ywx5XSYkuTW
q0fnTMDj3Q3bQxvrMA2bccMmaSJRiYZFXXS+rg2n29gc41nV9RSNo5ax9+vHHYPCh7ts35yGWAlt
PHQ2TJi0c80uNgHsn1Vt9kiCuroYQxztoFbTrmnKsT0Zeg8cK6zq6A7KSnRg4U5XB+Dxx8bICSZF
8Y/EpKvcKMadjKY9vUyAz5P5S07ZG9aBagPB6t2djejItF2sJW5C+GK0TzUha0reffWV1mavXd5m
O2DYz25rOKg/bnRJ9JRpc+h/oEq94i1hKoPUTY4uwT8BuLJH61lnqj9oUntlYLlpqDbx7SKjSZhf
8WXxz/q9mN6QCinQ6Y2OLHDG9pLQ3Ywn3Qh2sVH0Z2FkA3HpIv4hSXpu27r1UBFdlptmbSW/5hH+
rRcTv5kS/tfNxH9QEVQW783/YGbgz/1hZjDZISzuWQvoCd6EPx6p1i8w/EB6ENNgGfHndmD9F/gr
pEAX1IduUczwp/WEZv0iTBp7vWV7waMYI8TfsTM4crHQ/fFQRYLnCzg0GKPrYWgAYPjXh2pD70yS
B3G61hU7zTjnlCSvoH3FWX5baJXMFo0kr1ROb5Mtc0Lb9kjCoDBveNGXb5HtxT9SoVGHNJrlC2mr
PsZ4Vc35yqBcnMx+6ix1Am71VLotFfNTVabbfJbtNtAadZmBEx2D3iA5J+KMDGij0psewADrddhK
t3mHlSlNppniUo43/oSD6dRjEz66esTJghPruGVmaSnIbmV+b4YjTVqunKMNaCjKYImsxLsgEHB6
pKZfsy5Id8oeuw7iqaHflJWyblwzt96rMHDZ9moiuScg4TyIBIRr2TkgT1RpcqSvzZzKLU77G8ee
xEdDX27ph/2Y3rXR7KKCtwJynTNL8LRFuONQmOi+kZXeLvD6aNNxvqvx5gX2J+Z2Ig9BXZic62bn
WnmyvnWTsVFQrtDNk8YBq+b2ZsT9O2XvWmY28Tqzy+6RqoTiFTJRd7Tqub4YnbTHNfg8GkhVMLWP
iJn9hf3I9JXaDXqK1AvtyoIUcmxw3nN40vL4WC2NQ1VuBJuxXb6ICZUah8FiBFhVmoYA03Xecz1O
w5OhwuK96AiJMrrq9qYbJmvapEyVE893O9vpo0BVs4NS7rRUDNcMjB0UDb354qeiNq0YlPFgRdZA
VLfX4lcn7YLPOe/LXdvOxlXRz4re49K9K5Oi63wds+SyREKSWKbkTvcV98lXXtMGwt9cbODEAdpQ
pbN1DTd+yWi5QHcY5uqo23q0nR3hffRVGJ8mjAuCSsDcRXIbrYdAC8Ue7990wEYas2GgAPSNSjTK
KvCuUZ81D/FLl5rjlTsXZABUT2AA7GHPgR+u9XQTEB64dWov3KD7KyBwjtplqezxw6B0FT6bMk3D
ml6beC3oDNjnWBI2GNrVve6o6CmAMnUdkqddq9ypMVtX+C682Um2lVbr43VCwvfLMJrklcKYaB1K
XAO+5Ld0sFOFOYHSMVoThA3yux2z+gLxPLiG3pbskEPdkw0W8qCNbfReI7NAUQvL8BwXRJ1SvWgu
gVPlhKzy7q7l0z3lcxn9aCbEJuGG5ZuqpuqxS2lHabuAS1PLPloUwK3jde7ayTAXgaqgI9cW8xpr
6MLf9YrrMHFawRs+1W5iPEBYTjrXWEfUtu6qUUwv5EyS+zJ342PaTOM+57M5u8xLD+nsTA8DtlpG
LIcto+8a9GXsKg5wxra3IqAsNqgOZ9l4qPOgghJTQWGR3hlCkHMrG/tqvra+OS/Yvvrb2ltMG2Ze
6pIj0UKGibveooOMjDTdiHnwOs1TrK8U2TOQJOCcp52n1wrSDNsuj87HhUADiDmg0zyJqBKB7Axu
NqG7Wy+mM3of+pXNUXk/adl4Yd7trzAQ22eed5n3aNIg0vrpsARDo++QqL7kRQeynVyoS5bU5JzT
g11rw6MImuzWELF1jYOMb2H4DqPSwNzeNl1tke2vzEEDa1cxSHhIYn7lMCuuNS0J3zAYE3gt557E
mt472JdA3wKlaJr21Zozzr75d2rW/E7QekuYto+gXiVNzCgEM5C0Lc8zSs9Yg2ePzncet+rY57ZV
4d7H33ndZInuIk3CjIuXQG9WGeZja6KwlkE6/yhdJ/vZpJXF17Xr7NzzZGY0ImJm8ADr56dgBF5u
6xUms0Mp3ewuq2PzdSJ5BeKiVd2HUc95uppZEz9SEm28ZXOZ7CJzrIpVWmX9Iw0oDlXWo9rXuSbX
RWbAXyTu8d6klLhDVjQPeimbS1902Qmrug5IOkYKNavEZisjY40uUW9uRrLL0nwCFaPvuEKyV87X
MPBDS6UkpED48E3QX/MMkZDHSMuGpFi3pQuvgpcz0xSO+uEpGOpmw2gLStFMeaYEoYe5qKys+UXZ
ifYRa25xT+A9+Qmy2NixORxPHiHBV70wsLdopYNDJysL4WcsEL5sY8DHkGsmLB6zki+xsIO95TYG
WblBrEf6J5kTR5ZEeKUw3gyyqDc8D8tzSa9x45cFLz0fHnz+KKm7A+M3J91pcGbx3EEVpXnOzM6S
GXJHo3AAJzCoJ+iqhruHQOgd89jJt3GeiCfY/fMu0sn9+nU4a9f0qrvcg0P06SVcthEFfjAY9BbI
aGphgFcAxXtR4Wyipukdu62FEzvMw+c+yAhlijTW97M9tPkaxTjU/RqXM0GmOnYewsSuHb+VavCo
r8+nddnZ3KNziu8rjsETZK1+EMmYX9Vpr46OTZDM73RiWW7TaEds6RoHNMM6agT0M9+EX3GJQ62w
180EPgVhACv8SudM9MzSvfBJq6q9Aue9hxHonkPOtMv/Ce0JSnlibN0Icn80Ff1hUD0+hzQVCW0U
08QVwzOt35cmKuCaC7qg9oi7kulfFZeMr7stwiUPONUYvVHuW3EL6CK/EpR1X1FTU90UWRj+pOdm
fkEPqHdT30C86LCpYekEYGrDCU6gO96NSoH0KE2z3HcwQQEdeiP4Udet33RANB+iKwFScvkHvunm
MOGRbb1q5zJXPNhRb942zDJwPvvgkvZmvc5lAKImC6tLllP2LJRHA3nkifEZV/5ypxrFHZz44soG
KsVGu/UOFqjZJ+q06K+d7dTGwNEZn3rUaSe6JftmN5qj/JAsrt5py52v0D74rJB951MDC+eiWaN1
wFPErTyOuvNFX5Y4eU2gn5NBU2cdb+fBDbho/ZhtmVjxsNAh5TTuUl3e0sUbeOFb0Tk5iHq8QS9O
AsAW9kNBbhQzjX5lMYIfQg6mwo+ZwT7HZFAHW5rjhjNYdUHw93aNkHKtQV5mwMBIfjKzedh7oJQK
f8gBBZWwiyo/TAYeqXnshaBvRUeOkG22hwiydUN3cXrHy8s2KtnpAp1or4cIJOhox95VYNbFoVOm
9LHXJh/hNEc3zWSVG1AL6ZrWrpHwMwm88wR+4zKRV4aL25i5yT7My3W8eW7A08Lu+gNAElhHUz5t
tADr2Yo8argr+Iav4nEy3nKQTIJ6xtpgQS8l4lpUSutBMq5sxDDTYAuyuHt3jTSd/AQu7NIwGG7Y
FXYkSGf4VkHU0/xuNGBjwygqyLrKeCPHyMo2RmN5Wy9TEnGv02PsNTK6F6nVbCV2DYxeOtcDrrGM
SGYseQ5DXzfVerBRIJTXVnvXbWC0DF2Vb4EVR1eh1+Y3FksUcz0lmAUIQILCqHMqDbwchs56bM1h
7/SYoHlCCXmZMcbtbZy+7aoUEFl4HOjVgWyvTmdLkZyn3MvvsqhXJ50z+NnGzMNjMjHFDaSb6ouO
KCFRB4f53MpejLytcTDjLawfqdqwj264VJizjDfRSB1W47WSzs8Aiwf3fF6En0rkeHA71JV+FfY5
oKvS4aUjO3E3ht74QC2cekmxDGzh5Gg4A5KSwC930QbRsX9yYjt4aNy5dPwxy61nvZXhMcDw8jpJ
jjgF6e6bQdA04HtNl3zoZTudE2QBfdVw1NvBqZvfCtFzeLLRKNjPlMKIieLq5iWpzL6Mdg2S2dCt
nCZi8D2g+EyPnsBi5RfSzD+hjE8HWVm0+aII2NcB0e1zRRiKijPd0T4Vtg1rPce1YjLqsjL0Z5Eh
b7hWFoL/DhXmtABN76WrS2guhrTqZGd58IwpxSHOsak11+s31DkYbEbqum5PtAmXn6Lv6v+PncC/
5zL2183Bgk3919vYX1Eabfl/Vu9V3L5n/32DsPz535ey5i+EF+gSsH/1Ivx1g/DdBACZQnLRskL4
h7/B+sUFe2p7rul+9yRIVhK/5SFMlrwuG1z+A25r/qu/VXlAfOIv+wNiUji3kchZRZj4OXiJ/HV/
gFWGIg0OYWt2lWAVwcn3luy3Dvawtc1OFf91gxfZUStWCpbPy/cElLD3jcF0/b7ToC1bMG3r+TJh
yyYLMb0SRTraVL143nDsW/PWs4AFcrfsU6Rilgv9RsngOfFsulKT+qwrFx5T5T61ExIud/JjqANC
UwzSdNnZK85WuDDdoV9LzTnSIVVtLC+fCTpoS70NNemo8uY1C8XbKCDty7h0zMg+rT0vv1VDxP5D
pcCGI5a9IMSyR51NwWEaiROUYW1QUpnwQCeejdaCAB9QujZb+Y+cPu5VyYLtFC2rvK4fLlFa1etp
1sd1WdHoN+rzOhPqyiJy4KuGI/wQ1hAdxsb3mEr3Y9eUfh1kQBltuOVBFN0abQHKfKZsNsZvqeXl
hV8L6TtaAXMLYm9l2v4wmw8Oz1Lc7B5trbq3wXrl+HGRxWs+63yHSNetLdE+0XOLgRnie5oBcxeC
yvuON/U6srC8SQ8cfzl4FtorsnwC82QrbL5T3cDPmpvmQIJS3M8tZMsGz7uItJ0VTKco7W4nUgNM
NsExqYn8zch6ojL3HPr1tRUyB4yQwcQYrCbFnkPSrMiQy/ltAuLhoyTg3TW0J8JtRyroqRrOzOc0
n5Njp+r3WQBlrA3VrLPB01Z57L62oYbDOp6NzWQQWJS9QyNRqGsbz04+IY0563hUNygXxSqyjU0H
S4GwWfGVgRGgNCjvKaicOnbltBTqU3HflNDl86o6Epbgko7DlyHLFYox/N0GUdQvqJvkmzXSgxfp
5p1dGBG1zXGJF5SH7Fj1N15vfM6hdzAJ4qyMNuzJzaExyFhswohfX2I7t/idrzi7EtlwkQRLhNOz
7kbDQbfok6ooLxu1Od5QxJH5sJweuyF9qrz4kR5tY2MyPZi68uCQED9C2aYrIinnVW7TPz2W813M
QYgCMJk92oSKrphfnHXbkSaoxGdkaWvDbdKtjrd4w9qPrx5MazTbiouMoR5GHz9QoG44n5kronIN
OJXuzVwKGpi+hK859pnq1WgVhcGHlnTP4D4g4Pfqc7bST4ZiEopBdkKmfpYq/4rbod9Q4DruMkZR
v3DZ7hljfCyr4RHZHwNJdsw7yDgy7tvN3LNVivTd4Bk438srbAq3eVD0K8rhspU7xLcswj54Hm0B
rq+zQgYrHlOXuUr2LYiZKGy2Yk4ufZ+e2jq6moGQUWV7XeMErqrifkrsY0JhmM9Pv9F1usc7Ye4C
aiECT/yk1ueTBOCDdLkyhYbBmtTqKm6L65ozPoUczU9Y5w1eJZpiYaASB50eSCI+t41gb1JkR6PF
bWwZyZ0lTLCBef5aMvPz++0/zAjCDMUjN2ObnlIx3lVJizbd0lLaNia4wTD9iIX7MLTNl2VBGw0y
hAsZX9lajxqPyCzLq3B2T71m33ZR5pHxQX4JXSob3WK6dqlDWCWR8TLPEp+RJ4kWF9x/WnmX1ulR
b903FTsfTP23dNO3FC+oO6kkA0z/WQt5y6B5wQZzFcAuHXOLR0B3Naupuwna8t4uqFvQ53lvshi9
smIoWpnRHKdeJ+NJwZga6Mts2e3V6rRwtCj9xG8dA0oCy7di1ihVcYdmfNQxdfv5KIhjwPJsDF/H
57XqkuCrRc7pWSj4KQ1leaXxG9hq66auj4Bil10YLQy5bb5RJNKsNbIEAOjrQzETG8Dud5QuS0Iv
Bp3nFRZsjxkcWEpXwwo1/EcaB2LFHe6sxqS6TQwv3rOUIMBexTlG4OX0qFX2SnnRkU4S9l0pw6Jh
57d9QQVrig2J7q2LnGZtLebmvXZigmROcE8H7sGgHo1J1Bk2AUHctScbl6Ccc5d1CuMxZmlJorXN
5lcCco88BJntbHuVxuPg16NGPZYwUshzbbulN4vmiECqHbDOox27cm1gBMx6HNRlSJkbKO5zPpEl
RCedz1EEiqg05kcBesYXXEn+lPGxNSpql3BfeoNf5yLTZly5aZ+uvD7TEfyJJiYSIwxlKLeB1ONj
k2AaIAEI4aSQtt9BBdV48fjM7pSpqRLH+xBR8UGc2hRmsWqH7CtT7Vm2EDSr3rauzTl5Csh0QBrd
RTg+WD3UPImD+XoG3NnEmPe0Uu7ZSR/JSTyPBrlDG1ihhXsRVwY3oe3lj2ECT6qeiOnTi3Pm00oo
GeNjwbP7OiydfYbhvKW4wf1uwCxfxba1ceDyrSst2PIy2XzPZX9Lu/p3nlMNFPR/Pac+vXfVf/3f
/0ng4o/9IXDRLuSY4ChY02EZYND83TMgftFNKDj4BpZSrG/t6x+NXLqrL//jYrHoFhd/kCo04xch
lj/jsStgsy+cv2UakOKv8yn6lkBFM/jrvv9a117+/Z9MAw5xIavvGrnimNu/2lQP8awEi0A3yyId
sTlERWqpHPzqiA4wUfLKvnbHwjjWcdu/DN9SVAZM9kbUymXOW6QqzRFLKU2Ysnb0+mqTijjcsWZt
7ozS7p+GtuxZV8lqTRjTJY6ftjuHNN2uwS27RgzrfJKEZ6Oqv+BuMiRA9Odsug6FYDU1WeIa3dA4
ENVJ+McUH8cC5wCuTKA3FUYeUFKAwxTs7wilYsPRk07RnH5mmsEo46CsewfAn9bNrjX3WMICColm
wKyVZV5pStKH3A8wdseCCbkCwL6OjR6YUOroxzlsTIz4OGlHLcaIQ9/oAsTI9CMgu3Y/OIS3ZIZJ
NDEc7TaecUZVwtDWlGXXG9pM01WRl9bWLAHlAe9gDghtexNR97kuG0dfWXkNsbrn5Wo4WH4zMcQX
16G3r3E6VsgKZC4KFEtLsrjragqH1QDf3M+VqEn8DeZNGKpsO1gU1TR52m1aG7KE0Q7WCUhftCef
Vu4HbWguodS0ryx2dJqSG/NVX94dmifCL4fyiQ3tm8Uzn4LYaCi319nEy9vMY9XBjzSB21FGf+TX
622LSBWrfOJhPhqZ2M+GXtkMMJb104a0sGHyQrRL3JDhT2cLwhvbsfjIyphDiB6+eMgua0OV4amI
KL0CnafX45PO8SJ4mUJsVOeAeIJ4Z4vZHnoKNE8EEjh5KNE+oGmle2doO+KyWgMAvyMjJ/rvfxE+
janJ2gy7sFzxCbPCBVpUEX2pnPxnR0G3xqUySs4PElnIYO46NIqusl4yqnsF4K/J6OWWkwALtTyV
D1gNiw6vK7EYmriC16Lt06NdB3znAZS9lIrP6xh45k+Hs9N9NnrGhR5Gdna8weA6G0mzpTzRuA6o
G7pAl543KTa1RxI30VutLDx3ZRt+lbpGRlBzhnhLBXa1xdKG0Ndpkremkeu72g7aA4aT7obWTUl9
aIBBOaFF/Iya0P8ww4o9HHs1e2eZ8HG3hVmTWSSL5twuGsajGTfVlmYz51QUSXuH73cBDVOecdVH
s7wVWencGVqMSMW0v3EgmKAxCQjklMdGd9yi3K14aii8L/UUQaB0MF9ipMUm6XUAwNCCTNy0w7Bx
ekhjIVL7vQ4mE/O6UyvcpqUEQ4J8laYedLc+GdLrxpDa+9BGwUc3qQhkhMSrGEUevnjMQeysQl1o
b+Msm+1IbvDO7FL0ADTox8gqJLo7gLcbY3Sa60TSIg96OCyZ0cm7MUKUwROhF3ubhvwmEfOCZASN
asbWeOSTnt4inUr5laQOLuKs28CdA+cWb+dca2sfVRJdV6mi+CSebn4NAwgqAL2uYF+atzcNNvw9
6BbOyWMXqBWAX+cqrO2BCleLWiSuOcFd62jBrNMubOGvQlwkuh542iICc6isv9PTdvH/2DuTJcmN
bbv+ikxz0NA6gIHeIBB9k30/gWVlA0cPOHp8vRaSpHjvla7MKDMNnkwzklXJyoqMgB8/e++1X+Oy
RsGtcDY3SldApxZT+xK89qrEPJX9TBcvUaBdvQS0Pc1zduVcPck40V5ny6xWoztHQUyBak9p7g6r
KHy1ytHWlJxtcyNdZnQi4b0owsBcYuK0sCv4nFQXF4PINgLxeetEDjtgHP+8FITNa3xua8ssw527
RNEtt5r3vLlZbabSgog7zNu0IH+viGEEs3SqQ5ECtoxnN99O/JErljb+TiM4uRMsvbHQg/oWelzs
QqSQtyqVPXtbqd2pLEXd8Nr4Peu8fI/lYuJJ4DvMuE4DDpiYZG5B3jeWYD4R5SjgCYK92bBmOp0d
68Ohs2CV0F8fQO8uA29J+y8G5K2Wmf0mX1gA1kIFAEvj4ru14kOS8WFb4AHlD0ZgAQpwgfG2sUd9
VeZWJXAKfz6pBUEgFhgBFXjVpmHYX+v97KxJgVvvcInB/i74gmQBGVCJiqNALniDxAOOQMyDrSXr
aVbjkd08DUlOOQT09TW0Q8pa+9qGeIhP2+51NgZmWG44XqCmLoiFoW4JFo+O2KV5Sh1bO3E5L3ww
fB1RuLZ7qsxSW0c0n626LCTYjk7wZOqCuiZRlWqP92oiG6ImnY9px8Jlpc2hdtGpINtVP1yIqJrs
ZQnNfcL4IUeMqL+P/Q9PIiWXEnMvUPlR2KF66hf0xKi1hMpYCiS40kTebpuG2C6PG5AVcjDTQ1Tl
rx0UczsY+eRc+ZhnruJSsSAKm686zeVWLTwMarpCdGUYGdFCy+AmnsMqgqAxLSyNrpn9Y58zzLKz
ivYpd4RVYUaIXKIKX+eO0qleq0lwJzYUU4UdhPRJf7EWhgd9wDHbmbjYzgvhA6USxTZv2uukExJC
Kj9HZHrxq7MjL3D6wTr3xBX5AcBCXoOebG7rxrFIibv5jo4FhyAPmJFE6T64N9AjOBa9l7bt29u6
9RHK5yGdvVU2a1Jn6RGRKOXRbePkzsVZF1Xzall1s41qG9G1xJqJA0AIi/5fJxn8R1Z21aFf+jpg
CKXcbbL5zg511HOukCuRhc5VsdR8QL5Tp3ip/uBdFMEz1D0DVqY9d7xGP00hpjbPjzVvj43rVcW1
8qfw7HgoMZRtmsbNYMjsxLpcu0vD6GPiBdmObiduwyHUn0hyzDhCsvADf9H8CNI5fWYCM69L3g53
45zYp8zNqgf+1dgXgzU8JhAXblKJAXKVdJVC+JyKg96oehOOTr1POSo31lKvon5vWvlpXdHcGF2P
Dox1Q3sjACezvimXohZqHeyzG9IotiodsuxgvAleJqNPtClb6l5Gm+KXzI+tj9ZfiCO9kpspTbV9
TFLtCPghCRr2vDulV+SGCDO717icStaTWYlTZ+TNNTvOuSZs8gL6UnuGn6NucI9DctKILd466NxP
8qe0ZpL0YC1FNrAoLNAPCdOYXXrOXZMZ00P2Y9CAW7EvFtMG+Z/03i/T+SVeLB2EwDk3f3weKHLh
lQZnwVz5dgbkNCKa8OAsZpERXXg7WxWtOYudpJBa9RgaU/GmFrMJOr/8dOy4uRA+7u4sv5APHir8
AyVe02FeLCvVj3slXIws9mJpgf3lXRhxmGm1MTx3i/Ulycul+H4xxNg/3hi7TSChKIeAjW7Zck0/
d/La28r8Ln+8NYwBKYCoVh4Kf1J4bxYbjrYYcjzHlk+Ugqr7bLHr1D/OHQpMrV2a+fh57N+9PT8+
nwG8xTqcPAwFUSI3/mIIwkI/Xbn8Y7eJnaKsNh0kz28z84p93Ys+2ZJkSPfEG6q3pQXwLYllfI9z
zNyrLLMfrMWfFJO8Jty2uJbqZBmQ+jysD5jc2EpozVR99nM8f5SDV19S1fM8wzQ0vjK5VyW0XLpT
Vqj/yPRq8VERV1W77sdbxSN0R8UD5SJwW+9jGizGTeHXuLL0xaA1wYGkBQPTlj9SG5nw1OxwKmfO
qbFc3Artj9droDJvo6D4kF33xvxdLbaw3tDSC4H08CKSnvkcygJdDaWhyHNEtLD7lj7s6yVXBk2D
/3VT0bZuzCw7Z76hQG+N9jn5Maili1ctXlxrEFZLpH1DGvcGyTZtrRm6dhYRXrewS+MnA6TMM8IW
S79Wj/J3d7GuCdcmS4ReGG5TQl9qhZ43XbjOpFcYr5ydPieS4YEo4gc5NAx4wqfpd5wEe6NoTpGH
0z7ESx4OcDaaxcendTj6vIrn5qo2pfULvstirW49/MaLD5DwctVvshEr7aqaNPFAjCK5pxMTb0va
GPZ7sVgKh8VcWP/4DH19Snf5Yj5Eupj3uWZbwIv72NlP4BRe/v7K4j8bR/4P0YzVwb9fRgSEqOPi
nbfXP+eB//ravwQzjH5IwbopwKCjUv+1kUAW85ekMP8RUuZPwOGPjYSzCGYsHbDUCsPxwZT/k2C2
sCexdJElgClv/R3DLcSZfyeY2S6FZsL7F37YiMG7ghuFGmVzyluOam7nsegfWjnWh870pqe+rQnM
Zzn4OtRbYFtrWTisvjNEtefYjHQsEU73Po/h8MHttdmDrwZ4pYe643CDY0Mo7cZhhomjS9Qbbb3t
68lbfEmIvGmZXyJW+neJjMaNHZbcNuXiCPKG+l6Gs7yQmJ5IK1e2VzL6xlh4rMGwm/UonORgFRC6
tZKmIUyv8wW0upq4F9T6GZcUFuHafo25qF58gUeGF1/uYvjeV1Nn+Jj5WPE23CtXoWlWdyWQlx1u
Y2/dLFFKa3JhvNS2gH0kzfu8b4ctO6fwnfNQg9NpjNxg42kz4pOkG2madhV9FevQR7rACVDuZhFR
kqv3CqEjZb5d8hQV+KCjz8PxhBnNujJmaRyjIZFrs9DkRzwP7a6qdHBILmmqxejjvHSNAyhaM0t5
O06OHQyMTVSBtwLoo8f5NgyYOjFAPRsxReGRTUVFEFMByv22lg8QReBGJf1IztZKBQk/F0eAiIx6
08hquHCm99sq7vEWc/XDEUAr1Xm2igxhLCo2hqKyR5smVK9aN/JfCZuYC7NEjgdwnKfPKG5tY+1x
Lz9HZpttSqDy1/Rvk9Fmi55dO/akiAco+4z+GV3zqoE9txxrOEdTxnbLhUSCitHUIWplgcs2sBBL
KZxp2ulmrpMrEVrpetRjgA08B7maU2+5JTGhHuqItITFQVGzhbVhodmUVyuyOJ3xVc0m1pcs1GNM
vnGFmRZH+QUMo9p4SZ0Yi3dYPiqj6ACiTDZp4bxY9NM6TPxHUTI5rxKzN24YDps7WEGER1O9nYn0
pbIiEt7r41c+OxEPateK67Umw3zeTMVo+SgLc6/A+EDSuxKeO1DrzCLIILMauNK5WKW5YEOpyXGv
dayZ1auW6239XEndOepjbd1I6EXZBlZGDnOj7F+yliaItQTwsIMVaV2BHdIIhOq1bzIPuuJDWV11
y1qtOmsxZKskZ9OBd88VNx76Ih7reNLeSFXENPLE0G/qoR9OHMGDG5R1SB0u3vp9a7rxc1GG6l4l
RUKJbEhUtJghfXdZtRjdY88U1A7lDQhqX4Y+YrnQAqdCYR+mLrry5zjd+qhf130Rcqx4kX9uiaoG
jcBkyvQ/Gi9hFBunVGvZthR98ZlGJmMcbqqcgU11d86kF+thljbfoxGX7yFN3IcB+9G2wDxLfnz0
WSwM+hFHafGQtWN+leCoPU++Um+mTKxmZWmq3LJo0nazbNo3G+jAm/RCP1l3nI2wSoo0wO3elZvM
oMKubyPzKrZC/S2ZW3Ul4klczFwv3ozBc34N3ghwMOy1h0GI5JEUE2ngHq12IF2e2jvuEhjCO/Lw
L5KFyBZaB8NmEad0+uZp9DAgnwZ9R9K+KgadyH7NnWLm91f84Pz0F/uN6QXbfvUgIo/Lw5wWxo20
Fhi9jTOR3AAWSEg7OYZmMDNi0zahwBg/mtjvkeX72xTI+oQddS4ZdMP86IZVjCZs1NdTappbZRP2
6dgi7a1F3GH5kt6YFoZX8EQ0bjjIO9uqLwtUriJ682qtC1oKJDZ09HHXYctKahkI1tPgWu1tXgDY
C5u8eeaOiLyjGYMBTqlx7yTxuLcZ+i24rs7FvyMz9xX3eASkwEfvUp3VcYkEZ+xlBu+oZHAljUJT
8jjRcrmJzLo7W4bWQQFGsIJ113WfXWrbPSwZ0TEeUa2yE3qkX0fQ66garmJ1Wsp5npfmL2vPbbpZ
J2MiamQbLyQPUbS7uTTdN8qhAYbbZZ5hcJroyslB2XB39eOTaxFxXtHVRB5b00g6WaYqfnXDUDxE
kz9d8sxP33D5YeEIE2DOPJc/QwvuQFHZkhxVbFrXsC8oUJO1fypFRZi/UtpLhY28ZrtgFCyQdO4z
dWX2LwALMrUKfa88u5XuXdu8Do9U2BKGz8n+bvkjm7ecWNcTRIraXtl5iWOKlTSnR5uFT54WyuOA
eXFdldQ5Wl09nDgtihM9VN2O43eiJWN2rvm26i/oAuJdazqDXup204r61gpn80VqUX0mNRDfIobh
VZDCVABpRdZuMiB3N12WzvQbhPOpzTPtppR6ZCNlUwxwUGqxYQCRvrYlKF6VduW1pdpz05Wc0n1Z
soEFMQV5E4qzx2J/xBvoCMgVsbUfRzXey8oenuI2Km9B/GYXrPUc3HKus3vKk5z/b+j6g+j+x3z5
vxfK4g/5/vlPmJq/vuxPocz9DZz74tKiyehHKvtrLDV+0xktGSyXHK3+o6H9MZYKODUL493VGWVt
cl8Mi3/4uMzf3OW/Ebp1+bRzfrp/ayz9yXn9lQNzHI9vitYgwgIEZvk2lrH1H3QyaYUjVSApz7nY
pXaBLRi+QrO3rycSYPsc2/x19oMpFJxDtKuG+aVYKIZ1WxJ8IFxw0dCBVoXws0vXT/FFoUYfoh8Y
IhbudJ+RDyP/rgS6LcyaQCSGw52QZEoeXs+zsYbjYVubzonZH7GXtm8UxZ7s1ngNOPctI+7oP7SF
xlZNy+ZAj1tu96YjDu3Epmul4Sx9qEZRb0Mvd4+4bxTYjVY726njv3jWgFLiAmu7eOlU70NZR8+6
pxnrSLerXY2x81iVzbTNk2jagcZKn4HMxNuxTo0bm2jqUeAv/YIqZR7gR6aMID1wJ2jsN26S6Xse
sVB+mxxfSReK+VZ0ibjAThzfhT6M33YW60cswH5M5ZPRPZaRG2krh86cB4vj4libtH2Esk0SWgK9
9rlpKySOkPG0G83pxDgvj3pioXjEWtPu/bHBAgxAkh1UT9NKEMdDecPDfNi5VWw92JxGxzQsrLsc
v7wWZJHWnOLaNrCDGaZJRXAzvLa9xE6TuF656RPHvGgubnXdxKId1mX4C99LtrPrqPlFTqlIgeAq
akmYBONb1WjN2UmFf7YGDmsrU2qfKminzOEFANxQ6l9ehUd9XeQdhRbtzDmOAVa+EeaSQdn2lNdg
tTfY0Glo/NSmTM+lL4c30eb5rTN0uAOyBVCMCzt7t4py/lWGI7gyfTQeRyQ69hS2Hp7jucAIprX5
fDBLIiwe2eZgILR3gD2hgqjzx3gNPNLAs6W5/gX2Ox3tEbjMk8/O59yjl3wqBXs8cGQWP1QoeQsr
yKXLq7KRE2oJEbATY7atQEjc+W5kPc9RJ3cAerInFXnipFUF5pbC6u0mqHl6/7JUqD32LRudZgnr
7DttApzpd+zOq95PT8gcrGHYnJ4NHgP4Y0J4ryVy0WUYzPyb1W3GpSlhHxHqVn+22J5vzDzBezUU
mbdWnlt8D6GWYu01ZEN2umTtgcsN07zn9fkDGChK6yI1o4tYWCr73it2fYKXsKir5kFyRUDmdtzu
06eI4Kqf8+ymK6hWWGHJ4+eU9BlsDRUZt1zOZqxM43ix3dyh+EUX7lrmAkZ1DwuiB2yy4U2D4WS2
Z0ShzHLElsdZ+kWJKkY2ZldikJpOKg61bzum1J8qRvx0PcWTfkrcLnum3FuhH452942tO1yn8aye
ByfW2Yp7Vefj7OnpfaKBPi2CyUrRZRO9uRb4a96hfI49EYfW3WSxEmzQ0+ix8hYkB7T2Dc+rdj8l
s/xUBLBBHDvZUVQdWSGygflaixrpbCKWridBzOPItVWd5qyiBjmL+7eYmPRdUrjA+ZNa4Z1stDD/
6PXOrm67VDeNA94Byo4pBq33Q9EUdB6QsmWIFI5119d6eAXMkd2S0DH38wDTpqu4QtzhB+5o+7Rt
24/GJXm+MnuBjaaER/TKkrS87XMdXHZo2vYbXEO2e9oALJPKCxfFF1nLtzb+jCt4Q7bUFSwDcemt
UOLbIehqow4D1HLuFhhnvvzCKYiTclWhIKHvEPe4jREmMstnXnftiaZgwh9GEfWvRh1RmjnrZkNQ
aMC+izfJ0R+zkRQTreWu+K5ZuZDzxyb4JWwNv6vblMaz29K4vKWYXZeEifwuRG0c+M4pGwVGGHuY
v6RnFp+00vWPVcGOci2cVB5YQfJLetlxP441rfjUrBDAmBh0cTuIyQyDjuz0sWkGE7Fr8P04qLBL
wurqrI9yLp0FbGDhF9DRbQZUr5K4ZqFxY1u1rDGc6578aLsePXAMyq8NON2DhqlDRl/sOgBjdTwH
CFrY0vJ2jshHxuqayJfpFlw28YI0mKQ63rvsSNQVFz1Aj2E+pjcaFqk3qhrGGSOJSg78/Gt2GPRv
VCv4Pd135ncF1lmDJygnVtV8NqPlPaS1PVPsM+TRWzf6GoXBRRMFyK7yLcqhc+I6Uzf6MOc7ripG
DerBk5ekMyyCVIU16IjRRn0flrGkElnarty0pjEJ0MLEkQJMr9WB2K4S5O6a4ewIVszMv475SrA2
Cg8eTjCxboB1QIBwSlaSVQNjLQgx3n1xWnlfw9SY4UovZTyeimkicDRjOz9VFjwGXqwF1wQCy3qQ
HQUYVN6ZX1XdTOZRn3yJ2VVyrriT5xAl0fTiETCoKbjml+69ya12iXJOk36s4UnrOBYnisvdpHHO
YHI8jTyGRT8Hn+k3GUbpa+VUakPtbnWZrIT84VyVoR+MC75zxf4Iu2Vo+aG+oVGjSo4ReeeaTLKe
7BtO6WsR0f1FrrVD4ptsSGNbuAw4CVtdyeqIhF46zTUNISr2121UeQiIRuK/2iq3H9oftLHhlYLa
pSnJbnWtcfdJipzlG3w/jS7inUnilftLR1LajfOvwTHVk/9DVG5tVh4iNQiaN16z8VDW4HfBX878
ons3DC+H8BDPQVX12h7znHlb4J1/g3NH+qz1ADrT520lCN3weWzqBj+5wo7/B9P6f84dsU264N/v
iO+7j/9VucTyRX8uh+3fHLLueMvYvOoUJcF9/NOuBkiSLCh5CPwaOmgGQAh/TOFwbKBAsvnl00Ll
EOb3/zGFe79hVlu+gE4k3AIuTJq/US7BevpflsMu3esMYKQLKHGyf+b9f5zCay51jYu1ZJ0PwNUh
n+VB4llyl42tvnFn22DpiblBpw5yL30YgayTr4vZ8g8xFu+Aw+pVmRDSUXLswMKwvabgrlpPeG+w
2eoTU7Lx3dJlu6oHg/TUNByQjzhPCAFuoromxqExE2vVXL/j9UX1HXOTTZ/G4ZYO11ODIYD+FIkr
WfjbZpyf+xkIf6kl10jwCvtTmO0ZDJdFUachDtqKPoAfhEOfrK22HHZe6d8MNOeta2nR0tAyd8xV
ExHihwi80l3/jRmU4qRiT3j9rGaWXkuK4gxQ9irpnXJlaCx2WY4dOsoGCdb5c5AWJCd1JNajH7r+
ivUC5gwi7lR9wmGNe9aOhgZs1k18nP0toTxdtBe4Nk95BFh/mnKw+/RFbOyMI2HGGffpmFgpFFbW
TTWPe2zr7zlP/zWbd+jOoIGwOEcEwxoesphWCdmKhqJN1hFDc90LwFs+wuS6szJc3IiN2yphIQQt
3Kfur8JUr0rIPZKfUs627qpNOlx2lRbduX003k/o4GsxFsCH0MVXbWtPw2oijEqRpj2clmlwR4qm
C7JQPXYL2pHzgH4RQrD7buC1BKFYfUHSFCvdL0fm/14GNofcukeWWoIDYBKJECTzcOGqEwZDoT/a
A1SjMgs3yNTfeTubMHCXvUI6Aj/jrab1brTSUHFJmAzfwP/xFajpXebZ9TBkD4XlzXtTE956mrSI
xlIFvJyqUHTqNvtgsXMvDaddZZR2bMaGVstwJNGYVvgUy967sdLJRrYcfXLp0Esp+Z7PWet924su
PrtE9/uZB/VEiaWpd2Q7IRYEScEp5aCO7mrlTHvyPf3acu3+mFTKXxvY1djjOuSXXXve83wt1vDS
WP735ZVjQrcHKf5Eham4AJB/dkACHbRKS0BOjGKF2vFBUdhz1DbdRsL6Dojj0LZJAIJlb1ZtB89t
6BZwy1Ov9AvPDzBQk/fIj+XYc8OmBH0BpRC8W8ULS7m05FWFq3tfJJYdeBldTvi+7COgOOKpcLO3
DvrnYQ65cbC2oQlwrO7qXieoxJGA1cxDI2js5xZnxgZI31XJ4jLQkqnGkpOghEo95d6M/aoLXZbS
vthIBY0O+xZ/I3v0cCXVd97k3qc5HwUbexKSznRs/flo0uy1yWv0pmTgqlMxr7LK2JmtlFv8ClWA
hJLAgciTVW9nd44vGWjb2l+TZX2nI9zYVO78QXJHYgkLH4zSxoivyxT+UvzK27rfllX7hRMN6mVn
UgVvJLchogmzldERb2QwQuK9HkZ9wHiYu2vTHqedWAR7sBrpfdmm19HoHSTB8pXo0KbnyX6KZ243
kRZTUy6sYmfp1XkOdXDcOONL2RZB3ETJbtJa+xbvrxbMAFk2ttabO/wUPhlcrXmACo++MFHXy5aX
0AGx+gP2yXg/awOtwhwGbN+nS0pPAxRLc1rzmLthgZ8FOUaFLy6lIuCtrra6PwxBKoZmBbKeF7xW
pIxwj4GqlnhvVLWx3JgB0S66e1KiBzN0b8WYXDDmlh+AOPhYNenSilO2b0NkXLM2eCLO1B51nYKp
WbPOxUiFgmll7Hen/IJLvlsTgKYiok9vy3Eod/lEtE1G5KN6Slv3s53xSEi4B7ZuGhHvFMO2F+D8
zZ5J2Yo9VumEYgIutbeU4bgBTzMA9E1rrTDdABXFCb3K0gRy1Vjb6VVhQjLddk3ccBVxlmvMtMEq
pvMy03G0SrkNHPPIwrvrdVDoHSvZC+lMtLO09Y4I68CUp0dnkuR4G9y52g26F3GHyasjNyCxXbKK
28bz4JnMbsdyxLJ2GemIwJi1ZpflXhUQPvYPo2fre8IY7Z1M9YazTb3C49FO0qzbtQ5iIPAVrM3M
pR+AO96agi4cAFwrjiWa8IoCDkX2QJ92QMTjc6XMIvCnRm7oIsvWvRmHG6kjjw1GBI6s6sN3jmSY
L/AbDhAjx2/gGPUTmj7vgdD0icZZXmie55Lr0ioyovlcYdPaOTH9Nz0KCD69SzNbamsQzdjwED+B
vGGhRQyFp7b7JZdqN9vT7U0TavKbz3J0TlPuxFFj3MR59VUjWK/9pRrOTcGxAdKfNxqGybUxgmgj
EaF2lQjFrmwQaSvT5ugZybXT+mvxUWZ9T9cJd3fw7AR+5vY4woM7zVW8mIdCKiA6OWzLKfmVWZQS
9FO1q6bwERYzRbpOMweJsL/6JnuGBoJ+WIJxgDH95rAH8w1BLYMqKdzAtrKi0q4MBpMMJtk+c51J
/R4HDURigINrwxIPUub3VLE0C5RH4ows66B2m24dJ2Scw6VHLxuy58q1cZj1ZCqr2r8kfj9wBBkU
z8X1o+elX5pVXw1tkyJVQlGZbfq8WV0CMCjKYObmsapEcdP1FdB3jXTVSB3HBn0dUNykc9rFHk1U
ooLSGZmXuDDOUzVxZ0phnEZqSteqy6y1UuozG8Mu6KbuKSZ8tHIky0A96iZABFO5jox+vKJZvVjV
vX/dmN2dLegSpOr6O4Wfvx6m9q0t549M0knAhwf4RKZh8XGUf9fHaVDGqbFqekoLuWg3QQWPceOZ
JV0VrCdgVrvprq3gic7DFdI2OxyA0tspZUHHywPeNGMw5FXJthiSEZkFtq6hN6aDzM23ZiyfZcb3
PLXeLbyjGDph+4tN269UqXkVdUtHY+rBPSIUFkBbB+rS1hsvlt6x1KziWPCXfcSQ9honlnwNE21r
QOLYMD5HIO+sj0wr9DU/uRxz0YwruHPfWFW7Oxq2ZEBvMX+fpvEPXo3PjZsfVGiPOocSeAR1FxwR
o2qodlqkFq2Jr920EzfoSiw45sI74EOVQbYYT0HX8fKaw1Mpy5fZs/uDm/d20ON6elGKYihdG01u
3BVXMWC6HHT9tO+62Nq5tewD4KOcNgJ8dBvHO9cExa1+2ihhIPBllfZpMEVvkBubV5dQwDMJ4eRu
rKIXthP6qqJ27E44dfE9isz4csqBZxyOxOQt1F0sWniTbrphLk9uSf8Vc5EpN+S+9LVaWjJR4G4H
c8APbdLibbD2g2Utl2HK30a6410PZcbdm5V3IGL1oFnwtg3nkmDECGD6zjyU83Az5Nab3cxP0Tzw
moYxp/bIDF/mXKd7DZPGVNIzpcU4bnXq00O2XidhSpgKvjiEVGEv8cObLPaeNNU+64V+x70yD+Jp
oiDB8WQwJazWCtqdTrHL2xNgJhOADVeGcWH1941J/y9nqRbu/7+/mgZfzbv6n4P+yxf9eTU1f/NY
jmA/Mlii8Kn7J1QgKW5PZ3Fou55DzOofr6YE/AU3WsO22Staf11N3d/4BeYY4aMgWfyuvwUKtGz9
X6+mLgF/yo2BETDI4cf8Z4HIKxWt5Zmw1sin3q+Zh+KZg770ER4r+1tYWvpUcK3qAyesyh34cjo7
sbBo74LitesOn9Cjg41x14ZOwgQhUj68Br2AZ92PsZvExH0hpOPoYaVDnqLUPeAuUd9Ujxndfsz6
9AURVsi6dIsmEm3jVDbUxPWCkXBCB9p1A9udLnKnO0rv5C9PghDgEeGCgPWms9EJfZOljfZMdsX6
6pNafsjKy0/w6/Tn2a67tS9i1ttD1VwXqE1wmxUXpskRxhPtNcm5HbVxS/JovhKFke9y/u7Mc7hN
ny1ZekBlyfmckGvDxyF3aexr2pTbONHQ+5G+lP00hAbs72I8kjZlNHbHCEMx1/znFAjHoweA/8az
bPPZsEi/IhV2J3+ko4TPPKCg5ckx7DPD7l8cBGp4872jbWffsW4iP2u+YfN3wOU9HMKpOTEMh6Z3
v0yzyP3WnN2EyM5736X+cdVz4XjisTdeSdjs10uFI5mW1tKfY/Bpe73qQvqqalM7RqKHzSo1Ushi
UIyaoW26zx1G8GbFBss7WaZZnMN25EHt6Fa+wUhtfErbnn45o8IMxFKS1gOcbWqdaM1Aj2BkbiYU
q5uG0mvsPZlv7yh9i1Ht/bR4cI3I7vdN3xsGfJTBe2yHJGzgNhTVkyKPtS1qc34oJzO7Nuo235dZ
V+0wnoGNmmfT5jDItJ0YEvXLLuqMH0ZWHQd6JD+TCVcMMfqx2Dst9q86GeM3XrGFxoJZ4uwxwt1q
XYRFGXhc6KwaB1gN3VkdRMnZ48HbuONNbxWLLhZSBpnoituNI3X6AhMDfSmro/5OyxSWjikZWcUT
isFrFnbq2wSh1i2ULu8rCl3zvjDj/JdvtqwbVAtD0mCDenJab+lQa1N1Ko2qu3AIlBDnSMLsQtta
svEt7YpoUTJ9kgQ2NhVtB1ujtwfMakPrb6s0J9wLvi0+1sgQB9otltbc2mNRX1Ka/VF7jfk1qD7/
ylIV3qrFvxM0BRkYmHrFkTK0mX0SDEcgsy61d2sRyYLEMacQfmFt+rRtn01B35qwZwz3MdPteD07
E16DOgm3fZOSSqQeodxjNW8eHbtMbryefB+F3OGuQ1e6IiAIR5Fj9+RqjKjE4JyzlqekAZh4yk00
doTvXLy0xO7Z1W5UMZowgAolX3iyMD9gEmwehWnNH9GU62ezo4xoHEN/oczh+J3Mc9VND2WfrbGZ
IVDLNZf69FqryUlHLhiOJqMFue/NV1p7vChQTt7SKOpwQ0AjjXYOwImNOTrNZSqYoTam6LxtSXdi
tWr8TuzLKYJ6wBKYQd1L4sMUaT2Xr46BIPfKeNjwdnVeDHKL2hb3tm6veJ8Tn6PkLulXYOckdg08
AHqQxeX4UIbgoliEdMWhz5nKqUOMz4qVB+0oSLZltpcC+0oAzT597i3SI8TN+3ab5PbwUkBcfA1T
Po5cqgtmGsymCZzDvmPTRgbCwafpO2/czr0TrvZwEwH8c9YEYv1DRPP8pXYNsCKF8OZbWcg2PLhW
SNmDSqhIkIa/iSaRnDRU4kuesylhgvPqNWtS81HluvNuzpXzapMjc/d9nswfs2az/HcxrJOTqxgw
V6MOZ4+lW2XfJo4SfKrIzz/LpodKIQe0fQbPxIR2H8oHraqMtyqZhAt8KNReYsfo7xns1WvH6/9c
q3lU/EqHy9TOmxJ7kTs6N0rA0Kx1N7wZhr67xbKoXwxYafWqn8butYtK9CGeFEzQNgZ1X+9DuHKc
QDBpMcCSY/NE98J6rLz1xjC5mqUHDLNM/Bu6tWbvAH260VekJrpv/Ev5qWqExUSchy/YauOnvz8i
/d/ay/+ReV+/t+8bSPDtdNt9qenuq4Gs1/y5sqasMvv8+eX4q/k7v+Hf/w/+y9fPn3b4/G//1fmL
NPTzBz1M1dfvf/Tvv2f59/94/8zj4ndC0kf7U3/1D7/4Zx3WP375f6fuanbjhIHwq6C8wQZF1UZK
pS2qmkMTbZsq9wlYiSvWblxYdR+nxx72UOUReLGOFwwYvCbqOCtxRWg8f/5mxgzjRrAx606ezMNr
zhS2kj/tDtLuGi5vYcOuzhLIM7B+e7+40AOUOkauziw2e4mfj+5Xjjmgpm1IaaWcY0KHHyGotL9J
vKrFIhzHeE5KJ3wPec6ijOU4rWpwFVesG9jpK9xKVegVojsQBYiMWXnyEsEQU4cAy4Di1d/BBQjY
rxBjnkvV/g08ZpAzYRkAOccvOAH8JqleVCYfBsSxj2yJyT6V9ZFV20vZqJTxCvNqv7WrHl2K4MAH
OttTN1ocQEcDyv9t1Ynh7kTq67IoN7CzfLFuGFwEUI1/bAeR9QSeS1ZUv40FNYQ1rOMfM1SX+VTC
loPrG+4iANBclzy3NlHTpBkAAJBxLqq9i/qCrpYvJRdZtXf4i552QlV6M4UwMkHXUOxMexhHSHSc
G1a4tBMgQr3izzAi7/fe/l4i8QR+gnD6vJ6KQzXuSg2jduP0AfbTB7mD1AUFIUJq8iTT6sUooPNF
fcBFVgqaTD6X3OGQcYBMw5nH1GqPA+C7r8uF6oueU0oi6c8QIUh+58qhdCwMyDZFpUcrkSkcWBVh
EhmtldzyjInUZWU9BMrvRK6qor2Nd1xr1HXU5AttobXGDS+Kj1qnRyqto2+YCsbxQiNTt1nOEV7b
M+nDanal0wdlf7LUW82Q0Mtoy+ECZqDaMak8PBvNpb8uH5nsLWP0MhYKYdEn1BBQ5yMYYrJPMBvL
ZyOWjgY+sQZhZD5yYajwybUaRpn5SIZRyifZKMDNRrIGr2qwcQDiOErNQDTs/lpOWGy1qf4onsLh
IOeuVHb4SyW6qsCA1DN7D4n7gI99se/q/XwizO8WPGo0W5gfOQhWS3IiFqecKpHYw/TQ5SG1S6Wy
FIU+gcXRgOIVim+NfCKp2qMaHxIMz3jedrdMSY7plX4lzRmo9/8AAAD//w==</cx:binary>
              </cx:geoCache>
            </cx:geography>
          </cx:layoutPr>
          <cx:valueColors>
            <cx:minColor>
              <a:srgbClr val="FFFF00"/>
            </cx:minColor>
            <cx:midColor>
              <a:srgbClr val="FF9933"/>
            </cx:midColor>
            <cx:maxColor>
              <a:srgbClr val="FF0000"/>
            </cx:maxColor>
          </cx:valueColors>
          <cx:valueColorPositions count="3">
            <cx:minPosition>
              <cx:number val="10000"/>
            </cx:minPosition>
            <cx:midPosition>
              <cx:number val="15000"/>
            </cx:midPosition>
            <cx:maxPosition>
              <cx:number val="344782"/>
            </cx:maxPosition>
          </cx:valueColorPositions>
        </cx:series>
      </cx:plotAreaRegion>
    </cx:plotArea>
    <cx:legend pos="r" align="min" overlay="0">
      <cx:txPr>
        <a:bodyPr spcFirstLastPara="1" vertOverflow="ellipsis" horzOverflow="overflow" wrap="square" lIns="0" tIns="0" rIns="0" bIns="0" anchor="ctr" anchorCtr="1"/>
        <a:lstStyle/>
        <a:p>
          <a:pPr algn="ctr" rtl="0">
            <a:defRPr/>
          </a:pPr>
          <a:endParaRPr lang="es-ES" sz="900" b="0" i="0" u="none" strike="noStrike" baseline="0">
            <a:ln>
              <a:noFill/>
            </a:ln>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8">
          <cx:pt idx="0">10106924</cx:pt>
          <cx:pt idx="1">10106936</cx:pt>
          <cx:pt idx="2">10106929</cx:pt>
          <cx:pt idx="3">9421486</cx:pt>
          <cx:pt idx="4">10106933</cx:pt>
          <cx:pt idx="5">10106930</cx:pt>
          <cx:pt idx="6">10106928</cx:pt>
          <cx:pt idx="7">10106951</cx:pt>
        </cx:lvl>
      </cx:strDim>
      <cx:strDim type="cat">
        <cx:f>_xlchart.v6.9</cx:f>
        <cx:nf>_xlchart.v6.8</cx:nf>
      </cx:strDim>
      <cx:numDim type="colorVal">
        <cx:f>_xlchart.v6.11</cx:f>
        <cx:nf>_xlchart.v6.10</cx:nf>
      </cx:numDim>
    </cx:data>
  </cx:chartData>
  <cx:chart>
    <cx:title pos="t" align="ctr" overlay="0">
      <cx:tx>
        <cx:txData>
          <cx:v>Gas production</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Gas production</a:t>
          </a:r>
        </a:p>
      </cx:txPr>
    </cx:title>
    <cx:plotArea>
      <cx:plotAreaRegion>
        <cx:series layoutId="regionMap" uniqueId="{A0D17D48-951A-4646-9730-F0485CA32A9C}">
          <cx:tx>
            <cx:txData>
              <cx:f>_xlchart.v6.10</cx:f>
              <cx:v> Gas production Mscf/d </cx:v>
            </cx:txData>
          </cx:tx>
          <cx:spPr>
            <a:solidFill>
              <a:schemeClr val="bg1">
                <a:lumMod val="95000"/>
              </a:schemeClr>
            </a:solidFill>
          </cx:spPr>
          <cx:dataLabels>
            <cx:txPr>
              <a:bodyPr spcFirstLastPara="1" vertOverflow="ellipsis" horzOverflow="overflow" wrap="square" lIns="0" tIns="0" rIns="0" bIns="0" anchor="ctr" anchorCtr="1"/>
              <a:lstStyle/>
              <a:p>
                <a:pPr algn="ctr" rtl="0">
                  <a:defRPr sz="500"/>
                </a:pPr>
                <a:endParaRPr lang="es-ES" sz="500" b="0" i="0" u="none" strike="noStrike" baseline="0">
                  <a:solidFill>
                    <a:sysClr val="windowText" lastClr="000000">
                      <a:lumMod val="65000"/>
                      <a:lumOff val="35000"/>
                    </a:sysClr>
                  </a:solidFill>
                  <a:latin typeface="Calibri" panose="020F0502020204030204"/>
                </a:endParaRPr>
              </a:p>
            </cx:txPr>
            <cx:visibility seriesName="0" categoryName="1" value="0"/>
            <cx:separator>, </cx:separator>
          </cx:dataLabels>
          <cx:dataId val="0"/>
          <cx:layoutPr>
            <cx:geography cultureLanguage="es-ES" cultureRegion="CO" attribution="Con tecnología de Bing">
              <cx:geoCache provider="{E9337A44-BEBE-4D9F-B70C-5C5E7DAFC167}">
                <cx:binary>lJrZkqW4lqZfJS2um0wJSSAdO1kXgj377OEeww3m4eGOBEICSYyvVY/QL9Yr6kSfysyqruoy8xtn
sxGINfz/t/bfX5e/vZq3F//L0hkb/va6/P5Bxdj/7bffwqt6617Cr51+9S649/jrq+t+c+/v+vXt
t+/+Zda2/i1FmP72ql58fFs+/Mvf4Wr1mytf4svORh3X+/HNrw9vYTQx/Jef/j8+/OXt3y7zce3f
fv/w8r3TttQhev0aP/z86PT99w8YYZQJkn745bc/XufnGTcvHXy5UO71f//rf/6tt5cQf/+Q5Nmv
CBGKc5HxnH34ZX77x+H8Vy4IZYwhRnKMBP3wi3U+qt8/8F+znFEq4DAhORco+/BLcOOPj8ivIqNZ
LgTLKMkwy9N/bs+dM2vt7D835Of/v9ixu3PaxvD7h4yRD7/0/zjvxxNySnJEM0wJTxGF+xM5fP76
8gDvAE7H/8vPiCmlh7Rc10DFnidJ/ro4yl7TTgxIzsGIIGtH2H3XWHckix4uua7FXS1IuxWdXsS0
C47Yz7MP6a3LHS6reeCiSJvQzHLqYv3kkB1UkXd65HINyVBsQbHCotbkRVb5xRa40f5rZRNMS2HH
+sTHULGyqbz6RFs9fFtF4g5pMqn3BJFYlS3T9SDJ7KpLG7Zxkn3eVjvUCdLLuaHTPYQlSXe81cHv
8m5w5Ib0SZ3LWPPNynRJRy07YbXZMauW/mQWs94oQ5vvtp25lnqK4yvrmHiL45JGGXIXyl4stNyW
NN853RAn4zhvh00Zp8u6neMs3RbzU6As0iNxU8plXWtzHRJt912ehXOeTHCXMc4PM85GdZ0ixqKE
8Bxe3JiJ25mg+UKHub9DCWIfGZ3JV6+JaI5uTZiXgZD0Pm8p2q0YdVfblqanFLVjWfeKXpOQFmM6
d/uZtN37gDp3Nwxi/NRFgepDWGJ/oELZQ69WtcjE6P4wNa7ZhXQbD54Tf+I2ToeMcL9b+2zapxML
h2qNU1JkLN1OPM79c87dZgpnW35jcegfNz/6ukAGd1auU8cPtedTWW+DmorM5u1rHIg+Q6A177jB
8arJcrMT7di9GUiZb+mGukOf2uoxqf3WyTUdxNcqmPqwQMReUeHQPohuOLf14B+ZMt05RaE5ojj7
j0lCptJTpUvPs+28NDQczBbTMkvhvNaEBFbK/CIhZPWJp9zstzHA7TPvyHvCuPvmlo1ddRmtGrlm
eLhJ5pw/zZvTH1VXDyc1OnQKnLMrk7W+QL0L54YR9iZo7Xe6y+NdBwlc9j5Pdnw128dxtuk+tbH+
gtVorxGtSFmJZpC8z3MsKxLUQSdVfqTWDbfNnGyqYI6IYz2082Hks/1G9cBnWVk23+EqhLe2Yv0d
mbU79SNJHuYk14VO1v7KrHgc5UJEetM1eLk4U0O6VnkrboP32Xn1PDwECMSSzvNw7MO2FF2j9bFR
ZMZPcZiXVSokspc4uPo21IGf+mirncFLcmZm1LupX3IrF0Tw6zRP/Jmjpq4Old6Sq75ryC7Rw9JK
P43daaFqK+lC2wsxXOOSEN0h2Uxz+6lGY7eU9cyH/ap0w47pVkEZID6UwfE4St17PX+qfBX3dHaZ
udR03ELZrmbui4qMyyej3ZIdM8dRXWzW12KHZ9a+LxiFbxsj1RdvabgbY9NmEi4MpcVubrwxSYPv
mMlwIyFd+u9a4PVzZQbMJJqxaMq+2ZoaAqJpO0nZmOAiNnSuC6G39naZq6EvtiyDtHQzg92osC7t
1rpdN0/ti9Bk3K18FE+19/pmISs6qXyb+H6xYT4zJJpvdUzX63SLqpO8jToth5S390PN0+tlnsO+
wyg959aTIk4OXa8tGgordPtKpwkXk6nWz7xO2IltQ0alcwO9yojNHy3y2wN163ZNzBhKFTLfSlrx
8THRIz4h1S8Q2Mi/atbZWMxDT3spUDXtqxEtX6Lp6uMQebyIbcFfvKf+JaRIfFeUuYOfu+q0rnNS
jHmdXSpIoH09j+M1n4f8GJYku55Gvb4nPA8Pm2rCJHVj1ZUTtXZyJWvzCA+iCoxYfzW3PC8EM+RW
1JneNxbN30dbZ67kfq4/bRnf7l0Q435J4voUcrGpXe1t/yQYmc6+89NpFRxdFBZT2Wb98Bxj4suR
h7gnsHnLOlCpFs2fugr5I6Od340UyoBmvS4H8anGRh02GuyVYC37inyXFczmdD+kHXtzg7ZXnIxY
jss8nEydqkfSz/pxsdt0ZmnSF0vTLbcx2zomY0/Tt6zaaGly3tzWiWOVDD5zrHCDsOeqU83jNKT1
DR4TdwkijEIGlCa63Ohg3jqvkJVzUqFvwptJ8kHg3TqpquBmmO8yo9jBhjHdka6rn+tEk6vIlTrh
jcALy7qlx/sch+yGmSqektzRuy1mtJznTbWJXFqow9osCGKhmU2BLNxeSrahDDpTO6P4sjMpHxvp
dBzv02VccOG3Ifb3oyJ5L+0CBUIatOLToj0ph4F3sltE8+6Fzq9WYsnVQIJ9MIu1V2Ry+Zm4NT0K
kXTv6Uzqy4TX4b7CImNS6TbAotjS/nqdeALvRvGPLa+XU7vZ4SSIms+4GtiuhSb1BB2axBIyDX8m
7YgK0/vskIfR3sTUJYcKT/OxIi4cMPX+4iB9D6G2eZSr6KDK9n0GfXZt7qA2ai8bFtNY+OGQZc48
dcSR5yyG/hh4D3s6kfGg7BZbOSZM30xzT08kbuOuEYu+ZGJE+xkPuZIdmfo93zh+aqHxnNiMYybV
kDbl5Dg0ZZ23ocj6ypyqpE6KJOXdXKB6ppdhVeS9Y7VL5Woi6QoaRbvDsZ6zcmNGuAdswopkndep
HDY7y3zlTxi3KS+metZf8YTUs2Ox3XV1lvUlHaCI5O28fa95kpXjYMi9xSs+dLiuS96S5pMyg4OQ
b9A1hGzYJZzzsgFBd5s2+Xzns63ZStO7JgO1FP1+HZd61wbmd1Cc2cNs2brXZlL7hMsK17IO1XDI
O9zftb2qL1xswylp8/mcxlAf8RKPtjJbKyGRq6s8M9k5EIeKKkLrhV6mSqFyJHvbQRMGOb+8TWEx
DNTmph7bgOZnakP/vlVjftxwNRmpMzN+U0JUT950mzRwtNzsanZjV7Un0Va8aLHK5Lx6UdbZMn0e
mGpK1ViipLBrIkE3VxrKhHubetft2jYup25Yu2NdpaZYXNPvkwapPSdMfB+Tut67UfkiXULaSdsM
RE6b5tciE/MX3/K4x001gbSjw23Wk/hdZS2R1BpC5Lgm4zkRpFZFjbLwTJqZPZEMar2MabMdXGzi
oeI0hxSY55NfCJPMzF7vszmm9mwtwhfP2/yedsu3xcHOTdi6a9U14eCGaNuyr1aJRaovfsp1udKM
XHCtw2WYKNnlYUYvUM3TLy2n8x1BGxQ+PS/f1x4Ka5EHT65UwszZjmq96drEFWKqxhfFQA0XXR+a
7mL6DZHCrGg4ce39J7rS7R7Uf3JWiQ1FwxuhpE0hJyXnOt4InrnnVeixGBTLrzucZKdJb+yabAl5
zT3Gh7ln6/fKKHc0DVp+tOMwOzmOMTmu6XxkOtVFP9XmuqtqDe015/xzrXNz66Gm8MIQlWIJggYF
OXHrL4y34EV83aFyS1SjJEeVe2smLHDR6DR55otqjluozHVMAv7kh2nZjSBhCpXkard0qL5r1kwg
iRwP99AIOl3A7lL6QxPMT1a7pJYxF/wWOs52lQ9QneWwVN1561N6xxNKOzkvYMyKfEjZVzat+hzG
mXyxLNffxajRe1NVIxQD1DePw4Zjvv+DrfxPrBoYxb8YtRSnFNqloJRB6eR/MWqL2NIBjaLs0CYX
/UUNq5wgEP/rVfCPy/zZD/55GfHnZdLG2nadhdklx+xp26OdKY2SKhTzPtu3++lel7z4b9YEQ/3n
NTn4XMoQPB9H8Ih/eTQW5lyMCze7WKIiLUJhHrPy1Z3sLrlrDv/NYv9hH2ExxjDOkQB3j/kPQ/wH
w2vGMbFp15td2OF9usNl+jQUqsQP5Lwcsm/mnJTN//gBwcFnaQrr8izlJPvLA5rVxSWPpNktr+CM
juGgD8nTUpCiK/tDXv7bE/72DwbyM1L+YfJfXb96XaufEOSf//7L9f9lK3//8bV/P/4DpPz7f7f9
m32M/u0tXr/0fz3zT1+E5X6u/4PB/Omf/wBk/ohK/n8//BOPeXWjjT/wDihF+0eywvAf3vWPG/kz
iXHGdd/0y1+/8ZPCZNmvHF4745imiAtOAbf8JDEc/5qTlGYIpVjkacYAt/wkMZj8SjgTXGD4o7mg
kA8/SUxCf00JBmQiUiEyeLn8f4Ri4Cb+nAeM5ZDb+MdqKdh4AEJ/YTGhDbrpKt2WyM/pre4mrfIz
ODVtunvVW18lq0Q4WeyOoyHkj6GfZnpMq8SzG9wmS5R5Pd3ifnjftulE8um9iUud3C8MRDlU+2qa
yzhl+r0jG5ZsGZN1vzqcrw9U4DorSFUhe2pra9NWWp2m4JYx6plMQt2uO0tinD5a1dRbmRo0LM8d
n03wRQXWM32ZuHOmGFoRXcEalM1FD51eyIH1xlzGTYtEaotr/+DVVIfTsqVqk6mdKvINfM/Yv0/B
6unAiG6pnFWbL/uYTOsoczFBvlZjktuHCewaLaxt4gMCowS1IooBcITqZrZHJMmD7EzehV3tUAss
aGum9IBBzBmpwMbloNFHR2XbQnUoGz9krqBtA2a3mmslCri1zJwUtXknFZi9fleZ2lXFuAzKybbO
Rw87OYH1yuWStLoDUAKusgzRxPrcmLlpbpoo1u3ZqRbp+hWFTnwFc2cbMMKZF9IOXXLPBlZr6RbH
E5m0Nrz0FTNwZHQWmi1RaFLSJ+Avvtaqmakc0mmuvvq+0hbJJdBl3Y/BVs1numIATINnqj5FSltX
2sltfUEDeO+joSqkpRIUzFLFF7d98hlpwG1ko3BlZmOCjRTJ4ACJCRS2B1M5XB9EGtEPjoGGLxqB
TkYgSx1TO0unjuwUuCu1C9ilAyiASOLR8a3Gx65ZaRMAK8Hd35jAu+kCzrYyF5rxoS26dRvRYQSR
0O54Uqvp3NI60N1Wd7o90WVr6HnK1DDfUzos/JKuBJsSeBpR1yPd1hWCClyxRCB8T9DA8XCshTW0
JD0bkdyQXd/nyNul7OJUMXYKFajlMwRKwwBjahfkwLd5e7AsZHBSi7zfBZMJfNd3YzXuxsTw7Kpd
aLKeSAd5UQbwis5J5dd5BXs7jSi/imvMadH0dNHgmvqpPYu+0W7f8mxVu1l5v77kOar6b7j3oMTx
NAEx3fAA275NyZhfQuir6gVso3Afk2prmn0U2teg5Rz+NCbVPH5WAadTDS4u59M92xBvXteKCL4L
YU59Af1Z6MLWCPPTHLaZXRhzY16uiXCayW0dlg0cJ5vjLiNmM/ctV0adLIAddpdsS6KvqqDhnCED
MHVA2WBFWiYd0r3sx65pS85t3vegYfGalWnlR7dD2yLQqRnHzvWAQ0eehaOuqnW+iuNUtQ9tHVZS
GoNYdgZ4O8x7CuiFlqlbhuZTrdb1Etoe9q6jk3mu+zXFu6WyzVwAyxj1KeA8Gni73K+XLJuW6WXr
eEOKbTR22AkckrwUKV/eOYcEvlJNZyE8etNVXsJ79/bIxxXkpExF2+UHhSEcd4hMhO0nB/f8JW1X
3wOwBoh+RvnC0QnMXTRflqXpcTl1Q6cvNcOVOdO2hmhxtu+Hnc4pGr6NiCz1R/BLvC+mhfIwlNvc
2dlIs+DRP3Rb3wfQvpx/RE1qQNLarL7UeMEEwrZnnyozjbioe9rVp2CzsJZ4MGKTs/HztBszlORA
0SmHWtv3yZdWUWEl8jEr5jRWi0Rd3hymlg0PAkqNhdCrmlgwWrsoTUR+knU2pZdOJWb+Aam8LnEb
2gtQFhVk30/8QtLUXlVxSa1kiHQ7kxsMrIeu39jikZZT1k9XNKrFl00S5kdP6xS4RLXcBUH4KNXc
O7CpcW4qIOG0ypJyG1tSXQ9GhbxMaB/XHVhX4PBZW8fwYibKbcFStGzAaGmopE5daI852kR73CYa
8kz6FK3zoamzpm4kGcFXSF9VZIUakffTOZu1sceqYtnXuUvT+qpjSpj6CHHnh/c4AAV9ChAEsSsi
CwAyGkBHXYxPPK2KOoUxBVIPscGXRWQDsJD5nEMmyc2lH5eBPww5nYt8gvKXY4D8wP30fmFJXrSh
y2QWenRENNHH2mUDgJ0p7tBYY9k79jladhd6Dqgm3jdQC6V2EDQJ2qZyrrYM3gcxsrHxOqH4qu30
AEWUzCde21uYkTz7Vj0yvHKJV/M26+V+2MIEUCCt4UWEt3pJXsDx3zYEOlO3zoVaSTzjEIA/0ZRf
odnTTyS1RLYWAyIz7dFOSl042dCBDQTaiuHdvh4SyI4AwxeStI9zLy4chiMSxzaVHgJ8x5ZYf0as
HgsO76SvbTywtsrPpu/EAaeuvo+QonXZ2L5lEtB2dwuTC4X2uIr0AIjxew1wEWzWoqSB7NhNbfai
k7a+UktwuxySH64s2lKNHfQxtFEueR9vV6UArBh7sy7rIn1b6wendbbnht0Y4FovIGc+JyvOiqYh
57lrPyZamd0M7/oACatkxdSLcAO+Vd0CFtvNQQoNJs3nTuwR8+lbbJb2dtPze74uai/Q2hSjyc9J
px7SrRPXgA7upxQp2TpLDu24rAfv+qqIff9iXEsfVjWr56Qbu3NUrC/d0rLPa0zaC3BldkjsjyGP
dUmhsf22eh9k3o9XWzLkZYBZSLkRXBUhgrG0HrXfwoSujTFXHHc3cYOyaQfX7KeqHwogiNlOrPxF
wYxDZnZqZLp5Uayku+T11uygm5cwRHFFFMYdF7ruYXx1B1s3X1GIKTfHVY5D/wa2Bmwq7o/e8mP0
5tlv6TenhmMz0FmmwVxrtp1zKlgp2nAFI5qmaFPfnCKz+8bYu1ah01jnrzSGU0DTXhFRS1Et+3lZ
9ipVh1Sp7qVJWn+cVf29zRsMvLBjh3kJ3aFZxedJLAnEND7k85YVNXGHZWoOPK8LBZiigNnaXEIZ
eAD9/dhicmG9vwo1MA5XAb1eebgsQOPNCDU0bepkF2GkWUQ1tfsqadERBj6QwlOfbbKmXXbAFg37
XtTiI920e3QAoj8hmk6PNYnoTVhVPerVjk2xEA+YonGqlhgmWtC1LW6fxj6CSsozse9cw1eYr2F1
EWShV9UKEnXy4/gywgTkKde8fYBTzB0HYl7anqlrFT2Ryiz9HmQ3f+tzpGE+6rajXUV/M3Zb/XmK
1XrTrm0sKmyz94zy9i7aMZbZOgzuBrRoS+FhMa7k5qdYAH4Mn50SiTo6gLTsepn6tZE1zAA6KGeb
Ax/erJvfG1+J8WRBR3/rAJqOBRVtHEqeJbXZUb9OjwzmLFD5p5ivJ0jDKZbTaDJ9YJO2zZlk48K+
OqNzGMhFnDVQJaj7otckG9+4QTo/DM5YGMcOa23rvhDOJ1kRsKi5zDmu77WBIYB0A8g3mbYtX6Re
Fx1KNI/ofkSjv7a5R8+r9hE6QU/PaB3sKtvB8xEeIm6AL/NQpXLrsQZ1ZcARASDvfPgBfONUeD/C
NtDaDAYUUhrFcQFdk0o+VvibS7JPDcd2R9MllxhobQMuZbydk3WXZIDfNjLGYgJXUULKLk/d4tuL
mW1/bEIMUBdb6MBzn+y7+scoIINW7FoiTnPlkGRNg89QED6anKqHZfHDna1XctH1yqAQo+bkJ3Ry
I/pscYbKZQCcpZtgpKPkOXr2lZo+u01z99g5jr+qtPdn1yFoz9G7krFhPuIkeRPDkt1ueHpxW/5t
Bi4KI6V2PQN9V4XKkL1lsYuXrp+6A4zm2bVKeYB2qnQhZjM/9evKywiDyj0ojO59E2bdQxHfiqbT
ag9xCdyGqBHf9xvM2yId1a6hPnkAR4F2s5hMqcE/gXTsYDooeph+AXzOAtgelJxDDZJSIpJ20CJC
csoWgq5ByIWDHWxe0Jpem6Hp5ZDn01WaV77oPMcwckBOfRQWuQsb+wqkeGsOqe3NNc+qAfrO/H2I
YoaJ2dIctK2Wk7AdLxyJz1AZFDwY35sf7aJaxpuOsu/5IAoKs1FWsWJaDZYD1g81IW94pcDepscR
z1AttWsKkH2LrCbxJVYUJiC9NtDmR7EzA6PSdumXlDDo84nAknp3znKoM7OatsJm4Ku3KjsmOrtZ
enLjk/gM2m+VXVClX+qnpg/HKkwwKYjZdZK1L2MaPlMLsqFB+Lai6ZWAgxFPJ4v4YcYOhrd4dcdM
1ObMMCuG3kBjSWkig2nYnrfzzbK2H+00fl9RwHKb+2tQXtd+RfE61yACSAVsL2vpu3CJlnzOZuiS
6DpNs1ObCyK7diO7ifhBRg5VtCYw1Q+DnDU7+Qp9jLU+jBncR0Zh+mRFjAefVFRO1L0qvA37MWpX
VtBGCvhdQlrWGmpgk2kidcuMxDXcdLKkRK5x+UqWrPT5Cp0SfrsDI3D/pOvsKYYAM6RVmyK68WMV
u8PYikkSBD8zsEs+naISo/RQYk/9bO7jtpS+jQbo/Yp32Ff7vkmhaCTNjZisg54hlsJPjdgFm9RF
363PTTNeoejT3SASCKUEXN6cNlJ789HH4R6AOzo4VyO5wsh9x9DwKggOcubkfquXAi/oI23E3WSa
c6rCLWDVQtlmKWer6/vek37fzDYe0xbqT5MCG2dh4EBYTHs3UEuLEHxbZE06ztJ0Y35lmpDBlbT+
AfvXK6ezThpmN4lGBSMPo6/g5w9wSKGtGBN0s7H8lq7hRBYLd8M9LdjaQ4NG/CIc21O00oNZdXfy
CYR5ChatMt1abjh/ZoNwhSXJKHkmHlw+X/3A5WvbYQme4tiQ+pnRdYeSFNj81n4FbHAd2PrJTOFp
bYd5p7bElQ1KDYQ+P0LN64/ca7TLx8qUII3mItgtKfAMKvXHL3/kAnshB1rBb2QgTe11vwI0aE31
cXKL2fWdfcJJf9XVRNxT7GA2PMIlB5Oue0cNzGJr4a4QSvoT6LjhMOCZQsPJx2dQq6SWg286EILc
n3yY+lDggbIOmMNC9myb2h4wThe6ohF9BdP92VffhrWfTqqNuN6zfp00mNG+eolju4w7XvcbOyLC
oCsy205oJ9SwLMDDsd4LXU0Pyf9h50ya5caxLP1XynqPMBIAQXDLwcc3D3qSNrCniRM4kyDAX9/H
X0RWaqgKZXVbL9qqNhlpIVO4O4nh3nO+cytFz3ybfJQwBDgZ1KqnUmITqYtnjZe2dx48gpxxd3uB
P3YLMVMEpck1Nc4OvuxyrudD2JnpEIi5+aZ9EpxmKBnH2RvQcwkf7iFdsP9oubkWXJEoJf4SGrV4
QXMKfwOvmWxrsY88aXi8aOXhmPFUE5yiLarYuW7q6ZpTsrxvfDF2+6qGSx3TENrGMYK1sS+jMjpD
vFmja+3r/NjqtcaOggc2HttGzYmAsXLrwbS/3aiK7opCuPKhr+xkj3re2NVW8kLjAbfjyTYj3Q+5
9W4qHxXNnqxl3sas5dpPayhdUAqcHws0dGeUEDYby9l+K1TYZmir/EO9dT7EQ7bRVAYzwXEQ0piQ
6j4gm7sq/eZpYHQ79zTI3+kG9qbiVXmbj9706I/5fbeZs4M9T8dpPHYU5aoTI9+1pXoqqm2H941O
WrBXV610NxBRxtzmJrbwXJumulf5cLPMrEzYMt3xBSiHDeTRVvSG22ZXdyzrQg827xR80VV/8tEb
mJF8bGwAV8eOJyBaXlaJ7mVsqtseBlsGJ8slPhSzVDRTm9ChWdDuAWSZqcC9J8QuZ/Ct0YmmNIQT
jOL0eiklanxRfRhNeVWjiATRNnUx3slBuO5a1NGJhEFGRithWxm3GzUUxUZF3T0PihninqlTP/c8
3JJRnslOrbBn0TdUfFvjeQzZqaZ+eRuhM7gNWlqBWOl7UGauBY82cnw7Lvweul03w+Fd9NVaQJVr
Gs+7IR6vElqbaxOhTyNQi/FYACvUBdkL3V0tvDjIzTyyusryvL8fqWrhe5M6tlwfoLrVyVySM1XT
M+tnnvhbXWcKHGImyIxDkPPy2AvWoHhWx1X0PLaC3EXz9jKtQxQbq54qhvuX0/k9GcltVc8zmDwr
k4n3Km49uq9K+Nulnm+WNsTNpoCpWXsLafZTZ7CeQ3UTFs19ZeHJ0GCfO/egVx7ETdubuAHwEC81
OfoL/UQIPUMqzuNNkFc/kh/9EmxaVVZdOhL0wl19pxxABeGu59w7boV8savLllw/T5oeIJimI52O
gJX27bbmMfXarJIj/MOuOirl0yQM12vHi280n07NZq91NdxPQXCPY+c+JPlzHg7fAriqHTSAnKEA
qRt3O9C63VcbOhMXjt8MjOMkYuYd3m0ajRJXu8yoAqkI9fjFyep+cKqHjUyOXC+x2oo7M3df+s5k
xDJsv2kXgNiaug7SLN5twBhs/CY1lhbJFOSoOMYHSgZ0kHO2WXakEPB51d2tlD/qMhjBMk1zvNXi
bm3JDZS667AxVeLz5nNNvPdaFLe1Gw7LFOGiDp5x5l9QrAlQlp3npF/lSw87U8s5T2hjPIitobj1
0d6hG3FdrBRh8aRqup+Vd8wN4Uld4ILt/bB/N82Q2/1uGmNgcQkf+mc8wVtZmdOyLcks7aHqvHNk
UFENyp4qoXeS9+daDhnn0E42XwKWGeoisc5rYuz8l8aLgjhv+3wXgQyLu7E4Ql2M16B7ncp1j6Ly
OZdsv1XdJ+3GG0hiV7lePpduDrAo9VNdjdm48Wy0/W01sttBlwUuPptCIExrUl2hPv1YiepeVyrR
G9SXZn4N14DEcGSx8Sj4nJlOe7ZuAEfRR2kz3M5F8RL25VNXj2Vs2yE/FN34tTM5JG40gihn/LRv
AB62uklAyn6yk/o018FuyIsnNkWv+KHVWeT2ppywMC+VkqeuCrVcQTlPbAPwiGnY/LQgRRbQ/qml
0d7YtnvlIFNPSwPIZbrULHT1sTWr9t7Wk0qjssffDmyRmW25CxXkD0q7u3J1u5aQKPFKvaOqf6pB
LLxRbbQbtl0Yii9hL8h+mRqe9GPQ7TjJH6D+fG6JvF6JT9C3hZeCczuXyr8e5VDEq+nvA6hFiRuW
w+yveKjBApLIYnV0+dO8mvfYqsWh7KO9HOiTLPVx2XQXj5asu38NldNVw64X1f/rqJzrfRT9DJDW
/zNUDrLKJzM4yCrhRXQBvwVnBOBcVZTApk2jEuXKu1HTEu45eZKGtfsWt3EXBjoJWQne5h80HRrR
26CHrT8tjiab529x1ARDNpRr6pMQynAVlnFOsUuVh2NARBDKI2wTqB0mRktwz2t+8tn4CN8PyzSU
bifamt2VjM0xdFEPrtOg0zcgzw3CxjU09bgZwjqGIvtAul7GnR7SaJMvrhEjOMX6o6jCTx3q42Qp
6iBhvRlgNaqXfCxSLbupQe9jP4kyfO8KSd4HU7eHkTRmHt8Ozew9KN//NA7sSxHaJBIbSRn475ib
+sVZ6yU97JK0GmgX9wqltg+X4xhcmlAggNNuLPH6rGFHvWxPYUEEtML5/VyTK5BSt5Pxb+aBujRv
JnHIgagnbe5PqcClHo9Fo2NSTmUs0Gn5bX8Oo/LQkQoH/bC9h3Zx24Tjq/a8xzIYtthfuk+bcN6N
P5qDz/mjslsOLQHKvWX6WDBx/D1iWBvj9iHH14dWcsddNyTO9pDO/s9oQypXeytnpf+HNvz/jTaE
dr38S6ghX+YlW6X4b4sauvH2L8YwpNMIqz6SroYb/itbqFrodTHIBWB+8CL1QzAMQbNTc10VGclN
+9VXzP+ipmg9uTysv/5JAJpWTR8VlIh3htWdiGeQ09ufbF8PxMyP9bBVH/22th/bwuuCDOXMHJwF
sibTjjfRaJt4qrCXQeKjaYjNKiYDtahBIf4nXxex0QdSHRqmMn+AvAkRcnNa3OVhgbNAqHxcD1tX
oNAbPOWHx3+n39Bi1gbAZgGwL1Bd9CzRq3fA+zQDT9GCzc6WTk1k7+cuErtwefOD2xWV1DrP9R4Y
k2NZz6IZfFYEATCegpY3WTm2sOvraEUZOjo4fHHjgi5P8iGU+SGgTp98K4t5N3Mzf4IAO9Vp409w
aZY5miNouHR4D3IFN0wZ5KRIVK/tuJtpzuRJy764KX2Q4mkZmj0U4NA/hI5U2wNAlAu4WvR0TRvG
traGntH6X7qWwKGUpMVJK8Sy2F3eLFBRg5yjlcUfgt1gYrzIUAr4YLwoVvPM52DZ06lduMgqT7bN
uQCdLmEzBc1wLUwuy+vOQgd+DYJaB9drt1h7PdVB+2GqltXiW1MNb8RffOfifAhMooBqNIOdOxgt
KvpKWxd8UwI1BQjAbpnOUWmbe1kY0iQTxKKkGsFAJARZF2gmoEWWmE2z7PeBN7cmnVSOBABdoSEd
l8ibv3JCYXF4m+c88HLbs1ojFweyh40a8Q188lyXnxvLlz7r52iJoCC0DDRIE0XuwZ9RUHvd3Czn
hTL5GSaHswngn8Wmi1IAcDxBpLcbPVVf55HZvs21RdMvvN4bUqKQstt7DQllVlg99inx4HPEc7mU
RdqtTX/FV0ftlbkgI3tU3mN1ac0KNKOVnNh56SaoZVhDQH9Xx0MgDyJSm73iZOnCx9CokKSrLZvb
HnpGnokcSEXS5Dofb5eS5SxzEQOQEC4QePbGgDq5GmcSBeelbvq70KoNpBv1zzOu2RUd1mLrxwrx
iPGaLrlBQbMRCmxHKCxDGG8rQVnfSvBI1usHPM5q62OwUABHVh6B+/YFCoXMNy1rdiYkvoVXPzRR
1lYT+Vz0CONd9YBzoHz4BnJSp4bqi93CQsWz6Fgigwo/dOjkvSEdABKQOsIAsakLlmAFQ4asywi2
UuOpSCW9W+0j0KApR9vlqmeJ/Je8d/mqP1XBNm3HNSyK4akB+ODvZkHQzntT3hdxhaJNvdOC2uba
L6Zyjg3+KxaGWbFAk7UIAqEMMm3zISSXEoiTIq9QhU8SAjWdhHsJxsArEw8UdQiluhpFEuqieIdY
CJPxQIohvxct3b6sw6K2tKEK+M1Myu19XQk4p061kseIPS6f/GFr6qRsCmiG8xry8bbPtfkG+7Oq
467AfzHro22yMbhJ9m6jTYPyKxyA7vdQM+oEXBaxXz24SMMuB10T7r3IAHr2CilCbLDCNIisVFV+
0rRy33gD2uGIDA6XWddrE8Xa2a09h17XjgkSPWCp2qDiemeiGSx32VT0neErd/uBh4HLQhqo1wIi
7/IxAKQxnXpS0THNq2DAOR6Oa5TMCFdAMCYNuUJbXraxwJphcWSQR2nN6N24TjV1WuakDdLJjd0S
u0WDs8FhjpYauIo+WMBQO5yGIik9Y/qkrmkFJxxRSIs4ScOCKzHYYUzLwtPTSbM84jgWRxyfMDfg
Usw69GH3w9Nv06XicOODYuN2p8wwLC/wMOWrgtEIXdXX9JKoJC+qDnqTRk5zNPpYHHAE+og3u87Y
MbiH4sHqxAtcXRwHNYX8Cvmw8ZZXfVslZTltCPhpPtJkJqsNjjhpZ3aeIzQQ6QrEbErnNg8G3HHd
plKNiKFLsHlnxHKYAh4/2qC+1jn+4NyMPhjoenA1/GkpLbZFP623SJDYcscmBtCrbIkez3O/QSXz
+27rYuDkdXE1QR7ZYiXF/LlxQ9fs2kHlUzJpx4LEwUgZ9o4NvNwXiEPM+DXb+hkRQhtBXPMCuadl
DWCqyHPb731Vq0+I0pFtDwYK4UGy8DHaCePB9t2qYgC1hXwoUh9L0ZXJWjYCSmFhxusB0as6G6og
MLgB1+12Dg21iZ50WMUjdyNAkx4gCjrozkP+kDazzUDN4ORg1cyn49bNDNk5fNyUCeQPXNLg7wYZ
hyo4JeHaIQo5DWDF0HFrGIJFB3Eu4WCHS27jAbzAc925i25EHHcJ8qG+O+mKBgR8Otc5NlMj3Hbj
h3yo9jxag+VypNAGpwxubPEbcvsCh/4AbkOM83zBwoBKNDEUrOz3XDPQSeD6TUHRVKkRu2GefBxN
bNzxhfQxnmR9cMNvYOoLDP7DZ4ZeEAJ/9XG+I5JML0Drdyw1oO4S0nzNUh423kMooTqyYQCSWnfT
DrK02rU5d2mNB5Gswbgtv/nNv7DcoScYDWB+Mk5DRBB//HyoeMXmAnz+PLTbzi8LcwipAy/hFfbr
dyzxX1D190np/+ijuBdGAfBxHoY/s7nbisKzL3qW+nTUN9RDQ04AzKV1XsuHv/8o//K1f3ysFDAx
FwAjBfCGt8z2d481L7G7DSRXlBkOpO0CRTEfUGAGqRqId1UtE4SvekQJ5HD49pDg48UT3m+odUDP
P38LySWkaFDyAiLCT6A8gkHNglODpfnc0E81ClOT2JrouB90ez8h/LX95hN/WcIhfquIQklBQfuh
+Gk5IYqnSuxJ/MxOFHFXma+Ab7wUEPD7YvSQmAQg+PeP+te3ypCzR/yeCeiHkl6ewXdPemxswQez
BilsmTZFSbrFTAMS8kIz/2av/PI4kfKRgcA8ARFwxvhPGQBmwLutywyO2a+G94WV1WlbODI1OcKK
nY7I4e9/GnD2H18fPgx5FMo5aHeGbP+PP21gRV8FeYuWQA5IHpChBABnoS3+Lr7xH3wQ4hu4kVHd
4fD5+RlGdsF1YxG0CkbPPIKJLW4sN2H29z/H//VjpEQQlgYABnko+GXxfPeqFgc43ua8ytomYLu2
q+i+9nmNK2GqkhHSUZKPcovxJd65NlcZSI42rnmLuQOyuHQEFgZ1qPLfrKDLa/thryI/9/3X+um1
trXCjzVBlbm2APxRA0TYlga5uZ7USbAF83Wd59WdVhH9zYL65YHgvMVrxZZhvu+ztwf23QPpS/AE
jNUakU7WXnXKRXeu9MLffMrPO4RLHOySIhqBVYvK+aff5yEaqWGy+fDuQUiMsrS3Heq8WFaqSP/+
Ff/8g7D/5GVMhhdQzLZg7KcVOzLQ7ejeK8jOPpyyDXl7QPu2D9ffrKWffxNWKvIVuDlCCrQrEN6P
Swmpw8hMw1LsfOvoeB10pnrgwnqAe8CcmD9/1n+fPM5/Oh+FcaCC373jXyI57161/vpvX77qf0te
l88/JHP++rv/GJES/IHXLiTOSKRvKF7YP6M5uH0C/PswlIy+XfF/RXOCP2Dwy9DzLodOIJmHa/Sv
aA77A7cW0jQoSfA/WMLsvzIkxb/cO//c4whtYdkLZBCpjwENIuQ/3UsiH3NUeCFLzXuTloftQDIe
61eWjMnvw2I/Ls4/PyzEfkNJE1w+7rJLvtvW/zc1Df8lcYS4HWpGgcgRv+xu+VMBxQWCEXQFnz1b
RE2jRsHZJyHZ9dBTIIEok5Vi8/eT62Q25sBdxFCXn/LCU7clFCuQsMuQhTBjM5QzkBwCT8TBpmak
cxmiOc494p2We+7Quy8SBG6OEz4xdl1uADZGx2iq2gTQJ7wMDQgLmECbdCUw4hll2EEAzD9glExa
G/dt9BpQin3n4TtVNTlJt2zJ1COvjSYGqTot5G6dvGXPKx/tfVlUN2iRihSVGonDWZWgaCk/90FD
zpJ43j4XOjyHS8Bvhy1yyJE7c91Oobxq0EM9B4CEbkkvYe4qaTS98QY9d3HUAz+Pe+QEcjgNmEfh
j/X2FelFv0hgU8GTE1H3eQ6L7Ysobfms22ioU2uW4MmfJMIfCiw2ug2x77Yt/zZOW9kkmgqTDV2E
5DHYnwVCgz8NMBSp2O6cdPzYB1V0qmjNsrlau6+45+w3Y/N5g9bgijNGAMDrI6PIYQfn3oj+d4K8
6Q1DveOjCR58y9gzsVvz4Gi/PnWmRNyk36YM4AV80Ybq6j2SOu6+Qfx2t4rZj5Ko0FvaOysxn6Zb
ljWZ3UDOi0c2c0DIa3mgAKWmWJe5eqz8qn8alZyPUUDmHUr99jzW1lOxAJ36EVNIEOQmq3jgyLbf
gQQb0yDk6hBpVX9pQ0YOvSoQHivnucQLV/S+F1FzaGu62QwpXxGmeuCTBEQzaD/xcxS/pI0ABXl6
RPEGcfNAzCJPePfja4OW/2XTja5iTfvqWOMGOY+FsF/qCh4mAzO8Q0qjT0fRr7ioG5sstaAJ5Wj+
e6/LM4QSNlhVEPp4qaPd0i40WXv/XTT16bDwNZv6YXwIprDoMbynUR+rJZo+VXlBXnJq3VOHKPm3
AIGdOZm62St3ulr666HV2A/KjAc9RsXHqOkgNpJoadjNhGEyY0brCFCPUZdpFhKroYdsoqLM85Tw
Y2e9ee8tK5q5zjJkX4ppczNEVd7tOaquT62v8pfwbW6SuoxQojoHvlvIbfg4FN7aJkjEo/csC2Dp
pkULm0dNK4FmXGYzLZcxTf7bxKbobXpTi5BCSuaGXzuvDz8sNYiWjFeq2hJ5Gf9UmaA/L4a0B9Ji
OBSKFHJTKF+2KSII4hHBHAIZcdMs2o1vaehlm5BEbErIweotLm2n8gtCHtNjK7r6Oe/x/+xbwjp6
S1u3IF7unPKbk5EMP7StJ3NXKCdvu7e0tncJbo9vGe6W+xpaBg6z+/ot5Y2nXR2phAJpLiFwU9fF
nhNBH8pt6U/IinsnFnTkXY215eP3mO4roRZAANlyL3V0zXtIrgozB3JHUjUHoA77fOzvI71On2ft
B3gTyKitK10+DEK2yBW5skqrKdfJIu3YZG3ZaowH8gSk+iNbouHbSgDdDdUY3opqgLOneGQ/KMJJ
xjTUAKYuCJi3rQkSOyqVng5TPvD6OPZ0OPvlNmQtXObT4tUIElm/y2pkHe4xMSfc5wzrBoLMhDNu
6JKBQOv3g6g9ULOYq8kg94Sz4MKfFC0SmrV+4IuPUQBglk+BrHoMknKfRqMm2LIAuWcTDqBuQR8U
BTR5DC2BMdD2MumR9DyuDWD8tgZcxMVc7pZuK1KmiLkoQog+mGGFvYyTVnjVdg09kWdtvUFHZRha
5HIPhZ0/zx+btnBJ3xqz29YuOId8NtcXBSdZjcdP4YyRCcyq4MSKAUgbW7ZjH2EiCURVTOZp9ZLl
xiIrhAgpgL2oiYqTK5oeesNUphgzIfe1t9CYQpy/N7gA0TVQDOrpF3PEaBUcNYEoydXYze7pMooN
w1OG8gbZDXbtFet0YrlBcKFfFRDFwTsyAH37vMT4nEqXyBV5vQRECnRo2+YxBeQdZBsEUYw9MuTB
n5R96MOhPqkSx82yGHqwbW6u/rRVlCv0aSQF+ThDDsuYEmuGT5fnxc5lVmu+4NTt7pkNwhj5qgkM
d9s9t3Xp3o09WJ+oYBuqYoxhSk07jk99XiJSM+USASPtphjjcfiNZ3ykGYDl+QlipUtCJiaTi2cj
t64CUAOQ5tAg1nxuTRiBGjYbuykZckOHPhqKPHmzc4QZRHhF+m2+HkMIZpY6iFrKoyuaZOxRhGJN
fYfDNwBxNyLiU8z5fBragB1D3BKQIavWwq1ZAZExTFGiHuBY2XnewYSYKzZqXDCmctUTyJLqrop0
+Zm6hWT4d+RsG9Xeb6Zon0NXhocozMsTDsPPpOmad2IGUxa10PIr0+VIaFqMQJskmRJXIyWp0Rph
/6LcgJaTJ8gwAhAdanDUdc0IGKEIgFonAMDlU5dgAJkAtzM3O4ek1c6XDYkRKuwSYHnkwvy4D906
FKnz0Yhw2vLPGNFVfEWoY7rbVu+S1ar8F7KO9soigXSGYYPDtpB+8QqgsCHAiDFUIaa8dTmoALz+
RCL8V+N+1hi2Vm/VOwcUZN/7ht0j5ouJXLRecbNsYmL3DVjRDx0r6b5kpjwQt+B7I+8rTq0Klx1I
1ejquxL97s+69nuli1466X+WuxKDGLjEODfEZCh0ij+Lxu8qUNWPanX5eJmQ0Jp4fKqz6fmYH3hW
ZiTZ9tE9YqJjvBy9lMZlOh0O5e6vGQY/jDD44Tv8WAX/9R0EiHwPoM5FmfmxCi5Wp5FHGnACR1XS
yHyPLCgwEvxjQTDpAeNc4nr+HBE/y/soqSO3g++R5lOxU2V130gF2vK55/cT12mXg1xVV6zvdwPd
0iF47mr/NzLAm9T5y0P77gv/pJZNK3gWmeML8/1KMvs4PQe3zQ3Pur0+By7JYvLaHecbYC0C83cS
svv7l+b/7oH91DZEnaoQMsfnB4DjgAclXtbuiltxBAD+Tr+CiNsvv1GYfpFk3hbKd7/58p2+Wyhy
RAK245do/jU4a1QrabErkyWtHsabbkfS38m99Ge9+e0DLwMapAcFSPzcrshq6OsNqgAGhZDbGZM0
dmbnMmQEd7f1YUryLLoB8njCCK9DwndNFXuH380P+UXGe5OcQyxLNJ9ciJ9kKAwtMyXcG5Z24Vl0
S9b3eRYUX4bJHf/+jb7pZr+sqO+24U+9mY9nO3KFNzqn9et7YL97mk37KO5u1tc2zTOc2FdryhKk
pt7NZULjOkVO809J9n/Ei//153BXin3ynw93vf46/yBa/PPv/EO38P/wwhC+AIa6YD6Id5Gs/1Iu
Qv5HxDB4EeN6GAZJwZf596Ei+BO0w7BMENDnjAofi+gv5cL/Q3gYgxPhr1JYGnBV/ivKBQ8vUtY/
FxHUBF8iXouBA3Bo5MUe+nGLoqQwa4g5CSmSDtxL2RyC/jNVjSSenMJFJ0LL8XXoBhxao6PiLvIL
71vRYRICkiEIhBsl+37egWSZz7iP8jvblfalCebqCxLT6pUauz05FFcNnFGMX/N4v+5G6aKbBaSg
QwMVNohYzYNLhAmrE7zy+REjiNq9h8zDYfBNmXYebla6jeh5yTCxnQuU+tyDmf0qMfAWJdIy3jaW
zeetmL0TaYW97fu1RvwRiVQvz8OXaQnDXVnK9nYeRPlJYBACfEc7v/dZXd6KrgsTA10HGD1mm3JM
ZV0dsGHOrksh3a3qAgxz4FEJPp2DQS6bEexutZlkXrU+mjyoDlBApq8rz/MsR5/4DLgFMJIei482
WDA7okDtjFaMXy9tIx6qCoEPhmrsQ6NW8errDiBO1wNX2KBJHm1ExLvalWxD6110V7Pf83NFS/1Y
YRIb5pD2ogfhPuT7GtNLjuWMSZ6kxnzTnAeujPvVa78iRjwhd4FETYapNsika2TMHnxvDK+LMtyi
eKHE3pVLY5AjRh157fLcv1vCFjHFHBpciofFTpGpm7Nb5fJFLgh9wovW6oz0abPXkGKRJrPIukWO
3rByGW4ExQBBsvTDh9Zs9D7EJILnUs0SU/w8jFRpMKiy9139AZNo8vtG6+ZLvRp92qJC7UEFy29c
1wbV2hZZZLHrClhn25YvIblM5qJIQl7BdUVKWtXe0S4RO5b+xh8NwfpN8tlrz6WIoiOXZgFUZcwj
HgQBcTl764FK33/Y5gBoFoaRBJ8xZTh6BDZdgp2ZaN8lLFoMLkU9DU/euq27oQoxDXeoAc5TxDAx
aVe+a/NlrVPKmu0RQ26re8wRcXdwc8B01G0oNUqOAON7I48iozQSMDZrTxYQaBKTNgYxBi/IKWAo
m+vbM+SZ5jCQCDAsZtLhW8l2eMHbh6GNJHC/xDnaRDRZnN4PwHBisdJtgLxV1ieS1/nD0MoAQ3hI
CBfQ+ZhxwTG4ozk1xervLOK8z9GEaWWya1ssGrjvSCp1lzmPQXDLJxS0pq302TUhA98RBuwgA47C
n3vUpmwtioPfFvNNQ2f5RSJls6tzLzxvLmfI9/E8PK8KS5DnFWMxvBUg76EHaAW/OF+8sehPW63H
3WqIueodgmmEav+ssKz9U+cjUrVpvvGdtF6Fi4n3wd1KJMtEVPhf/FaGGMzZYX+j9cNmoRdAAZ1h
hQpvxgSM5oTZkxMeE3Ko7wuwxwX6zhYpATqYD1wj6Axzvp0UXHR/bhGH0naIoYUgUrPJGeMgmg7f
Nwea8AXzM9DUY3bl8uKMHuwOpwFyS9qW9mOD8Ay4/lnzd63HpitvUoWMNX7x0QXl+hoK0nzlXdA/
4XVj4MSwloDEJnXlELiE410O/n0BrN7Heu7bT4oM6zkHTX0lgpDtfJKLD+0YtHPMjN87REEAIMQ0
AFiRmM2qTBl0UKXWwVU0N/Mewf7miGRVBdWUtWk/zKBUyqVe4R85MN1ifW+oXzxaDKtJETjrri3K
kLPhVfDRViFLOsfNR8GXZsKsSSvo+8q1PXrEgWNUUe2CHBMm29X/SEskatYEoGBPnpD4HEwc2sGP
Qxmu9jAGS1ndACLcNFq1RhdpyEK9ZZDYywH1NdUvmOyIYQJLXYBv1iCP7jGcpz1PvR3QeUMHezBS
+HcDghsATlQVPbetRV5osKUvYwIYzuJc6YrnafVLH3kiPWZRGVTX6zB1EfYB9DLwXLK6UyMnX9m4
QaEsDbCLtKgHbJ8eCucdwu2YnjNCiAEBQzFHpVcLYCAIYFUp78OybDr8LIVbp5oGhSA0RmrBlJPO
+9/sndly3EiapZ8IMiyO7bIDiI1kBFeJlG5gpCgCcMfm2IF3mqeYF5svVMqqypyqassxm57p6bG6
KassJalY4L+f/5zvXIIxznTjdgrKdyv69DbxW2ICOEaOQdMWtxZxhvVy2+uuBSTl2B1adNPBcSBL
T/6W6L+3TVZ8H2JVkCfkLG/SzMbi5mJLuzIk3iYiX/M+t33nCEU1OCpPYhM1ZFfvBrRJ/mBKQp0w
uo79ZPSusI4Y8VzW0409CiiyLZCMOevVbdhdboguF9euT3hmWI1j7Hh4+ldpSoogq/LuAFhU7XXe
6ENtFY31UBWsUtCplxoqc1/i6q+EHd5U01IZe1XMXQqzoJOk3AkyEq8yYabhTjWHeuM2aXeDaatp
tkEIpWcDk7i4ZfeRfa0msNmbpgtsBNm1Kx4Dpy7uekYAvl8TDPloqhzNLUxl1rPr2NmE40/71V7D
mkI00Eu1r30VvPlJp954CaswLvJ84Bm74MIBtC4xZelljXHr8bFNiq4+J2GA0XAMOxjpWTHI+zaf
eXIPyjS3fB/X6uDChTxUZUhErUl4P5FexudpdQrwJlK7F/5sU477pDctFUPZ4NgxCMJvzLRgzMCr
FGHknI7e6lnD1jJH8TAOkIM2Xtr5N2SpWwsmjV6eWeZaZaQAA2FabUPQ73w00iGGEzKcVTHVdxIM
rcfPb3AyskfhVoBZ6kKDbXoOkmVI7iqvwram5h6slTYm5DRwLsNN7xXhC4wc9QbVsz5bWbZ+XLwX
POp7CARimfYdeKCHVTTaiHwDxy48/jm7TlcFPeHnePunxv3/S6mA/3QL+WsoZ/L+54P8/ZBX7//9
v9V/zwb825/7bZh3PznM8eS53IuX6O+2kL5LVYPrMub//F9/LSDFJ9+2HDv04LuzgKSn4a9jvOBa
4GCL8n2HHxOQF/0zY7wd/P7WeVkK8u9gB2ryH5u9/x/GeHwiTIOjscZSZOrGssfgEoW/W8sOZyhj
Cx8WBXvPllfVnH0fmXJA7XD0ecWMXKkn8FBJgXFuaZ9na3qDNqd2XmoXsAT68HksSozNstSbVfvF
RiglN74QN/5gvOPkA7vMV0KKYYzNlAwn3j65QRtj3zfVuBXngiBi3sRr7b+35bJsy3F9lz1uyIpJ
klxp9tVpxEmAaGOMGJ9IarebzPbHzRDUny3gJkhduBMLgG/Qu6qTExorT9NuvErhM20Lx/zaelkf
lSFx9oCtYJQL/dGIEHluTlXE8cJSJCieDO3a8RjAmQGw91mrgdRAUBCe7DCYJ1P2rU+T6mivzU0u
BrFNJdTaaQjHSDMysuG1dubk2rspKMudS8jzUHktzSG+l53HYOl2l7vW0Wksa9MF44uVXgjI+Pn2
6ewHG4mEuHETNR1601bvqbDUDiJt/yWti+ml7NSP0lPQTQ3nh2lOTAGN+2KMZbXPF2DEpfBZHZj2
XejjKTctApQuy8PdWNmg/8HGsMJTu76uakokmh6iPXcaCbz5Fgl0iBIeR5B4Mti7fn3jruWpJUoe
4K0VtfDjGZma6+jNJAa1a9zq+6iygsiAC/7U6m6mhCwCQvcmXNNtlYJXWvLM2cB9OBagwSJQa998
AEPA53s/Rhe572u2ayCOb1aIz8LJvyTYaiOr1Veku1/6n2u6mQQyp6dTbQyoFZ5spy23VXHCiv1N
VParhTcW+nmN2to9yXJ4CpuU/Nfgvk0Gc31ngTG+pBlyaA1Yzq4LHO2xBCsoxoDZa2WvBh3i+xSW
1yD8mZa03LWZytgPA/oY3IkphbM+NufykCjr7Ax+tpsKiREbQ2YbwMvMXHc7JOJ6DNtdMwNA8LLs
B7d6bjkjKrtanzq2tIASrxPbuF96fa5m8d0ZGKa8ab4aey+MDC3AdXgzPlyjIDvhXS+jfYEANHvE
YyAeYUoUIAzZUK4vol6/JcQjLv0YT6VbuafGSm+YpQ5gDRXkBdZrHd8M4mkX9INzrTPjUJT23sQV
K9LwIRzNZoNZ7dqtsbP6yRXIyYc5Wyzcqxzt4Ri+pFJ8TwntbR1dCUIt/UEOvFElZkFLQdrA9FZT
aVA+Tyz9j4ke71PR3IGuJ/OhQ/NyKfmKU/g6y+1Ta2oAYvBAo4RqCD6RWIAqcgZ1hzgMHDGa/abe
JdX4EBrNc+4HT0vufi1CXlt+KQcYlUQkhsnf1YE4Z1Zh7hdYPVtZTR/IByOfnYWzWiv3GHhFdep1
asQUBagtXRVhjOrf3ZuZHA6NbSxxsXY3CSSaKIPB8OLXabLRvUYYFk23BcB4++dPw//UJN1/58y8
OKz++Zn5+Fr1r9X7j/Z/PjQvf/C3Q9P+hGcH4SkUP8m5f39qik84ubjuWKYQIZ5OvGO/js7gE5VD
wkaZCAVnKIvBvx6dFyeQx7+OS4Lv4szEHfsbUfjX8uJfFRwBMfyDAkZsGRMk3qLLGiHAKfR7BWyQ
hrNmolx5bPnFMTUrhOpZeSkqTDGcag7VjdOYwXCwWHHfT61S1yshLqwFeiifApEBIa/zknwayse2
GD2gj6zmF5ajPiUqu8L2eY63tndBUuZ7syn5AV7imqSvCVrgROFIjyahLZZ9OihOVkVChtT8KK+W
ylVROPTldEjJiL92pZT5gRuG+mwvJbFzWDOAXpiNv0vDHN4BngSnBVb5ddBBftAZvBzulD2QTqCY
eN3B1ZdfymGstuTbQPNnC4HsgiYTNK9wJEYi6iHAAiGG4FSbmfcQDGPxefWX6sPG6k4OYgmc18yX
3RUJqSCeMwPS5VjjNKEKoeVycAEdeHp9bPUEgYWX6yZzq2VPygB2EMRCzS8U+N4PNtLejyJwNHeR
RDtUa8h6njZrPuCiSSab69I0iW/gmATRiXG4Ww3Dumq8xP9RCgsmSLJWBZyEhqiUO7Exx1OvdWw6
K4+rtAchsWiLecFPevmV2IYi6Owr87bOgvHRl0O/mzvPep/aof/eD259qia3PFoF/yCUHgQXrJmw
XEaz/hzMhM0IqtenZWiMMGbbXyLqk5C67XiQ7fpxNl81W/RuI0Tewcqf8YiA2guAI87BZ5jG/QvO
aI3xxdLfLNEH9wFvZReZyaW0yWh8gtJFoEgHZOaIA8Moz2GZVa/CtQWVVPM4f/Mqw7snwuJyYtKK
hP8H0EUNTgfGcHXANaFPVl4uMBmhGoYBDpFlMof7wpHDFcb39BT2aXG3FlyXN55V+e91AU/Oxamz
cfirHge6WDB9JLt8LoYD2i6w09paD3XbBYC4M3VNCsiAapA3XEnq9bSaqfvikXw4qKFlOzmp5NaR
s+YXkv2HWYVq78jGIHreYW1J0L1SExOAP9b62dU0YyBJqVHEC6mZw7I0ABoB5fYH0TpGXIEHBq9V
OiQMO5a0AJacxthIi1qpGPQRzSGg/HDbd15t34tGDmKDf2h653qffUthyl3JclVvRhgkGQpTB/Rl
vWgxzQx1kUuttE+QQ/X3CdQo1/yZsAtb1cHKttzmE5TNRgEvYL8NVLHw14JluYf9BlwVJLTN2HrG
S5C54sbE0zJF1RB63zRPrIt3pV7kEVJIeOfUuvlmucl0Svo8ubeXenwhFcIMg2udSS8xQVtvfKhq
fHn4jm9G2tv2TKXieTTVCGsXI8HL4NQZGUW0EIhboa2A+w+Jvia2igCLBc9nY1hXxQrUpVzPc5Ey
Taymkd01dZk+5QyKCsqGLILYL6X5kTu1ggOojfWHg9p5o925smBaiRa9tiueeiTBL40Pjm7rlhV8
KtORn1dvSD7XbouGwKDtYoJq1JfKz2Z9VahifO5IYtWxnVbuazX21bP0xvIrait0oJzsK+tGLwMT
mxrltHVKyzGOBQ6C9sodXU0xUUOk60zqLx9jLgoS/YqeDiTUNMn4cpv0PvWUG6SRCib7EbxfNzES
+i79FcMKcoailDbY9Ghj1xZ0cWCSvrmjwGMJIncQpRkpEGkfpXRDA6SNDJ7xTC87EbQaoCIyjgtk
vLU0MaeqQy8cTP57ULs1vAU+98j4Q2Y8ZYEwPlObJDEL4uG/duqKHLd0k2cta7wMnciGNpJL0L+l
1breEWO4oKumHH8TwC/8O4U/eDucVjZUrDL0OTQqHiaerKv7nLSGFyOpZLfzXOQf+VR/CEYgsMaQ
UhOjMAm7ltlWlOjWm2CcjbfMmCYZT0z4hz5f8hecLP5/ncv+v3Qd/1v7R7Pxr6s+f+rX1OKFn/C7
Cu7Vv3mO/7a3sz85RKkC8iC/qQC/hhb/E4PMZTfnXpwR2MeZZ36t7Wh4RDrAjW9jpCU1w57tTwwt
tv97CwZNAMB0HPoiXc9nv8B38PdDy2i7FlhkgEaWgDq8FWvmiyPbp5rRApJxZ5yxyoG+PpaVOR8X
XCCgq8XUbJXv1Bxmtb/CEBnpdVlEM/PkL2r3a9OE5amauRHVTrYcJlofH1hrZJH2uDE7FANt0Mzm
gzWBYy10AnuscZz3Rtnlh2HgikroXgPU1sG2DWZussuSR5JimAsovE226bpKLo2+Z773WEhjVbn6
fe2q4pyPiTiuLOlqBHYr/8xjTr9WGq5Z4ofpidQMWEyRDG+dkU9c5yX0n8xf9mqxWZ0semJzp/yq
OAyOzg42rI99YnPHUn1ZP1mAq2+zLExvcljc0Sr8BLz5on5UTBO38+ihuy9FlZznNM1jnxKsA8ud
9GYEWw0uQJq7UGm8aapOdclh2WO6FX11rmvXj3GMPrRleN+6/dgdJztNAEHlRvXz77GzPfgAPO1H
hbLBY+F2mStyt3M+HVWnQ3xOdfmeOrN/MOhHvF/tAFzfxVfwurqL894XZKDBdyNtS1zaV6Ae5evC
tcalpUjrG2YxrrZTuKIREA/9qtcs+YJHW5Mu1i2lURuaOnE52JOXyjgdi14eLg85Z5NQjgjE3a+9
/ZAbrO/ojHrRs5VO0AINbtqLlgVFAm6IR9aopM8Wreggs62sA8o0sbZ9XuCxVrVP2lLBSKyz8YjJ
y9nVFltXuFK2PI4mTq04s4YGsQKj7HPOVfu6twf0gVLVXBwtaghgr9rzD0sWhsGSdSr7HXxy19my
9CXI2mSaoiG7be8M8o0dEKlWu/tS8pG8kBj1Ofw51S1ZuMkADX7L6rk8Ml6wh00W70qnIok139kz
0XrICWttxkBXxDMwTtK4yiy3JkfWPsROuzO1jQjG6mDcBv2U3a9F5d5Yazme5IRTHLSM2BY84k/h
HLo/5tZQy6by5XIAdOTcJSzL9sppncMgjBmWKjWPKSnqfetC2l69tAJWXI6RQPHe57MJssJZFr3z
8+bCpcpW8nqMmmSSWjDZVkjilfeD+HHmUScm+VYp2+nv8TzniDJW/rAI4V+N7NR2gS/kq2svo8tK
SE7nsJ68yMiCBh3cK/OvvRbNI/jPAUia3el9qbyBY6kZD1xD1pvOLLuHgIHuaDt+sg/mQe6U7bKf
GRDXd0uYNd+9Sfk7g+aPfRFWcLTNXGARzoRJk4ar+i8SMD8VqvOwZ7wfaNQAQu1YS7rr8rW+CpdK
w01uwaDzYVLHkXf/Rksj37YGDmiS706IQa9rqLgw+DiPtTINWsF4/ZlE+WnSTtFpVHWVNqzpkDKc
B6LB1l2tgaG7fQtizMku+GmzevMH1T4WdDbFdeH39w55kse8dKdXXkNxleicR9oyENB0jcTbdfNY
3sK3Hp4JWrt4Rzt5ry4bBHdt0DHrMbSeqoZjvJhmuFt2wxtaZcabkZFQhlg/o1qWaWAdOr30xw4A
5Ysjfe5dzPp2vl8Xo1bbfPKNef/n1Yf/pFo8LpR/rischrz4R64a/tBvmoL4RBCAVIqNs4ZA4aWP
5zdXjffJwxjzK9VjCo8z/dfx7Hz6efYSVhMh6Rn0+r8ez9Yn13X5/9LjgxzgkZb7M8czAbg/aAqB
xfHv2wTIWJiTQLr8878zvhljUfB4pKlwydc1Suu2OFjS8a6zAm89TTofbW8/csvzojGzv065oGzT
9c4aT/udnOrspQo9+TIpQ5w6K8O2NgfTtXbXlI/eWhyIEhomXF5n2bE3624oW/wIOhvn6oIK3rZV
+aXhWxb7QW7e+tSpbjV4/vsiX0L0UxXUWy4g6TlZLfGlXofqrQ8ox6kGyJCmR1HwxmvQ1oygYXnH
SqvR9Jl4+dkA4/CdQp8uljyEPqMO6/OKeQNKaNWeg8BkX858HOwgxSTxwDJSbH0ZqG22XBYS7Mo5
fbHWHNlncGFcM+ep12ivFYheCiuKBqpvWOMWBGOLYGrbX02dC/iVHhwyBGdFb0TbUZ2bWzSP+tnD
mhR4tLupjyHEW69mSltz75vGSXvGGGdC6t3sNEUkqmaIcT3ovbTcowCpf8vRVx9qG2W8CvpH1a/Y
m+fvQ9s/EIstHou1No6j62Q/tOlQXcmwAWhmHK7hL3a8hMZ8mDxhRIQnxMnh2vCY+M0tBSfr2fBQ
vrmbJbFrlCKe2yHdoTKHX0yALfsZPz71p0Uy1RE+kOBtajv/ZdU9WgIMl2qHj77GU+E76YO/DtYz
dAR3W8yldz8Yk3kK3UqfhoFbGFRlMERd6CaslwdetZ5qXCP3OTidipa/shZRHXKa2n6O9bHQywH/
dnfLZXjZlw1+b9b/w7GY/frAIyrY9rYtKenhQtUWbn5r5bm5W6mhuc+0FbxQOkG8MxteStobtmAU
b2vaBCPhz+J2aYpXMEtjRCVTgaXWNGK2LRQ65hk/a0hocrEvNc0B1UqxicQdFXXLNj1AlLEKDww4
+g0aRjZyf2a7fKqJIOxMH3BhI8mcRAPhnm1ahM7tPFliG7RELcYlsM8/X4PWqtqbufPzI9P5dLXU
/M1nHTI0JYm8D4GW30yWM24gYt7k3AXxpcxvKtFfRBMAlxnDI7szyK0WMYjFaiXqQ2dCNBbOjjLE
51V4GL0uSHCWP9TIOrw/fTp0kU5MEcs+reHEGN53DH12rCYJ79rOnqsVXHBvyeaImW3dLjK5FkEv
eG0RSwygvvEEzDZCMniUTHWj7q+6TJ3pjzLfTJeD2p1dgmD0H0nzvYQGtcdjfuig6Udho59q/D8b
M3HXawv0RuSWjEZrkO9SVkVSdPeD5AKeoaFoXkYic8Pjwnp963d8aBOjq/ZhPXqxb7hIfrhpjl2X
XHfL6GyTljV105c3JAou+H73w+r8c0gd2wyb+PKtvsACwxs+aHNs8D54qpfR0rogrfmeb1ifkr0Y
7Gk3NcMjpqPrVHVf8pHJOxA8iYS3gCgG6oEL5DCTNtis0IJiyxJ5XK7Oy9xXy3VTDcDgTcrNevsq
y6uvIGiugQE+oGa8BPSZb2wfIhiZL7J2ASjFcmr2XcVDxhqtrT+UewrNToXynH2J7Y3FZ/ulAivK
PCxXYjKtzXvsAOlQIsTIQ/dNiKt+mfosDrjSbMYxO6W62vp9dge9nb+xK/dzZZ+aovkxmcXVMspD
XtVN1E7TzTQFRzJlR8/N1TlhcYh9gFep7AWUYFubWNkcIhM2vgLfTlB/KjKOGIAKur7xk00F+KKi
mpLItk0ElaASpyD1+qfRT4GmWupQolpspUviAGg/TzPrztBgYGaPcoHVMd9auwDZCB4rrknbRxO9
bREJjnqjS/qIEoMFGCP2uyD6UtbutyLtLkBFlwczEZpdT2FupLu8PdhkWzcVZ9vB6ioXI8MKGYxj
5mgpWsSFB8AIdPJTJizMxA0xj2X0YNUE3d3sWnO0jGGyZcFW09Qa+HAn2enWQbvpK9oTukG+wiL4
ZnaDtQvLyWGCpDfc77KzCv1XkmO7PClvi8SHqlXN8K58JKWscPqoCMTVQAlaNJZQa0wOtJhIhSIS
mn72eQhG9ujv3Gy8oxjhVBpg4CE7sloa/FeJ9k/JfNE+1El2p7r0DfHsjk/lsaX9yautB9NfbqTp
/zBXltPV9Nh0/a27sgCrTRw09gWXLwm6JfbJDcsvfWY+Zapxd67RYMUobtY6vNaYn2IfTV53mgRb
cXYSCM8zGY446+1rWqdu7alpsfxxRCPbPNITvRWLuu3D5KpxEPpcgJcCc23etngQKcCNvDTNmIqp
9IGrv+s1iDDHLuzLToERuez2tmuf3bC4rgBeQQmbHwP212hKQ8kHShUxbjgv8ubEj9ysNcgqUdTS
JetAfqWlEAIuqTnZWdwMCWwwM/scoN3uPCM5OtMS3A1ufwJ0BZDeKzD3VgIWZ1lus6wBScxnb5Nk
F+E6CUi5EqHgi8RC9oIUR36Y6SOZnPtqstkwooTzOAzqTdo+wfkKNssKc9vpcn+bGu0FvUWjZyWC
WJPawIF5YXrTVEwHvbtlrUSCk89+sfe5PfF0d8HQJT1tBlBGZMuv1y7FRxY21LUFvbOjfuDeN4si
kgpbQ8AXNu7oaL3U9lQ4SbP12M+i3k6m9ci2Zdx09tLGJKUoLmBAYkEIryXwyh8WUn9oNnqzJOud
M6OPtMJpocdza8rKXCA+1BPpOIxzGTpvP6aMRDCnpg34jHofAko6pHSv0BZIv8iUS1Di9EhvfWt9
JLZgUxrmftjWgOm4ytVe2ToAl5YHbF+keRhcxS3cHd7Spf7GG4rrInHbqDKb92DBw6SxE23s3s1A
hA1vrsfuRk6KeF02ZiCNpi/42uCh6fkNI6uzBS+hb8VMi5hoS3KjU8CpQ4/URoc+/O9LnkxU5hCV
5XqJUlpYI/uSRYrgkRFR9PyejEQLS96B01i5oKeXROLDs8qJKEcizX2LVsAmyfV3SQBVlS45HiyV
o9CK8+QaW0mxI5bhRRDRk50t1BRzryKZxQ0sCnB0ob4jtTZ64DySFUx8U+mt0Wvkhl6sV9I39FN6
ORHLDD2AgxI/Fl3d+2FePxCruajZvCVJ36R79HrrIMO6PHnElQ85jfWI7NZTl+GYq5qZjHdGL0OX
66ibQLN7HXx+buv37HI4v4IBeUrqt4x9d8yslOBGN4xthUH+yiqHIRrHlmYrU4DsXcVZu6zaxSTN
2JiLMZJGvUQF1W3MldLYuQHWX6rMeBqltPJOI8HARSf9/WLo5VvaqAohi0HXRSMgjAT3LqvIIZX1
mxJ2+lgyCGKZnt4dkqf0DtBkmXo4gMfCwSCImW2LtfIrGS/f30/UQuqdoCdhmy/ueL2mDd9sn+aG
3vMTxQ6skfsF7RiXH8zsbloeGq8+N4lXUMQ4TvD/GkQ3z3VJVyY/6AS7GzRPv5ZHC/s1/4gSyNKj
0d02H+z8tjdlQ8UR51nS4IxfDDoH6RHEb6BkempMR11ekYJkauHetw6+as8avyKDOecZmQiZ6gdH
vdzWI3aSTllvM8/pW04PHInaFwDWXOd64LMBCWBcIlPSf+no19wWGcV5YfWYNV6/Xaj73OL8BcYL
mmMfMr49rlOD16izE4xEhb0FTK4iZ9HBV9tLDL5UOCDMoLNAlMPPtoK13NOQjjdQ59SqZDy+qpC4
aJdysPJcdSIKJdMrdZnIR2bpK6f0630/hsERN/JDl+r7MC1B9c3V8CKkp46pv4gYgZjBNVuSuE3r
a7sA9qvKbLij4rvdUuKn0IbW5KZsTPnhjlkT+14NYsyvhic9qu4gAXXtaX5M7+wLC9xIHLGxKKdg
yjFeJtF4TKMJpkxDlV9AKgOwwfkdQ71H9nPI3D5iC/UjUhDQm1ldQp9Puzae4Hr+aHrYOGr8CW1e
i12IK+wauEsY17Ul3xQ8+l3rletBGsAORgxPCI3LgznLbtt4pn8WjbmH/ZzGbuYDeG6ZqOmLvVdw
zgsoCF8l4+sX0ut/iRz+F7AdOijz/1zq+LeKFh09/L6T+C/LiMsf/E3uQLm4gMUuZgmkCaIKf5M7
2DkgMISsKujFtkCj/FXuCD7hNkMIcVg8YD38GT36tY1wkU8CD2MiISPSRCBu/ozc8YeY38V8yPXV
REDBCezxm/xhGfEfRV4K7d+Hm4hOeXhIHNwEPmowhsvLFuXvZJjeLUmxN4MdN21ZJjdd1zKN6GXp
oTJMYfM9MBe2ipQLDqc5m5sYHGhwgp/oXuNhmghmdOvbCnzxekRwYQeLC3HAxme2kVpnfGmsXtwv
VaKhg4YDl/F0HvHATaXVfKST7A5keXGKNVQcmGbufRsq2ezswRkfrMUwv1mhPd9obnYPrjkGW9jv
6S5ok/mcqTm9yw0myY3OzfylpWKShk/HbD7bI546+g5KTeWIl7V3TurWN0S4nOt6VcLbjCAWkG2V
weOb3A5ANDSNbt3S5ZxuzR4/eAHTyNzVSxUwMtgjj8UgHeVHT4uIGXV508zRSFXJMWEcj3uDeRxW
QYHiy1nDytVUS09rVGEX59au+o7rI/vZKp3hlxomrXjRAH5jANE2yjHuqQRxkMtr32PUzLyWtXzh
Gsc0sbuJmXmQpx7P9kH+ZUv8c2MMbLX8Wl/WyExT6b01ZkaHc2RtvxOxoycx4Rc1CEphKY2wba9v
XZZ69Ga26lgbpvMlZR2+62iEPlNRA34VJcnajKVZvWqvGWm70JZ9yJzRWY4Gd9cnGPbTjT+a+sVT
A9e6xPaWjb9MlyRDhmmlU3XxMVeGfBqbvDs7FmEQkMHg/LHU/IDY1l1NplE9eLChfDANubo2ZLmI
3doFZwpsw3da9Mxr6h+ys1VyT856d7mf/Eo+LdK0HpZxTe56vEkUT5llw8+eEjS4pBbJm+VkNR2f
vvnRcqDi/6Hjj6lrsN6DNuTQzbvlFARJisUt7BfuK2BSjmAI2cAEcu2AhXCqPqQjJyV3UKoy5EpC
YK4CHLzaxCROV3RJ+KnwbdIDfdgel7YiMA9PML0aaf998qgovCurlrKTyfDOwZh6ejNrhfF+IV1E
60trTlT+1WShKMwlhrUR0u+WXem2zg87AzDpm5imdgMg6BPGkXFlSHH0TWdhkNnoaWp+pFPgPMue
T/mloYQGIYdugIF9EDBox/o6yJA4wmBWzC4UasLbp070W9+GyUtIzfB3x+jHk2Fh0y0z7R3AhLN6
SlRDtXhb0ciRsxYp56UheT9eup5pi/6Q9iIe9aRdzFt4fu8Yecs7f26G09pDwAn9av0MGSw8Wk7i
A+FTTneajVCxCXKaz0bZM/ClncFcBZK1exC56SkvXlXefeVWhBAKcmNF73UoD1xyrwco6+YIn0xU
eAiQiJjTXvFhLbHnrpozNcM2Zq+KdDaWBI8H1JivpNrCQt1XI1daR9MylKtRR6SNmq2RwATeyLB1
tzT2UtFiuYBK1onxxLTSqMouthaKgKrPam751wG6Se/WarYOa2O5D3g538cVt0uWIL+APwrNc2G2
4xVfdTNmR1RAkETBup49MUcmLNyrcNDrlvdziYZwcKOgp+ZsNjBS+CVPkso1LEHoAWWgHyF3FAuN
QTppch5pYKxNNlIAkCAVv3ZKzAx3fvtCh5B96yz58+wQ5gHdui1JrZC/mbqUeseMKqRIZt76PRfS
vlFkdh5HaXsmvhiRP/AwS4lCpp58DnDM0U8CdIlre746cdvB/Cxsh17KQo4WZHJUrW9u3hn92a7W
/viXpiy364KctiKTiyT016MyVYK5L7CeLpczebcOLhXDRB7xBrcdZutg4E30aPM8NKnuztOairjP
vWk3Bn5iHYyfnVlNxQYeurYOr/5RcRbpQ/9bO5v37IqJ1KiUrXrqmDtMweol1Z79kU2U/PyrFi2D
YNHT6mYWEMNLP4yiy9hJVX40Bq+Mk3UJ9ris/2WHVqvZAjc5yb7/Db1ZdIEOsaWExeaZ84WDoLzK
qsXcS3guBBWzHLgH1VcqNYJbGSTfhpEc5sQTfQOt26anfDoO2QQHp6DpEVMYkhYExYA6cizIK4vz
hWJxEDz5xBdLXqpG6NPerZlrv/+h/MpVDt9ZNnXX/7/z6v9455U90yPt9f3/W51XHt31m0SB6G8u
gPF/0HlFvrr5so7cx//DO6+sArOEo9/+1zqvGtvkwpwPN8WM197TZfzvNV6plnW4y3X6IfuHTVdG
TxXUHHj/uumqFMPRbtOTtU5PlITSq4onl/HSm6LWH0iY2CgRUOWPhuX3mDXDyjik3LNJEOf6TrK5
ucfhu9J71pDrqS9TqrdaL6s1iEf45SZrPJwIssTQWYdMzTogEJWOgodnVTjvQegV0SxldrZLLyWD
mYeXVP+TKrj5KhhzmxHh3o8GcprPaZ7STtetuDkKbTDxjixuVXhfFcHXNMDbUFizuHJ8iQYauA1N
D+D/NzDEZKzlSC4mQPM1RDLduk0TPKCFpS9Q5ZKHzOkpfhvdBrON0dr7rK+wDQWQflhgULXVU35H
Fsxfb4gL9Sb0G8rZajGZnCeqjGrPXrDw0NJpXOUZPSJRlUxdjGD0A/oBaq0z3c1m9zYKH9tlEujH
wZyIgBSh/GBYkdFkrV3EciA7MS/STymD19wa8r3tdAQUFTONKQfSN/+DuzPJbhtLt/VcXh+xUBeN
1yEBliJFFZYsdbBkyUZdHRyUs7kDuKPIib0PTGeGw5EZ8eIVjXtzrWyFbYoiCPzn33t/ux+yZ0+m
9hM35XGNOHCuPChXjIXPjmz6da3jns3a+altK6rRLNGver3qF1nAPWgheEUGD0pP1acyTfMgw6bN
tANlPub5vDOycF4VwnhFfaCAijjAmlaX/GiTDkVhTchDK9ADFafjCcKHvsnwlF80dTRWjZU821n6
6HgKdm4gAZiysFdHUMTeMJ3QcGXnXRJU7kwp6SzZg0+pu++aKrqt3bzgFeeYGGw/zMpDS4P12XON
cW0A49pliev6vPP2voi5nArDpey+5UIt88gDephqxH2qWT/XdYJ0wumxvkFjp565KNP7bCiK3VjR
y2UxxX+lgGC4RI3uABu0VP2BqVSw2PIKP2tsDhMTBLVl8G1uY45jO89ooVqMoARWhU4fPAsmsaVp
oNza1Ai80s2qbxx9ArdJL1ZDQ58Hso4n5cUFIhhIA0bBKktHzU/kULzX+PIhQnTGkUpgZMHUapEh
appca4oyVmk3zTessasvWm0aBE/bGTxVpVPIl0TJXrVMLiV18iqsqEp/zmap+xrX2VZvjOYoOWPg
HZia975s7KNDRvfiRGP5IMVA/16JwjyopndjthGknCjMPtPXx2KOcADFPJ58tgpSz6shB5gXKVx7
lT2PO3eIxo01Cnmj5j2VOlh4s71VOtm7aaRJT+DKRZVi475t5cCufBKdiNa02NQP5Nvcs+tMDr32
lDM+T6kyI9BGsYt2reZ3uZk96CHic2G1AOOLuqMYYO7QH2QaFNpcbwAQZ+G67UhE5kzN0bamafO5
VguaFUXKulbVvG3Tpd1Zd3EdTLOu71lw68eIRGQgwLrcVViOEU8w1qe7NtVnJiQQdx/RJIZj2dne
Lcjo+q0YgKisejoa4lMp5HBfprPcQEjHs9D1cfolLwrnLS8S96xVC6cM/mjKTNSn48pQnCqI0Dhe
C/AtL51gn+2UMd18ZTi3+9rNlA2GLXlySeWfaJoWGeWHxbi4KOV4thq9pl0ySzEm2O1OkCndNEVa
B8j5VuKDqlYvPeGwm5AsAyFSN6QkQhDaVjj2kJjwSX8Z7yL2jF1c0OLhSy1scVogkt7P8yBPyGHq
cxdp/ZGKSWdXurF6x01W+1D5mZG1cKLh9KiXekpD+EaG44BqFDix2iRfSxANSKcYzK4xRPO503X5
/MMa7l8wzhZq9a9YHDZHeB8NWOzAdixPM3428Pz/pHbDC8daTOTJJktsaD9Zh1IOnVAMKIgcNSpX
xZd0Ov1129h/59Da4rr+9xvX9Vv7Vr6JryxX2b3Kaf/xP//Hd/c3f+9X97er2/i0bZBIjkWq+9eF
K+hoh0y3xWJVJ4G2fD7f/WX2L4bqcLl4KnFuSjYMdrHfF67mL7rLf8BcZvLXyIH8JX8Za8zfXJ5s
XHVw7trVyIYR3VicbD8uNhO2HpCNLcRLs4Ygol8JIinPV57JC1iEmmdzEy+wkS5Xh6MUZvklurJI
oHRodwnFMYbvLrCSRJHqkXBsuxn0vHlMLNyi0EGViEcEpJPCJFSysmRLj606mU+FRp3GKlv4KClr
KQ77haPASadX6kUxKDvShSePnPXFh2ubYFbqqIOdodqNExg0FDfkussOMTZKZbjGKhxmaxYH/QsV
NeMhusJcYpFEL5noMSLZpZXrhwaCaroODQwUa8BQ8hNqSuYEgHgtCpKHotloOrAaM0tNgKyadVFr
1Eh4GuxKt+w259vCgGFzmNmbHT3Z5KfGivJzMY0OeTaInwnTe7opbRJEKxmjAMK4oaOYAnCxtWoh
lvWpEMTx2KXHgeRJlL6QMKPOWK2rEH4Su3kKS+14KWge7Q33bCBHPJJfTSPvX7VEkERvNCpufAWz
dOo7I3VFuI6YztZJWmu3WaRjc1KBPX2yZmEt1TBWVwaNOSafsc7U1VExSuOrHOrywcYN9DgIDwEG
gQ55mOiBflSthkD6KhO69UafVXzP22k+WMXhRJWLKTUbbfYei1E1vXpWyXThXzWqiX6dzlQ3ihXL
m2oxulJFoz3aV/drFndqoNHFfIppHw+4mPSLNob6uiJCcBRFkmzl0OrrCCmxWM9FWezTxWmLyG09
1Iv7tlh8uKUwmwdj8eaaph1tDTLuhzpO8/cR2OQFu5VxH6n4D7TF4dsWY+Sbi+u3Wfy/atiPB2PO
uoPTpNETbbZMkd3iF6ZniotfLC7ieQ4bqj/nbD9WzIkrdsTN0WWUO9SmU67NRJc7q62tndAFTrdK
ercWqu5DsviXs4yV1IJMtSnESXBaOBj0ySDheiYNShogG8aPNq/SjbHYo9W5jSh5xzKtReZ00y42
an3AWdEv1mptMCQu68VwHYaAUZD1cWFbA+VcpKwHGFmLS7sllfwWG9qwHZGY9+w7k/tZmxZIt5vf
xRVFSd7V9+02aL52Dv9bp9XuIEra7ePIzRwKzwx2v4t33Fxc5DiSMJRbi7e8XVzmRuRQZNToBY7C
VoNHRgKAihbM6TUtSkBcjYtI3HE3XV3s7mJoLxZre+n0ZpAtdveY0OtJXSzwIiW93rW05I1lro7o
ftkQZKgn216HXu6YBZzqkEaxwSjC7aI+wosfvE1q1+Lk4IjbVkljH6asi4Jk8ed7cZO/lotnP+xD
9ajoHUmTq6UfJ31t4YbP8bPJORIXiRqKCWaJAoiO21ZQteWYY9o3vDgYPDgP1KnZut/Edtxtu2us
AHnYvIuGIdpzsx6WUwsBhAbfCnV3ljU9ybSZzHXJGg2OPGixyDT7EMm6ycDqYpmt9NE8wYPKH2vd
6b4Ki7YSp7KaN769fPRd1fke+DMG2BBbwqjXzPWQuAFcJRMX25SxjKR0y69jvf3az9BaVyGI/bsQ
+9rIggBYLOAKsSMkqUfc5Nxp7apOcReR9bsnA8zTX7aZ86Hhd13XtaUeuKiYLzvu73UFEXatWJgN
fB0PrQkUfw43BZmwCvtP7t40jjIEVTyXdxRxq+YunsNQIATYypdIzZNHl8i95ReQVeNgbDrPWtV6
FllBVXXk2HC2xIesaIvPQ0+QH8lMiDVgYR1dQlDL4YvZtj7PxUTwTRMgCZwSb+k283Kd07K3OOvh
D63TJMlf8kEN3Zta03mDEXfQ50GKTKzArcXbNjd6d9MLBVMCSN13qVOIvjJkU28VnhmMs6UOgmKe
S7dbayCvFmDJTEdVZGu0cumCEb5PE0ey+zMBYNVKzekzvXKs+PZhzSlE1nprEqND+WJduVflgsDS
pG6suwWL5bk1CLROLGQGSwvsydZuK7v6Othl5Ced3Z+qK2WLZsxoHWphHcAAT3eAwdttfAVzLYiu
tCHapF25XX99UPuv5u/3TF0j3fZHExh02b/9Z/8mfpzA/vnXflW8HWg2/NY5/bl/d/H/avDXkLsB
BvAM+S5rfx/ANPUXV1WBYjKXMbJbyL3/jN8xfLngdiz+Z2rUfvxfCd6O5TF9OSpgAxdW1dJx8uP4
xX3ke3VSjNNvE8W1tsYLXx2IpUt/BLiBuzKyt16RYBjXvXGn0GAa/L1hCYGjpOwATRJZdO6DH36V
/+Lcwm/6h3MLuUBbUw2smyrnF+wC5k+UX+P/bYnU31+PAdRkELaJOajLz/ODwj4XGAXlBAjfGjBR
JfictT9DPYNi+BdvikwlL6BSVaV6TOM/vkgNS1AtnNIkbMcDPutQAN2wVt8irZyQ4ruB0omNg5nP
3VEkIr/W14xy1c3NTiHs9wmKY/ZJSycsRmTn4ZKolv7iLmFnF54m0b0lAQ03pr3xllg0rbhA0bBk
Oo+4+wYjSLltw5CfpuhRVQlWT9eMdYqCrfmt2STGOpMxnrB2LprHeKo5l8aDynDMz4x6h9ia+Cbp
yfdUtdOL1YTK5wg/EAEAdoQwHEQYP0JuT3Ufgk2GuqqipmEqGtl3jdo4IuXWJOZ4zJCvqDP+itGE
7PaQUJDiSd9LjSXtpJhbPGagEj3CAwxjUdi/LqQb4kmqIl+0Yuy+4T5a8EtevMFJSI05BUjFxfDC
+uih5UL8mYro1q4j4xFamXypnbI5pNimGJm63O/sqblvYPx9xiWVXaBBakGoo+XqiY3bfqjJsSCP
P47AT/fZkBd7ktAj4iBru3tWh8qZ9bEbeLWiZSuOFgM2WIT2Aq8duwLgCUb3AQCQxOJUkRX3qT3I
31igtIXPNjnapj1xwQDjnveC69sFZCjd9qT30L0nCr7SFW/XfFA7s9txUZr3kn3ii1U308GCofDW
1jhLsbLYtzl9BvuOeCLZSOnQxtsR8x+N1oYIlAzlqWvGkAWlNZI0F3XDb5zyS9RpKyr0D3CU6U2F
0ykG5Ibit6pcoyRm0NZPjWzJs/OsBpUlJWPFmpVw9+JMs7tFJSetqMFu1TE+RCrjYTPcKg0HHxbi
MLh8FaO2uKhamXyECXE2DN7UFGLHij6HQzyDwyrJ14qEBjr2NHV+KEoy6E5Ojb3pLTBavUODrceo
v7cJ7x7Iz47gfVL3RPElzyhT1u+txts1Z8wvA2uWT3HdxPe62ku5Mp1RnlKh07Di1E53o7AuphHZ
7LZzBKcTFkJq3dtui1V5kFTRrgdlavC82F6HcD5WcZCbtng26rJ+q8PCqlaDIsuAJV+4t2HynFC8
26+N4/Q3rhQGTEFZN866kFm+lU4XQgPFexrrg7Wd3DHdliReAQgm9imNRmurYNFnWa85AWAma5/U
XK2se1uqhOKeHAqsXb+acE5bkxl96pVWMG5N1Q66Etr1rLo+dWiUqS6/rWwerHXGXSDAB5F/0b2i
WbMTc46s0dxjZ7NyHNnBXkIsfcRX52bDPFo+RIntbcCsYALCaVwy7crhEk4qRtislwR9dWqVA/6v
0farmScIbEjrjqqtLBGWwEex6pVmGO6oajE2w+DQXlamox9NRTeupZFGG4vjzRJrzS7KDHZqJA3r
bBFATFZmY3E/u328MWScP2RWFj9WoWjvU2EAI4GJsZaRCzg16pxz1ozpZsqaIYhnpaL5VxCmJOcN
q8W0NTR5ikmyc2q3ISSFKcNLr6pF867jMw8xpMoe4qITp6fOy4uTmyqWPyK0HLTSaD18t1XsZ7RO
RivZFYIYd+xSRrvMe1qff3P7ZW8Z91m6VdKhC3rLQY0Yojh6Nyk9+ZzFaO4G3BUg0T3HX5mYdwnR
mYtiT2C0Gt24SWTuHQC6TSs7M0PSypE1bR2SKT7n4fElGbntdzamWscSbrMeaKB9ojtnfA1jUHdh
Ww9fZ4Fs4s62um/tWufrWqfnQq3MXdta6tbAmJGtbHPi++K0RQPTDqb0F0N0+QPF1j0HKSLwZwxL
MrCmGamjwtDTrTkmiPfJDJMdhYaUlxqS+7lLqXXcp1Kwe41Bo2lDO79CTwahzXFSPeOGsk+NLrV3
IcP4WEh9OlqqlQRJaJBsIUHqu57M390OuzSHaSXdcWChATqepuwzh8QZqq5H8AT7b3YLOjsF+SqE
tpq1jPNBJXMZtEVRF8ysc/stRBiiI8ZUmy9W5YxYSIyOVM/SsFohg0dsSC55kqp3miKG2JdtIWDB
Zc7tmKrVjVCjbhMlMFLaSO91WMRYqIw2jQ9pi7d9hbWF47wHlJNmp4bvoIh6HjmUTeegK+fiXIqi
ucsXY0xXzrD3LCJUpT9OSX2hKxlPcaiNNzpVjLti6nAQTybA2zKr7BMtPchG+BbJfGv6Y+8N8ZZS
6PB5UHto4IlJN2OdQFRm7i+8Wwik1V1dUt2t9XN73y1mpYZeisN4dTCpi5lJv/qahqvHqZnt+Dhc
nU8GroRNFfYDv+M8t5+cq1VKkpv66tXeRltMVHjN+Wkxq+BbgYRYnFsjXuQwrFdJxfYWIkuhBHzq
yoPJYzzFn09B+KpFMmD9wC6+h0tnL47pogov/G61+4jL4TFazF+1SnQOIxrZl8UaBoqpfeek+Sm8
+sa40rOjzQEEZZPz1z1cUPwTetd/zcvcDDRbmaDvtO1ZziJ7FIs9rb061aRIzE8efn8biRBTW7jY
2+J2nA/mDHhkA0rOiPdhbXi3BEDLt4rHGcVRaT3vKWXKz1HdlxuhdfKTEz/98WCq/7yyXCbTH4e4
ZeP+w6QY1bMyzXVcBMOaPuZ+3Z5fiQYRb9uVR2TYcd3sdX/NMqFam8dDsvleVPBvG0N+51J1HOxa
MDhYr4PI/N0U6YimwkjVFoHwe3/2IewdHqNTv9bWL9XGe/mzsXVZwf5WQTCpc+VFWQc7nDl+XtFW
EXvCgTpX7nKrxGxWlntu0Gf++Ne6OFh/9ypXGy8baV37ueB4cll/ZiPpzyGrPso+9YVSbyA/PhYy
OXDl+X/8cr+dxBdZhM5YqGzqAhx1OYP99kOU4NY7Y1byoHE+j9Nn4kSrXIRobbs/fp2fPqzvLwRH
0fQ4ZWGE/cm5S3xEUWPaxaiY0fJNsgNZsGbP/c6iSfX/d1oVf7o+//GKzvIOHU406k+vyGg5dHyZ
8wAeoUp/Y7B0ZcyNL/1Q26pBFoS+s+bBOwak0jZo/+HJ3Kg7OoT++K0vJ7TffqL8io1ff46fvif4
vwwso/wcsOTpKJCiWvGc+JNjovYvP0iKf2k5tbilXgWGH76NAtJEjm+loDuETJ9Pr9QOpvLFCao9
Wd2Vrq6c/R+/LySOf/HGbGo4PZOgFsLab68dt+tlpTmEyGDb7YuaThbXb31l6z2FX8Cu/MmVqiG2
/O73iOsbTC8wHk78P73cbOVx3BdRETBYR7tyE/pLT+EKaIrPaSL4s5Jj/c9e76eTt213QyRMXo/S
xGB8xImxrdb75Jj7hFHpvJkD4v9cO0ggYND/5DawfO9+vmh+fLM/3WxcIKwswehytruaVaB8o80Y
UH9tPLSkNld955w0DIybrCyMP3npf3G9OuwcliwBv23bXX4vP1xJkPtCdcq5kuamwZs6esweRv7X
vxQOFEhWLQbEB8P+6cMk1Pp/UiH9u7cCOJkbzpKN4CtINuK3b+WPC5P/Upblv7P+avwh3GNVTW/v
f/uPH5d/3/MuP+A9tF88EyOEy/OTfSKbrF/lV/MXsB9cB7aJnkonO5/hP+lbmE1cLkRNI49C8xJ3
zn/Kr0TXUNVJ0RiqTn/8X8q70P/+m6/b8k/xT9i6ylMDddhyfrrmQSQokz7DqWNO7T8LRXo3SqSo
T1YSTZ5P7Hs+5FIlT9LPacswWIVnKhw6OliIjfFUua6ws8gxaAhmJvHHMrTvEk8+gn4X/dpSsF+t
OpwY+64rsVbYTtFsR54ZnEOWXbljwWSW1wV6UfXx9YCusjAPhwVOKSLS+cv6XQ3rutnKxDW0bX3d
1U/Xtf2ywO8bC86XIicDb5YXtYtAwLo/s63ic7JIAIw2mG0XLS7ZSCcN6aNU0CeDJK9Zx4TVNLHL
CCGJXHWFq8RAYEEzd7RORGfBLw6zTufexF6BooanioPrVa6AUVVPvhar+bxmO8WJACnnhkziV69h
nxBzG8UlNbpvsdn3TVDhO7knBN/fzrVH/DOpRMMYjoRiWKPdr/CHiQlMhFW/qXbPS9VaqW1azabn
Uo5OeKTRtl0PCKWESPKR5YM5qX6aoOG5i6SDquWwkRL91+Hvgg/SD2Wa4SWnWfLGrDJrhGaM6bxa
5KIcpRulmJ3nCeRAv8+Qc3fE65xF6FYObMX0YI5HLPWGY+OmZ/PjMSI1If2gtgNSq5iha01ZHYM6
nabhs1zoW71HuHSbyRrjFml6g9PzgurqkLVTKF219U3YlVjgKsDQKSEl4fBcW6I9CaUjpAM6FIyA
JqGPAbgaa/pDUu/GTWMJ7xmE93PooT/XbC3P3VxV28wW+r4EUvY62uMQzJRw+GUcwrKAu0A3raNd
wjHKxc5WFGw7TQdXNZQNgelJGwtGPguUOVjZiRKjRgnFU1zF46txZZWOxlS8RVjZb9TSHF5Mr5QP
iTrTdVkDOVVLifOpNcghrROu7Nu+abMPOZvNplggqSzx3E/VAk5lSRAFZlMJCHWj27QrtSB7u5Kh
FV5sfeGv4qkFnzgBYLkddaISrPOqT72aN/sxKeG3IoDJTTEAdc2NKTrq+sg3aWht7aMc+S9K6Th3
eaQal8Tk4195slNfqklEh0mNmhvaKgr6NY25v3MWrqx5Rcw23LSIOS3kWUWLoeqPIbuQDl0Txibc
l5M6xfpJQRbyOSimOxlb/V2ZukSNQ1rlkQHrjj1RXwgnXKDB4ptKXuEbJzawuDnG/eU+EZ6ThZir
Jgns3EmzNxxtladeFi3JsKYj2jyTGVCkxWdaKMQ7XY+SlaIdLdByC6nXWZi95ULvdebMPQ2wcpR1
fMX71qqcUAyv2N9USLnLFxZwX2raM6UU7J5ImGueL67gYFWf4wAQTnSUpp4e2dQmyUqzp/Ldi/ro
iU8aAjGngfxTprF/20We7F/YOlXTrmlp4allmYIJ7qEZO12aYtAAvBJEBrfWNUshL3BqUX7kZsg/
4+YwM1Z5psTbUMBKzhZqst5PfbuxrIFvcJeDi6e1p8DYVtf1yjMX8LK2MJipnAbHPKAIHtU5LJ7m
jOcGfQUdDOCF4ZxnU7TPYdPw0zsqlhBu34Ezd/lTbjrDITfxzPl4WpQv1pWvKRfUZtcK1YfYPn+4
3LNXhigJ3OcgAE8joBzAArzGQ0Hq0PZ77vjGCqSnuScGP3L3uQI/x6FSCc5HVvOQNyUpv2kyCDh0
ZHNWaeYRauP0nTy7gOCf3QUpmtCUlKy1RqsekwU5SjEC9FHvSiIta3MEkNuYc77CW4EFuUnQ8Fdx
YUCYsmU0bybdHANE7F4GkabO55S5bcsWLwyDSle7b/IaCpz7nICg0FRXBWNbZBdn6KubztSbS/v3
WCFXANeUUtZ8mwAdoWLU6ZOhZzafKLL8Ga9zl64KYvrfxqQGz4Fb2jfNpoc+1GbH0Cy4aeRql10G
EB4EpwsM1qkVY+IY2GjEswx0XcQXr6olJMqyPBTglvwB9DaxwSLO7+oO3IMPkoZa61wsBYpZMpwd
GqNJJWURJAuYiazm+9BRL8DjWZDNQ1c/mtxfHnovVT5aq0kl3QGZc0/ieQYb0bn9DQAEtg/jED2y
YrF24YzHdaP1YFokPuHPad/3KmHyzNx2eRux+lfxlqz4ylK8Mxoh5BeR3+Sdbnxj6w1DQIFodwa5
pb12MtLP3IbmE87argpsW+DemwjMeZnD7ZUll/2qkFp/5faqbHVFVBvQkh5lZ6LQXkM7dW4yORbn
mAv8MY0GCqhb02OWN/stS6tw40Wut++tKX5NWCQrPhtcrOmZ2llbvmLlB8b7hD+UaLQfjNpnYXNN
rNuGcoYwNdwbyC4U7Fi00qv01x70tMwevNE2XlpNeLQ35wVMmCmLdcLlThx+I/3ZsSxPQgh92SQe
WihSzw5/bFcC/txUuY15qh764ZhZeKIiV4nv4WO1O7cw9WJVzxOGAUtLqxPYKq/1uzIBTabCWbgA
G4+fqqZtAP8PZtysDDc3T4rsGjoX6vr7SfAvzdv/1WT0745Ejjn/3sm47d6S8m//+fb7UVrn7/3D
yWj/4lrEsl2NtQ2L6EUQ/oeQrjJla3Q4s9VByOam+89RmnYak2kSydzE+4pzkb/1fZTWftFssLfI
6aBukedB3/0FkC3wp9+O0jYzNN04zAZM7gD4nZ/OXL1kW2Cxjlknquzp8nCmCnC9Th7jmAHd4ZY7
ucZxNO3xITLQs6CWeMk5Se3yFVqVO66pBlQWPAJEPaa8TrlTZBRtUmkYrz3hutzHizhL4FW9Blx2
6OZTWtSQkkxA0LRZt2I6pwkMZl+rHFUH1mKSFkxblSd+mz85kioOCe+8DzBSW9tl+5UFPbSr5wF6
5FmfhvDTOIXZa2ZCVQo6iLTOGk6ryw06S6p80wkv+zzarvNcar18VDIjfPJ0koKkNIbumIrGeJ+L
WWwMxAPUCMAcJ8vIvYe+cfmJw94hbEHK7x40bElGl1gvjmtPLZ6JsU7TGsfpZRI5bHS31nynoFRG
pSpkP6VpZq0T1IR9ljb5AUI8Tcl6ViQP8ALKL3zrk2BCT/Njz4Siinh9VEad4bOQGOusfRuaTXwo
U+hcjE1J1XI7yEyA3uD3vxpOU1+sVM3OiMM2+J1MFSLQFR5Svi7A+AReqc2Hscv0+1DlDmeUQ3vO
7Tw/c7UmT4RXC+IYnIFe5tGL7lh6zV+tiJT62iimSqP+pO/TNT5NMz4m+MGVtZ1GIZYfUOE7yXMn
26pQ1V0/gikXr6MhFDiEwr54zxqRJ4hSzkwsUNfy+8ybu1c1BxbPB51t0raT+2hgxpMKz6fNDPvd
t/UQClDVWfmhVLKKjGcaf4xTJ3dOWTlB4w72RlDZ+KlIhM0PJJ1gUOYBnH1s2G8wgtvbiYjPUdFK
uC4FIGMODPj/PcLQwyxWaTLTrMSt03e0qvs2tSllAcoQ588j7T5HYhJthqcsCUmSKvamBGKl4AFt
KYvW6B/TNC/7OrqTvRkT3Xnoo7insqdmja7aoXvX6bC8PAo0t3NYjS+xaQwK7CJ1DoxSmpsJwycc
dVyXa3hfyaovC6bGdHayCzpzczabSXkp5fKHYtl1r+2MlSDhmwtEubO+4cKbOZZxyvLQ9h5NuPcV
ha0Vglc7meI49B0Ymz4BQqnnLa62Fg0JSDmQOSEk0oLASbnWat68goKtrUys/RvicOHWmjXqYyoD
C4HdyjHwOjU7RiFxUGYjoW7V0s76nWOEy18KlU9NIpIvldGbLUdHpUq31Nrbx5409hNQdOSidtaf
c6PI73uaCQie0w+/iiO1ptYtAzfUpG7k2zEmuEYUebtWqsgmxYxauxRdUTAw0LLwlNXNEHKOLQX0
k87eY48w12Dv9VeFUWdD1lS0/mSq4Y03z0tuXh21T6Yiw1WiEN9HQrP2Su5Cd9Jd5VllQ56vPTLK
G0sWxV2lzv0rq/zpWXiad4MN1oGyI3uTUcmhJ6+DQvcay5nJQwDp8xuyEhJzhVF800OotkxEsLXF
kMJrG3rl0cxs74aVWXtDxi+5Q4O3icQQMaLYkyKtL0Vp5tuuNoAJ6I0azKZVb0kw6ycnpcQUByCT
ukzb4WUEFaL7aWNSs+Fq7ZEqD64Y5Fr9HpC3c6rqGBde3M3p53Bxma9GTwCrcGPlg+9NFEz8EBRm
hJPhW7SPHHqCd7vZ1LrPdo0f2uknk0HIJNqNU2e57bRuoHpx+mFyMlNWGZzoT2bXc1tCI5sPjjqM
DJhyfIMSYZ9kaM93Y5pTXxGK0ThbEl+VkSvmzeCo1svkleWRL6T+7M5eeprqQvsqPafF2+1mN60b
anscmDGDnUrDkdvZmq/NdrjwxRW/IOO/drW6f6qBfnPbqar0Fjl23tLA0D2EuJsP1Wg3Gw6q1iOY
xMFYVTXlV1oi9W+hwlElxfulBf2YJB30OdorVs1spc3Kg0hxKcxUmjyIVAP76hg+MdeemsZYG2nL
CKfowzbPUldvMCtwxF/1+MshNeXuwXYHh2YVHPOXsMTQUlWe9xgLM4O60fEMiwEu4TrQxZZ5e3z2
8AUFoSGLe89sw3duL+Eh9VSS9oYtwdSVxhNzMzFJdO3uHR9ZbKwxO8mtEbbxZ6jq4Us36xOQ+Fji
RWoLxubI8edaq16tgTLOihzSReHj8xViceemiOxno07ULTfWcFcBVQ7a3MoD0A0563ZIHMGYqRLS
km4eusjMH3NADI8z9uPXmX8rGCeeHGjI8JIiVjAuFIY3bZg8mGd5WnqrfiosjCEi2WemSyFIZbNN
10tWA13o3ECspVDHG6ZDiiv8AKITilaTT49p6pq7uVGii11O1e0caRy2iFttdAmXzJ48LyhlEX/L
6W/b9jjH4LNV2pZduYf4IWyeftqgH1wc2ZeYupzN4FHLGY0hIdQ4mo+KazVf6MQIt8KJYp+KuJm8
a1euG0OW9yNDzMbuDO9gUDlyagsX6xJpBWDhja3ieIHqGcUqzEJF7Q9z4nb3AHUrQK1uHVAigKld
VvBIeIKkylIPYw3FyqsMm8HERvDXIkWDgzXY2ygq2/vI4oa6shMTePYwZN2msBc8RhJC5p0KQGqc
emWBQ6pgAZFAD4/WmO1TAOGuSF81raOmUnfT7ayqhl8OPTD6gsSmZsTRNp8WRsTcek9tWtEU2MOZ
i2v8ERPg35uMkoFNk2M9UvpI2TqgSitAFxgUzLa1l7QYa0W+YFsKDNDlx6YBLImgNUzDuCeNqLMX
gFFiKjhIVnVRjhAwrHJdDYUXFIrtXLiBpXdh5Ax+I2bwrrlC0Uae8O55nG/FgJsaK6h+54omWjN7
1Ed6BaqjhFULlDhTfXXAYt80sttIWfLwpWh7o2cUCuYg9bZ62mnrRrQU8zhsZttgNrD0VMc0c6Co
8K5PRVu1G0MpkqPe5ObehqZyjkI1YhGol7cm0VeuFLC5UTYbOxKHDoxdK+IeTU3n1uhm9SsldpWf
WkyqvZZDN0Tt3M8d60s7LIpxrXDYiuBmzB4yFSxfCxRcuSCVY55dq6Yx7Q/8xfKp4BRNvVk1u9B+
08FcWXU1ZlQqjBYpYEOxX9pyrp7HjA2hn5tlVK61cbZuaAzJP+W2rXz0tUI1UQQ1g6rZqAKhrMCE
HjoYHTtK3wHK5flUfu2mDjB/vfSSEwWu60/RTIclZW22uC87U7kwkXI5Eh0Q30ySCPuZpMF924T9
l4FSm+dZhu22xwi36fM0rPjq5/3mf3F3ZkmOY9mZ3kouoFmGeXhszABHJ31+gdHdwzGQIOaJO9I6
tLH+mFXZHeEZilA9tkyyUqoyIwECF/ee859/IBga6AOZx+WBRSY96PqiJGMoEw8M6q+oMjQ5F5m8
GsWxwZIVZAK08a49Y+9rAa4On+d4qAuMc4Z6T0hRfizTChbWWJpoHshoAkvJtKspUn+NOH8CVxOy
KrTXPV5HHcazsMhfMeq/PvSjkjMAVOkpDEUl2qsfhfrlzzbs32o4/ycPeNRftqWr4x90pnnW/KQx
vf3JvxjeNJJY0kDthqdsYkXGSPOvxlT+B9pHxokYdzHn+bNn/YvhTZgcPSIjHBWRHWNH2sm/GlPh
H8x+sEJjusyoEF/Xf6cx/dKWwqNmsyX6BViEQEa6oB9HgZjn3gx558Qtm3186vFkTV2VSPHvGvbd
Pwe0f1z6YkeUT9fehIY/dL/8MhHStKYTBYulAJf80v2edXKGryaXGbvEFccE0ycZl+zRzvGEHCTZ
j5PZiwdz013+6aj3X9JhvhIAvl75Ngv9bmxbmskVnuKUuJO4ajsHGhBoEozaX//AG1nh+7n016vc
HvN3VxF5Y8Ki4SpsWNbskODk4Cvv/foiP76r20MUGfoBYYBJQPr6qtVFmHcpJppIJu+6evHKtnHT
b7++BMrOv/0SXBDhuRssLUki1/fHX3IyVEwpzzH2w+S++jB+vHqo+9EmnXzR29OpxdQtR8VlNZiz
C24Xm/kreWLF8lQo9XsytygDBNQj982CCHEsyfUVXqrSJ8oj+C1pnK7BHTFFyC/zNbiqbe5qI0cU
PN8WQjaYO6ltWXxd69qieKnqZvHM6KFZ4a2eRRLOSGjC0QKRKC/rdnMeqTryRfuh9VRDoB7pjbtI
XMaWGVfn14Z22l2kRCV/1GDIJ/ezyY3HsTy715uZSY1pq1fnU1dGEInJ9IxjVXsdC0lKVoWammfi
7uexqT9veuzWxYRtwqxc7OIzMVxqK9LDnydPMOMYAydlzLwqHgXV63qojnMyorLptCRge7+silQS
InymFbcGjLXbSiPsF0AXKRBRgEOYi/WiDgBgMHurajSISMKhA9/XC2lQ8KM3hWhusZR3lRhduK0x
lQkJHcb3QLiaZK5LHdLXCUnaUq8brDF6ubp1T6WqPEjXwlyPdUbxp83z00ltqX8WC5k6B5dg83Mq
ZBB3pZODJJVP2Ksv0OoxUBtIfk1KTcWj9hQf9HMhewg98H8Fj8JNFskqx+VChCQFFfgwp0Pyeu7O
5bquRKRm5lD7uHjXqwGgYS2eFuPGiPEoHqWycvoKQKI0KVyQhxU2tfFsnxZ57xrAQBZcqdbvxhNR
lYsPtUakZIi14ixaelhkt+P9IpHn+2GUxlVJhqA3o7xaIcItD6C785OuJPVhQUjDcsxJlLcu45Vo
VMzobtFLzfnjJCTdcoE7f3UvYSAXYHua+10+6LPVa4UZseh4/Yo0h4ZQNsfmclGCsdFGRzFiaX86
TcV7gydb2F/IiiAcRXkb0w5/Jwy5thBHxL10KTTMRwnbtNVLW+0meWicGs5htZloDshN7EWIp91Z
6ezprCZHeuyz5pdUp+q6mLVJjIRCQbRqzKnK6GeA9akIwr5R5e5QNfLFLes/A33KCQMpgiaUd1FI
JsxfzFNXI/3L6sFph9x8A0bPeLdDp8+hXk5D5wz9Wcv8UT+1kjVKswyYmJkLNAPD1HWrvBNpquGR
li+L81VunXqa5W2MU8lp3XX0hy4+v8nJK2VKR4uEhIYmUpQYA9dXTO4uC1kaoIvr54OJket6AIZk
ltqajnBWyHvUzZQka1yiZdq2Ta8ooBYYislPVU024nW+pBu1zabHEgfxHSYnhodVhhnB96+3kjmP
GNMAmthVKfcEKki8TPtEGCRSw1aubv0y+JS9IDk7Qj+hOhdNlzFTT7r5Tu9y8VtFdsg3nUjSD0Cg
eDUzfHbHUQHPKMEz8YTOsugWKwk6KxSml9b9RHqdIHU36dMt1CglDFAZBJycY+nmM7PI7kXtWjYe
1aZKeHE5hxCH2qhZ5FmY1qkZFEo3k2DBbMw21Bh1wQjZ+JCbV/2buBBwuMDJ8fKtSOqPPzfyf6s2
+/9zGKACz//Xw4D/3bynSB7+8z/Ox6T84+PbH4Tz/vG/Lx/Nf/5H+7/+2DXlkH18u7xnxz/m29/q
jn/Yx+54zi4/q9K40l9VmvEPTRH4X4nw23+J7f5VpRkikwXaYfiDxOH9k6TzV5WmYj2LbcYtIA9K
lXG79b+qNIn5gSD+aaxBbJ3yb/kgfOFsIuXTRFUXCdSjduLIvuUHf19eyPJQ61dkDd6IOfuKWF2Z
j6myT/hFreOX+COrreZtwB/aBSiFMAJFZl2t6flKE3sTq15+98h/Vs59ZeNSrcIKEg3qTxPi4VeK
I5yXqi8SnIuyxruEMrTKhV2odtfRBdrtxTa2VxiAkB1V5At3gvmb6//N7xZiksyzvQkgca4gy+jH
50HCUFZe2n7h1p/EjsBZLfwcHz572BEhZEM+CcXPy148tof0lUzy5jeF2BdeFA3T7fqU5zIiUEi7
2pdyT7tKY503M+xZfwgNyQOSH5ooTgOOXEHBGd4dkI7JgfqE+xYJZQVWTlAWLQlvGJOIel95aw8a
e5+Xc7g68o54geqb8jQ+zXjP4NQ7WdU6Myx1N23P1F6v8niXXayD4f76Rcpf63LmZTq0M/oP0TDh
m315kGoHxjAmF/x4MfIkvdS+OtcQqfF5YU/zqgLJxSfrSQQ3eElWus34Sl8PruxWfmw6CvLPkeQI
r10s442xKZ4k/TdP+s9Q6u8L6z9vEI8SIFVcNtivf3zT8D3Lprxygzc2vWK3tsy0e2Hhj3YW7SG2
4xXBuh7xx8k9+MAMv54D05btwovdiRSiy0MXB79+aH8y2n91T19aikHpoK+lZeJV1Z3m6x7BqQ7a
t5N1/uQeDAvLf/di/44v/ZX6+vVJfFlzZZV3qVZx1cHDTSwgdNinyPBy/9e/7m/83tt18OCm9mfX
wVD6dh/ftTJNO2FpQMaAJ9ylIUZ4IEzdR4w3A4kph2Gp2zRq76oBtu2hqJ8d2b1EqYuEgxSTX9/K
38jxX25Fv63e727lIiejPJc1sVLrcxj7UG/xieqsyxN6UT+25G/6wlL2v77oT1YcI1oouAKZ0wiL
v+4tVNdyNnennBVHLC3pEZvCPb0utuW+eGxCwgncYi3vcYhwm8yWNUvxCkd4q0jI837L7f7aVvIa
EHKI9OYkqiqG/mWlzZ0yU6H/eS8G+ZW2DphD2JND61KNDuwT05es1JVHu69subLayi1/s9ca4teO
8OtNfNkjGoye8YDgJlr3piepI8mWPgUu7+r3UnRB4UKQ5a7cn/YL05pn92xuz0YoUkUhfLIW4id2
dliQ4/6KG/CII4iFWoq5YnHLK8HZl0ggrIQj8WxfpdUZjVQ4qW620e7kbcMML7NKOTLQXxVc9irV
hLRa00qIJL8Eb1xlm9jvdgK2F5uGuAM8X6xiI0UI+85ht2p2553hL4jDDq8rcyl6qDELHMlcXPMU
n5QZG/T5FAwrqdq0NySC+E4rfmw3BL/2j9mFAb1dra7vUmVfm+C6xUDw82paxGHmpF4ttEDdDmCN
UlSOjkg3JO+G93QGEbTba3DLUrc4frWN5s5wNJcSDhQL77KaHPLwmArXTr0/LfUuNFRvPgeGwSDN
mSfndTwK8p2YOmew1WZNa2pPkmW+VzHVslNmz6L+oZfWwvCRoe3omJWE3NeVOmzGaV3VZAixmTua
4WCXAh5bxV4Dx6Ve5rKj1Rt62ru5sUSPgAx7CgjdSF4bQr588iHKNeOM3Etbn4eZfqQpUVW2OS3R
NpPqmXeR2fLeHPIritym2+EOjqcaxNcZy10p4K9HeIkt7tSduVIPVCvX53Pip6o7u9TLpmLrgz3c
d51LKOVsPiuP0rAqdI+9hXQWlNZq6Zzs83LEeu8+Y6AadsWnkbjpwi1Wi2MMTZCzfcBelHv39P0J
ih/GHAEhSilfa+ynNCKTW7i5BxeJx8CtBRTdQ4Byb9P61dU5RYunS++qQX6yG2J2rcx96zVLDYiX
Dqb99a5//kbb21jqW20JkRZ1YR1dHVjHn6dj+oI9X4QfEZ4cxsfVGu57H+4AES0PsuBodByCU/oy
nZFNEJS9KGw5KHyc+zIO+Tsav866L8/+1fRHW75v3ZlJiepOq/ZhYV3bQHvElRujSQJ09tKHDJ8v
Ku238we9ooYSOiiCBAA+hHBUtVCk9ngvXs2HmCVxtflPVdu37XsxvOF7OK8l6pClHGBbU1WRqYTJ
XffUj4RbuZfqKb5HAZ6KNmLUhys4iKM4Rh+QLaq4YAENT/dF4pbbXZ0EsEHS05bnDE6vVsFt1TZ2
i6DQ1p9UqHJwECLIuvnFNp+Av3DMoatjm74aHjQ2YwwGIzK+Nds+DeTYNu3MXzwo41P9TKKNdOi9
Ouw2bKGBEuBB32mWSIX03OyxCaWq9fvlmVIytuJtgfm3K8mWlLjoQHu/8E+2ue6warVP6yaoyBvz
6hUOFZldGMFki3e6j0F4NC+JhdymyGcdOHyThYV0aDqVX2yz9zHUGofebIbNcdqLyl0VwfUtCYHu
vImIX4UpN8OtdbkznnX0/tU3uVwWwiaFyTEt57MnUpAPD4n0qOYHfk8H0Yaf2LnVhgnR+yxvBAxe
R9CVLfDVg77ESgjlysVgcGLpT6mnuqO0miJ15tE7ys54ESEPuMaKmMZwcutdxqvsbWlcJsj0T8FJ
IdTNOX9KB3HTuMV9kvhTv78ZhNriw2Wf7frOnRau1EUpOnCNYuTUhqlm5Qu3Gx1yh6DFhbPXSxxb
JAXNB8PTxF3SbIvMnR4XGUnFK6GAOmKdz0F1PGueWVP1hUbqXtBvI3wO5pXKqr3aw+iQXBycN+2u
GhxDcM6J1TM0C+SHDrUnnJS93pBmSTyaJVmVbeyTbX5XeBh0mVj1MOz1S6f5pgSyq3j6Xf8+uPw7
XKZ4MpyOADsnGnrVlY2luD5HC+c0eCenxm+zCiBoisVu6Lz8EvUkZGcgAn5F5rwZmtE5aLdt5Zze
R4Z8wypGi9S5sCHy0ZHO9uCqthRkBDBPvFnFK8Npw2jsubiXE080XYj24rrZnI+al+r2lUiITb4Z
ORbuCN7x42fGlIhrDycnI7WM3LHYvuau0Czb+lBfwjwJ9BdKTsbyDswVeVq3xjp+UhjVNCPeOQ4C
BGtUQ10B/HE7ZdkKB/w0xhWEK4+EQGjH+QYnWeZs72lUfcvvjDdif/p7vcARyyXkguc5e/kjMzQg
5kU4XyxlhUxw8hO+ueoomZ5UBuoYlltTQdtPAKG1ADnDPDWnSg6NZRuSsOXPPo8qOBMrgayaA2oh
epXDoSB/wGmMN8Lb2TdX148yj8oncye/6FCxHprR+nWt9ZNKWhZwlhF0Bs6yCDvvxwIvh8VSpNhg
eI1sayzRg/iWcNt3mCZUx6tm9YfUrQOwHv03U4G/qeYYfAnEwWAYh/SGv6Bz/760NHIYn8rlz8oq
25AU5MbhvAN59Esvc+qn3/zOW5fyY8fw49VuQ4rvClkAU6bRoFNecsw/9MCIZDwufMKVVrzPQvjv
lPHarTb81TW/PNvLIFVVSZvqcSZPu3w1mVaygY++SpaUXTABKkghDyyCKWpRUryL79nCxcuLOmfa
6WH71KvrdomXsFo78jNut1kgr8ZXo3DEZy2Snfah4MDV7urHfGd6rwR3hHFURvC4KYUtLdI2NfVi
7FcfbC3BFvmG8Jjty+XM5PcTpnTn3MpH1SvuqvvUzp3q+kZaU+4V64kV7w3ucORk+CTrgv+SnM8N
Bsb2Jeg9zHk984EN1e+W2WSNaxFhiCW1HnsOVmng/MOHcaxfk9fkG5EfHEn12YWTh1UcT52C/QhX
WKMyCIdtAoM3tijyuszC/VYiw5FPsLDPGQ4g9rQiaHJtbjSna/etpznT4MUTmZiu9IIT2epyPH3g
RHFtPSQ+8cF8VQ5SZUkLy6QxZda0S0fn1ISc++x32a557J/FVw5AsibdazQcxQj2lX3ewjZq13jG
uNjoItqsfAg4ruxjw4XLuoND36NR2Jd9jZ+07pzKLQeBTvLEke3eSVZ5GcDAcps9WDEBJcO+eDGj
+Jnpt5SRRWyxwcALj5/ZJlG2YEioH8XJuk6U6Jae2KrhyJ9FaIBOeDz/kzU+UVgvPlIG+di/UYTZ
9S1o0sbYT4N5/dJD/xktqPPjkzhTGviTcphUp4ouhdUeYNsvEBT/5gO6LdZfLeavABisazUhIJem
VOCMckEC/AQGN0Gjyxvk0+JGhejMIvk1AU75zdX//vkiuIPSa0AeBhw0vrTErTwU6ZSWhYePorie
j9AwXY5Xt5Pv/3sibfHvjd8PVzS/dL6YHULUvF1x8vA6J33Tg+M4lBYE1OCfeuL5uiELDVuip9/3
neptP/rxceMexuwPZrQognB+RV3UNE1hrBQ3WIjN4tz7yVG6S94goOb5a8N/K8yvwvBAeVRvFhyZ
Vr6V99nCg+sFdRmk6yac0IL0cWjsZDVWVpffAMISqAROC4dm5aIkGqXltEy+WX27vfrNJ+Y2Xn2Y
h91C3YlI0O4Ew8qp04jRPT9mDkuQFvfXr/Yn3T5pbjJ5Y6qBVFv4imReCNpoRiJZQFXKzcXHDJ4+
IkPHvFGDDM2fm6wpuD3JAtJZG9jBvOSsMMPu3fZ3sNLfN2xuRZOxUQFb5Tj88tCxxmHw2MgZPWqy
SXe6h9mgDVH6TvIE5+Rc7H97Ks+CZjELuiRg46tATvjxWFLOeqUw5Pwn1JEFWdQEKqASFij+rx/z
TxbULdANDoSiw34Xbo513x+A4qQV2nyNM+/y3ICBAh3UjlR8NvGaeOycLDGj+LylIp6bNRleePPI
+B9MFtTOpLQHxOQVgxJPy1BSkbwqLBmciex29OoWFVsx+lnviuKaSKWpW6VXl3pXzYO5vy+I0wYg
YSZ7dUcs8XtE6SZn1IqQrXiXFX4BYke+FFyam2jNLd9+/culn7xVESoHO4eMfTF40o+/XJDwSq9m
SpwbgCnZOuapmN97aKf2UCDot5eYs7SrCfpbahfhFEkehd7D6VA0/u82Munv37WJlSDoFmQM+ATG
l9cwLlS54W8nXvyQ3kQpzmljRAszuOxO++q67O/KV55N5SpkXn2gQiP/90TCpL68zOvFyW8eFlQG
SDV//Yz+RJl/3G5+vK0vu3s6a3PRZtyW4idBvxeXOLn7uUefXXMC2V101q0WpJkmmTiHz/k53V+P
EL9wviKx2md/cPStjoSKHC3I8ZsBSnlohtK+cX73zfxkw+A7QXjNl4OylQHAj+8TO6zqXE964nX0
bcBhkIqVureS+b4QXGN+5cVaKDRyjxbjxlH9TK7wzu/q6gXjzcZPaieNRs7mmkykXz9GuKQ/eb/c
EWC5pOL7wm7y483NfbyoGSqmXu22n2YCRJdW6yFx89DAr+GC4pD8PtuUV2STdKfVnK5TKI3VNu/C
XHMzMRiRPUh+eyTyqglhPmtRE2pXzLxsrd9j5dMpdjI5ZeEokU7yaoyLHJSh3FIlhAwW8AghqY95
hqsrOkNHMGw4I9gT9RQwjnG1C1d9Ux4ApjLCiY9F4l1B68S18mma/lB4xQRx0ZuFYMAfmKBenuRH
d4/2YdYsirskQIWxmqNqZT4P3MiePzL63cWKbxRPii6/3Uy03rthsAjayGOgBN98B1YbUTswi+ck
u29SB/LKYguXAVsvMrPFQMMT+fQClKG4/I4eQPHmMLvJGDroS/16KIugvjijsSz0A9lnKsL1wk44
mFADfgPWKskB4WcrGmNhP4eGKdiXOojFbSwE1/MqJYy39EH5GnpB6t7UlwyCA6zmAw1otUtMWxzQ
kXnpEGET7Js4NqmWcidFCtjTGVCXPggQzrQA3q7o6EKMrvtIiGjZYks4tpktnQlvQHBoLw7kiZ8y
rLBsTfIBjiRr8a7dwKYPzMXuKorpyobRU29uyX8ERggAbAiUcaG2IBzSgF5BPwWXMuNxduWVGMT8
AxZApJfAKKBG7V8m6+Jpj+zPDXtv9AxnxcE+mG9hCClV6g1A0ZlYY8T8DP3tyjXdek2ka0lQK4zv
3u3MoJ4c6fHkLvbVVnlAW77JgrM3vaF1eCHwoN4wbYD8UHmQBxS7CnXv4tTryzZ90WwBDu9L/CgH
F4ehW2WG7dWuILpnGh5kjtgSlAfkjG025pA+GCzhlMOKd5K+8+u6Q/Mix5a5VKCvcLqYrroME37e
FJ0PZEIfco9AcdWTnVR9WOAM9trfYWti9/6FQjOQ7GwpctFDmbCQpKPg3voWzRdseXV1CndaEjS7
7ML4bliZJAWiKVgSd243W+HIWh7C7uMq2adgWukeJX+jgfwBb3f8wHTHCis3pjc5aShEFCCLpyyK
X+Zv6TvB0e236qB7yHZzrx9wvrOunow4n9OkN23hUSoJQL+hctJDGamCNb4Se38Lccazlz4tubta
zMvI3nFaQGmE8Pe4xfjlQwuc6LceppLOsPGLb/Q5Lt0Qo8jUWsX3Q2WTr63DH0lvaA90d3GzyG11
A1J1eK8BaoKbIHVBTIotrHkH9M/PvEQnWTOKfhs31fYUtMdkSbfXu9qaUW2UPZauSMiwVzzKbNLt
sgw4uUtLfL++SP71WdgLqjXh2gVMd36QX7rEKUUQHGa4hquvGOZ23jkE7qdzM63LKg+1KH8+RUZY
PONAsYbpEab0NQ4cI/eCkN/HqNa5rjq+6MDYVIDdHq2Lxu0kx+vh6vGkBMe40yIwT3/0408K7J3q
TYdxrQPF3lUl8wTRObmlj7OcFtLrbeiWDnS5xApFuxwpOWxzf4i6J2VYNjjNA32Rqn31ecQ+ND2r
DXobpHd+FNbJq/QyLMP6Dlp0CCv6qltSmIWmL7vae70C9zAoaZpN9lGCUX/uTj6B6OXacMRgOhBW
/ci2FYjWffsw0fSljzSIDfOUyaJJtftH6bGO9KcTACs19tnrKksEf1Zd6gpbCJGWOQS2rvEic0wP
NHc61EDcEPVbq46GFV10+3jZaZp1vdefATOBKC0UzuvLQ/bUP302YO8Qzaig2uCyog4T7fltAj4I
5n3PnHiNmXsfMYr4lrw1o/2J/c924U/2DDo5rUWuTj6Vseo9E7rfw21O367oxJ3OOt0X62zVr08P
mZs6dOneyU49IVT3nWv6fhwaTu/Fh4V/cYXlvFzca+xROUFWXnKIyVtfXt4ZK+Fdq4dlgCmHwzyd
t6wmQarZ/MVl/TmCby37JTHV6/ZRHSyNMcXzyCY68M3N6ovs9W7yGD9odwydGHwGVR1q/o1bMAX1
ncJTDfiyxKfqsNhkFiRvJgp2OmZ7JSo31J+BuWT4wPmHN7ChWvKhd2fmOQy47pONkdrKnYzuyRND
LMLPE3ihDfVweE5uaez2In+4PJucSe1mjrqVYte8FfEd1WPjpQ+D1z/2d8lSxILy0Qy1tWDPDDDi
U6TDfzJsAJ5TxcfB/+XkwAHz3LrNip9xDttPiHUozxbb9J5A601uZwUbwHh29BCppCOGZ1++3P4N
+b3qXA/p2sSQn/EN+CVzrQPf4Qz6lvt8eDIuEexm46YJS80irfxVfG/d2M62CV+b4jcsa+rs1bSd
PHIZN+Oeg5YFbad3hju9t49d2G0hOt53ocbibOmzSNiwr37i1mkwP+h44bHNorCzdX83PMlL7B2z
CFM52wjV1bQ03f55uqveRs6pfEM1mA+ewDhG8c9XJ2XIUbn1t1ME1fcumyJyCq7MBd7yzz5OSQYP
ztKDIj8ZOcUJO5Y3LZatBh3D66sV8d8XJKrv458nuWtE86fqnT1mJDeAyefDqNivs5ch8yTFyTRb
yp1pKezGIcB1lCJVDBSCAtjZARJ3cM5u50b3VlYeFBWTT5x9NGMqkOwA8xX88hsPyuuFiFTMVd8L
2ko4kCA1lum+j04a4GBo2MYh9uKPcdd7CgaPzDs4X9hImQM8ahhJADlN8QYozB/sMsSIh0qst/MN
QEhPpgGFmNNtmErO7sBfNw4ZotAkSE3oqh040FRtYE/uLhvlXYUrww20zmBgZxBgbU8br71PBEEX
9g2h5M8NlCO9nW4A/otVfb79E1ytq2EEB8oz9rcXzWrDnBE1czkERQ2x8sxRgLO13o57X2icFO0C
5EAJz2Mr3cfbaoOUhVB2CzZwX1AmWp2+LEJiKLz2cD4v+10pIrLBgXWvxFaxO+3kzwyswU64jzHM
o8ZWtrf/b/DRaSZeHYB3861vZPc8bGWXG2/Dzp6XnQ+n0yt31JqSKz1tTsDtcETc6phw+5YGrLKu
vaeY0eNkG1Zil57oZju+Zq/ZDC57MBto6QjLxu423ZHRaW0deSseqm0hdrD+sOp7RrNbw+MOos5u
mGelk3Vybn8jeb4BNGMAl2dTvKhRY9jyayJZxr3sT495UMfWJbN5sxPl9vNplwd6hHGyf3UXoi+9
q5Gx5dGwbk6pw0D0NoYRNidtL8n2LSPXCOSjQY/GQluZDxnlhMtk5ap6kokY107jzcIfNrclcN0k
HyKjG83iTVz2OBzQhpiP8yrfo9ajWHblTxaGGtU7mY9LnZwzuPD5HRMOazjvNAhmtvzAOMLgyOuo
HcFNLeKWX9Rj9s6j8hOneKrdPCDANLHqYF5Wr7HqE6xo7rKnfK255kseDXfNxZEfGkq721Tlhn/T
EEscAS/GM2uXSQhZhQCX3tRaypJHrHmCN6W88/PmVuRiiWHV3rDud/nd+KYt+9i/UImRNAhkwMBV
Xy6YYw7R7f7jZ2P0EE4yRDPD046FNlEsWS3GE7eHUGJWl+LNuVRW0lPpSCuyz/uVtBqOya5JPEBb
LEdMw24JEE98lX8zbIBhv+DQGvx6p3+m55AIm+6hqS1CU4Q3Q7TN3lEYod8xHzo/1E+XhEbLmR66
O7wjnJRxeUVPaoYYpT+lD4uAcvXsp3e0rcAioeQPL7k/rJOtTg0aNDZwNlFqlr7jwg6dj3PqGM+k
rrCwY3feT7THgxtj+OuXzLKu68ppVrMfr0vdUsP4dVnZkoOIEirX8XK2dI5ctgl9Pe6EbXf7QPTP
2fTbECAl3ZD4RxDRfbpFPe2Pq3MEiXubObm18LFJ6azj6X4MCwdncefsA4YFFTMi+YDNDMuA+Fq7
tyMzmg+8xBsqOi+1t8Jp9sTL0ZutJ5f1zTN+6u5yNw3w8HX6AKp7lN4xnP12MRx8rRxGc/fM8UI8
wrdXmyE8CZRr0uWyl24vvSXew+j0z8wflfdiN6+gpa0K2TWYicF7vD/hwRF2e/Pb1dWPihc/4a28
jJ/RGy5LR1nKj/OhH+y4vT/pn1eMhVRn/FgkT/pjm96Wcl851QOUtm3lk9fhXyYbISguNPCP7ctr
deI3dRs2xt7OXsqX/I57W3zqxz4UJEuOwJxUvqomGvxyW3vMCY3lsOHjBntP96cBS2VWk6uma5kp
3n19r3NUb+Qaij5Ha7ToKWlfrq/8Vxe/zo4E15tvxnz797Bp1h8Sn7UGAGYxI7+yBZgWg9mF3/FJ
nLbwJmyQ/8mXWOCY5rsc7Z48QS+cVwPpwzv+o8bvciTxehsPEOjs8kUKqugGn7jcGCrdi3U6DIpz
jtgT3SsnQrepIoF/RllNR+aHVM6s6+kbe3K3ZnMTAq78YjxlTpIy3dWCy0Nx0IKb7qWNiie+Hnwg
+ROLMH7rvsFe+az4XEuPAUO/ZblXd4tdvjaYNUOcQr8Jxsnjhvp4lHivcQ3cKi6sstvMoqsubiXI
lERJjSm629eu3TJm/81M8CdQHdgXI0EBTRZjwa+oN06s4D5XWLa43gc5hLNrCLHVLaL2G4OGjgcc
aM7N4BJZKC+b6Gpr2jRrjvDid1DO31FDbgVSMQxbiKaAwj8COUZapGJq3Ai//6Q9ogC0UweoIZwZ
9+JAv1Z/M+Qw/j7kuF0SkZEu39At4XZL380o46bU9VMqpBTEi3dCg5ySsis73rhK7UPp42FKMUM1
HKp01MZjEU0H3FTJiie6nE6wfMBbzZPs4ih9FnvFPR9KXywsFL7uTJQsXU3rdEEcxPcVY67J1bzS
qdaxnYZYPMGuWp+84bWzk4/Sq/xxqeyl9edtGisE/VMLMWl3ZkUUS/0lvTtvSqd7+C3+/rsH8OWZ
95omZIuBB4DM1r9VqNMyoygqdold2b/nc/6E3fjjA/8C1klVnAlSz/XysAMDUWg0CFl3RXgGSET/
O3Osn6+q//eKv8C/ajzg4dRxRQ1LoxCWlLOg/B690zoJhdvw7+53wP9P5uy3H4mLpCyB/LO+flxV
17M6XvPTNaVplyANqW8YsVsaRVy/q/zfcRVh1X+dW3E1Exsd+RbOg5Dtx6sNndQm0BlTL/uc6Qtc
TCTENuKQfgZtj+ITcwGHvhcSF7qOqIjORIasszVD23lbAmDc46l3FGk272+OJxyW++lzXiUfxUcf
9ofmIdua+Ims0zUKxt+Btz+5dQXfCXyIoGQLX7muuoiTClFVmEdaMOZnqzVssHBa32rZYh8sPVe1
rUcYOrr/d7z6P1osQiQPH+h/LRSxj+ePY/u9Z9Q//8Rfgg/8VSV4/Gz20o0Hclu4f8ly1X8g5oD5
jCBW4RwwgPj/JfhQ/6HDyMWaUkJ+CRn9ton+S/ChEMl0Q911AzqJwer7txQf/Kkf1sPNelUTUFfw
P9JtRQhfJ8DYoPwf7s5sN3YkS7ZfxASddE6vijk0z8MLIekccSbdOTnJr7+LWZXV2X3RDdRrAfVQ
gFJHoRCD9G3bbJkjYc9tywJ+WA+S6ILGi19TF320oqtvu9QvdxQ7BvtyaIpN0fnlpVNaNWbg1j4v
VP3s46isN/6cpFDQsJsGDlUe/pA/Exscn5WXc4br9Xwse2TjXgQk1uzPps/dG/5BKAmwmjZ6yY9F
jTxGUhRjg43AqwQewMkGJEiZ8g0k/heVQTAy3M92bkp1hRfhBiy68j4Li3uvtgBZLOX3rPSwsfqs
eqLrWZ8qSzGz+TxNp5L/E9N32FVX2ex1J9pcjlrN73oU5VaU/gKCpHl0m/Bk2xxTTMQByvf0D20V
UBHC6rloV18gq70+JB6aT8WHXATP5iR6xsn+6UHn25iUkxTLVayjlPZRV35UA6O062JakKy5PHtq
t1Sd0fE8QbHpA2jsUVz/+H11287ZS5gxDQyJ2tM7RKStjJ1DlvRHsJvn2ZjHIRk/KyJ8MrIu3Rah
1u/2oV0ePFv0u2GhAoNqtW1YUHpkFEzQNsBX6xpkZSSkw0gV56ai4GF0vescyMZx6rsrCZVgoztz
yJPMbOqQtqC4RknvQjyiySBu+cGc6HPmV44trEYLjnMOsUtaNgyt29Mhz1jDR8L5VpMhSBruY1m+
5kohBjQBZXMCjqIqevxj1XAqsnY+N331FE/FZ6Pr9Bgb/TzGC4pxycqBeOeb40JaLQvvJNvx1Tbx
lZ8Vj9B9fsUiG45W6N8pIX9PcXxqx+55dOJHNyARNEbAglv5WqiehW5hX08lY5eeQWBAaZQ3lt3V
j04dq2s7Luxj16K9GvecB0FNHWFxM+aSlUfPb5tGccRf0IhdEOYsTuzs1U6Wdjfk4+eYIiyMtFXc
dyNql7AAbpg43JaN/6pz2tQDCKDtzIrHGwf7EzzlsqNfNtnQM4hrL8vGvQIPSXl9XF9Ss+6ANu3g
HyU2dgBQgxdg2fxt1s3NVeeLYcuaNaXCyqOeMNDzKY+UPHotR2XX0I/ahpT1UILub+WffwWdLttM
ps5Oi4ptWky7uNUG2HM0kkw0wLPJqPNABygNDnqwvGlef3SNhA6cPSZgJUAUu2ITAjDawJlCNHBz
ilgiZ7qqwU0iHzUPM4UYF5my6HIf+i9Zxz9WEvwGhsT86mPocpG9TIDhBz8aSlJDXVdOvTridBrt
IAfRRVggBBTlio1LWOTQakV6ShSXBQ0zF34dPWR+XVyNghas0YP9Q9XFr9rn/DvYswajQS5Yerp8
UQu+ZtLJTxBphm3tdJoPV4/9MsmsrUv3ORtAu+WdL/1N1vGClZWy6C/7Zb8IYYEzQVfr7ZIWqJFl
VuWsZkCDSzdOjbtzhbj1C4adQA/PHhHgzTiTOh9tc5Tw1OiGTY9RTokL4MtrLynO1YDsBLeKN0wk
X8HcXiZmOcUpRCT6qfxWPqUSzaKs55fRhgwHWupVpylC/uj2Gx2gQgbNfZdFD/Fo49fsWdvIosI/
LaEmu26GiABVdq8C/Sn9Ptq0lD1cFt30OQTeiTJKvNRVj0LWi/lcLc0DlTQFwdnc3NPahIbvpgxV
TY0eOkY4ELMJyxg1tJGZ7odhMM9ZVxLWLgPiF7aXb2alxh0EekT31iwbGkEpXJrX3JaLVlQJbmq9
6kAB9cW1lWH9BAB3Fa+XP594CFq7MqjFrmUOYFlm/YrIjqPBdK+xi2u5Ld2fMtCXwkGDTSaqKJbX
NMsYV3v/ztVIe05ksZApO8I/IR2dVKbRotwxI806OVtsWKeqfY9aezN5zqMcJIAu373tR8hqWWgd
s358Gbz6VNQdysmEbNP2HiYO/yfpDSJh2x/aEUV3EdWuzsGLT7HNVWkbSjvber6z7Yk2BaLKLBWL
x9z3JWo+gmfAY8Iu2EoEJRMDGfqBYl3vuQZUO2QVcd7E3UaWY7FRYkXrp81rWJJQSbrC23GvqkEj
J4QlSwGiQnt3QQ2FrlX2gVvvD0TWgwxaKN/qa/are7sSV9RJ3VExylZW6N9DUfwoCuVAN00Z1N/l
lW4WGmQlA7PVCuqb6cgyXW2OgHceq6D09jyp1IkMFEt5mEanlKcWcQvnsbeNdzQ5n5RBZB+2yO+s
TFT7pOR3ieFnAJ32L+LAgIu11KtoHYx7reFq9+DuOH7ebys1XlnV/OqCtNtk1oLBWgD2kCpEDGwD
pCp7euKue59aZQfaL31aePK+9v6o9mES0TdXZDs6CHmOpyxXEznftSObMNku1WHJRgv2N36vwrL3
rl02h6gd9sAhy6NTFsfSw1/ZhNOysS1iAKaQ7b7wXUliDP+XoC1mO8rsN4YZ0AD+YQQ0wc9LC8iY
NnfL3HVA/C3+Pq4WhVfHYzUVVMiEAp9B4o3u3q+bN8+36LJq1dukO9Z0uXlvrdRcz9Iy1/QQYV2Z
ly/dxXdLz74bPLEq/SsesQOUPNwIfX22DI+fLIoefasggIMcWHnFd7BAJoqD5b2JSzZUXk3eICIP
kM6cFkxD91pQYKL3RE2q2xBDadzkh1uqPPJNr3WwipfCModA5E/E6u2LPJ9+zzVreTOpT2Df/aYP
kZ16PCP1sj7M2TDEVvPb16Y/FBQ7X8DDzg5T2FwBo7uzwvR3W7cTMmrzqBvrqxihZiU0o12IBB9B
Rs3e0Yn717Ro6gtANHD0ioGGbarDtk3kEJ2IklvXBhIPk7LYUQjHJlpp7p1We2P6BWueqdSXP8mj
gDd+UQesMIdZX4tx/VwtKKWdldc7YvqvyYgFXNqIT1XCBRK25pexxXAMevPoKlCibqKynTLciESd
o/LH6UfpDXJnDz3v3gBVovOpmjEOK+wiCEiTlr7aE3470pZOTMflkewMsjvYJRuTqJovp0TlOFeI
vEDyIi/DJzDoXpSZjwl+e2fEC7RqSNFoXcUraLeocB64jboLDaq61uh81Agmu3jwWIaa9EaCqrCW
6gxaSiNbug8lwLmj8jzrHE1UAoy13opQrc3a4zcIZLBzkucnpHtSPlNK6o8OsQs74VM7ZPOdq8zV
uGSMbVYYnuNhxUkI7lZ0q0MacYJl0ywxft9WvzmVRUtetsZ6RXxT6+LotpiTfWK0c7w6dMOEbOvc
H/yZJ5bVvWfctGnuPcc+R6SYv5RSnb+G6l5ctvuAHa9oOfjhKfkM5/wHCIi6DrLkV7neiaHDPcQx
sTV/bgjoiOJ5qtNhZ8eYIzieWBtviuJd0uKic+CIAn2FtmFcCuLIXbNgWZYfIQTuYO19p1CLV3rR
hSoc6hMHfc6S6uhRa8nV3UcXgRf/dF5Q7wcd6V3MpxheiZqul2jauzo6wsl+C5r2I4MDvanc8mVo
rGMVxLSlL4/BhLCdLw+J7N7SKboSan7oUofgnBqOJsX20jrxZ5tB8ErxAFVFTZ3xRH5GWeN+lM74
AeYy2HmjtLdzYLDyWdEzz+6nuC33tUixR7PKsaZrD95hPoffSw0Fo8THU4v2caxGbhfLOyM5XnI6
GiZfYlSZyLtFsQP3D7+AVC0dAIPc+s70w0CUs2JVwNBJHyfzRDpbFoDA5infidmzt5PhTZxX9rge
yEA2oMQxXbf2Afml2UT+FN0kDojovqzOTkkfu4LYRtKoaU5en8mTTHP7Zi6qZ0/5v62k+Gl6smU6
8DC2WKzp8H9Zl72b/9hTbm0GGWbbP+fk/2g14B8c6bX96X9XBMg+DdXn3PxdE/iv7/tLF3D/CFcW
NAZJiV+TWf6/dIHgDxH6DP9r4zL5fwf94S8QxB/UsMCNgPIU+vAQVqrSP3UBy/7DW4tcYEz7FKjA
CvD/LWAXBOr/pgygBUOsx/u3tsasvTCrDPJ3oXYAiTCZqay2E8W2u6iTU4tLaxk5XuugdeVDoUK4
JaWI+28f4zO9rTIj6RI5NoOdF8QfurTKE2gihpFcN6/FpEkATRmVnqUf3VD4Yo5pmZacinCpXwmr
HAir1h2uhTIdvsuqGu2NM4byHko+c1GPqEB9hx5ayA+TCC/DKFteO9irRDJScPONphBk4Le6ARAj
b+ZBeO9dNSM+hguBMCrd8VYI7HZdxbGqyoeZXZWBPY1DPA1op5B1ujOVLNZc4Tjts2IB1CJxqG/r
nIQT7xmOqzljGyIkJQQ0YZ5hi9ovQ9LbN44X4Q+kuvBM7yammGTob5NMIwFG0RQWW38YUfPjXBOC
6vO+bvedalnrecWS39VBUnIOq4FLDF3LPbiAdbXLehN+c1iULEskNcocTnvEap9u4QsAQAV3jdJg
rUK4oLy1tZiUxFLJG7tfyvu0xfklMpfYISc+D6XZwEBOZjOcl9HySK7GfNZ9+KT+hT1kuAx01qGq
9A4zrEwZ94OkMvuFDkjiy0FSHKpFEvKQXdpeh8PMncwE5q2ga+eX147V7RIOrLEKvyqcbeH67S8f
WO1LOAsyQMEwvOb0tR4d7SRv3UTb6TboZfC4WB0Z3XIYFOHYLKb4ZU3N08sT1TnuVQo3JqpfnHgb
jxRMMAdX2SlLMvmUWJV1LUtIO+5gOb/h1U7XFEcupz6qLx13js+T1/dfMSfjbVgByeANbtxD1qUB
bRGxAvCf4sezLcXOheaVG6ef9WmAeXlMxKjxjgXgdafYKV/BsOKHovn6xrN0+zMZaeE0mnR5bOBa
b3vQkRuImXw6/DE8tIud78eMobfVo/nGIF0/j7pIDuPimocelujDrNPqNDvt8HuWHjhf1zK3sYOT
BE7G8uIsNvbTZZEHTkTm3quQNSbVpA/SLj24H7TdbpIkc2/pmMn7jVmaKto0foGCMwTpuxyUg38p
T2x21sM0MPNGknR4NyUsYEMbUkWRPkd9tOp9U9I/NGB9jxPlhBgb0ulXACjtNdCj/dM09LcwjqfT
eGUvnXecrQbLYCua5b53dcby3stTrEFcV1bcT88ildZ2nnNckg0vW+wlI+u5b93plou2u6zFhH9K
cWsTF4A15V3m9wUeqX6J6fhAJSXunqi7is/ZfHCt2n/rgB4+dENtP1TJUJA6EgrvQZQM2S8VKOcy
q2epLhpalTk/tnN6kytjoo0xBrOaWpDPDDLL+G2FTvc19w4XaBViwe/S/qxFYO17aulfi3YJT20t
socg7JMbVWOQs+Dg3fXjXOBHzuuXxmW1PxvpbssumG5F76qzlo3ZlxZtm2M/0Ltkj+NLNhbNzLtR
iDMybndnuKCuk1EmO/Dy2ZMtM/mRL5bTXeT2xJ6VyXY8VuNMy1uZN/te6o7laxhX3xW1vJwxJ1uB
oSio8qi7Kn/Jw4zLrsKVEblVeoRQwwwaisH5ImNRnHu0/0eRVw2cMte9iqgQfwOIWrDNDePmoXM8
Os/VSKkJ17dFPkuNprzkeYTZqU2rDDjYzAKQPx69y3iJdbsSphSQ0asRpjpej3hxPic7rY4Lcgvo
82TNfsvwq7Kj/KbNHfVlA7B/TjyvvAIz58Kjyue90U1431KQeKtoDnioHdqRuIfkH01akKzQVL26
m6kf5UEo2d3mVFoc897KTs0wOl+uL6Z3s1REJ6sm3Lth3F4pmLePCdBr3D2LDm6oBxVHJynnuy5b
sGDXKCwPVGPZD3VjYXXx+/zKsevxuU9CcYAH3DwN3dwRTm5b8RR2c3A5U8ON/pUPFl7UIlRfo3aI
SI/C5fTfeM9c4gEnf4UrL5+d6kEZjLJ8oDs8NV14Z/cNCxXIazWa0uIyVAR2wH0/kAjVcCq4q/WG
uT4KfJyxDmUqFyUlYd9B5vgc1tO+7i4GgN2XIUoBUdgkCCFtCDVtWrZR5hzPmgw9x2uGP+C7wVNe
L+0ruLfqPYD/L2ngLhXCcjtzkgQ3ZiG2iLC8d7pWsSDXEHkPSd+uO2bHW56jxWA4m92k/1ae6z5U
VkWtsj9y8AzoenzxuZE/i96LLg2SvgHl3tHgxAUBEUPP7l2ypMt1Y6UEJ0w33k+Uk5yrYIQ8XDkx
yW6a2eVWJCp46C3pnv/zD48QUD0OWf/7yfEh6z7bdZ/096PjP7/rr3Oj9wfUK44SnNekYDn0t32S
/4fD3RC2GNs9zo/rkfJf+yQChZSMQPOEEMuHlS/9a5+EbuWv/xqYK6Cb8t+ivLJ9+vtm9B/rJC7o
9X+R5Fz7P9ZJaNPgWfPAxifpvYtsDG5kifeRZzqWqyTRp3iRd7RElZs58rEdrGeLOYlvZQsfpNMC
olIZfIgIswc1wLg37QKSfDEEh6rvwlOXFiBPVEuBvMJBOs7167CurNSAuytc6ACvNTRJUXrZa5KU
1cZvcD6pdbJJ0uJHZJh21pFnnX3i2iaLKhW+yTb87kZq8MrBe9TrmOSuA9PA5NSVDQKKL04SzLwK
E2Dn63gVMHIdJJ17F76f2Lh3GMPmdSDzStvemnVIs9ZxLV0HN8MER6WDv6UIjc8W0527jnmSrvcL
b6bpLqPaHnL5xbwOhfmf46HBa8y8aJgbaaR4Gzw5bgumShl679k6aSbJFeDT/RzEj4sTPM8UW2P9
WYdTP/bBwzKwUstCjngdYunQ+GiKktws8+2o0q9pHXjLuDv2f47AnQ3RI8cjrpI3a9BbPzNXnPRP
jkhOFQ0dh9HrPzzGa8mYbTNud+vc7bidf4w5COwKLer9aAU/2TqnRwrvT76O7ozwzTrL6zzAqY17
OxtWHMjE/sEzQKw8TJWrFjAZiwbDVR+wNEpB2bhoBiUHd0YMvJk8iHZdnz2Dgc+2lNjgNmvyh2rV
H9wu+o5XRUIhTXRIFE6HRc8XxVWAB6tGw9CrmJFYHKkt9I3OR5JB76iMfg/QPzpID9YqiPiNBM/B
7C5XsQTu5dFHPYHUGCL6Jp+IAhpEIysAipsIkK6yS7kKMNYqxSxhGZ2pCkn3ctVp0Gs6LSF2tJDz
KlS5HdsyfP0wHS+KVeqx0Hw8EJoXmc3GIrWat2YVhopVIqrQiqhx4mthQ/S2vZl0fjM4obrIV4FJ
R85yUSwtwaka6tAqQ8UZnI3R8awrkTT7Vrn3ItRnmXtnKK+PczahHiNuefjZNE+S7aKdO7EKXw6H
74NZxbBslcXsNjzSYkzf9SqZTat4RhWQBuWJoBaGWBUgS0LaR21Le2zEjUGAc1YpzllFuYJQtF/p
I2LIRTRpcwiz5Ve5CnjuKuVZA6Ke3aTUeyLzzXD9LuxV+nN0d906HN+410HVKd2j4pnH5cK4o2JY
4+iHi4uu5wZhR1GPhloTDs0m9rLboABz10hON9orcOqVteTJjFLJJ/O3SiSAnaEo2dfiJm0RNXl/
HrtV5Uyi9Dcdd3cz8qdYddDOwmzlyMVGNg9f+1UtbUkn0tKIuM+RrabYcWOs6nNZNVZXD7/TDkHY
YgOYDBIdNsJ/bSHNjvQ8HRVirYeKR+oL/TZ2WSsmASm1bFV33VXnVRkvmo43AjiIwPQ3+hc1snDb
4BG0kG5yBONFRrBukJBLbV7qVVPWiMsZmWYbsblFdO4r56teVWjLtUAWiW5CZp394MQHhaUS2/OD
ZfN6Q5X2l9U46iOlIKdJZ8NFQyvR3vOz6CINSHK12UCobqpPFk0pW5C+bwGnIdLgXX8e6LbmL2o+
52qZ6FAonctZTo9Or4vDMNOKhpTPuYeSou08NvkRzG3+NIGFeIyyaH43xtrFnaO2S2izpzV65wB7
3AMGrg4Zi6oNp9V81+T2/Nh1zPK8XcWGJPGTiClCG4uc/YMOnplIflhWkJ6lMynpxqdCcqpZJvdL
9B2imSw/U1ac1ug+BlSWXrRV/D33wYc3lT8Bgt9YZtcyhennWSx/0qn6U/zEpj6G0Xaxm/pK9UNx
KLSSV1at23ule7TEzB7plFqyO71k/q1H8QD+RN1yTc/DltpU64X3b7ipi4x0QhLihF4oYsyX/ldo
wzVImwLzaRJw6BsAWznueBIRu8+p8ilRdfjY2FFHxCiHbtXJBeEht15cZUc3VQs6hpXeS9io7CTY
31+YxIX5XcePcxh3WLLFRD8WuTwQ06TrtDBXhU7XVRuVIH3Hp5luGcLdMWqlAXi8yUvT7GLVHGVJ
MMAe1sVdRB6zwu8dOUpe2BLKEoI88CDhZNu68TEODParYueyFTG7L1oWaaVqL1Xv3SFB3aq2hORh
iotOyFNsnIAyVb3LbPMUB6yo/WS+5h6F3uywq1fVzH2k/jDabSAWU4tD570lEwIYzbFX/swSR1/W
QIACDACbPGuurShDoEcX2UaGZ4xNa+g2gd18iMPmffSmX9zCPvLM+cqNeJhaufLTjNpMC9d/4aj8
VOfl/cSK79CguGzzUr+OmSo3RuBS8Iv3NGIBlAC6GLJR7LiL7JNFr42w9bleWFIN7aNny8tGqqcm
dvh1obYUUJ2EOszZAGYJt8mw0qlQUC7oQb3pxvA5dMrLBOIxF/1e1MtjbJmtss3Oazo2ztPBRPph
pM6JuxY/y0uzc8ExSJKM5smXk4LFhxrGl3HaHtAC72QYXQ92cjQ9iQWqkLu2Pfi1f+4MD4We0i7c
G2Rv7FafZ8Ue2R3r57nk605+1TUlecTYv6+bPkCCIgJf1uXHWm64adPwxG/MWjhkQMGSuQtsEBwm
JM0huquitgRsMzZA/aC/ZUkRGrPyVaS7rdvIYDsa5CzJ5puhazWfyF9RzMrKDeEFZsOU3MqSMKZv
qf6ua+rmbFy32P/nTwFYfzlk/x9TAGS2rPpvI8A/v+WvEUD+gRhLASHFsXwlcomx/2Up8/8gjQ0E
QERB4LmRjVD9rxHAhSCLBPkPufnPDvB/jgDOH/zd5FpOyH2XU3v474wASNj/3wjgIRuHwBcQqZnM
V135bwZfVt0p0pJDvqhZiBJkSYCzWpQdI0FHyKyXBlZC4acvlpbWu8PnjaREm9gsbosq2FbBnN8E
ad0eRRlZnBSLSdzkdSNvl8zoy3G0WBcFPBKfoa4rUiRJoS69VTKTaWsdmE9JF+mAhAzSsXOmrJek
azCn+9RyoFvZMAxzHJA1fTaZdTfFQXpKUMluS1/f5sSSqKC9Kuh2+ch63AVDaVocVCgVB3oHcWoY
XatH+pmr62CZ8WwMvb9xtUf2J9L+vWOS5sqBAH/oBN0GHe11L6xYB3mClV/fzLPwzrZHuZwSuoRe
pOd+3hj0/Ocey1GwQfPXZ5dem5fJb+xb6lCnll82CvBphDYajcrydkMTS8oNsWEztg+YUFB5VcVD
pHbUo+a/faGOxr9MfIG0WUZT9NPOfXo7FV56hTRobYNGRzt+EXmaVAj5LWfwmLZuFOAdq9VEiKBX
IUrCJDDo8cCwcjqQpoCK6bFpHjGO6cdI1qdyyaxbFtrWAVK5bHl/yRjazm8/H5JbldoJ2fksB4a0
VFoSzh3NXe9zq5Cxs97dwzZ7VGXGkaXoKJiTtV0czTT6r04dPsQYeg6ZLJaPJIv8F0tgoEg99sWb
slbEvExfXwadHi6Lesn20vb6bccm9jz0ZfwSKPbnrT2YbzFbI/HdzjQvaZVnb1nZwU2kB5cXrJP0
ua6t8NZZHApcpY9zz5lr64W5jA3dUIb1Hnsa+WNTeNZb3EfOdeYbimTrYHW2ePohTwShdss182fH
+vYXemx5nUON3/H0Lj8ACi/XA011T/no11+O3WK8oMjrSeVz9u1KydIb2TW7jDMWh9lc5Gd2ptyw
NfB8os12EX54Xt0fqhzQSNbHbO39Mer3Iu5i99hZnn6dC3u6ZVnIwzMrRu866K3xOAVLAK6AFaF1
UVlFzPuHb44HmXoOEX6/IMwnz5zoqk+vp51olyEQpFt8oO190xV0M0XEjGQxpdeeHzuPJYuSeFdE
QfbtRQqruonj67KT0e8u1UT2w9n9kJXk1SFM6rsRsX/Gg5kzMbAL4PkUoP4+xVwvuBb80X1orYkM
EHIErmi+JWYMxj1qqkoRSMrsc2QkeXvqu2nYTGrPBshV99PjQJfpuaZj81AEbQDaR8zhj60a6y0Z
luDZKtmangYniRCrLHoAOD8zUmKQC+F6pAbTam/88RUPiMPzuYj3pRT6pWSFA7lwqONXi+q4TTOW
sFHisNQ81Zvk06cT+D7zPHEYm1HvylWCMJPbn/uwDO7GRkAoK3ibtqFaup3M4UDUUVi8LH5dPUxC
u8/JkAPR1BqKcugmUAMSu31oLF1XxOw5Pu5qPqmXS9N1y4UOF1r6pqT5PbJ72PWU6pwpqpQnrv7i
xsXQ014UeUQ/qcCDCQbT8QFlO0EKPqAuq8+Yn329eCmpSYYjqJy6L7LnLkiXX5U3NN99nqanNo6o
thQF54g+JWIWNtl1ql1xQ9lVu29NB4ENevN+DHvYSCbp1WckZPTGHhMfL0+Qtxph/LHlin1ThSdI
ieHgwMWD9AMrJwyy1zgzBlqaL9obbLlip5w4pgewN+uhVs6kbPrlzaWD8uHfPxL8Z5ZFrVZwIgf/
19Hhhr7A3/9sK+g/61+/278rif/6B/46SDhrLTHMIEZSCqP+PBL8dZCgMooQhcNz3KWtiZ/8r4NE
9AdcGrziDm5x9Ea++C8tkW7kNdRDLzsLaq454f1bJwmXbfbf8GD46CPhrS3LHGYCFM3/KSbW9shs
5qt5G83BYiHyaZiwKbesTUgrZnSQ2p3vprH1nyo3HLnxtjG6YN98oCRVFEOq5UpQZHfj+AxnNGs4
r7TQ4iymcTO6muUCLJTqwOCilk77xTYiTqCIRhxCDklR2M9YndAtbHcE6zTbi/duL3115ddGXYZN
gprilBURXU/4kpgqZTIvDs3eapOzHpwBqZTAZ2URnpkXx+cxEFmzWdiNAZ9VA/biYAyUu1EUfEYX
3hJiM23bEBdcZcriGUY9aGhR+eIwSRN95m4MeVum7q7oZv9eYtF5qaaGETtlqHCyNMC3p5w3iSt+
Sw/5cp4tEWtMr0Oya7FG7jtvjE9U7jDLi3Hi6Z4KYB51L8JDMZfize6lcy4qTaC0zy2OIsUEwIGD
PgNBEmcbK/HQ3ZwaXqCd+2+07aS3esE2UveKHtoS5mzQOC+dSNW2HPFQ9nkZ7z1tU0KUt94+rR0H
RK3xYTmjjyTsjppouXCzER4VxTkXypb9VnmNPFouRn+eUxivtW1eusSN869yEkP7kDtISy+1q8Ep
pFO487gR7bww7Xi9MV58h8CenZXTKRZteeg7xeo0pMdoaByi+rWfXCZiQmX2cuW9xuVId8WcZOqS
/Ym/zfvEFtsyFPZTGBb63VXlfON7MeeuUa/w2WVEwNV2paHZ5h6V10WCdXOItutmazuGeXBjREMs
n0q/+2j0ggf+BpChl8h/s5Sy3ouUZxKTGodG4/Qx8caKxOFYcJaIup4YRbusK10PVzT8+awL7oTq
6WQuSvfg+VrwfNBdcOx0ZV40yoGFfciNb008TjeD6tSLZhkNzqgKgpMRpnmm8c+Tu1bo8JFG6ZoM
Lf0Bw1zAOh11SsI/Cfr3eJqtvXAFrp+J1/vWdMIc3ShJfB5HmkjH4vvMuq6FNMiSH1vY4t/nkWEj
Vma4WyfykhEXDv+yiM1Zh57YGC6Eo25i/WjiRH61Q+eZCzft4ueAAqVLP+FJtumt0H0jVxIpZtDJ
P/aRGq7SUE57n6PUVWbVzsvU+qCXyzrHlOU2xbXfWsUeYj8MSxasr5kKSetlXvpdTJH7uyg6uNv5
TFVOF3VEZsvgMUjb4kMMUfIVF+P80BsYDpY32RBDYgd0dDzlZLuhtO7HxnDuoqYF3FQUWfEvlQVN
f7C4SQERqVW4rd3OBv1Z2Wf2pMVpMms4wS8mYDa8RN75NiAXLeIJRR6atW258aeeG3gdwHnF3hZd
xI915+LFpL77k0tJKavllPlVDyX2XVaZuleewEyjO999D92mulzSafhJKRzmFogtiB7YIfI/ljSm
FaNrR3k1tL71podIgTpUkQPLr+vRJrmQv726XmGInjsTzJ40iXpWD8Bu6ehGTyoGhpAFN85HTTfa
jeHk811mKr8UsTQG1qkguxuFcbrhfFh+xaLrTh7hjm9KJus3e/EJ7ZpcPOYNYw+PhBRlJKLJ6yIT
mMy3k9NbrFOz1X2AF598ox5dNFl3whudZ/3Rd5yR5ambRMexLtediB6bkNR7o1+tCMKqVbmEr+sM
x+EQxfdLHRUHx42Ya7j6rWNjivjWnWo802UqDqJQw3u2VNW1slroXf+PvTNLjhtZs/RW2uodMsxD
W1U9xBzBKTiIlPgCoyQKs8MBx+i76SW09RJqY/2BqbwpsexmVr6W1dO9aZlkMBAI+D+c8526NvZG
mhYXMXPcb2bUdUeNdOaU28g1fZk5t9or56PLRGcZm8Jodz3j1UlDMpHRAZRnGTbJVeHk0GbGuLpm
3dWuK0OrM+FO0z6tu+YqzyoB492Rx6xkXbIylGs/+l02blu7HBEVOBLXX1f2KxYg2FKs2UFG+D81
Tzcfv/3bvywlCyXFn9Y8iDL/4//+orb7x0/9XuhQmCBn41dZS5DlW67R74VO9ME0XeR0LE5/r4F+
TEzsDz6hGF5E+WFRfyw27h8DE/MDYw2qEyYmrg1qESXf3yl0FiEdMoqkFstbXOyCqK8ocQKkQNQ7
75NAcivRJQsQe9ORvVNigBfWMQ4ffroo599+3c/RmO9fhPWv65n0cayHwyVT6NepjEiyMulyMq7N
mfFL/qmzDJRK6z9/kXdeY9a/FsOtkClSaBPZCML211eZyeozlMdbabZ6F0DNcy6GC+z8a2sNNfM+
2fSrP3/FxUr8x7ULXYflNVTt5T15rA3cdyLFNE9JdZSWjRXhO5nP+6ytL7IOy7epLqP+85+/mGv+
1ctRFv8828rdMs8ia+o2BpHLLDm7hOG9LOBKrsIhsi9cxzSONSXBhvmcvXVmXd1jFmSszzD3Ti/y
IbkIiUxzFI/9Ii5KFDKjKAkAGC3SoyFK8rvCC8JjvwiTJtK/N01DJWMgOunrnqa0LMbiNnJSBlvL
nnIBwLxpntQcptdJX5PPlTGxkLBxkYBNEw/uXKXxK5YxuVMjrp0VYhd91y3SKqKi/U/IndBbGV0r
z3Yxhrj7mkqTOezwu9tO2DfWRHPI/rHoEObFVXexTLeOpeelZ/Gm84r8vtr5HL7EFtbZiWDH8EvN
2h2UjBICksyQ3Q9x2OW4ggCsJh0awlWA3ea2Grtur9q++5wHQlBT00ufCL9uU4SGo5Ftwk7OBAka
5fBg5QlAut5Un43Arm9R5NcwS1IDC8DSxwr4WqgCV63OhxP+BfVgjUPBfokB/8fMT+obU45QP/o2
OPg9NjjIfKmOjoY9GXTIlt4kVO731sSZPUprLtYJ4s+TX7nOdVhU/bPbUkvZozE9xJZYeDoygF22
pJB+La0pPU9e2KRr6lTzI/PvtCcOIek+twOInMS1MY6Wk11c1RMa600WjMX9EkF3IqzU2BdeD01p
aBJgLtjyHlKzqL6VotHfc1yW+7lx9CnNjfTaCrseZisnVJ4P/acoVbyPRMuUJWBcx8Gp7QtAKVaq
kLUihW0+20xI7l0EIvPaY1t9iQ4NTYRfU4+sUkFa1xrH23Dbt1X7ze3oBFDbeWevyaHfdWmdg2kT
rYKUX3jeA8oPSa3jIGoH+teXh9jotUWG+NRi6vSDG1k31WXaoM1ixFPe5qlj3zXSgWmiXC+9Hjqm
oWvH7CYHWUWO/t5AFQyEUWrj1mRBAi8y6jwGq2NfXLhK1FdLVOy5CLJXCpzhtR+SGIdAO3FX0Rzi
MwzsdFO7Br56N0NasK16i5fDyyo+OmnTkeWQV/s0NcMNZuXi0XbC9rJE035IvC68VSr0xdpu2gER
agGWJGN+ZovZ+67iKX3USd9usBp2rHgsYV+gwQCf4AeC3I1loT3ZeBhDhrBHlFDTpnORt6QymQFg
esFlhfp2009cEWv0+tuQ796LUw0C5f/oPDHEh+pJpnl8N0uRX5nYY2kk3YK0TuGar24S9Se0a/Ky
JKimyl2xIRZXXsROiUeHjeDGq81c4MS0ILxzgyM28IP5a1wN6ibxU/ucDbPHNy6gSZ2yFv+SbQDK
63IgoHPTHoOS716ThNVj4Kc0veYodynJ7d+UFNXJcGPrdZRlJbnF0/ZUyp7EJcuaGX87zVXqeXI3
4jqR6BxsEjwxiq3LVH+MR7bBXijHe4OLifeHBW5u2upzk8TzDULjasMxVR+7PkmPc4rHEq8G5F0S
TCP3lEZ8vmyNXDKmql7l+8yM6r2iDr+fRub4K8SImJyGCeZbkVRvOlm5TpXMVuY8Aa2MjGLjBGnU
rSIjxficsRDcO1bmHT3+2n1Z+cWBDUzEfsCpmxdPzSyr24AhnjHlB5RV3alm2ndgOzgcJHm+x04J
Zg3Eol1zwOIGm3JuiXGguBuXcF3UvxvpJ6DaBxSxmEZ4Arngep2u+eRafFtiKdTR8PyaTJFqIMBd
ts9xIpNp3TeILaPKa158U5rNJhtCuTaKTj2h8SO7yc0ovTu8QtdVUhkbBo7ZQ5F5y55heZaHKsP8
5cDxn9LsMNjd9NQH80xWLJocdETFTYeI5GPkCA85qBuu6yIiUMUO+j2aafBQTZzde8r1v6dkIX8R
zHG58kl42xUzQ32WEZcewfaLKS28bGWE/kL5BTbuxEr3Agb3OrOTEYMyrkLLIHlhEm0Bs6IO98iu
EUXPyYLUkRVLaGw2iA2jyCv4mjbjWSiEPi1nYQRy19aPARb6G83i/Tyaobj37AbVGE3JJi00xGrT
HVj79EnY4ZqNYj1dNimS9UbUxVeKeIqmOZ9jiK7IoFetLyT67TQwbsYpq24K8mORBEfpTnUui6Ek
MqovPFGxOw2MBFZj74pl7y2mYjvaMXw9g/hOhjWpv5tR4sHhmnrvEBS1/51oZ3aoMi5Ac9RKBs/s
9LMXWZREpLSdEXkXXlImOyFMsfVY/HYbKsmc1AmyqyrbuuDNm0+h2epD2acgxlqHoIVU82nUsVWe
/7xgWcqRn6sjN3xT/BEJ7/qWY3vvqqPA9QSzKURh2uuAJjzKFm+wu3XFXwUnvK+LfnshF6sW60XL
fwsW/WnnF1eZ23SaFyIm4ZZQqrvA3QSbP38zv1awlNog5FlgOphRCCZn3Pxr7WUaXoYqr7I2bRHj
/EKic4PQhHY9j9O/eClK+3fXLTKZe+K9sXg60jH/+lJCmdmgsflt6pluneoSbd/Vn7+bv3qJdx8N
wxrssJKXaJRuwMlR4KJs/Kvy+P01I0mWS0ULRRtD2qKzyDV/+lxE7g0Sn6S5MYI7OXxv6wVZGuz/
/K28//Dfv8i7q6UE2diC3PFN3sQUIxpN4yZu2+FWUiat8hQt3dz89pp/yzz233PMb5mWycidzumf
C4XXLwjMuv/4Pz9P9//4ud+7XuuDY5v0vUuLxLzY4+nwe9frf2BOv+CS6Aq5wX+SCtsfEBUQyMFe
KbLBwdAn/uEwC9hAcCfhBwscuDVYxv79X79O/zt5JXTvraFV7/75547Ut39VCviOZ9NHBx57R1QL
lvUeo4QEvgismiDhgd60fyr6eY7WOK1CKAZhc6OrLL7JnVGeAzmrCWUOE8qtcjJ2SCIexis9JsQD
Ni41LOzoxQjh18LUu3Lw+U/mSeXIGEsz/twLvzxksekNuy6uW/9Fxz0gmiZoynCF4M2/imzi7PKB
erT04EwsKJIY2rQx9yDvlOY4SfoBob+RNz5pg11sgd4MXKAWQ+3Sb6I4Ti+xIHgPylCRA5wZpil+
gOis/cm4R2eHwaMS49Zvp/BRZ9P0OEgn/TYnbn+bO0o+RHWX3gq7tT95dRk+s1kOboze9TEBS2b0
XVHwVpMpPJmVbZznlJWgzGbn6+wKY1c1ZXNpWFJMixsUvShTt0Ob2PKpns38bmhj5MUyasVHRNWE
i/ty2hr1MrgOnezsofUlaCnPPTSJnP8HU6BhA58RXzRTZ17iTAXc1eUu9rIks59006Q349iDtA+T
CpOMxFUT1P1eD3l9xzyju2EuqT5xW1qXeTSTp5DZEeJGU38hesR6nIOeGia1wLQ2gkvI/PkusZvy
grmCdQ4cC8Qxpg7jmKmRjCJRz48AEpxno8JRz/qmgBMzDL2OsPa2Js8YtwiIJZrbi3pU5Z1GlPyx
p558GKtJ31Wo63aj4RtX49TJI7aE6o5WRd6Bv1D33FR0DkVuXTp+PbD6NoYre1TJ3mnd+TrImxHl
sByj5zBKpu95pt1jhbqKOPth+LLUd09t2/vb2o2Suy5UzdeQ4tMkfJllelKa/rmVKIuxK6JCNqvo
Cf03Bn7biPZSZPNN2VXdInZtPmbVGGzFrAkPNVLvtks7Ik/F2F9YKF6uyjYneR6sYHzs2Zlw7M1O
wAer46OVKbDJXuxUx84202jlenF5bwdxeh5nqa9GZcLxTS2jK2B3KrBEzZQk66rD3WgbFnalWocT
BHzLJJWNpshz1swwqLDD2CdpPhjpTTok+NlUGGdRSXffUUE9zzKMds080wAh5znUaDn3uAVzeumy
+lqUOOmCLshvTNF5+0woiMiuQWjqGOgXLGQEeveVcQhCOunGiPTBHJrhKUfa8UkkZXErIh/Uv6Io
Yv2t79CdlRd6Gu310NXlmvJTo90U8LULrzWvRS/J/pw6YKUDAkLJM+7GhDxzxwPNBk1sTTdRxshf
WpUBAIAFnac93tek2ysjGK1zwYPy6Bjaee3Dtjt5qY3nryZrW1Uj25ES+o+k97zPZciCppwhRw4K
onJQTC9OF9g3fl0PMFikeCqTkGSiplowB+XY8yLwhlZ2nCTHXDSYOZsmH+4HrF/bZtSkj4lq+lR3
PbqGuGhPZthEpzwT9hZqEIIGSdRlK1hilZhlzz5v41b0lv7SksDxjPWzcnFOqHLeum1QhBsdV7gT
4zBGRTu67ZcqqhO95y0G8DUH0B1sh+pD6VjdpdKTzcO1rD4heOVOrRu0upnVtS+RCnC0IbdFsul2
AdEVSenjokDdGhMFXE/pRWgovGRG0Utj3fmmcScNbyTBoJse8ngoLu3Err/yVK6v3b7pvmghq8+s
5/pL5GsM+WMx6s+ixc8JV34yhvXs1ZDCkrT9yPyLejiuYkkEZyxtVoXQ0nyyIkl/RdlAaJKq2mZT
dwVjpNItltEKcjny1AY2KKs0mmjCuMPCHRukfhsKl8m8bQ7uXaB9q9/GtRqPmqCgNRwiexdrruRq
tOwc1YppFRtkvn1z5KmPSN3tFN4SszWGJw+vYb3h3sQF63mLSxXPQmdeyLjBnhYpr1v1plN4a2gn
pDzJIooZ/GTDGV4RnuKEB8pjThP8EGZSLNJQ0wOeUKB9Hwo1QrNJJ2S9NuyjPQSvZj4YcwZ7Ga8F
0bod81aCRQaNmrZSUXfXowE6yioy7oWZzKh7WfPTFVXqpTAHCeE2qEiiFazsAaoH6ls4IIjD1ljE
E/4FsAhs+KJ6baSWd0bFz16QQWsImBZAYAIzfXQQdZt1RhPZOxcc//z0HJatOoJuKGpeL2yuA9pK
vJH9APVC6GQgW5mn6L4aZd/vkoA+y+5q9zFoGy7l1CURDxhYR2Lbx/g31imeSzaqpYgB5QgHBpgn
lFdt3REFAgiCwLhnrct3vsGs+KWdbXxBFjyYPR5OlCZSR0m4Tc02AAA3Jkeu/cKkmO0QBq4gpyWI
81U9eYDZNX/495RG68L1qTPIe8rGhzpkYw+dgmBT16qdTyCtIEZmkXhs1UQqWazViHh+gFsPTa7b
CwWGLixg48Rj3z+ZUew+0IImx14MzuXUtC76ud65N7yaA2ImiYYdOB8m9z/95yzBk5amPFiL01hm
2FGKN/uxmTXTqVg8yazfJyogM5pxT5QudCncy0Gu2+ckccQlDsijzL/N7AzrsKiPVSfGe3uxPwMT
YAKI0SG4bHLhfa51MJwT0xZ3EPViNtcyM1dmbXJY2uYMjAeZpY+bT/cwz8NuEXrbhtvfQyPR5Yby
z/wUILfY9yi3HjEAzIfGK+3HfLF1528Ob0cgTucyD8m5S83mC4OjkZ/BFs7zx78JszG5YReO7H+x
jjudt9ghFkN5/uYtn2Yf7zufv3cV1o4+Z6kXb6bcjYBdWelwMViut3MD0Z+KxbbuvDnY4WUQqMi3
2yeifbG4F6FzjXmau8rULmOussRAfGIUMHor9eabT/FzfAXRVG3twpvxvETMriJXVY+qzpmgI2bv
UWq/+fGjfPHmm4FeIl/6pElwHZnz9waECZ5cdNO7hNLsVKWY6bvF8q+xPj+CRJSnaiaZlamduqYX
Gy67zo3gOYWQ9ZhfLLJEcAL1CFWE+R6QAZfDO2ApurAHejecIJ+/MQkCogrK1ve25QIrCHOHZD64
IVtMwEwlkrz42i14g2EIIB1kXk8kySCGXbCAEIIFiaB6uxHryWgKvOtNOluIPQAoFG8shaIe+6/Q
sMjZVpbxqQi68laIFtSR3bbjwbCL+DoQNXyGhdQgF2aDWOgNcuE4jFVjPHtlXr6IN8xDk7aMToqF
/sCRiDFWvkEhlF4AEYYOIr6pAMLwKbtZSuFoz/oGlxEZLOwcoA42pv6mHD0f0652PqYGUz0H745F
bKXv3KZjmKmtN+vwvoz98WHBu6I2D70SMryl+w1jRUQ9RgbUEk6KR/ZPJdpXzljTW5eInNnXs1Oj
hDF8DFMYNTiBrbgIXIblFixzLrAFQ6tIb9zcx6AXV8I75vWgbnkf+a2VWNiYqLl8xmcu3qA+r2DE
D1E2wuWn0UY+b3C0241b3oYM9y/aUnjQjlxDP/VGhBzT7G147RqF5InpP9rOfKQ8+23j9rf64Bv5
Ku679vW1u3qR/7r86Ndazm2WpN2///qPtGc/fvPmpXv55R+2osu6+bZ/bee7V9WX/Ohvnd3yX/5X
/+X/en37LQ+zfP23f3n5ViF+zRRozq/dz50q61k2powq/nmDe/WSfHspX8UvMvh//NzvDa7zwXMZ
kvukugV0jz8L4d0PkevyL5fkQXyvLjOJH2tdi7aYcZUd2ThUSS+j0f7R4IYfImv5PQya3N/+ze/X
4L/Q3b6jfLPVJetwSf1lMWl5iyju19FLr2Xc9cIotlEuCbDALuccae846o2NoImYPJ/R6MmH4tal
zUeZRyAJ5UPVpRfL+egM5m7I+6OfOesgus64oWcNwc065LaJCNXZ/XR9f/z9P3fjXLJ3Qy8HCLgf
sB52fHQXmAF+/YNh1KkaiVG4MfzMf7GwwDwO8VhseAotOnK38a6SOS8uppT86sau503oxEuqV9rF
JLWE+pbwR9J8Im9AxxIB4nfwY7l5GR1TvrcesdigX0I4dCQetf5zbEHFZXpnp2Ru+mH+OYfFYONv
n+vvrqjVc1G54yercXH7ZumY39hTWjyV3gLVGz20WYdU9oS7WwlPOd0H2eWIwvXCtmxxhHndVms5
g5+rxsmY1wh0awTtaZrDqISHW13inpntlR8OebrHnTx/Fqhgxy3SZr74OjGG224a1VGYfvrdb2NS
yPog0cek83q54p0Bvc/yatjKCvFsWRUM6lVo7tx+7HZeMUFSGSjT9m0phwvXCIt13CyuPQwIV4ZJ
IIzjHdvMxbk33onRucnaqL0pMXcdrZ4+yuqq+Og5+LmoS3N936Y+D1TpG+anRkx4padKyK0xTjzW
2KvGJZYK4s4SREQg7NAZXIYYLndG3cgLjld2An1MYBFE34Maguzsu3V+ZjI8PbC09A5t6y4lfpPH
2Hjj6b6CU7HpzSz8OAG7vvRckoat0pi/LdszBMytPROOawokSQ3VH4VwluCfFp4RPo4N0c5UWv7d
lHOVoMfZZ19l02MhZvu6bZv64CRAEZE2VRTFrtCrwDO+AIDVBw/A4kXWk7OCpoyjgl/Y3YVl3k7r
zqbpbRsjfR7ZMZobJdkcwirmMyrNito0C7R+mdyymjiweMjDJenwLJixlCa5Jn3ZrgdcelssmdG+
l3H5kDXYnUA+zDs1UwciB6jvStv2rkrdMQQp3WxdGKQ+DEHngVKFTyzB+z61yRxtE+kRdM/e6B6k
aHtGxB6x8Y6bY46lHF5vPh6Dvuswz4LBnFyzesTnFV/ac1a/re2B6Y69edubPWT/oDUfuykkw6yZ
XZg0MYtwzHKwc8ec6dSmDxRdl5YY6qlDbAuLOTs+tW+AFQ7IpTrCc9PMDYabSMODoKpRrAbX6CZ6
cRhGHearokYiCzOwAwULMxHVZIw/vmei0AxfJ9fDF5HTPLQrmVTR5ygR+jbI4/AjFn5axjmPkfTr
lk5pnRRebaxEl2Qv0ejUV3NqxGTHoBNUu1xUJdnNcTPe+F5i3puYce3NIHOjOadxnb/iePMIhUrt
hcbf0bZuwhnZoggdcVuqhttgqtmx+bgHLi1tW98CqQwSQ3KP/kR5E/U4rURAkKuHA7E0XFSFlYjF
2uoC/bFycugVhaaqKKlvb1qJo8UyjOGFRf98YsJVflZz7N6Vs+73k29Ej3bGzbiK2ogokMKwrqIC
qTxkV1yPyWiYZ3dWZI4ldZvsZ9tW7LiqqFwKA40W1emTTT4XeKftbCJxIq5NiG4128lqYyet6LaU
HVTJqN/CbWlEM0g2P7hDBYC4N0WCcBhRDR6VYzkPGaiWz1UMhjSyneZyShxrm4qhOEtll5/sVDR3
nGPlJhOe2lrD2ADb8LvPfqCch3aukhvHr3x6qcruL7HWijO6V6i6YmDtlTVetKEqx4ds667/nObo
AlegFMdn2kMmlSEEnr+IubB+VW8jzQHqwMrJZsvEHNp7+/c/7x7snnknbeWWBPaV3uAeOsW7YG+T
O+4d/+Lw+qvXeqdu4h7KMjfhtcY1bSOhErhEi+3O3UJ45itOcfql34WITDfcHsBZ09VfbcDeYpN/
2bW5js2Wjd0X4HYm5+8WOmFbDgqlV7ElfK0k7s+kkt+gzVl7z8B2pLnGPrn987f9n1IP3OU1A2yA
VmiaIOPfbV5qzUeKEL3YkhKySQ4pTIBVeCRIbZ8umSjB373M71/v3XvUJUJy8LGEn5erzZBs4lt7
rR8UkSHGGiw7CZcFyPGNS0gTvUH6PzsfSu7fZI6MfyNu2n9eEa//4/+13+ov7wriHz/2e0Hskhvg
4dYgTp1D4JeC2P9AaAD4l2VNhLFjcWX+KIijD65LDR2xI6YCxCD6R0UcfHDwHlrsh3wTI9ryU3+j
JF7Ef398Q6iIAxspAP9jsvWx3bd10E8PhDGY2gphWbEN2d8clxxwYinT773xFyrEtzfzn1+JRthh
/eX51mKa+XntaVJHMgqR8cYDO3/H0KnN93ECAWAVtHp6EMKvwZjIGtKFKK9MTCFXKaekBdrYj45o
NPVHs5Pjg5h0f+XGwrqi6EvvGZjN0MPHyLzvct84FhqT+6oqw+rOEJGxaTySZIs4BcfhxT7e87Tx
D3mZjWvX6Iar1GqDrxA9jE+OSLOvvWKQHvfA2NYJlGF4DZHlwHXOq2RfmAXUq5yccSeZURO5hnSf
5ixpXk0dVOysZo6IzLRGRgOTUhSzTdGQYxu1u9JrnVc3TPp5JwOGFCunjI35WLfmSI3U2nV2VLNG
xeEzZiX/IwvlbYRNxlhbmRszijQHbAJIIrbjCBcud+P0YzrbznOURvNlEQ9E584wgelFuoS48TmB
gjIIc93HjrO3+3n8hui+XwMSVszdjWmDjE+cQhmps4HeH1rbHLQ+5jw0V9s0mKf0YNJOrFvpF4T8
QEphHlMxit444UgOAUckNBTOrWUvQ6vOhm7wbiOPtNi+MPwzglP/rJUsPueWdk5m4sc77HniISN+
AbOFSWkCESZJ4rVh4TRleN+qCzMyx1uZeOi+IlAiB+wpxQkpPDFsFTuZeRWpoWL8MfbPgeqnuxwr
KNQMJLDkffpjsxE9awameaCnRdtN1+AOgod+mpyHxGmtXWD4DaFbqLeu0BpSlOdBVN1rLaML6Tvu
2RjH4iZlsG6tMDwjvKmKQVOrNc2lY0KSIR5A5Td931kPJEmQqhUF0HJMqNtHMeaobrypIKWce9q5
iFVWP/q1EW36UuVHYjKSS5W43CdZHCc7k/+/ycNhWZTVPVmKQ2FlOyQO43XqVUcjjxGuamXt4PXO
t9MU2s9x7BBCRYqPvTM9GpgiDpxnWzAB85Qk6YupOdVOFhX3LoIr3lydQUAiLwEz8ExrSVFaRvkV
KjtwILFb+cwYHRxOdaT4iLKgzJuLRE19u4ZTyAReh9KXCHsiUBdFPljhSaRVT9HPynLeBmIo9a5p
RPGkO+i+q5qpOuWXAb+yKlXylLo5oXpho782qZWQk8z+blg7U4TvggVJudVxFBHx2ng4me3Yrq5j
6WcPE2Mce2dJaZ+nuVGPdlzOwKXbVLZr2gvcNRI3wZOpctjPCsOF5P422kd7nuqPo26HLwrZxYsR
sq1C5TdThTopasSGJuKSkCsMkGEmgCBEndmLEzLUXq3nYMp3mFx9gFBvB8J/61nQD9UCp9E/P/r2
/cuQvbSvP8+Q/vi5H2efH31YGGYs6dAgvY1d/lA7YGZErIBQ3/fQpaPq+cfZh9rBRq/Op4TbGoce
M5F/aPx9ulq8h0xwGAm5S3H1N86+t1/1y5kUQikNKA2ZfC0DKfNdrTaotgpVWWJE1JTyVaOqbhPF
lYOq05CmvHJ8wyKXAW/y1vQc1JJY5S4T1H18izkkLt06IhSqLsuYdWnJI2XFULm7ZUNIGPYSOWKU
SHmZTJYAh7S3nQKA+XVtzZdtbKtbPGYOLGgXiaLM+AMkgrFvdPAMyr06bS5kn1WPjL6NXVRJsQvh
bW1ct9MX6N2Gq4KAg0NmEmAgW2JrsrYYdhrn2eex7OMT6zxn5fHN3ocF306Z1OPFVChx7Zeec6pz
YuxT3seGIa6/coWHEVgUEMmnOtwOkXqNwwgij9urawuP2jXCkeFOoht/oo+JV90cF8d67rIntApE
bI6ADbtdkZf5CYoVm+8+R0UdtrX7MKZuyCJFNNki2ljC2ct8/ogGBi2iiWyedBkDDktdsLfbt5nl
GNs5mWCCGhWoYxYLBl6pNs2gobhe8WQnYHaA/7srbbD7xPNHsnkkxMGcNRrkxjmEBnQJLnJwqNK0
v4RvamwiUDCI7UB6Y16wV+2su00+jNaFsonzrdFNfE3ysnsMq5bG0h7S/cBWlgXDoJONTuTIsqlo
4GZSGewA4UzbsbX1F9BR1q2Hi/VKdX6+rrsWu6aOp23pmsauFmG5h3JbHmVKnrqQYBi5wS1W3QSw
Di76Wlt200GILMZNFxLrwem/C3LRrqU2IeSzjjpFahzXvmtiS+UgwQQfa7AX4IrcDvKZ2U3+MmFK
D/1omp8qUaZHAYx5r5OOw1rXwyFAaPI85MTU9JOV3rccK1tvBGOAFaHZ58E0H5QfZrBgLGyPrgz3
6DHR8GutdyjuB6wvRnU0C/4qeJ0Ysvha896Gag2srzi21qQB8Lniui3HeM+Sw9uwhCdIlC8ekall
vJK5xgo7JuWW8QuXtidviaAEGASWIgWwm4EDzcJaQyTZ1UULeGpASm7Vldy/2ewC0mf5oLGvVpPx
eZSC/U7hs0c1mx3L/IbqsA/gE83JJTPK+D7ge4YqqC43YK+55sQrrFODhYccK8GlBYYTOSCqNwpC
1RFUzghrDs8/K5IlJWeYiQ3toRRMiZt/0qhct4U/2WtApawtOJ+GncpL5ypwhuzkGP60g/Aj7uaU
fN5Fmr3XnWSNFyTpJujjGLCZ13zRNSihdIqh8E6COPosn3bcUsGVGjz75LBfOiZhEbHH57jcj8qe
GTGTXI0ev/vmSyfagrcFiWRY+a4SYKKAuKXXc2Mk5wyL8nGuPHmPgGzkc1Q+mQrVeEERPm+tsZRn
5lzJVja1d0Akkq7Qc/n7yfYxlECNi1g5AlBcSabzzCogDVsoDV6hJsIhwhc7bhneJ89VBcJqSNzy
AaJxed/aUXNKiHnAuqI0CY0znwFBQuHezjsaCXv2nhL4Itdaung0+TVnsPfWopyqn2ODJC7okRV8
1BAKjZ9au3Yo5POkNDg4t7IhOXrgZ4ER91/JCdAdA+sctEhktp+wz8Sn2FXxV8PpqjvJZd1WZj89
Obnd7kFz8VDxTHxVXWXiEeAh/WAIJky26MU5m0JII/XI0jCY8HiCwsYwzsKNtWCGtzQlgKtSF93g
Jd9S4VL+ogkRx5it+xUaFbkRoTmcRhkSbVlN+bHOcv2CQz14wKPIM1DaPM4tzeAXsZPxaPuFezPM
LYAK17AEpKrSuIphaL/qNCeYg7Qk8LYe5JW1UNGi3pbFKcOedNHMWfDRX0DdcRp+lBlnwArWADg0
BKawGjICTubCO8WNCa4xmbgcox7UZUbj8rnBgbXS9HafHMcUUG+JMFWRGRzqZHavnZJoG5asPGV7
v0X+PVkGR9QcuYfWGkltdryKifusWkbZXpI7PA6CFHzaRPgwKRlM48gCKomitsjXAXv7TYa2unbH
NIVoYk+bol28wRIe0kFXgYMHFubXhcIEfDKKwbyGEw5DnL+F87YW4j63mPiP/KVrs6Q/g1xv3dO9
IdtQesSb4do6YbG5pJgkA2VkK0L+avChyV1ke/kpGG3dgO5iqkS7a98mE8lmnlGx3Tcg6wC+xWJw
j8yOBU9kVTWaFsWTQJjZY4vMd2v30XiTpOHYbWs6xu3cGpT7JJEgcC87L94qUzFiRNON3lABOjhT
yGa3jlORYsF8EaKwO4aPFeO+mxEjFDh0U+5pBUcGT6p5qP4/d2eSHLuVZdup/AlABlwUF2gmvKbT
6c666MBIvkfU1UWN2WTzjyMn9hcoKSRFZqSZfjPMwtQI6T2SThTnnr332t4AYDOInOp1IL3zZEYa
pUpzo3n3HGSsT+CBlPfm7Nex6jUDIVqCJ9AILPfgGbVzbPLA2k+4gPaWsOx7aid0wkbGbIHzM8xD
FGQKAGEanoOw6a+jEsSA349cJfzsJT1xFQBOvvCIF8Tu3K+id7xdRrT4Ksuy/Ics4vC2Jlz1muXB
9DJqg+XX3CAHJo7sUcEwug26qn6dyBhQI5XUNx3Z/RuPt/A9GbrkqPeh9GVbx+tx4u2Omry8PIUO
EMexe3nI446KGTeNP0xvphm2ANW50zjXHVoulx/EvO13W9fcgWmoHnjvLctiK6k2XiSo5fNa08m2
7qQlB42e1gVU6Z41ZRb7MY2N64IQyT1JUjrWiXU8FKaiDp3zI+b/bIhuG33Mj3mVDNcJOCRn05R5
+ToOy6JXBvGODjzKsPlpKYGaNHe846wDATOx5gvgZPtcSQSLRDPBLNYI18+WHIY1LzkcQlVaYvg0
W3MLyQ14BIwEP587tJS0BorolTboQTJe50ZrzVMUgiSa+kJZ/sA2iL1HyTGEoCK+TR26lMlSYz1G
VfIR55N1LHTV4LOYnGfugGhXV0N6sPPROE8EqK6CpmuPskjV2SPUumH/lP+c7SD4VFNmbo1ZwUK1
ZmPYTILfSj1EyT2ej/A5q9mwdI1lgr3J8NthSALqYzfhtB7ZlyB3euIOhn3lW9YUUtlS2BJdqzMe
lajK9ywf0g8ZBahYoWpp6Jkj8TgJaD3upiptWnC+3WzOYmzLvj1uxWANqARaw3DJyfM58NKx38S4
ZONNM1uE+jkZR298hfnDwXtwOxohAlg10CfRdcZaLna7eDHezd8WvMWMVyy2vGYx6FWLVS/BJMHL
DfseQzROPmMx9c3f/r58sfpVwWC+G7wAfLZIApxDP11Ko4w3dOdRAz8N4pwsjkHkm2htLS5CjRFv
VYvOfO1Jdi5qq7bNFt8hJX7mtl28iDOD589k8Seq2DUu8+JZ9LokPXWLjzFbXgLjbI1YUnE5tkFi
0r/Tx3cG2NXzsLghy36IbyYxTNtk8UraAAGjVZKG+k6BBV71uSFW7uKv9BanZbt4Lhmvh0P57cOs
g/aFRoT+WS0uzYI5w2e3r+3F4uE0FjfnGNUFjDYcnvqs20CFcH3y1it2GKzC92nxhAIamXYwIeJ9
HZGCBTzmbbvFRYql09o5keacRJ/kV/biNpWL7xSrDRZU61c76rc1tfi2qWKHxbJKhV98VQZFFK6K
b0/rt70VwwnW4c6juNRY/K+WrMcHl9yN9K3FH2uX7nJgWFyzDa6xu/bbSgtaNDgwC2Kw1Un6Xeei
8uDnGqyu4pJG6Gpw94Rbs3WBk/ExbXHs8pgYz2oMh53dtO0LTU/eczvwZDK5dFbR4vudZ6e7c3i9
YinTm+6jWBzCUGEdtuemeEafLX4MaUH7eVtUP3FpeW/0GjjkIoml7kU3hztjMSOX1Kgewc86J/Qc
kwUxJ+l/650BR2gO0GgP/3plsHrvPv95Vf7rn/l9VW7/Qj7NRpbiZIAbxEVR+j0cIVkKsDyms4a4
ETYOchO/rcpNEhXEIpb40YJAIlfxp32Bh1BOYIKVM8U9FMD8LYwiK/h/2pb/FthfnCPU8hpy2ab/
aVsOfMikhM9oCAUW/UtcMyVj6OISNnDw6KKKL6I2C3r9qBfhZWG9STISa6woya7MowZcXGdfh9FA
aBR32EZWo40W6jjqC/x6cDMVsbWFf5I9K+x2N5VNljeEmMwuGu9iubgYxzaT24hc9VEtHsdUTdYD
nqfumS2o2tAakjzWNcAWMKv962RYKmE6xzapoQw+pPjW1hh9zRfOUPF6wMCCwm52w4PhWsOMnyQ1
jw4mrNditJY6G9Bi/mBimxvIEfvJUGHJhbUUHozClLdYWseQN8ZMa6awouxDBn13O1Yh0YN5xiAP
6NBEeYPggcHDSAhCYN0zt8zfuDy6ibMHI5bS0y0FseE2qirih7aGS8WdCprRqLdN3njzst9vBHgb
5u0eklKrpdMbizz+0ho68I2levFTK0r9niomcQpws2yzqmlPo41WnIEW/rSm2n2d9CG6btXo4Va0
HKzKdFKMiLFABKGuVHh+zNbltSnHtLyrPTf86NuKWDpcK/2C/F8xBsQOmDVZuv21BQqY8jbC6Myh
DRLj2JVFvQXb6klOuL1TsqrpzG4Voh00Kzd0LGsbEx1hX+SVhPLypHrBv62zJLaiH208FfvAs+ka
13K1UpgDG/iN9fQ5dNlY7NSgGP/pXjP3CStZ3qUwIw7CpAVyZQwcVn19soPbqQnKFl60HZwnHHka
c7c9mhtFpVz9VFAdaq28gDGkXFBx+QKNy6Z43mP78V6gv1XvykuoTw6nONiiOXingkMpUrVp3JRh
Ohxb5dZbSICLRSNzbmiltfnRxuSatJmFFzAdKBwOoJx7TsnvP6gipmajhnjkay4km5uwdocE7b2I
z0UR2o9lI91rZIn+NCRYiAeOEZdc192jLlp9R2EN3uCktY5OG8Qb3WXP1o824aQ4Sm7Kzky2GK7j
LcEe9kEB+EHWHBzruS42aTbPqzqTwVVd6v1G6jnmZFFpL65aqP+uC32f6lsbnXqVj4SJ8Ho4fkTj
xorYgncobKs9CVZYlLxRqmhO2MbQz2Ial2A8twWc9YinkS+kCfLeyItNOXc1bGxYCaZyvYusl3nX
Jb6hJpZqiQPwmOGv39QoEhxsFT5SocZTk0nI+CNbBSvtjAPDQc1RBgcTyPJY7Apv9l5ZbWg3OjLK
vPzisUrnWZRfi6RMAr9Jg25XYuSiSqDCDMaBZUICa3Lb5WgelJm2guMj3iZ8DjmmbVDhIUmS62hM
jGd90JufE4mAixta4U9bFNZnbDA3VkMd8awIxldTogYWAR8ERx5iQ0E+4blt4SQKFg19yAFjysaO
qge2WkOuohUHZG0X1CkixNjr+gZubrhKTT7Fop7GW0nDEa/fgVTwOCXmalp2RAr21JOAp3hwOffu
9T4qHkkd5ycga82NABsE7DKLP0OhJRcJkPOBa39aD9JudhIPNY3VnBRss65wvy0oVR43J1eb+9pP
45rcCXkhe41JidA5Hiv9h50YCA0iK4wfE2s3Coz0/i0JguiAqzQ4yVzHiawmV9u0WFkPotbo77QU
9nK/7LtqbROLWAWNReUsbTP0JePrynA21da2pGiBXPoQn7qBK0SWpn4oNM+9mTCEbevB1VEIw+y6
m+CycVxkQWCk4Uo4E2WMVmS/Dq0BtUmoFAI/N/tE6E2rDnlIdUI2WBYOhjinqYaTobnDOpaj/uUt
/5mhLYvTdmFFmAs1Iid0/kPp0Ponj4c9bAIbwARABGAT1sKdGEObOkkrku0L77v6Vf9GVBBXA1ch
C0lHjzYtGAvbRvTxWyG0J8rScmzOsXEXGq/CHuKzQ63RobOJlEapM3+xks5/1KLSH7oFncFJCYrG
NGTAsgNO+TZkgRfuOsEGNiqdk2YuFA5znAidL2iOTtHS5kND1R9x6MDuSBeMB6JT/y6TOGA9K1OP
746eWAqs6nbrmap85sulZxUV+b2eO9kdqGMDPhZsLVuWwXs5ivwhZ7Xhq1FXm2CBi4hkGtGVv5kj
cTPL/byASJxeled4gZNEGaQ5pE+QJVrV9DSXLRyTKadKeR1SeEsbJolIajD7VFzXsxh/2HY+b8N+
6h/kNx/FC0IwafRs5l+BotPCnChO8UmmQXer83bnLqyVEglRYUCPtG33DWMp5yS+l0ZCUwbqA8mg
rIlPFSM0/q5cn2916lqd1eQQxGoNbX6LF1rNztEEENPFUvCuwrTkuUO1QpOaVJIGgTqVQh83E4M3
VNeSjrGGPfYjO1ydMSWoQ6D5HXcwzJ7qaPXgjNnmtRHtTl5PQ9pSZZZ/15pNSw0anP5Ee8CUWl1G
jton+hpYZfb9cDsu/Wh5EhTXzdKZ1tVOt7WJApz//nz875kz9qyFmsRs+6+n6P9os//6Txzdn/9E
1/rtD/4+SuM6YRgmsLAASxiXkdd+H6XtX4TDdaA7izEKR8pfbNjknNHkEMMYdVHt/jFKG/ovgmcD
d5XN3Av/829N0r9Oyn/xnSBl4UTjBWlQn+mIZdL+0yQtY1A4qvOSjTXCOvFl7TQhO0aH+p807dt9
o0ZM/R09bhsR4ElocFvcZ4B1tsPQcHJdbhoeYFCI0ZXV2XZUxRSjMDvoSU0rTzq8MdPF29jGnWh4
lKJT2zuvmgnJwwm9HxgKnzTTpm/dK9/TLPhgYSPXejlFew8QEr7uBvY+HbvRkRcw6zCO41fBEFLI
M2KZoeMak2c9Bua5CRSITPK213SEEzjqK8DiHPhXiSoIbAD4W3f8Ng4xFWBXCY5MesD6qqAbknq+
3ZCIcGMSZ6IgiXrezFVm4o8qRnEINr3db/qGTR9PZWez8A9WoAKL23xU6TEbCn7kynqLR+Zoh1No
WKc09gwV0eMwd1bYZmZfTGbrx4ZFehojpG8niXGVduNDJq3ojp+kvhThZB7jcCJTbeZkMQtwP6rX
KXnTXwrDodS2hogTJ01Gl6j51Cr7rYm9YN+YzD0CBAztb8ZbJCpgQ7kujjnG17Vt1ywx5XSYkuTW
q0fnTMDj3Q3bQxvrMA2bccMmaSJRiYZFXXS+rg2n29gc41nV9RSNo5ax9+vHHYPCh7ts35yGWAlt
PHQ2TJi0c80uNgHsn1Vt9kiCuroYQxztoFbTrmnKsT0Zeg8cK6zq6A7KSnRg4U5XB+Dxx8bICSZF
8Y/EpKvcKMadjKY9vUyAz5P5S07ZG9aBagPB6t2djejItF2sJW5C+GK0TzUha0reffWV1mavXd5m
O2DYz25rOKg/bnRJ9JRpc+h/oEq94i1hKoPUTY4uwT8BuLJH61lnqj9oUntlYLlpqDbx7SKjSZhf
8WXxz/q9mN6QCinQ6Y2OLHDG9pLQ3Ywn3Qh2sVH0Z2FkA3HpIv4hSXpu27r1UBFdlptmbSW/5hH+
rRcTv5kS/tfNxH9QEVQW783/YGbgz/1hZjDZISzuWQvoCd6EPx6p1i8w/EB6ENNgGfHndmD9F/gr
pEAX1IduUczwp/WEZv0iTBp7vWV7waMYI8TfsTM4crHQ/fFQRYLnCzg0GKPrYWgAYPjXh2pD70yS
B3G61hU7zTjnlCSvoH3FWX5baJXMFo0kr1ROb5Mtc0Lb9kjCoDBveNGXb5HtxT9SoVGHNJrlC2mr
PsZ4Vc35yqBcnMx+6ix1Am71VLotFfNTVabbfJbtNtAadZmBEx2D3iA5J+KMDGij0psewADrddhK
t3mHlSlNppniUo43/oSD6dRjEz66esTJghPruGVmaSnIbmV+b4YjTVqunKMNaCjKYImsxLsgEHB6
pKZfsy5Id8oeuw7iqaHflJWyblwzt96rMHDZ9moiuScg4TyIBIRr2TkgT1RpcqSvzZzKLU77G8ee
xEdDX27ph/2Y3rXR7KKCtwJynTNL8LRFuONQmOi+kZXeLvD6aNNxvqvx5gX2J+Z2Ig9BXZic62bn
WnmyvnWTsVFQrtDNk8YBq+b2ZsT9O2XvWmY28Tqzy+6RqoTiFTJRd7Tqub4YnbTHNfg8GkhVMLWP
iJn9hf3I9JXaDXqK1AvtyoIUcmxw3nN40vL4WC2NQ1VuBJuxXb6ICZUah8FiBFhVmoYA03Xecz1O
w5OhwuK96AiJMrrq9qYbJmvapEyVE893O9vpo0BVs4NS7rRUDNcMjB0UDb354qeiNq0YlPFgRdZA
VLfX4lcn7YLPOe/LXdvOxlXRz4re49K9K5Oi63wds+SyREKSWKbkTvcV98lXXtMGwt9cbODEAdpQ
pbN1DTd+yWi5QHcY5uqo23q0nR3hffRVGJ8mjAuCSsDcRXIbrYdAC8Ue7990wEYas2GgAPSNSjTK
KvCuUZ81D/FLl5rjlTsXZABUT2AA7GHPgR+u9XQTEB64dWov3KD7KyBwjtplqezxw6B0FT6bMk3D
ml6beC3oDNjnWBI2GNrVve6o6CmAMnUdkqddq9ypMVtX+C682Um2lVbr43VCwvfLMJrklcKYaB1K
XAO+5Ld0sFOFOYHSMVoThA3yux2z+gLxPLiG3pbskEPdkw0W8qCNbfReI7NAUQvL8BwXRJ1SvWgu
gVPlhKzy7q7l0z3lcxn9aCbEJuGG5ZuqpuqxS2lHabuAS1PLPloUwK3jde7ayTAXgaqgI9cW8xpr
6MLf9YrrMHFawRs+1W5iPEBYTjrXWEfUtu6qUUwv5EyS+zJ342PaTOM+57M5u8xLD+nsTA8DtlpG
LIcto+8a9GXsKg5wxra3IqAsNqgOZ9l4qPOgghJTQWGR3hlCkHMrG/tqvra+OS/Yvvrb2ltMG2Ze
6pIj0UKGibveooOMjDTdiHnwOs1TrK8U2TOQJOCcp52n1wrSDNsuj87HhUADiDmg0zyJqBKB7Axu
NqG7Wy+mM3of+pXNUXk/adl4Yd7trzAQ22eed5n3aNIg0vrpsARDo++QqL7kRQeynVyoS5bU5JzT
g11rw6MImuzWELF1jYOMb2H4DqPSwNzeNl1tke2vzEEDa1cxSHhIYn7lMCuuNS0J3zAYE3gt557E
mt472JdA3wKlaJr21Zozzr75d2rW/E7QekuYto+gXiVNzCgEM5C0Lc8zSs9Yg2ePzncet+rY57ZV
4d7H33ndZInuIk3CjIuXQG9WGeZja6KwlkE6/yhdJ/vZpJXF17Xr7NzzZGY0ImJm8ADr56dgBF5u
6xUms0Mp3ewuq2PzdSJ5BeKiVd2HUc95uppZEz9SEm28ZXOZ7CJzrIpVWmX9Iw0oDlXWo9rXuSbX
RWbAXyTu8d6klLhDVjQPeimbS1902Qmrug5IOkYKNavEZisjY40uUW9uRrLL0nwCFaPvuEKyV87X
MPBDS6UkpED48E3QX/MMkZDHSMuGpFi3pQuvgpcz0xSO+uEpGOpmw2gLStFMeaYEoYe5qKys+UXZ
ifYRa25xT+A9+Qmy2NixORxPHiHBV70wsLdopYNDJysL4WcsEL5sY8DHkGsmLB6zki+xsIO95TYG
WblBrEf6J5kTR5ZEeKUw3gyyqDc8D8tzSa9x45cFLz0fHnz+KKm7A+M3J91pcGbx3EEVpXnOzM6S
GXJHo3AAJzCoJ+iqhruHQOgd89jJt3GeiCfY/fMu0sn9+nU4a9f0qrvcg0P06SVcthEFfjAY9BbI
aGphgFcAxXtR4Wyipukdu62FEzvMw+c+yAhlijTW97M9tPkaxTjU/RqXM0GmOnYewsSuHb+VavCo
r8+nddnZ3KNziu8rjsETZK1+EMmYX9Vpr46OTZDM73RiWW7TaEds6RoHNMM6agT0M9+EX3GJQ62w
180EPgVhACv8SudM9MzSvfBJq6q9Aue9hxHonkPOtMv/Ce0JSnlibN0Icn80Ff1hUD0+hzQVCW0U
08QVwzOt35cmKuCaC7qg9oi7kulfFZeMr7stwiUPONUYvVHuW3EL6CK/EpR1X1FTU90UWRj+pOdm
fkEPqHdT30C86LCpYekEYGrDCU6gO96NSoH0KE2z3HcwQQEdeiP4Udet33RANB+iKwFScvkHvunm
MOGRbb1q5zJXPNhRb942zDJwPvvgkvZmvc5lAKImC6tLllP2LJRHA3nkifEZV/5ypxrFHZz44soG
KsVGu/UOFqjZJ+q06K+d7dTGwNEZn3rUaSe6JftmN5qj/JAsrt5py52v0D74rJB951MDC+eiWaN1
wFPErTyOuvNFX5Y4eU2gn5NBU2cdb+fBDbho/ZhtmVjxsNAh5TTuUl3e0sUbeOFb0Tk5iHq8QS9O
AsAW9kNBbhQzjX5lMYIfQg6mwo+ZwT7HZFAHW5rjhjNYdUHw93aNkHKtQV5mwMBIfjKzedh7oJQK
f8gBBZWwiyo/TAYeqXnshaBvRUeOkG22hwiydUN3cXrHy8s2KtnpAp1or4cIJOhox95VYNbFoVOm
9LHXJh/hNEc3zWSVG1AL6ZrWrpHwMwm88wR+4zKRV4aL25i5yT7My3W8eW7A08Lu+gNAElhHUz5t
tADr2Yo8argr+Iav4nEy3nKQTIJ6xtpgQS8l4lpUSutBMq5sxDDTYAuyuHt3jTSd/AQu7NIwGG7Y
FXYkSGf4VkHU0/xuNGBjwygqyLrKeCPHyMo2RmN5Wy9TEnGv02PsNTK6F6nVbCV2DYxeOtcDrrGM
SGYseQ5DXzfVerBRIJTXVnvXbWC0DF2Vb4EVR1eh1+Y3FksUcz0lmAUIQILCqHMqDbwchs56bM1h
7/SYoHlCCXmZMcbtbZy+7aoUEFl4HOjVgWyvTmdLkZyn3MvvsqhXJ50z+NnGzMNjMjHFDaSb6ouO
KCFRB4f53MpejLytcTDjLawfqdqwj264VJizjDfRSB1W47WSzs8Aiwf3fF6En0rkeHA71JV+FfY5
oKvS4aUjO3E3ht74QC2cekmxDGzh5Gg4A5KSwC930QbRsX9yYjt4aNy5dPwxy61nvZXhMcDw8jpJ
jjgF6e6bQdA04HtNl3zoZTudE2QBfdVw1NvBqZvfCtFzeLLRKNjPlMKIieLq5iWpzL6Mdg2S2dCt
nCZi8D2g+EyPnsBi5RfSzD+hjE8HWVm0+aII2NcB0e1zRRiKijPd0T4Vtg1rPce1YjLqsjL0Z5Eh
b7hWFoL/DhXmtABN76WrS2guhrTqZGd58IwpxSHOsak11+s31DkYbEbqum5PtAmXn6Lv6v+PncC/
5zL2183Bgk3919vYX1Eabfl/Vu9V3L5n/32DsPz535ey5i+EF+gSsH/1Ivx1g/DdBACZQnLRskL4
h7/B+sUFe2p7rul+9yRIVhK/5SFMlrwuG1z+A25r/qu/VXlAfOIv+wNiUji3kchZRZj4OXiJ/HV/
gFWGIg0OYWt2lWAVwcn3luy3Dvawtc1OFf91gxfZUStWCpbPy/cElLD3jcF0/b7ToC1bMG3r+TJh
yyYLMb0SRTraVL143nDsW/PWs4AFcrfsU6Rilgv9RsngOfFsulKT+qwrFx5T5T61ExIud/JjqANC
UwzSdNnZK85WuDDdoV9LzTnSIVVtLC+fCTpoS70NNemo8uY1C8XbKCDty7h0zMg+rT0vv1VDxP5D
pcCGI5a9IMSyR51NwWEaiROUYW1QUpnwQCeejdaCAB9QujZb+Y+cPu5VyYLtFC2rvK4fLlFa1etp
1sd1WdHoN+rzOhPqyiJy4KuGI/wQ1hAdxsb3mEr3Y9eUfh1kQBltuOVBFN0abQHKfKZsNsZvqeXl
hV8L6TtaAXMLYm9l2v4wmw8Oz1Lc7B5trbq3wXrl+HGRxWs+63yHSNetLdE+0XOLgRnie5oBcxeC
yvuON/U6srC8SQ8cfzl4FtorsnwC82QrbL5T3cDPmpvmQIJS3M8tZMsGz7uItJ0VTKco7W4nUgNM
NsExqYn8zch6ojL3HPr1tRUyB4yQwcQYrCbFnkPSrMiQy/ltAuLhoyTg3TW0J8JtRyroqRrOzOc0
n5Njp+r3WQBlrA3VrLPB01Z57L62oYbDOp6NzWQQWJS9QyNRqGsbz04+IY0563hUNygXxSqyjU0H
S4GwWfGVgRGgNCjvKaicOnbltBTqU3HflNDl86o6Epbgko7DlyHLFYox/N0GUdQvqJvkmzXSgxfp
5p1dGBG1zXGJF5SH7Fj1N15vfM6hdzAJ4qyMNuzJzaExyFhswohfX2I7t/idrzi7EtlwkQRLhNOz
7kbDQbfok6ooLxu1Od5QxJH5sJweuyF9qrz4kR5tY2MyPZi68uCQED9C2aYrIinnVW7TPz2W813M
QYgCMJk92oSKrphfnHXbkSaoxGdkaWvDbdKtjrd4w9qPrx5MazTbiouMoR5GHz9QoG44n5kronIN
OJXuzVwKGpi+hK859pnq1WgVhcGHlnTP4D4g4Pfqc7bST4ZiEopBdkKmfpYq/4rbod9Q4DruMkZR
v3DZ7hljfCyr4RHZHwNJdsw7yDgy7tvN3LNVivTd4Bk438srbAq3eVD0K8rhspU7xLcswj54Hm0B
rq+zQgYrHlOXuUr2LYiZKGy2Yk4ufZ+e2jq6moGQUWV7XeMErqrifkrsY0JhmM9Pv9F1usc7Ye4C
aiECT/yk1ueTBOCDdLkyhYbBmtTqKm6L65ozPoUczU9Y5w1eJZpiYaASB50eSCI+t41gb1JkR6PF
bWwZyZ0lTLCBef5aMvPz++0/zAjCDMUjN2ObnlIx3lVJizbd0lLaNia4wTD9iIX7MLTNl2VBGw0y
hAsZX9lajxqPyCzLq3B2T71m33ZR5pHxQX4JXSob3WK6dqlDWCWR8TLPEp+RJ4kWF9x/WnmX1ulR
b903FTsfTP23dNO3FC+oO6kkA0z/WQt5y6B5wQZzFcAuHXOLR0B3Naupuwna8t4uqFvQ53lvshi9
smIoWpnRHKdeJ+NJwZga6Mts2e3V6rRwtCj9xG8dA0oCy7di1ihVcYdmfNQxdfv5KIhjwPJsDF/H
57XqkuCrRc7pWSj4KQ1leaXxG9hq66auj4Bil10YLQy5bb5RJNKsNbIEAOjrQzETG8Dud5QuS0Iv
Bp3nFRZsjxkcWEpXwwo1/EcaB2LFHe6sxqS6TQwv3rOUIMBexTlG4OX0qFX2SnnRkU4S9l0pw6Jh
57d9QQVrig2J7q2LnGZtLebmvXZigmROcE8H7sGgHo1J1Bk2AUHctScbl6Ccc5d1CuMxZmlJorXN
5lcCco88BJntbHuVxuPg16NGPZYwUshzbbulN4vmiECqHbDOox27cm1gBMx6HNRlSJkbKO5zPpEl
RCedz1EEiqg05kcBesYXXEn+lPGxNSpql3BfeoNf5yLTZly5aZ+uvD7TEfyJJiYSIwxlKLeB1ONj
k2AaIAEI4aSQtt9BBdV48fjM7pSpqRLH+xBR8UGc2hRmsWqH7CtT7Vm2EDSr3rauzTl5Csh0QBrd
RTg+WD3UPImD+XoG3NnEmPe0Uu7ZSR/JSTyPBrlDG1ihhXsRVwY3oe3lj2ECT6qeiOnTi3Pm00oo
GeNjwbP7OiydfYbhvKW4wf1uwCxfxba1ceDyrSst2PIy2XzPZX9Lu/p3nlMNFPR/Pac+vXfVf/3f
/0ng4o/9IXDRLuSY4ChY02EZYND83TMgftFNKDj4BpZSrG/t6x+NXLqrL//jYrHoFhd/kCo04xch
lj/jsStgsy+cv2UakOKv8yn6lkBFM/jrvv9a117+/Z9MAw5xIavvGrnimNu/2lQP8awEi0A3yyId
sTlERWqpHPzqiA4wUfLKvnbHwjjWcdu/DN9SVAZM9kbUymXOW6QqzRFLKU2Ysnb0+mqTijjcsWZt
7ozS7p+GtuxZV8lqTRjTJY6ftjuHNN2uwS27RgzrfJKEZ6Oqv+BuMiRA9Odsug6FYDU1WeIa3dA4
ENVJ+McUH8cC5wCuTKA3FUYeUFKAwxTs7wilYsPRk07RnH5mmsEo46CsewfAn9bNrjX3WMICColm
wKyVZV5pStKH3A8wdseCCbkCwL6OjR6YUOroxzlsTIz4OGlHLcaIQ9/oAsTI9CMgu3Y/OIS3ZIZJ
NDEc7TaecUZVwtDWlGXXG9pM01WRl9bWLAHlAe9gDghtexNR97kuG0dfWXkNsbrn5Wo4WH4zMcQX
16G3r3E6VsgKZC4KFEtLsrjragqH1QDf3M+VqEn8DeZNGKpsO1gU1TR52m1aG7KE0Q7WCUhftCef
Vu4HbWguodS0ryx2dJqSG/NVX94dmifCL4fyiQ3tm8Uzn4LYaCi319nEy9vMY9XBjzSB21FGf+TX
622LSBWrfOJhPhqZ2M+GXtkMMJb104a0sGHyQrRL3JDhT2cLwhvbsfjIyphDiB6+eMgua0OV4amI
KL0CnafX45PO8SJ4mUJsVOeAeIJ4Z4vZHnoKNE8EEjh5KNE+oGmle2doO+KyWgMAvyMjJ/rvfxE+
janJ2gy7sFzxCbPCBVpUEX2pnPxnR0G3xqUySs4PElnIYO46NIqusl4yqnsF4K/J6OWWkwALtTyV
D1gNiw6vK7EYmriC16Lt06NdB3znAZS9lIrP6xh45k+Hs9N9NnrGhR5Gdna8weA6G0mzpTzRuA6o
G7pAl543KTa1RxI30VutLDx3ZRt+lbpGRlBzhnhLBXa1xdKG0Ndpkremkeu72g7aA4aT7obWTUl9
aIBBOaFF/Iya0P8ww4o9HHs1e2eZ8HG3hVmTWSSL5twuGsajGTfVlmYz51QUSXuH73cBDVOecdVH
s7wVWencGVqMSMW0v3EgmKAxCQjklMdGd9yi3K14aii8L/UUQaB0MF9ipMUm6XUAwNCCTNy0w7Bx
ekhjIVL7vQ4mE/O6UyvcpqUEQ4J8laYedLc+GdLrxpDa+9BGwUc3qQhkhMSrGEUevnjMQeysQl1o
b+Msm+1IbvDO7FL0ADTox8gqJLo7gLcbY3Sa60TSIg96OCyZ0cm7MUKUwROhF3ubhvwmEfOCZASN
asbWeOSTnt4inUr5laQOLuKs28CdA+cWb+dca2sfVRJdV6mi+CSebn4NAwgqAL2uYF+atzcNNvw9
6BbOyWMXqBWAX+cqrO2BCleLWiSuOcFd62jBrNMubOGvQlwkuh542iICc6isv9PTdvH/2DuTJcmN
bbv+ikxz0NA6gIHeIBB9k30/gWVlA0cPOHp8vRaSpHjvla7MKDMNnkwzklXJyoqMgB8/e++1X+Oy
RsGtcDY3SldApxZT+xK89qrEPJX9TBcvUaBdvQS0Pc1zduVcPck40V5ny6xWoztHQUyBak9p7g6r
KHy1ytHWlJxtcyNdZnQi4b0owsBcYuK0sCv4nFQXF4PINgLxeetEDjtgHP+8FITNa3xua8ssw527
RNEtt5r3vLlZbabSgog7zNu0IH+viGEEs3SqQ5ECtoxnN99O/JErljb+TiM4uRMsvbHQg/oWelzs
QqSQtyqVPXtbqd2pLEXd8Nr4Peu8fI/lYuJJ4DvMuE4DDpiYZG5B3jeWYD4R5SjgCYK92bBmOp0d
68Ohs2CV0F8fQO8uA29J+y8G5K2Wmf0mX1gA1kIFAEvj4ru14kOS8WFb4AHlD0ZgAQpwgfG2sUd9
VeZWJXAKfz6pBUEgFhgBFXjVpmHYX+v97KxJgVvvcInB/i74gmQBGVCJiqNALniDxAOOQMyDrSXr
aVbjkd08DUlOOQT09TW0Q8pa+9qGeIhP2+51NgZmWG44XqCmLoiFoW4JFo+O2KV5Sh1bO3E5L3ww
fB1RuLZ7qsxSW0c0n626LCTYjk7wZOqCuiZRlWqP92oiG6ImnY9px8Jlpc2hdtGpINtVP1yIqJrs
ZQnNfcL4IUeMqL+P/Q9PIiWXEnMvUPlR2KF66hf0xKi1hMpYCiS40kTebpuG2C6PG5AVcjDTQ1Tl
rx0UczsY+eRc+ZhnruJSsSAKm686zeVWLTwMarpCdGUYGdFCy+AmnsMqgqAxLSyNrpn9Y58zzLKz
ivYpd4RVYUaIXKIKX+eO0qleq0lwJzYUU4UdhPRJf7EWhgd9wDHbmbjYzgvhA6USxTZv2uukExJC
Kj9HZHrxq7MjL3D6wTr3xBX5AcBCXoOebG7rxrFIibv5jo4FhyAPmJFE6T64N9AjOBa9l7bt29u6
9RHK5yGdvVU2a1Jn6RGRKOXRbePkzsVZF1Xzall1s41qG9G1xJqJA0AIi/5fJxn8R1Z21aFf+jpg
CKXcbbL5zg511HOukCuRhc5VsdR8QL5Tp3ip/uBdFMEz1D0DVqY9d7xGP00hpjbPjzVvj43rVcW1
8qfw7HgoMZRtmsbNYMjsxLpcu0vD6GPiBdmObiduwyHUn0hyzDhCsvADf9H8CNI5fWYCM69L3g53
45zYp8zNqgf+1dgXgzU8JhAXblKJAXKVdJVC+JyKg96oehOOTr1POSo31lKvon5vWvlpXdHcGF2P
Dox1Q3sjACezvimXohZqHeyzG9IotiodsuxgvAleJqNPtClb6l5Gm+KXzI+tj9ZfiCO9kpspTbV9
TFLtCPghCRr2vDulV+SGCDO717icStaTWYlTZ+TNNTvOuSZs8gL6UnuGn6NucI9DctKILd466NxP
8qe0ZpL0YC1FNrAoLNAPCdOYXXrOXZMZ00P2Y9CAW7EvFtMG+Z/03i/T+SVeLB2EwDk3f3weKHLh
lQZnwVz5dgbkNCKa8OAsZpERXXg7WxWtOYudpJBa9RgaU/GmFrMJOr/8dOy4uRA+7u4sv5APHir8
AyVe02FeLCvVj3slXIws9mJpgf3lXRhxmGm1MTx3i/Ulycul+H4xxNg/3hi7TSChKIeAjW7Zck0/
d/La28r8Ln+8NYwBKYCoVh4Kf1J4bxYbjrYYcjzHlk+Ugqr7bLHr1D/OHQpMrV2a+fh57N+9PT8+
nwG8xTqcPAwFUSI3/mIIwkI/Xbn8Y7eJnaKsNh0kz28z84p93Ys+2ZJkSPfEG6q3pQXwLYllfI9z
zNyrLLMfrMWfFJO8Jty2uJbqZBmQ+jysD5jc2EpozVR99nM8f5SDV19S1fM8wzQ0vjK5VyW0XLpT
Vqj/yPRq8VERV1W77sdbxSN0R8UD5SJwW+9jGizGTeHXuLL0xaA1wYGkBQPTlj9SG5nw1OxwKmfO
qbFc3Artj9droDJvo6D4kF33xvxdLbaw3tDSC4H08CKSnvkcygJdDaWhyHNEtLD7lj7s6yVXBk2D
/3VT0bZuzCw7Z76hQG+N9jn5Maili1ctXlxrEFZLpH1DGvcGyTZtrRm6dhYRXrewS+MnA6TMM8IW
S79Wj/J3d7GuCdcmS4ReGG5TQl9qhZ43XbjOpFcYr5ydPieS4YEo4gc5NAx4wqfpd5wEe6NoTpGH
0z7ESx4OcDaaxcendTj6vIrn5qo2pfULvstirW49/MaLD5DwctVvshEr7aqaNPFAjCK5pxMTb0va
GPZ7sVgKh8VcWP/4DH19Snf5Yj5Eupj3uWZbwIv72NlP4BRe/v7K4j8bR/4P0YzVwb9fRgSEqOPi
nbfXP+eB//ravwQzjH5IwbopwKCjUv+1kUAW85ekMP8RUuZPwOGPjYSzCGYsHbDUCsPxwZT/k2C2
sCexdJElgClv/R3DLcSZfyeY2S6FZsL7F37YiMG7ghuFGmVzyluOam7nsegfWjnWh870pqe+rQnM
Zzn4OtRbYFtrWTisvjNEtefYjHQsEU73Po/h8MHttdmDrwZ4pYe643CDY0Mo7cZhhomjS9Qbbb3t
68lbfEmIvGmZXyJW+neJjMaNHZbcNuXiCPKG+l6Gs7yQmJ5IK1e2VzL6xlh4rMGwm/UonORgFRC6
tZKmIUyv8wW0upq4F9T6GZcUFuHafo25qF58gUeGF1/uYvjeV1Nn+Jj5WPE23CtXoWlWdyWQlx1u
Y2/dLFFKa3JhvNS2gH0kzfu8b4ctO6fwnfNQg9NpjNxg42kz4pOkG2madhV9FevQR7rACVDuZhFR
kqv3CqEjZb5d8hQV+KCjz8PxhBnNujJmaRyjIZFrs9DkRzwP7a6qdHBILmmqxejjvHSNAyhaM0t5
O06OHQyMTVSBtwLoo8f5NgyYOjFAPRsxReGRTUVFEFMByv22lg8QReBGJf1IztZKBQk/F0eAiIx6
08hquHCm99sq7vEWc/XDEUAr1Xm2igxhLCo2hqKyR5smVK9aN/JfCZuYC7NEjgdwnKfPKG5tY+1x
Lz9HZpttSqDy1/Rvk9Fmi55dO/akiAco+4z+GV3zqoE9txxrOEdTxnbLhUSCitHUIWplgcs2sBBL
KZxp2ulmrpMrEVrpetRjgA08B7maU2+5JTGhHuqItITFQVGzhbVhodmUVyuyOJ3xVc0m1pcs1GNM
vnGFmRZH+QUMo9p4SZ0Yi3dYPiqj6ACiTDZp4bxY9NM6TPxHUTI5rxKzN24YDps7WEGER1O9nYn0
pbIiEt7r41c+OxEPateK67Umw3zeTMVo+SgLc6/A+EDSuxKeO1DrzCLIILMauNK5WKW5YEOpyXGv
dayZ1auW6239XEndOepjbd1I6EXZBlZGDnOj7F+yliaItQTwsIMVaV2BHdIIhOq1bzIPuuJDWV11
y1qtOmsxZKskZ9OBd88VNx76Ih7reNLeSFXENPLE0G/qoR9OHMGDG5R1SB0u3vp9a7rxc1GG6l4l
RUKJbEhUtJghfXdZtRjdY88U1A7lDQhqX4Y+YrnQAqdCYR+mLrry5zjd+qhf130Rcqx4kX9uiaoG
jcBkyvQ/Gi9hFBunVGvZthR98ZlGJmMcbqqcgU11d86kF+thljbfoxGX7yFN3IcB+9G2wDxLfnz0
WSwM+hFHafGQtWN+leCoPU++Um+mTKxmZWmq3LJo0nazbNo3G+jAm/RCP1l3nI2wSoo0wO3elZvM
oMKubyPzKrZC/S2ZW3Ul4klczFwv3ozBc34N3ghwMOy1h0GI5JEUE2ngHq12IF2e2jvuEhjCO/Lw
L5KFyBZaB8NmEad0+uZp9DAgnwZ9R9K+KgadyH7NnWLm91f84Pz0F/uN6QXbfvUgIo/Lw5wWxo20
Fhi9jTOR3AAWSEg7OYZmMDNi0zahwBg/mtjvkeX72xTI+oQddS4ZdMP86IZVjCZs1NdTappbZRP2
6dgi7a1F3GH5kt6YFoZX8EQ0bjjIO9uqLwtUriJ682qtC1oKJDZ09HHXYctKahkI1tPgWu1tXgDY
C5u8eeaOiLyjGYMBTqlx7yTxuLcZ+i24rs7FvyMz9xX3eASkwEfvUp3VcYkEZ+xlBu+oZHAljUJT
8jjRcrmJzLo7W4bWQQFGsIJ113WfXWrbPSwZ0TEeUa2yE3qkX0fQ66garmJ1Wsp5npfmL2vPbbpZ
J2MiamQbLyQPUbS7uTTdN8qhAYbbZZ5hcJroyslB2XB39eOTaxFxXtHVRB5b00g6WaYqfnXDUDxE
kz9d8sxP33D5YeEIE2DOPJc/QwvuQFHZkhxVbFrXsC8oUJO1fypFRZi/UtpLhY28ZrtgFCyQdO4z
dWX2LwALMrUKfa88u5XuXdu8Do9U2BKGz8n+bvkjm7ecWNcTRIraXtl5iWOKlTSnR5uFT54WyuOA
eXFdldQ5Wl09nDgtihM9VN2O43eiJWN2rvm26i/oAuJdazqDXup204r61gpn80VqUX0mNRDfIobh
VZDCVABpRdZuMiB3N12WzvQbhPOpzTPtppR6ZCNlUwxwUGqxYQCRvrYlKF6VduW1pdpz05Wc0n1Z
soEFMQV5E4qzx2J/xBvoCMgVsbUfRzXey8oenuI2Km9B/GYXrPUc3HKus3vKk5z/b+j6g+j+x3z5
vxfK4g/5/vlPmJq/vuxPocz9DZz74tKiyehHKvtrLDV+0xktGSyXHK3+o6H9MZYKODUL493VGWVt
cl8Mi3/4uMzf3OW/Ebp1+bRzfrp/ayz9yXn9lQNzHI9vitYgwgIEZvk2lrH1H3QyaYUjVSApz7nY
pXaBLRi+QrO3rycSYPsc2/x19oMpFJxDtKuG+aVYKIZ1WxJ8IFxw0dCBVoXws0vXT/FFoUYfoh8Y
IhbudJ+RDyP/rgS6LcyaQCSGw52QZEoeXs+zsYbjYVubzonZH7GXtm8UxZ7s1ngNOPctI+7oP7SF
xlZNy+ZAj1tu96YjDu3Epmul4Sx9qEZRb0Mvd4+4bxTYjVY726njv3jWgFLiAmu7eOlU70NZR8+6
pxnrSLerXY2x81iVzbTNk2jagcZKn4HMxNuxTo0bm2jqUeAv/YIqZR7gR6aMID1wJ2jsN26S6Xse
sVB+mxxfSReK+VZ0ibjAThzfhT6M33YW60cswH5M5ZPRPZaRG2krh86cB4vj4libtH2Esk0SWgK9
9rlpKySOkPG0G83pxDgvj3pioXjEWtPu/bHBAgxAkh1UT9NKEMdDecPDfNi5VWw92JxGxzQsrLsc
v7wWZJHWnOLaNrCDGaZJRXAzvLa9xE6TuF656RPHvGgubnXdxKId1mX4C99LtrPrqPlFTqlIgeAq
akmYBONb1WjN2UmFf7YGDmsrU2qfKminzOEFANxQ6l9ehUd9XeQdhRbtzDmOAVa+EeaSQdn2lNdg
tTfY0Glo/NSmTM+lL4c30eb5rTN0uAOyBVCMCzt7t4py/lWGI7gyfTQeRyQ69hS2Hp7jucAIprX5
fDBLIiwe2eZgILR3gD2hgqjzx3gNPNLAs6W5/gX2Ox3tEbjMk8/O59yjl3wqBXs8cGQWP1QoeQsr
yKXLq7KRE2oJEbATY7atQEjc+W5kPc9RJ3cAerInFXnipFUF5pbC6u0mqHl6/7JUqD32LRudZgnr
7DttApzpd+zOq95PT8gcrGHYnJ4NHgP4Y0J4ryVy0WUYzPyb1W3GpSlhHxHqVn+22J5vzDzBezUU
mbdWnlt8D6GWYu01ZEN2umTtgcsN07zn9fkDGChK6yI1o4tYWCr73it2fYKXsKir5kFyRUDmdtzu
06eI4Kqf8+ymK6hWWGHJ4+eU9BlsDRUZt1zOZqxM43ix3dyh+EUX7lrmAkZ1DwuiB2yy4U2D4WS2
Z0ShzHLElsdZ+kWJKkY2ZldikJpOKg61bzum1J8qRvx0PcWTfkrcLnum3FuhH452942tO1yn8aye
ByfW2Yp7Vefj7OnpfaKBPi2CyUrRZRO9uRb4a96hfI49EYfW3WSxEmzQ0+ix8hYkB7T2Dc+rdj8l
s/xUBLBBHDvZUVQdWSGygflaixrpbCKWridBzOPItVWd5qyiBjmL+7eYmPRdUrjA+ZNa4Z1stDD/
6PXOrm67VDeNA94Byo4pBq33Q9EUdB6QsmWIFI5119d6eAXMkd2S0DH38wDTpqu4QtzhB+5o+7Rt
24/GJXm+MnuBjaaER/TKkrS87XMdXHZo2vYbXEO2e9oALJPKCxfFF1nLtzb+jCt4Q7bUFSwDcemt
UOLbIehqow4D1HLuFhhnvvzCKYiTclWhIKHvEPe4jREmMstnXnftiaZgwh9GEfWvRh1RmjnrZkNQ
aMC+izfJ0R+zkRQTreWu+K5ZuZDzxyb4JWwNv6vblMaz29K4vKWYXZeEifwuRG0c+M4pGwVGGHuY
v6RnFp+00vWPVcGOci2cVB5YQfJLetlxP441rfjUrBDAmBh0cTuIyQyDjuz0sWkGE7Fr8P04qLBL
wurqrI9yLp0FbGDhF9DRbQZUr5K4ZqFxY1u1rDGc6578aLsePXAMyq8NON2DhqlDRl/sOgBjdTwH
CFrY0vJ2jshHxuqayJfpFlw28YI0mKQ63rvsSNQVFz1Aj2E+pjcaFqk3qhrGGSOJSg78/Gt2GPRv
VCv4Pd135ncF1lmDJygnVtV8NqPlPaS1PVPsM+TRWzf6GoXBRRMFyK7yLcqhc+I6Uzf6MOc7ripG
DerBk5ekMyyCVIU16IjRRn0flrGkElnarty0pjEJ0MLEkQJMr9WB2K4S5O6a4ewIVszMv475SrA2
Cg8eTjCxboB1QIBwSlaSVQNjLQgx3n1xWnlfw9SY4UovZTyeimkicDRjOz9VFjwGXqwF1wQCy3qQ
HQUYVN6ZX1XdTOZRn3yJ2VVyrriT5xAl0fTiETCoKbjml+69ya12iXJOk36s4UnrOBYnisvdpHHO
YHI8jTyGRT8Hn+k3GUbpa+VUakPtbnWZrIT84VyVoR+MC75zxf4Iu2Vo+aG+oVGjSo4ReeeaTLKe
7BtO6WsR0f1FrrVD4ptsSGNbuAw4CVtdyeqIhF46zTUNISr2121UeQiIRuK/2iq3H9oftLHhlYLa
pSnJbnWtcfdJipzlG3w/jS7inUnilftLR1LajfOvwTHVk/9DVG5tVh4iNQiaN16z8VDW4HfBX878
ons3DC+H8BDPQVX12h7znHlb4J1/g3NH+qz1ADrT520lCN3weWzqBj+5wo7/B9P6f84dsU264N/v
iO+7j/9VucTyRX8uh+3fHLLueMvYvOoUJcF9/NOuBkiSLCh5CPwaOmgGQAh/TOFwbKBAsvnl00Ll
EOb3/zGFe79hVlu+gE4k3AIuTJq/US7BevpflsMu3esMYKQLKHGyf+b9f5zCay51jYu1ZJ0PwNUh
n+VB4llyl42tvnFn22DpiblBpw5yL30YgayTr4vZ8g8xFu+Aw+pVmRDSUXLswMKwvabgrlpPeG+w
2eoTU7Lx3dJlu6oHg/TUNByQjzhPCAFuoromxqExE2vVXL/j9UX1HXOTTZ/G4ZYO11ODIYD+FIkr
WfjbZpyf+xkIf6kl10jwCvtTmO0ZDJdFUachDtqKPoAfhEOfrK22HHZe6d8MNOeta2nR0tAyd8xV
ExHihwi80l3/jRmU4qRiT3j9rGaWXkuK4gxQ9irpnXJlaCx2WY4dOsoGCdb5c5AWJCd1JNajH7r+
ivUC5gwi7lR9wmGNe9aOhgZs1k18nP0toTxdtBe4Nk95BFh/mnKw+/RFbOyMI2HGGffpmFgpFFbW
TTWPe2zr7zlP/zWbd+jOoIGwOEcEwxoesphWCdmKhqJN1hFDc90LwFs+wuS6szJc3IiN2yphIQQt
3Kfur8JUr0rIPZKfUs627qpNOlx2lRbduX003k/o4GsxFsCH0MVXbWtPw2oijEqRpj2clmlwR4qm
C7JQPXYL2pHzgH4RQrD7buC1BKFYfUHSFCvdL0fm/14GNofcukeWWoIDYBKJECTzcOGqEwZDoT/a
A1SjMgs3yNTfeTubMHCXvUI6Aj/jrab1brTSUHFJmAzfwP/xFajpXebZ9TBkD4XlzXtTE956mrSI
xlIFvJyqUHTqNvtgsXMvDaddZZR2bMaGVstwJNGYVvgUy967sdLJRrYcfXLp0Esp+Z7PWet924su
PrtE9/uZB/VEiaWpd2Q7IRYEScEp5aCO7mrlTHvyPf3acu3+mFTKXxvY1djjOuSXXXve83wt1vDS
WP735ZVjQrcHKf5Eham4AJB/dkACHbRKS0BOjGKF2vFBUdhz1DbdRsL6Dojj0LZJAIJlb1ZtB89t
6BZwy1Ov9AvPDzBQk/fIj+XYc8OmBH0BpRC8W8ULS7m05FWFq3tfJJYdeBldTvi+7COgOOKpcLO3
DvrnYQ65cbC2oQlwrO7qXieoxJGA1cxDI2js5xZnxgZI31XJ4jLQkqnGkpOghEo95d6M/aoLXZbS
vthIBY0O+xZ/I3v0cCXVd97k3qc5HwUbexKSznRs/flo0uy1yWv0pmTgqlMxr7LK2JmtlFv8ClWA
hJLAgciTVW9nd44vGWjb2l+TZX2nI9zYVO78QXJHYgkLH4zSxoivyxT+UvzK27rfllX7hRMN6mVn
UgVvJLchogmzldERb2QwQuK9HkZ9wHiYu2vTHqedWAR7sBrpfdmm19HoHSTB8pXo0KbnyX6KZ243
kRZTUy6sYmfp1XkOdXDcOONL2RZB3ETJbtJa+xbvrxbMAFk2ttabO/wUPhlcrXmACo++MFHXy5aX
0AGx+gP2yXg/awOtwhwGbN+nS0pPAxRLc1rzmLthgZ8FOUaFLy6lIuCtrra6PwxBKoZmBbKeF7xW
pIxwj4GqlnhvVLWx3JgB0S66e1KiBzN0b8WYXDDmlh+AOPhYNenSilO2b0NkXLM2eCLO1B51nYKp
WbPOxUiFgmll7Hen/IJLvlsTgKYiok9vy3Eod/lEtE1G5KN6Slv3s53xSEi4B7ZuGhHvFMO2F+D8
zZ5J2Yo9VumEYgIutbeU4bgBTzMA9E1rrTDdABXFCb3K0gRy1Vjb6VVhQjLddk3ccBVxlmvMtMEq
pvMy03G0SrkNHPPIwrvrdVDoHSvZC+lMtLO09Y4I68CUp0dnkuR4G9y52g26F3GHyasjNyCxXbKK
28bz4JnMbsdyxLJ2GemIwJi1ZpflXhUQPvYPo2fre8IY7Z1M9YazTb3C49FO0qzbtQ5iIPAVrM3M
pR+AO96agi4cAFwrjiWa8IoCDkX2QJ92QMTjc6XMIvCnRm7oIsvWvRmHG6kjjw1GBI6s6sN3jmSY
L/AbDhAjx2/gGPUTmj7vgdD0icZZXmie55Lr0ioyovlcYdPaOTH9Nz0KCD69SzNbamsQzdjwED+B
vGGhRQyFp7b7JZdqN9vT7U0TavKbz3J0TlPuxFFj3MR59VUjWK/9pRrOTcGxAdKfNxqGybUxgmgj
EaF2lQjFrmwQaSvT5ugZybXT+mvxUWZ9T9cJd3fw7AR+5vY4woM7zVW8mIdCKiA6OWzLKfmVWZQS
9FO1q6bwERYzRbpOMweJsL/6JnuGBoJ+WIJxgDH95rAH8w1BLYMqKdzAtrKi0q4MBpMMJtk+c51J
/R4HDURigINrwxIPUub3VLE0C5RH4ows66B2m24dJ2Scw6VHLxuy58q1cZj1ZCqr2r8kfj9wBBkU
z8X1o+elX5pVXw1tkyJVQlGZbfq8WV0CMCjKYObmsapEcdP1FdB3jXTVSB3HBn0dUNykc9rFHk1U
ooLSGZmXuDDOUzVxZ0phnEZqSteqy6y1UuozG8Mu6KbuKSZ8tHIky0A96iZABFO5jox+vKJZvVjV
vX/dmN2dLegSpOr6O4Wfvx6m9q0t549M0knAhwf4RKZh8XGUf9fHaVDGqbFqekoLuWg3QQWPceOZ
JV0VrCdgVrvprq3gic7DFdI2OxyA0tspZUHHywPeNGMw5FXJthiSEZkFtq6hN6aDzM23ZiyfZcb3
PLXeLbyjGDph+4tN269UqXkVdUtHY+rBPSIUFkBbB+rS1hsvlt6x1KziWPCXfcSQ9honlnwNE21r
QOLYMD5HIO+sj0wr9DU/uRxz0YwruHPfWFW7Oxq2ZEBvMX+fpvEPXo3PjZsfVGiPOocSeAR1FxwR
o2qodlqkFq2Jr920EzfoSiw45sI74EOVQbYYT0HX8fKaw1Mpy5fZs/uDm/d20ON6elGKYihdG01u
3BVXMWC6HHT9tO+62Nq5tewD4KOcNgJ8dBvHO9cExa1+2ihhIPBllfZpMEVvkBubV5dQwDMJ4eRu
rKIXthP6qqJ27E44dfE9isz4csqBZxyOxOQt1F0sWniTbrphLk9uSf8Vc5EpN+S+9LVaWjJR4G4H
c8APbdLibbD2g2Utl2HK30a6410PZcbdm5V3IGL1oFnwtg3nkmDECGD6zjyU83Az5Nab3cxP0Tzw
moYxp/bIDF/mXKd7DZPGVNIzpcU4bnXq00O2XidhSpgKvjiEVGEv8cObLPaeNNU+64V+x70yD+Jp
oiDB8WQwJazWCtqdTrHL2xNgJhOADVeGcWH1941J/y9nqRbu/7+/mgZfzbv6n4P+yxf9eTU1f/NY
jmA/Mlii8Kn7J1QgKW5PZ3Fou55DzOofr6YE/AU3WsO22Staf11N3d/4BeYY4aMgWfyuvwUKtGz9
X6+mLgF/yo2BETDI4cf8Z4HIKxWt5Zmw1sin3q+Zh+KZg770ER4r+1tYWvpUcK3qAyesyh34cjo7
sbBo74LitesOn9Cjg41x14ZOwgQhUj68Br2AZ92PsZvExH0hpOPoYaVDnqLUPeAuUd9Ujxndfsz6
9AURVsi6dIsmEm3jVDbUxPWCkXBCB9p1A9udLnKnO0rv5C9PghDgEeGCgPWms9EJfZOljfZMdsX6
6pNafsjKy0/w6/Tn2a67tS9i1ttD1VwXqE1wmxUXpskRxhPtNcm5HbVxS/JovhKFke9y/u7Mc7hN
ny1ZekBlyfmckGvDxyF3aexr2pTbONHQ+5G+lP00hAbs72I8kjZlNHbHCEMx1/znFAjHoweA/8az
bPPZsEi/IhV2J3+ko4TPPKCg5ckx7DPD7l8cBGp4872jbWffsW4iP2u+YfN3wOU9HMKpOTEMh6Z3
v0yzyP3WnN2EyM5736X+cdVz4XjisTdeSdjs10uFI5mW1tKfY/Bpe73qQvqqalM7RqKHzSo1Ushi
UIyaoW26zx1G8GbFBss7WaZZnMN25EHt6Fa+wUhtfErbnn45o8IMxFKS1gOcbWqdaM1Aj2BkbiYU
q5uG0mvsPZlv7yh9i1Ht/bR4cI3I7vdN3xsGfJTBe2yHJGzgNhTVkyKPtS1qc34oJzO7Nuo235dZ
V+0wnoGNmmfT5jDItJ0YEvXLLuqMH0ZWHQd6JD+TCVcMMfqx2Dst9q86GeM3XrGFxoJZ4uwxwt1q
XYRFGXhc6KwaB1gN3VkdRMnZ48HbuONNbxWLLhZSBpnoituNI3X6AhMDfSmro/5OyxSWjikZWcUT
isFrFnbq2wSh1i2ULu8rCl3zvjDj/JdvtqwbVAtD0mCDenJab+lQa1N1Ko2qu3AIlBDnSMLsQtta
svEt7YpoUTJ9kgQ2NhVtB1ujtwfMakPrb6s0J9wLvi0+1sgQB9otltbc2mNRX1Ka/VF7jfk1qD7/
ylIV3qrFvxM0BRkYmHrFkTK0mX0SDEcgsy61d2sRyYLEMacQfmFt+rRtn01B35qwZwz3MdPteD07
E16DOgm3fZOSSqQeodxjNW8eHbtMbryefB+F3OGuQ1e6IiAIR5Fj9+RqjKjE4JyzlqekAZh4yk00
doTvXLy0xO7Z1W5UMZowgAolX3iyMD9gEmwehWnNH9GU62ezo4xoHEN/oczh+J3Mc9VND2WfrbGZ
IVDLNZf69FqryUlHLhiOJqMFue/NV1p7vChQTt7SKOpwQ0AjjXYOwImNOTrNZSqYoTam6LxtSXdi
tWr8TuzLKYJ6wBKYQd1L4sMUaT2Xr46BIPfKeNjwdnVeDHKL2hb3tm6veJ8Tn6PkLulXYOckdg08
AHqQxeX4UIbgoliEdMWhz5nKqUOMz4qVB+0oSLZltpcC+0oAzT597i3SI8TN+3ab5PbwUkBcfA1T
Po5cqgtmGsymCZzDvmPTRgbCwafpO2/czr0TrvZwEwH8c9YEYv1DRPP8pXYNsCKF8OZbWcg2PLhW
SNmDSqhIkIa/iSaRnDRU4kuesylhgvPqNWtS81HluvNuzpXzapMjc/d9nswfs2az/HcxrJOTqxgw
V6MOZ4+lW2XfJo4SfKrIzz/LpodKIQe0fQbPxIR2H8oHraqMtyqZhAt8KNReYsfo7xns1WvH6/9c
q3lU/EqHy9TOmxJ7kTs6N0rA0Kx1N7wZhr67xbKoXwxYafWqn8butYtK9CGeFEzQNgZ1X+9DuHKc
QDBpMcCSY/NE98J6rLz1xjC5mqUHDLNM/Bu6tWbvAH260VekJrpv/Ev5qWqExUSchy/YauOnvz8i
/d/ay/+ReV+/t+8bSPDtdNt9qenuq4Gs1/y5sqasMvv8+eX4q/k7v+Hf/w/+y9fPn3b4/G//1fmL
NPTzBz1M1dfvf/Tvv2f59/94/8zj4ndC0kf7U3/1D7/4Zx3WP375f6fuanbjhIHwq6C8wQZF1UZK
pS2qmkMTbZsq9wlYiSvWblxYdR+nxx72UOUReLGOFwwYvCbqOCtxRWg8f/5mxgzjRrAx606ezMNr
zhS2kj/tDtLuGi5vYcOuzhLIM7B+e7+40AOUOkauziw2e4mfj+5Xjjmgpm1IaaWcY0KHHyGotL9J
vKrFIhzHeE5KJ3wPec6ijOU4rWpwFVesG9jpK9xKVegVojsQBYiMWXnyEsEQU4cAy4Di1d/BBQjY
rxBjnkvV/g08ZpAzYRkAOccvOAH8JqleVCYfBsSxj2yJyT6V9ZFV20vZqJTxCvNqv7WrHl2K4MAH
OttTN1ocQEcDyv9t1Ynh7kTq67IoN7CzfLFuGFwEUI1/bAeR9QSeS1ZUv40FNYQ1rOMfM1SX+VTC
loPrG+4iANBclzy3NlHTpBkAAJBxLqq9i/qCrpYvJRdZtXf4i552QlV6M4UwMkHXUOxMexhHSHSc
G1a4tBMgQr3izzAi7/fe/l4i8QR+gnD6vJ6KQzXuSg2jduP0AfbTB7mD1AUFIUJq8iTT6sUooPNF
fcBFVgqaTD6X3OGQcYBMw5nH1GqPA+C7r8uF6oueU0oi6c8QIUh+58qhdCwMyDZFpUcrkSkcWBVh
EhmtldzyjInUZWU9BMrvRK6qor2Nd1xr1HXU5AttobXGDS+Kj1qnRyqto2+YCsbxQiNTt1nOEV7b
M+nDanal0wdlf7LUW82Q0Mtoy+ECZqDaMak8PBvNpb8uH5nsLWP0MhYKYdEn1BBQ5yMYYrJPMBvL
ZyOWjgY+sQZhZD5yYajwybUaRpn5SIZRyifZKMDNRrIGr2qwcQDiOErNQDTs/lpOWGy1qf4onsLh
IOeuVHb4SyW6qsCA1DN7D4n7gI99se/q/XwizO8WPGo0W5gfOQhWS3IiFqecKpHYw/TQ5SG1S6Wy
FIU+gcXRgOIVim+NfCKp2qMaHxIMz3jedrdMSY7plX4lzRmo9/8AAAD//w==</cx:binary>
              </cx:geoCache>
            </cx:geography>
          </cx:layoutPr>
          <cx:valueColors>
            <cx:minColor>
              <a:srgbClr val="FFFF00"/>
            </cx:minColor>
            <cx:midColor>
              <a:srgbClr val="FF9933"/>
            </cx:midColor>
            <cx:maxColor>
              <a:srgbClr val="FF0000"/>
            </cx:maxColor>
          </cx:valueColors>
          <cx:valueColorPositions count="3">
            <cx:minPosition>
              <cx:number val="1"/>
            </cx:minPosition>
            <cx:midPosition>
              <cx:number val="250"/>
            </cx:midPosition>
            <cx:maxPosition>
              <cx:number val="1593"/>
            </cx:maxPosition>
          </cx:valueColorPositions>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olorStr">
        <cx:f>_xlchart.v6.7</cx:f>
        <cx:nf>_xlchart.v6.6</cx:nf>
      </cx:strDim>
      <cx:strDim type="entityId">
        <cx:lvl ptCount="8">
          <cx:pt idx="0">10106924</cx:pt>
          <cx:pt idx="1">10106936</cx:pt>
          <cx:pt idx="2">10106929</cx:pt>
          <cx:pt idx="3">9421486</cx:pt>
          <cx:pt idx="4">10106933</cx:pt>
          <cx:pt idx="5">10106930</cx:pt>
          <cx:pt idx="6">10106928</cx:pt>
          <cx:pt idx="7">10106951</cx:pt>
        </cx:lvl>
      </cx:strDim>
      <cx:strDim type="cat">
        <cx:f>_xlchart.v6.5</cx:f>
        <cx:nf>_xlchart.v6.4</cx:nf>
      </cx:strDim>
    </cx:data>
  </cx:chartData>
  <cx:chart>
    <cx:title pos="t" align="ctr" overlay="0">
      <cx:tx>
        <cx:txData>
          <cx:v>Oil production STB/d</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Oil production STB/d</a:t>
          </a:r>
        </a:p>
      </cx:txPr>
    </cx:title>
    <cx:plotArea>
      <cx:plotAreaRegion>
        <cx:series layoutId="regionMap" uniqueId="{4E3DC997-3E87-41FC-ACE6-F30E991338C0}" formatIdx="0">
          <cx:tx>
            <cx:txData>
              <cx:f>_xlchart.v6.6</cx:f>
              <cx:v>Oil production STB/d</cx:v>
            </cx:txData>
          </cx:tx>
          <cx:spPr>
            <a:solidFill>
              <a:schemeClr val="bg1">
                <a:lumMod val="95000"/>
              </a:schemeClr>
            </a:solidFill>
          </cx:spPr>
          <cx:dataPt idx="0">
            <cx:spPr>
              <a:solidFill>
                <a:srgbClr val="002060"/>
              </a:solidFill>
            </cx:spPr>
          </cx:dataPt>
          <cx:dataPt idx="4">
            <cx:spPr>
              <a:solidFill>
                <a:srgbClr val="7030A0"/>
              </a:solidFill>
            </cx:spPr>
          </cx:dataPt>
          <cx:dataPt idx="6">
            <cx:spPr>
              <a:solidFill>
                <a:srgbClr val="5B9BD5">
                  <a:lumMod val="60000"/>
                  <a:lumOff val="40000"/>
                </a:srgbClr>
              </a:solidFill>
            </cx:spPr>
          </cx:dataPt>
          <cx:dataLabels>
            <cx:spPr>
              <a:noFill/>
            </cx:spPr>
            <cx:txPr>
              <a:bodyPr spcFirstLastPara="1" vertOverflow="ellipsis" horzOverflow="overflow" wrap="square" lIns="0" tIns="0" rIns="0" bIns="0" anchor="ctr" anchorCtr="1"/>
              <a:lstStyle/>
              <a:p>
                <a:pPr algn="ctr" rtl="0">
                  <a:defRPr sz="400">
                    <a:solidFill>
                      <a:sysClr val="windowText" lastClr="000000"/>
                    </a:solidFill>
                  </a:defRPr>
                </a:pPr>
                <a:endParaRPr lang="es-ES" sz="4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regionLabelLayout val="showAll"/>
            <cx:geography viewedRegionType="countryRegion" cultureLanguage="es-ES" cultureRegion="CO" attribution="Con tecnología de Bing">
              <cx:geoCache provider="{E9337A44-BEBE-4D9F-B70C-5C5E7DAFC167}">
                <cx:binary>lJrZkqW4lqZfJS2um0wJSSAdO1kXgj377OEeww3m4eGOBEICSYyvVY/QL9Yr6kSfysyqruoy8xtn
sxGINfz/t/bfX5e/vZq3F//L0hkb/va6/P5Bxdj/7bffwqt6617Cr51+9S649/jrq+t+c+/v+vXt
t+/+Zda2/i1FmP72ql58fFs+/Mvf4Wr1mytf4svORh3X+/HNrw9vYTQx/Jef/j8+/OXt3y7zce3f
fv/w8r3TttQhev0aP/z86PT99w8YYZQJkn745bc/XufnGTcvHXy5UO71f//rf/6tt5cQf/+Q5Nmv
CBGKc5HxnH34ZX77x+H8Vy4IZYwhRnKMBP3wi3U+qt8/8F+znFEq4DAhORco+/BLcOOPj8ivIqNZ
LgTLKMkwy9N/bs+dM2vt7D835Of/v9ixu3PaxvD7h4yRD7/0/zjvxxNySnJEM0wJTxGF+xM5fP76
8gDvAE7H/8vPiCmlh7Rc10DFnidJ/ro4yl7TTgxIzsGIIGtH2H3XWHckix4uua7FXS1IuxWdXsS0
C47Yz7MP6a3LHS6reeCiSJvQzHLqYv3kkB1UkXd65HINyVBsQbHCotbkRVb5xRa40f5rZRNMS2HH
+sTHULGyqbz6RFs9fFtF4g5pMqn3BJFYlS3T9SDJ7KpLG7Zxkn3eVjvUCdLLuaHTPYQlSXe81cHv
8m5w5Ib0SZ3LWPPNynRJRy07YbXZMauW/mQWs94oQ5vvtp25lnqK4yvrmHiL45JGGXIXyl4stNyW
NN853RAn4zhvh00Zp8u6neMs3RbzU6As0iNxU8plXWtzHRJt912ehXOeTHCXMc4PM85GdZ0ixqKE
8Bxe3JiJ25mg+UKHub9DCWIfGZ3JV6+JaI5uTZiXgZD0Pm8p2q0YdVfblqanFLVjWfeKXpOQFmM6
d/uZtN37gDp3Nwxi/NRFgepDWGJ/oELZQ69WtcjE6P4wNa7ZhXQbD54Tf+I2ToeMcL9b+2zapxML
h2qNU1JkLN1OPM79c87dZgpnW35jcegfNz/6ukAGd1auU8cPtedTWW+DmorM5u1rHIg+Q6A177jB
8arJcrMT7di9GUiZb+mGukOf2uoxqf3WyTUdxNcqmPqwQMReUeHQPohuOLf14B+ZMt05RaE5ojj7
j0lCptJTpUvPs+28NDQczBbTMkvhvNaEBFbK/CIhZPWJp9zstzHA7TPvyHvCuPvmlo1ddRmtGrlm
eLhJ5pw/zZvTH1VXDyc1OnQKnLMrk7W+QL0L54YR9iZo7Xe6y+NdBwlc9j5Pdnw128dxtuk+tbH+
gtVorxGtSFmJZpC8z3MsKxLUQSdVfqTWDbfNnGyqYI6IYz2082Hks/1G9cBnWVk23+EqhLe2Yv0d
mbU79SNJHuYk14VO1v7KrHgc5UJEetM1eLk4U0O6VnkrboP32Xn1PDwECMSSzvNw7MO2FF2j9bFR
ZMZPcZiXVSokspc4uPo21IGf+mirncFLcmZm1LupX3IrF0Tw6zRP/Jmjpq4Old6Sq75ryC7Rw9JK
P43daaFqK+lC2wsxXOOSEN0h2Uxz+6lGY7eU9cyH/ap0w47pVkEZID6UwfE4St17PX+qfBX3dHaZ
udR03ELZrmbui4qMyyej3ZIdM8dRXWzW12KHZ9a+LxiFbxsj1RdvabgbY9NmEi4MpcVubrwxSYPv
mMlwIyFd+u9a4PVzZQbMJJqxaMq+2ZoaAqJpO0nZmOAiNnSuC6G39naZq6EvtiyDtHQzg92osC7t
1rpdN0/ti9Bk3K18FE+19/pmISs6qXyb+H6xYT4zJJpvdUzX63SLqpO8jToth5S390PN0+tlnsO+
wyg959aTIk4OXa8tGgordPtKpwkXk6nWz7xO2IltQ0alcwO9yojNHy3y2wN163ZNzBhKFTLfSlrx
8THRIz4h1S8Q2Mi/atbZWMxDT3spUDXtqxEtX6Lp6uMQebyIbcFfvKf+JaRIfFeUuYOfu+q0rnNS
jHmdXSpIoH09j+M1n4f8GJYku55Gvb4nPA8Pm2rCJHVj1ZUTtXZyJWvzCA+iCoxYfzW3PC8EM+RW
1JneNxbN30dbZ67kfq4/bRnf7l0Q435J4voUcrGpXe1t/yQYmc6+89NpFRxdFBZT2Wb98Bxj4suR
h7gnsHnLOlCpFs2fugr5I6Od340UyoBmvS4H8anGRh02GuyVYC37inyXFczmdD+kHXtzg7ZXnIxY
jss8nEydqkfSz/pxsdt0ZmnSF0vTLbcx2zomY0/Tt6zaaGly3tzWiWOVDD5zrHCDsOeqU83jNKT1
DR4TdwkijEIGlCa63Ohg3jqvkJVzUqFvwptJ8kHg3TqpquBmmO8yo9jBhjHdka6rn+tEk6vIlTrh
jcALy7qlx/sch+yGmSqektzRuy1mtJznTbWJXFqow9osCGKhmU2BLNxeSrahDDpTO6P4sjMpHxvp
dBzv02VccOG3Ifb3oyJ5L+0CBUIatOLToj0ph4F3sltE8+6Fzq9WYsnVQIJ9MIu1V2Ry+Zm4NT0K
kXTv6Uzqy4TX4b7CImNS6TbAotjS/nqdeALvRvGPLa+XU7vZ4SSIms+4GtiuhSb1BB2axBIyDX8m
7YgK0/vskIfR3sTUJYcKT/OxIi4cMPX+4iB9D6G2eZSr6KDK9n0GfXZt7qA2ai8bFtNY+OGQZc48
dcSR5yyG/hh4D3s6kfGg7BZbOSZM30xzT08kbuOuEYu+ZGJE+xkPuZIdmfo93zh+aqHxnNiMYybV
kDbl5Dg0ZZ23ocj6ypyqpE6KJOXdXKB6ppdhVeS9Y7VL5Woi6QoaRbvDsZ6zcmNGuAdswopkndep
HDY7y3zlTxi3KS+metZf8YTUs2Ox3XV1lvUlHaCI5O28fa95kpXjYMi9xSs+dLiuS96S5pMyg4OQ
b9A1hGzYJZzzsgFBd5s2+Xzns63ZStO7JgO1FP1+HZd61wbmd1Cc2cNs2brXZlL7hMsK17IO1XDI
O9zftb2qL1xswylp8/mcxlAf8RKPtjJbKyGRq6s8M9k5EIeKKkLrhV6mSqFyJHvbQRMGOb+8TWEx
DNTmph7bgOZnakP/vlVjftxwNRmpMzN+U0JUT950mzRwtNzsanZjV7Un0Va8aLHK5Lx6UdbZMn0e
mGpK1ViipLBrIkE3VxrKhHubetft2jYup25Yu2NdpaZYXNPvkwapPSdMfB+Tut67UfkiXULaSdsM
RE6b5tciE/MX3/K4x001gbSjw23Wk/hdZS2R1BpC5Lgm4zkRpFZFjbLwTJqZPZEMar2MabMdXGzi
oeI0hxSY55NfCJPMzF7vszmm9mwtwhfP2/yedsu3xcHOTdi6a9U14eCGaNuyr1aJRaovfsp1udKM
XHCtw2WYKNnlYUYvUM3TLy2n8x1BGxQ+PS/f1x4Ka5EHT65UwszZjmq96drEFWKqxhfFQA0XXR+a
7mL6DZHCrGg4ce39J7rS7R7Uf3JWiQ1FwxuhpE0hJyXnOt4InrnnVeixGBTLrzucZKdJb+yabAl5
zT3Gh7ln6/fKKHc0DVp+tOMwOzmOMTmu6XxkOtVFP9XmuqtqDe015/xzrXNz66Gm8MIQlWIJggYF
OXHrL4y34EV83aFyS1SjJEeVe2smLHDR6DR55otqjluozHVMAv7kh2nZjSBhCpXkard0qL5r1kwg
iRwP99AIOl3A7lL6QxPMT1a7pJYxF/wWOs52lQ9QneWwVN1561N6xxNKOzkvYMyKfEjZVzat+hzG
mXyxLNffxajRe1NVIxQD1DePw4Zjvv+DrfxPrBoYxb8YtRSnFNqloJRB6eR/MWqL2NIBjaLs0CYX
/UUNq5wgEP/rVfCPy/zZD/55GfHnZdLG2nadhdklx+xp26OdKY2SKhTzPtu3++lel7z4b9YEQ/3n
NTn4XMoQPB9H8Ih/eTQW5lyMCze7WKIiLUJhHrPy1Z3sLrlrDv/NYv9hH2ExxjDOkQB3j/kPQ/wH
w2vGMbFp15td2OF9usNl+jQUqsQP5Lwcsm/mnJTN//gBwcFnaQrr8izlJPvLA5rVxSWPpNktr+CM
juGgD8nTUpCiK/tDXv7bE/72DwbyM1L+YfJfXb96XaufEOSf//7L9f9lK3//8bV/P/4DpPz7f7f9
m32M/u0tXr/0fz3zT1+E5X6u/4PB/Omf/wBk/ohK/n8//BOPeXWjjT/wDihF+0eywvAf3vWPG/kz
iXHGdd/0y1+/8ZPCZNmvHF4745imiAtOAbf8JDEc/5qTlGYIpVjkacYAt/wkMZj8SjgTXGD4o7mg
kA8/SUxCf00JBmQiUiEyeLn8f4Ri4Cb+nAeM5ZDb+MdqKdh4AEJ/YTGhDbrpKt2WyM/pre4mrfIz
ODVtunvVW18lq0Q4WeyOoyHkj6GfZnpMq8SzG9wmS5R5Pd3ifnjftulE8um9iUud3C8MRDlU+2qa
yzhl+r0jG5ZsGZN1vzqcrw9U4DorSFUhe2pra9NWWp2m4JYx6plMQt2uO0tinD5a1dRbmRo0LM8d
n03wRQXWM32ZuHOmGFoRXcEalM1FD51eyIH1xlzGTYtEaotr/+DVVIfTsqVqk6mdKvINfM/Yv0/B
6unAiG6pnFWbL/uYTOsoczFBvlZjktuHCewaLaxt4gMCowS1IooBcITqZrZHJMmD7EzehV3tUAss
aGum9IBBzBmpwMbloNFHR2XbQnUoGz9krqBtA2a3mmslCri1zJwUtXknFZi9fleZ2lXFuAzKybbO
Rw87OYH1yuWStLoDUAKusgzRxPrcmLlpbpoo1u3ZqRbp+hWFTnwFc2cbMMKZF9IOXXLPBlZr6RbH
E5m0Nrz0FTNwZHQWmi1RaFLSJ+Avvtaqmakc0mmuvvq+0hbJJdBl3Y/BVs1numIATINnqj5FSltX
2sltfUEDeO+joSqkpRIUzFLFF7d98hlpwG1ko3BlZmOCjRTJ4ACJCRS2B1M5XB9EGtEPjoGGLxqB
TkYgSx1TO0unjuwUuCu1C9ilAyiASOLR8a3Gx65ZaRMAK8Hd35jAu+kCzrYyF5rxoS26dRvRYQSR
0O54Uqvp3NI60N1Wd7o90WVr6HnK1DDfUzos/JKuBJsSeBpR1yPd1hWCClyxRCB8T9DA8XCshTW0
JD0bkdyQXd/nyNul7OJUMXYKFajlMwRKwwBjahfkwLd5e7AsZHBSi7zfBZMJfNd3YzXuxsTw7Kpd
aLKeSAd5UQbwis5J5dd5BXs7jSi/imvMadH0dNHgmvqpPYu+0W7f8mxVu1l5v77kOar6b7j3oMTx
NAEx3fAA275NyZhfQuir6gVso3Afk2prmn0U2teg5Rz+NCbVPH5WAadTDS4u59M92xBvXteKCL4L
YU59Af1Z6MLWCPPTHLaZXRhzY16uiXCayW0dlg0cJ5vjLiNmM/ctV0adLIAddpdsS6KvqqDhnCED
MHVA2WBFWiYd0r3sx65pS85t3vegYfGalWnlR7dD2yLQqRnHzvWAQ0eehaOuqnW+iuNUtQ9tHVZS
GoNYdgZ4O8x7CuiFlqlbhuZTrdb1Etoe9q6jk3mu+zXFu6WyzVwAyxj1KeA8Gni73K+XLJuW6WXr
eEOKbTR22AkckrwUKV/eOYcEvlJNZyE8etNVXsJ79/bIxxXkpExF2+UHhSEcd4hMhO0nB/f8JW1X
3wOwBoh+RvnC0QnMXTRflqXpcTl1Q6cvNcOVOdO2hmhxtu+Hnc4pGr6NiCz1R/BLvC+mhfIwlNvc
2dlIs+DRP3Rb3wfQvpx/RE1qQNLarL7UeMEEwrZnnyozjbioe9rVp2CzsJZ4MGKTs/HztBszlORA
0SmHWtv3yZdWUWEl8jEr5jRWi0Rd3hymlg0PAkqNhdCrmlgwWrsoTUR+knU2pZdOJWb+Aam8LnEb
2gtQFhVk30/8QtLUXlVxSa1kiHQ7kxsMrIeu39jikZZT1k9XNKrFl00S5kdP6xS4RLXcBUH4KNXc
O7CpcW4qIOG0ypJyG1tSXQ9GhbxMaB/XHVhX4PBZW8fwYibKbcFStGzAaGmopE5daI852kR73CYa
8kz6FK3zoamzpm4kGcFXSF9VZIUakffTOZu1sceqYtnXuUvT+qpjSpj6CHHnh/c4AAV9ChAEsSsi
CwAyGkBHXYxPPK2KOoUxBVIPscGXRWQDsJD5nEMmyc2lH5eBPww5nYt8gvKXY4D8wP30fmFJXrSh
y2QWenRENNHH2mUDgJ0p7tBYY9k79jladhd6Dqgm3jdQC6V2EDQJ2qZyrrYM3gcxsrHxOqH4qu30
AEWUzCde21uYkTz7Vj0yvHKJV/M26+V+2MIEUCCt4UWEt3pJXsDx3zYEOlO3zoVaSTzjEIA/0ZRf
odnTTyS1RLYWAyIz7dFOSl042dCBDQTaiuHdvh4SyI4AwxeStI9zLy4chiMSxzaVHgJ8x5ZYf0as
HgsO76SvbTywtsrPpu/EAaeuvo+QonXZ2L5lEtB2dwuTC4X2uIr0AIjxew1wEWzWoqSB7NhNbfai
k7a+UktwuxySH64s2lKNHfQxtFEueR9vV6UArBh7sy7rIn1b6wendbbnht0Y4FovIGc+JyvOiqYh
57lrPyZamd0M7/oACatkxdSLcAO+Vd0CFtvNQQoNJs3nTuwR8+lbbJb2dtPze74uai/Q2hSjyc9J
px7SrRPXgA7upxQp2TpLDu24rAfv+qqIff9iXEsfVjWr56Qbu3NUrC/d0rLPa0zaC3BldkjsjyGP
dUmhsf22eh9k3o9XWzLkZYBZSLkRXBUhgrG0HrXfwoSujTFXHHc3cYOyaQfX7KeqHwogiNlOrPxF
wYxDZnZqZLp5Uayku+T11uygm5cwRHFFFMYdF7ruYXx1B1s3X1GIKTfHVY5D/wa2Bmwq7o/e8mP0
5tlv6TenhmMz0FmmwVxrtp1zKlgp2nAFI5qmaFPfnCKz+8bYu1ah01jnrzSGU0DTXhFRS1Et+3lZ
9ipVh1Sp7qVJWn+cVf29zRsMvLBjh3kJ3aFZxedJLAnEND7k85YVNXGHZWoOPK8LBZiigNnaXEIZ
eAD9/dhicmG9vwo1MA5XAb1eebgsQOPNCDU0bepkF2GkWUQ1tfsqadERBj6QwlOfbbKmXXbAFg37
XtTiI920e3QAoj8hmk6PNYnoTVhVPerVjk2xEA+YonGqlhgmWtC1LW6fxj6CSsozse9cw1eYr2F1
EWShV9UKEnXy4/gywgTkKde8fYBTzB0HYl7anqlrFT2Ryiz9HmQ3f+tzpGE+6rajXUV/M3Zb/XmK
1XrTrm0sKmyz94zy9i7aMZbZOgzuBrRoS+FhMa7k5qdYAH4Mn50SiTo6gLTsepn6tZE1zAA6KGeb
Ax/erJvfG1+J8WRBR3/rAJqOBRVtHEqeJbXZUb9OjwzmLFD5p5ivJ0jDKZbTaDJ9YJO2zZlk48K+
OqNzGMhFnDVQJaj7otckG9+4QTo/DM5YGMcOa23rvhDOJ1kRsKi5zDmu77WBIYB0A8g3mbYtX6Re
Fx1KNI/ofkSjv7a5R8+r9hE6QU/PaB3sKtvB8xEeIm6AL/NQpXLrsQZ1ZcARASDvfPgBfONUeD/C
NtDaDAYUUhrFcQFdk0o+VvibS7JPDcd2R9MllxhobQMuZbydk3WXZIDfNjLGYgJXUULKLk/d4tuL
mW1/bEIMUBdb6MBzn+y7+scoIINW7FoiTnPlkGRNg89QED6anKqHZfHDna1XctH1yqAQo+bkJ3Ry
I/pscYbKZQCcpZtgpKPkOXr2lZo+u01z99g5jr+qtPdn1yFoz9G7krFhPuIkeRPDkt1ueHpxW/5t
Bi4KI6V2PQN9V4XKkL1lsYuXrp+6A4zm2bVKeYB2qnQhZjM/9evKywiDyj0ojO59E2bdQxHfiqbT
ag9xCdyGqBHf9xvM2yId1a6hPnkAR4F2s5hMqcE/gXTsYDooeph+AXzOAtgelJxDDZJSIpJ20CJC
csoWgq5ByIWDHWxe0Jpem6Hp5ZDn01WaV77oPMcwckBOfRQWuQsb+wqkeGsOqe3NNc+qAfrO/H2I
YoaJ2dIctK2Wk7AdLxyJz1AZFDwY35sf7aJaxpuOsu/5IAoKs1FWsWJaDZYD1g81IW94pcDepscR
z1AttWsKkH2LrCbxJVYUJiC9NtDmR7EzA6PSdumXlDDo84nAknp3znKoM7OatsJm4Ku3KjsmOrtZ
enLjk/gM2m+VXVClX+qnpg/HKkwwKYjZdZK1L2MaPlMLsqFB+Lai6ZWAgxFPJ4v4YcYOhrd4dcdM
1ObMMCuG3kBjSWkig2nYnrfzzbK2H+00fl9RwHKb+2tQXtd+RfE61yACSAVsL2vpu3CJlnzOZuiS
6DpNs1ObCyK7diO7ifhBRg5VtCYw1Q+DnDU7+Qp9jLU+jBncR0Zh+mRFjAefVFRO1L0qvA37MWpX
VtBGCvhdQlrWGmpgk2kidcuMxDXcdLKkRK5x+UqWrPT5Cp0SfrsDI3D/pOvsKYYAM6RVmyK68WMV
u8PYikkSBD8zsEs+naISo/RQYk/9bO7jtpS+jQbo/Yp32Ff7vkmhaCTNjZisg54hlsJPjdgFm9RF
363PTTNeoejT3SASCKUEXN6cNlJ789HH4R6AOzo4VyO5wsh9x9DwKggOcubkfquXAi/oI23E3WSa
c6rCLWDVQtlmKWer6/vek37fzDYe0xbqT5MCG2dh4EBYTHs3UEuLEHxbZE06ztJ0Y35lmpDBlbT+
AfvXK6ezThpmN4lGBSMPo6/g5w9wSKGtGBN0s7H8lq7hRBYLd8M9LdjaQ4NG/CIc21O00oNZdXfy
CYR5ChatMt1abjh/ZoNwhSXJKHkmHlw+X/3A5WvbYQme4tiQ+pnRdYeSFNj81n4FbHAd2PrJTOFp
bYd5p7bElQ1KDYQ+P0LN64/ca7TLx8qUII3mItgtKfAMKvXHL3/kAnshB1rBb2QgTe11vwI0aE31
cXKL2fWdfcJJf9XVRNxT7GA2PMIlB5Oue0cNzGJr4a4QSvoT6LjhMOCZQsPJx2dQq6SWg286EILc
n3yY+lDggbIOmMNC9myb2h4wThe6ohF9BdP92VffhrWfTqqNuN6zfp00mNG+eolju4w7XvcbOyLC
oCsy205oJ9SwLMDDsd4LXU0Pyf9h50ya5caxLP1XynqPMBIAQXDLwcc3D3qSNrCniRM4kyDAX9/H
X0RWaqgKZXVbL9qqNhlpIVO4O4nh3nO+cytFz3ybfJQwBDgZ1KqnUmITqYtnjZe2dx48gpxxd3uB
P3YLMVMEpck1Nc4OvuxyrudD2JnpEIi5+aZ9EpxmKBnH2RvQcwkf7iFdsP9oubkWXJEoJf4SGrV4
QXMKfwOvmWxrsY88aXi8aOXhmPFUE5yiLarYuW7q6ZpTsrxvfDF2+6qGSx3TENrGMYK1sS+jMjpD
vFmja+3r/NjqtcaOggc2HttGzYmAsXLrwbS/3aiK7opCuPKhr+xkj3re2NVW8kLjAbfjyTYj3Q+5
9W4qHxXNnqxl3sas5dpPayhdUAqcHws0dGeUEDYby9l+K1TYZmir/EO9dT7EQ7bRVAYzwXEQ0piQ
6j4gm7sq/eZpYHQ79zTI3+kG9qbiVXmbj9706I/5fbeZs4M9T8dpPHYU5aoTI9+1pXoqqm2H941O
WrBXV610NxBRxtzmJrbwXJumulf5cLPMrEzYMt3xBSiHDeTRVvSG22ZXdyzrQg827xR80VV/8tEb
mJF8bGwAV8eOJyBaXlaJ7mVsqtseBlsGJ8slPhSzVDRTm9ChWdDuAWSZqcC9J8QuZ/Ct0YmmNIQT
jOL0eiklanxRfRhNeVWjiATRNnUx3slBuO5a1NGJhEFGRithWxm3GzUUxUZF3T0PihninqlTP/c8
3JJRnslOrbBn0TdUfFvjeQzZqaZ+eRuhM7gNWlqBWOl7UGauBY82cnw7Lvweul03w+Fd9NVaQJVr
Gs+7IR6vElqbaxOhTyNQi/FYACvUBdkL3V0tvDjIzTyyusryvL8fqWrhe5M6tlwfoLrVyVySM1XT
M+tnnvhbXWcKHGImyIxDkPPy2AvWoHhWx1X0PLaC3EXz9jKtQxQbq54qhvuX0/k9GcltVc8zmDwr
k4n3Km49uq9K+Nulnm+WNsTNpoCpWXsLafZTZ7CeQ3UTFs19ZeHJ0GCfO/egVx7ETdubuAHwEC81
OfoL/UQIPUMqzuNNkFc/kh/9EmxaVVZdOhL0wl19pxxABeGu59w7boV8savLllw/T5oeIJimI52O
gJX27bbmMfXarJIj/MOuOirl0yQM12vHi280n07NZq91NdxPQXCPY+c+JPlzHg7fAriqHTSAnKEA
qRt3O9C63VcbOhMXjt8MjOMkYuYd3m0ajRJXu8yoAqkI9fjFyep+cKqHjUyOXC+x2oo7M3df+s5k
xDJsv2kXgNiaug7SLN5twBhs/CY1lhbJFOSoOMYHSgZ0kHO2WXakEPB51d2tlD/qMhjBMk1zvNXi
bm3JDZS667AxVeLz5nNNvPdaFLe1Gw7LFOGiDp5x5l9QrAlQlp3npF/lSw87U8s5T2hjPIitobj1
0d6hG3FdrBRh8aRqup+Vd8wN4Uld4ILt/bB/N82Q2/1uGmNgcQkf+mc8wVtZmdOyLcks7aHqvHNk
UFENyp4qoXeS9+daDhnn0E42XwKWGeoisc5rYuz8l8aLgjhv+3wXgQyLu7E4Ql2M16B7ncp1j6Ly
OZdsv1XdJ+3GG0hiV7lePpduDrAo9VNdjdm48Wy0/W01sttBlwUuPptCIExrUl2hPv1YiepeVyrR
G9SXZn4N14DEcGSx8Sj4nJlOe7ZuAEfRR2kz3M5F8RL25VNXj2Vs2yE/FN34tTM5JG40gihn/LRv
AB62uklAyn6yk/o018FuyIsnNkWv+KHVWeT2ppywMC+VkqeuCrVcQTlPbAPwiGnY/LQgRRbQ/qml
0d7YtnvlIFNPSwPIZbrULHT1sTWr9t7Wk0qjssffDmyRmW25CxXkD0q7u3J1u5aQKPFKvaOqf6pB
LLxRbbQbtl0Yii9hL8h+mRqe9GPQ7TjJH6D+fG6JvF6JT9C3hZeCczuXyr8e5VDEq+nvA6hFiRuW
w+yveKjBApLIYnV0+dO8mvfYqsWh7KO9HOiTLPVx2XQXj5asu38NldNVw64X1f/rqJzrfRT9DJDW
/zNUDrLKJzM4yCrhRXQBvwVnBOBcVZTApk2jEuXKu1HTEu45eZKGtfsWt3EXBjoJWQne5h80HRrR
26CHrT8tjiab529x1ARDNpRr6pMQynAVlnFOsUuVh2NARBDKI2wTqB0mRktwz2t+8tn4CN8PyzSU
bifamt2VjM0xdFEPrtOg0zcgzw3CxjU09bgZwjqGIvtAul7GnR7SaJMvrhEjOMX6o6jCTx3q42Qp
6iBhvRlgNaqXfCxSLbupQe9jP4kyfO8KSd4HU7eHkTRmHt8Ozew9KN//NA7sSxHaJBIbSRn475ib
+sVZ6yU97JK0GmgX9wqltg+X4xhcmlAggNNuLPH6rGFHvWxPYUEEtML5/VyTK5BSt5Pxb+aBujRv
JnHIgagnbe5PqcClHo9Fo2NSTmUs0Gn5bX8Oo/LQkQoH/bC9h3Zx24Tjq/a8xzIYtthfuk+bcN6N
P5qDz/mjslsOLQHKvWX6WDBx/D1iWBvj9iHH14dWcsddNyTO9pDO/s9oQypXeytnpf+HNvz/jTaE
dr38S6ghX+YlW6X4b4sauvH2L8YwpNMIqz6SroYb/itbqFrodTHIBWB+8CL1QzAMQbNTc10VGclN
+9VXzP+ipmg9uTysv/5JAJpWTR8VlIh3htWdiGeQ09ufbF8PxMyP9bBVH/22th/bwuuCDOXMHJwF
sibTjjfRaJt4qrCXQeKjaYjNKiYDtahBIf4nXxex0QdSHRqmMn+AvAkRcnNa3OVhgbNAqHxcD1tX
oNAbPOWHx3+n39Bi1gbAZgGwL1Bd9CzRq3fA+zQDT9GCzc6WTk1k7+cuErtwefOD2xWV1DrP9R4Y
k2NZz6IZfFYEATCegpY3WTm2sOvraEUZOjo4fHHjgi5P8iGU+SGgTp98K4t5N3Mzf4IAO9Vp409w
aZY5miNouHR4D3IFN0wZ5KRIVK/tuJtpzuRJy764KX2Q4mkZmj0U4NA/hI5U2wNAlAu4WvR0TRvG
traGntH6X7qWwKGUpMVJK8Sy2F3eLFBRg5yjlcUfgt1gYrzIUAr4YLwoVvPM52DZ06lduMgqT7bN
uQCdLmEzBc1wLUwuy+vOQgd+DYJaB9drt1h7PdVB+2GqltXiW1MNb8RffOfifAhMooBqNIOdOxgt
KvpKWxd8UwI1BQjAbpnOUWmbe1kY0iQTxKKkGsFAJARZF2gmoEWWmE2z7PeBN7cmnVSOBABdoSEd
l8ibv3JCYXF4m+c88HLbs1ojFweyh40a8Q188lyXnxvLlz7r52iJoCC0DDRIE0XuwZ9RUHvd3Czn
hTL5GSaHswngn8Wmi1IAcDxBpLcbPVVf55HZvs21RdMvvN4bUqKQstt7DQllVlg99inx4HPEc7mU
RdqtTX/FV0ftlbkgI3tU3mN1ac0KNKOVnNh56SaoZVhDQH9Xx0MgDyJSm73iZOnCx9CokKSrLZvb
HnpGnokcSEXS5Dofb5eS5SxzEQOQEC4QePbGgDq5GmcSBeelbvq70KoNpBv1zzOu2RUd1mLrxwrx
iPGaLrlBQbMRCmxHKCxDGG8rQVnfSvBI1usHPM5q62OwUABHVh6B+/YFCoXMNy1rdiYkvoVXPzRR
1lYT+Vz0CONd9YBzoHz4BnJSp4bqi93CQsWz6Fgigwo/dOjkvSEdABKQOsIAsakLlmAFQ4asywi2
UuOpSCW9W+0j0KApR9vlqmeJ/Je8d/mqP1XBNm3HNSyK4akB+ODvZkHQzntT3hdxhaJNvdOC2uba
L6Zyjg3+KxaGWbFAk7UIAqEMMm3zISSXEoiTIq9QhU8SAjWdhHsJxsArEw8UdQiluhpFEuqieIdY
CJPxQIohvxct3b6sw6K2tKEK+M1Myu19XQk4p061kseIPS6f/GFr6qRsCmiG8xry8bbPtfkG+7Oq
467AfzHro22yMbhJ9m6jTYPyKxyA7vdQM+oEXBaxXz24SMMuB10T7r3IAHr2CilCbLDCNIisVFV+
0rRy33gD2uGIDA6XWddrE8Xa2a09h17XjgkSPWCp2qDiemeiGSx32VT0neErd/uBh4HLQhqo1wIi
7/IxAKQxnXpS0THNq2DAOR6Oa5TMCFdAMCYNuUJbXraxwJphcWSQR2nN6N24TjV1WuakDdLJjd0S
u0WDs8FhjpYauIo+WMBQO5yGIik9Y/qkrmkFJxxRSIs4ScOCKzHYYUzLwtPTSbM84jgWRxyfMDfg
Usw69GH3w9Nv06XicOODYuN2p8wwLC/wMOWrgtEIXdXX9JKoJC+qDnqTRk5zNPpYHHAE+og3u87Y
MbiH4sHqxAtcXRwHNYX8Cvmw8ZZXfVslZTltCPhpPtJkJqsNjjhpZ3aeIzQQ6QrEbErnNg8G3HHd
plKNiKFLsHlnxHKYAh4/2qC+1jn+4NyMPhjoenA1/GkpLbZFP623SJDYcscmBtCrbIkez3O/QSXz
+27rYuDkdXE1QR7ZYiXF/LlxQ9fs2kHlUzJpx4LEwUgZ9o4NvNwXiEPM+DXb+hkRQhtBXPMCuadl
DWCqyHPb731Vq0+I0pFtDwYK4UGy8DHaCePB9t2qYgC1hXwoUh9L0ZXJWjYCSmFhxusB0as6G6og
MLgB1+12Dg21iZ50WMUjdyNAkx4gCjrozkP+kDazzUDN4ORg1cyn49bNDNk5fNyUCeQPXNLg7wYZ
hyo4JeHaIQo5DWDF0HFrGIJFB3Eu4WCHS27jAbzAc925i25EHHcJ8qG+O+mKBgR8Otc5NlMj3Hbj
h3yo9jxag+VypNAGpwxubPEbcvsCh/4AbkOM83zBwoBKNDEUrOz3XDPQSeD6TUHRVKkRu2GefBxN
bNzxhfQxnmR9cMNvYOoLDP7DZ4ZeEAJ/9XG+I5JML0Drdyw1oO4S0nzNUh423kMooTqyYQCSWnfT
DrK02rU5d2mNB5Gswbgtv/nNv7DcoScYDWB+Mk5DRBB//HyoeMXmAnz+PLTbzi8LcwipAy/hFfbr
dyzxX1D190np/+ijuBdGAfBxHoY/s7nbisKzL3qW+nTUN9RDQ04AzKV1XsuHv/8o//K1f3ysFDAx
FwAjBfCGt8z2d481L7G7DSRXlBkOpO0CRTEfUGAGqRqId1UtE4SvekQJ5HD49pDg48UT3m+odUDP
P38LySWkaFDyAiLCT6A8gkHNglODpfnc0E81ClOT2JrouB90ez8h/LX95hN/WcIhfquIQklBQfuh
+Gk5IYqnSuxJ/MxOFHFXma+Ab7wUEPD7YvSQmAQg+PeP+te3ypCzR/yeCeiHkl6ewXdPemxswQez
BilsmTZFSbrFTAMS8kIz/2av/PI4kfKRgcA8ARFwxvhPGQBmwLutywyO2a+G94WV1WlbODI1OcKK
nY7I4e9/GnD2H18fPgx5FMo5aHeGbP+PP21gRV8FeYuWQA5IHpChBABnoS3+Lr7xH3wQ4hu4kVHd
4fD5+RlGdsF1YxG0CkbPPIKJLW4sN2H29z/H//VjpEQQlgYABnko+GXxfPeqFgc43ua8ytomYLu2
q+i+9nmNK2GqkhHSUZKPcovxJd65NlcZSI42rnmLuQOyuHQEFgZ1qPLfrKDLa/thryI/9/3X+um1
trXCjzVBlbm2APxRA0TYlga5uZ7USbAF83Wd59WdVhH9zYL65YHgvMVrxZZhvu+ztwf23QPpS/AE
jNUakU7WXnXKRXeu9MLffMrPO4RLHOySIhqBVYvK+aff5yEaqWGy+fDuQUiMsrS3Heq8WFaqSP/+
Ff/8g7D/5GVMhhdQzLZg7KcVOzLQ7ejeK8jOPpyyDXl7QPu2D9ffrKWffxNWKvIVuDlCCrQrEN6P
Swmpw8hMw1LsfOvoeB10pnrgwnqAe8CcmD9/1n+fPM5/Oh+FcaCC373jXyI57161/vpvX77qf0te
l88/JHP++rv/GJES/IHXLiTOSKRvKF7YP6M5uH0C/PswlIy+XfF/RXOCP2Dwy9DzLodOIJmHa/Sv
aA77A7cW0jQoSfA/WMLsvzIkxb/cO//c4whtYdkLZBCpjwENIuQ/3UsiH3NUeCFLzXuTloftQDIe
61eWjMnvw2I/Ls4/PyzEfkNJE1w+7rJLvtvW/zc1Df8lcYS4HWpGgcgRv+xu+VMBxQWCEXQFnz1b
RE2jRsHZJyHZ9dBTIIEok5Vi8/eT62Q25sBdxFCXn/LCU7clFCuQsMuQhTBjM5QzkBwCT8TBpmak
cxmiOc494p2We+7Quy8SBG6OEz4xdl1uADZGx2iq2gTQJ7wMDQgLmECbdCUw4hll2EEAzD9glExa
G/dt9BpQin3n4TtVNTlJt2zJ1COvjSYGqTot5G6dvGXPKx/tfVlUN2iRihSVGonDWZWgaCk/90FD
zpJ43j4XOjyHS8Bvhy1yyJE7c91Oobxq0EM9B4CEbkkvYe4qaTS98QY9d3HUAz+Pe+QEcjgNmEfh
j/X2FelFv0hgU8GTE1H3eQ6L7Ysobfms22ioU2uW4MmfJMIfCiw2ug2x77Yt/zZOW9kkmgqTDV2E
5DHYnwVCgz8NMBSp2O6cdPzYB1V0qmjNsrlau6+45+w3Y/N5g9bgijNGAMDrI6PIYQfn3oj+d4K8
6Q1DveOjCR58y9gzsVvz4Gi/PnWmRNyk36YM4AV80Ybq6j2SOu6+Qfx2t4rZj5Ko0FvaOysxn6Zb
ljWZ3UDOi0c2c0DIa3mgAKWmWJe5eqz8qn8alZyPUUDmHUr99jzW1lOxAJ36EVNIEOQmq3jgyLbf
gQQb0yDk6hBpVX9pQ0YOvSoQHivnucQLV/S+F1FzaGu62QwpXxGmeuCTBEQzaD/xcxS/pI0ABXl6
RPEGcfNAzCJPePfja4OW/2XTja5iTfvqWOMGOY+FsF/qCh4mAzO8Q0qjT0fRr7ioG5sstaAJ5Wj+
e6/LM4QSNlhVEPp4qaPd0i40WXv/XTT16bDwNZv6YXwIprDoMbynUR+rJZo+VXlBXnJq3VOHKPm3
AIGdOZm62St3ulr666HV2A/KjAc9RsXHqOkgNpJoadjNhGEyY0brCFCPUZdpFhKroYdsoqLM85Tw
Y2e9ee8tK5q5zjJkX4ppczNEVd7tOaquT62v8pfwbW6SuoxQojoHvlvIbfg4FN7aJkjEo/csC2Dp
pkULm0dNK4FmXGYzLZcxTf7bxKbobXpTi5BCSuaGXzuvDz8sNYiWjFeq2hJ5Gf9UmaA/L4a0B9Ji
OBSKFHJTKF+2KSII4hHBHAIZcdMs2o1vaehlm5BEbErIweotLm2n8gtCHtNjK7r6Oe/x/+xbwjp6
S1u3IF7unPKbk5EMP7StJ3NXKCdvu7e0tncJbo9vGe6W+xpaBg6z+/ot5Y2nXR2phAJpLiFwU9fF
nhNBH8pt6U/IinsnFnTkXY215eP3mO4roRZAANlyL3V0zXtIrgozB3JHUjUHoA77fOzvI71On2ft
B3gTyKitK10+DEK2yBW5skqrKdfJIu3YZG3ZaowH8gSk+iNbouHbSgDdDdUY3opqgLOneGQ/KMJJ
xjTUAKYuCJi3rQkSOyqVng5TPvD6OPZ0OPvlNmQtXObT4tUIElm/y2pkHe4xMSfc5wzrBoLMhDNu
6JKBQOv3g6g9ULOYq8kg94Sz4MKfFC0SmrV+4IuPUQBglk+BrHoMknKfRqMm2LIAuWcTDqBuQR8U
BTR5DC2BMdD2MumR9DyuDWD8tgZcxMVc7pZuK1KmiLkoQog+mGGFvYyTVnjVdg09kWdtvUFHZRha
5HIPhZ0/zx+btnBJ3xqz29YuOId8NtcXBSdZjcdP4YyRCcyq4MSKAUgbW7ZjH2EiCURVTOZp9ZLl
xiIrhAgpgL2oiYqTK5oeesNUphgzIfe1t9CYQpy/N7gA0TVQDOrpF3PEaBUcNYEoydXYze7pMooN
w1OG8gbZDXbtFet0YrlBcKFfFRDFwTsyAH37vMT4nEqXyBV5vQRECnRo2+YxBeQdZBsEUYw9MuTB
n5R96MOhPqkSx82yGHqwbW6u/rRVlCv0aSQF+ThDDsuYEmuGT5fnxc5lVmu+4NTt7pkNwhj5qgkM
d9s9t3Xp3o09WJ+oYBuqYoxhSk07jk99XiJSM+USASPtphjjcfiNZ3ykGYDl+QlipUtCJiaTi2cj
t64CUAOQ5tAg1nxuTRiBGjYbuykZckOHPhqKPHmzc4QZRHhF+m2+HkMIZpY6iFrKoyuaZOxRhGJN
fYfDNwBxNyLiU8z5fBragB1D3BKQIavWwq1ZAZExTFGiHuBY2XnewYSYKzZqXDCmctUTyJLqrop0
+Zm6hWT4d+RsG9Xeb6Zon0NXhocozMsTDsPPpOmad2IGUxa10PIr0+VIaFqMQJskmRJXIyWp0Rph
/6LcgJaTJ8gwAhAdanDUdc0IGKEIgFonAMDlU5dgAJkAtzM3O4ek1c6XDYkRKuwSYHnkwvy4D906
FKnz0Yhw2vLPGNFVfEWoY7rbVu+S1ar8F7KO9soigXSGYYPDtpB+8QqgsCHAiDFUIaa8dTmoALz+
RCL8V+N+1hi2Vm/VOwcUZN/7ht0j5ouJXLRecbNsYmL3DVjRDx0r6b5kpjwQt+B7I+8rTq0Klx1I
1ejquxL97s+69nuli1466X+WuxKDGLjEODfEZCh0ij+Lxu8qUNWPanX5eJmQ0Jp4fKqz6fmYH3hW
ZiTZ9tE9YqJjvBy9lMZlOh0O5e6vGQY/jDD44Tv8WAX/9R0EiHwPoM5FmfmxCi5Wp5FHGnACR1XS
yHyPLCgwEvxjQTDpAeNc4nr+HBE/y/soqSO3g++R5lOxU2V130gF2vK55/cT12mXg1xVV6zvdwPd
0iF47mr/NzLAm9T5y0P77gv/pJZNK3gWmeML8/1KMvs4PQe3zQ3Pur0+By7JYvLaHecbYC0C83cS
svv7l+b/7oH91DZEnaoQMsfnB4DjgAclXtbuiltxBAD+Tr+CiNsvv1GYfpFk3hbKd7/58p2+Wyhy
RAK245do/jU4a1QrabErkyWtHsabbkfS38m99Ge9+e0DLwMapAcFSPzcrshq6OsNqgAGhZDbGZM0
dmbnMmQEd7f1YUryLLoB8njCCK9DwndNFXuH380P+UXGe5OcQyxLNJ9ciJ9kKAwtMyXcG5Z24Vl0
S9b3eRYUX4bJHf/+jb7pZr+sqO+24U+9mY9nO3KFNzqn9et7YL97mk37KO5u1tc2zTOc2FdryhKk
pt7NZULjOkVO809J9n/Ei//153BXin3ynw93vf46/yBa/PPv/EO38P/wwhC+AIa6YD6Id5Gs/1Iu
Qv5HxDB4EeN6GAZJwZf596Ei+BO0w7BMENDnjAofi+gv5cL/Q3gYgxPhr1JYGnBV/ivKBQ8vUtY/
FxHUBF8iXouBA3Bo5MUe+nGLoqQwa4g5CSmSDtxL2RyC/jNVjSSenMJFJ0LL8XXoBhxao6PiLvIL
71vRYRICkiEIhBsl+37egWSZz7iP8jvblfalCebqCxLT6pUauz05FFcNnFGMX/N4v+5G6aKbBaSg
QwMVNohYzYNLhAmrE7zy+REjiNq9h8zDYfBNmXYebla6jeh5yTCxnQuU+tyDmf0qMfAWJdIy3jaW
zeetmL0TaYW97fu1RvwRiVQvz8OXaQnDXVnK9nYeRPlJYBACfEc7v/dZXd6KrgsTA10HGD1mm3JM
ZV0dsGHOrksh3a3qAgxz4FEJPp2DQS6bEexutZlkXrU+mjyoDlBApq8rz/MsR5/4DLgFMJIei482
WDA7okDtjFaMXy9tIx6qCoEPhmrsQ6NW8errDiBO1wNX2KBJHm1ExLvalWxD6110V7Pf83NFS/1Y
YRIb5pD2ogfhPuT7GtNLjuWMSZ6kxnzTnAeujPvVa78iRjwhd4FETYapNsika2TMHnxvDK+LMtyi
eKHE3pVLY5AjRh157fLcv1vCFjHFHBpciofFTpGpm7Nb5fJFLgh9wovW6oz0abPXkGKRJrPIukWO
3rByGW4ExQBBsvTDh9Zs9D7EJILnUs0SU/w8jFRpMKiy9139AZNo8vtG6+ZLvRp92qJC7UEFy29c
1wbV2hZZZLHrClhn25YvIblM5qJIQl7BdUVKWtXe0S4RO5b+xh8NwfpN8tlrz6WIoiOXZgFUZcwj
HgQBcTl764FK33/Y5gBoFoaRBJ8xZTh6BDZdgp2ZaN8lLFoMLkU9DU/euq27oQoxDXeoAc5TxDAx
aVe+a/NlrVPKmu0RQ26re8wRcXdwc8B01G0oNUqOAON7I48iozQSMDZrTxYQaBKTNgYxBi/IKWAo
m+vbM+SZ5jCQCDAsZtLhW8l2eMHbh6GNJHC/xDnaRDRZnN4PwHBisdJtgLxV1ieS1/nD0MoAQ3hI
CBfQ+ZhxwTG4ozk1xervLOK8z9GEaWWya1ssGrjvSCp1lzmPQXDLJxS0pq302TUhA98RBuwgA47C
n3vUpmwtioPfFvNNQ2f5RSJls6tzLzxvLmfI9/E8PK8KS5DnFWMxvBUg76EHaAW/OF+8sehPW63H
3WqIueodgmmEav+ssKz9U+cjUrVpvvGdtF6Fi4n3wd1KJMtEVPhf/FaGGMzZYX+j9cNmoRdAAZ1h
hQpvxgSM5oTZkxMeE3Ko7wuwxwX6zhYpATqYD1wj6Axzvp0UXHR/bhGH0naIoYUgUrPJGeMgmg7f
Nwea8AXzM9DUY3bl8uKMHuwOpwFyS9qW9mOD8Ay4/lnzd63HpitvUoWMNX7x0QXl+hoK0nzlXdA/
4XVj4MSwloDEJnXlELiE410O/n0BrN7Heu7bT4oM6zkHTX0lgpDtfJKLD+0YtHPMjN87REEAIMQ0
AFiRmM2qTBl0UKXWwVU0N/Mewf7miGRVBdWUtWk/zKBUyqVe4R85MN1ifW+oXzxaDKtJETjrri3K
kLPhVfDRViFLOsfNR8GXZsKsSSvo+8q1PXrEgWNUUe2CHBMm29X/SEskatYEoGBPnpD4HEwc2sGP
Qxmu9jAGS1ndACLcNFq1RhdpyEK9ZZDYywH1NdUvmOyIYQJLXYBv1iCP7jGcpz1PvR3QeUMHezBS
+HcDghsATlQVPbetRV5osKUvYwIYzuJc6YrnafVLH3kiPWZRGVTX6zB1EfYB9DLwXLK6UyMnX9m4
QaEsDbCLtKgHbJ8eCucdwu2YnjNCiAEBQzFHpVcLYCAIYFUp78OybDr8LIVbp5oGhSA0RmrBlJPO
+9/sndly3EiapZ8IMiyO7bIDiI1kBFeJlG5gpCgCcMfm2IF3mqeYF5svVMqqypyqassxm57p6bG6
KassJalY4L+f/5zvXIIxznTjdgrKdyv69DbxW2ICOEaOQdMWtxZxhvVy2+uuBSTl2B1adNPBcSBL
T/6W6L+3TVZ8H2JVkCfkLG/SzMbi5mJLuzIk3iYiX/M+t33nCEU1OCpPYhM1ZFfvBrRJ/mBKQp0w
uo79ZPSusI4Y8VzW0409CiiyLZCMOevVbdhdboguF9euT3hmWI1j7Hh4+ldpSoogq/LuAFhU7XXe
6ENtFY31UBWsUtCplxoqc1/i6q+EHd5U01IZe1XMXQqzoJOk3AkyEq8yYabhTjWHeuM2aXeDaatp
tkEIpWcDk7i4ZfeRfa0msNmbpgtsBNm1Kx4Dpy7uekYAvl8TDPloqhzNLUxl1rPr2NmE40/71V7D
mkI00Eu1r30VvPlJp954CaswLvJ84Bm74MIBtC4xZelljXHr8bFNiq4+J2GA0XAMOxjpWTHI+zaf
eXIPyjS3fB/X6uDChTxUZUhErUl4P5FexudpdQrwJlK7F/5sU477pDctFUPZ4NgxCMJvzLRgzMCr
FGHknI7e6lnD1jJH8TAOkIM2Xtr5N2SpWwsmjV6eWeZaZaQAA2FabUPQ73w00iGGEzKcVTHVdxIM
rcfPb3AyskfhVoBZ6kKDbXoOkmVI7iqvwram5h6slTYm5DRwLsNN7xXhC4wc9QbVsz5bWbZ+XLwX
POp7CARimfYdeKCHVTTaiHwDxy48/jm7TlcFPeHnePunxv3/S6mA/3QL+WsoZ/L+54P8/ZBX7//9
v9V/zwb825/7bZh3PznM8eS53IuX6O+2kL5LVYPrMub//F9/LSDFJ9+2HDv04LuzgKSn4a9jvOBa
4GCL8n2HHxOQF/0zY7wd/P7WeVkK8u9gB2ryH5u9/x/GeHwiTIOjscZSZOrGssfgEoW/W8sOZyhj
Cx8WBXvPllfVnH0fmXJA7XD0ecWMXKkn8FBJgXFuaZ9na3qDNqd2XmoXsAT68HksSozNstSbVfvF
RiglN74QN/5gvOPkA7vMV0KKYYzNlAwn3j65QRtj3zfVuBXngiBi3sRr7b+35bJsy3F9lz1uyIpJ
klxp9tVpxEmAaGOMGJ9IarebzPbHzRDUny3gJkhduBMLgG/Qu6qTExorT9NuvErhM20Lx/zaelkf
lSFx9oCtYJQL/dGIEHluTlXE8cJSJCieDO3a8RjAmQGw91mrgdRAUBCe7DCYJ1P2rU+T6mivzU0u
BrFNJdTaaQjHSDMysuG1dubk2rspKMudS8jzUHktzSG+l53HYOl2l7vW0Wksa9MF44uVXgjI+Pn2
6ewHG4mEuHETNR1601bvqbDUDiJt/yWti+ml7NSP0lPQTQ3nh2lOTAGN+2KMZbXPF2DEpfBZHZj2
XejjKTctApQuy8PdWNmg/8HGsMJTu76uakokmh6iPXcaCbz5Fgl0iBIeR5B4Mti7fn3jruWpJUoe
4K0VtfDjGZma6+jNJAa1a9zq+6iygsiAC/7U6m6mhCwCQvcmXNNtlYJXWvLM2cB9OBagwSJQa998
AEPA53s/Rhe572u2ayCOb1aIz8LJvyTYaiOr1Veku1/6n2u6mQQyp6dTbQyoFZ5spy23VXHCiv1N
VParhTcW+nmN2to9yXJ4CpuU/Nfgvk0Gc31ngTG+pBlyaA1Yzq4LHO2xBCsoxoDZa2WvBh3i+xSW
1yD8mZa03LWZytgPA/oY3IkphbM+NufykCjr7Ax+tpsKiREbQ2YbwMvMXHc7JOJ6DNtdMwNA8LLs
B7d6bjkjKrtanzq2tIASrxPbuF96fa5m8d0ZGKa8ab4aey+MDC3AdXgzPlyjIDvhXS+jfYEANHvE
YyAeYUoUIAzZUK4vol6/JcQjLv0YT6VbuafGSm+YpQ5gDRXkBdZrHd8M4mkX9INzrTPjUJT23sQV
K9LwIRzNZoNZ7dqtsbP6yRXIyYc5Wyzcqxzt4Ri+pFJ8TwntbR1dCUIt/UEOvFElZkFLQdrA9FZT
aVA+Tyz9j4ke71PR3IGuJ/OhQ/NyKfmKU/g6y+1Ta2oAYvBAo4RqCD6RWIAqcgZ1hzgMHDGa/abe
JdX4EBrNc+4HT0vufi1CXlt+KQcYlUQkhsnf1YE4Z1Zh7hdYPVtZTR/IByOfnYWzWiv3GHhFdep1
asQUBagtXRVhjOrf3ZuZHA6NbSxxsXY3CSSaKIPB8OLXabLRvUYYFk23BcB4++dPw//UJN1/58y8
OKz++Zn5+Fr1r9X7j/Z/PjQvf/C3Q9P+hGcH4SkUP8m5f39qik84ubjuWKYQIZ5OvGO/js7gE5VD
wkaZCAVnKIvBvx6dFyeQx7+OS4Lv4szEHfsbUfjX8uJfFRwBMfyDAkZsGRMk3qLLGiHAKfR7BWyQ
hrNmolx5bPnFMTUrhOpZeSkqTDGcag7VjdOYwXCwWHHfT61S1yshLqwFeiifApEBIa/zknwayse2
GD2gj6zmF5ajPiUqu8L2eY63tndBUuZ7syn5AV7imqSvCVrgROFIjyahLZZ9OihOVkVChtT8KK+W
ylVROPTldEjJiL92pZT5gRuG+mwvJbFzWDOAXpiNv0vDHN4BngSnBVb5ddBBftAZvBzulD2QTqCY
eN3B1ZdfymGstuTbQPNnC4HsgiYTNK9wJEYi6iHAAiGG4FSbmfcQDGPxefWX6sPG6k4OYgmc18yX
3RUJqSCeMwPS5VjjNKEKoeVycAEdeHp9bPUEgYWX6yZzq2VPygB2EMRCzS8U+N4PNtLejyJwNHeR
RDtUa8h6njZrPuCiSSab69I0iW/gmATRiXG4Ww3Dumq8xP9RCgsmSLJWBZyEhqiUO7Exx1OvdWw6
K4+rtAchsWiLecFPevmV2IYi6Owr87bOgvHRl0O/mzvPep/aof/eD259qia3PFoF/yCUHgQXrJmw
XEaz/hzMhM0IqtenZWiMMGbbXyLqk5C67XiQ7fpxNl81W/RuI0Tewcqf8YiA2guAI87BZ5jG/QvO
aI3xxdLfLNEH9wFvZReZyaW0yWh8gtJFoEgHZOaIA8Moz2GZVa/CtQWVVPM4f/Mqw7snwuJyYtKK
hP8H0EUNTgfGcHXANaFPVl4uMBmhGoYBDpFlMof7wpHDFcb39BT2aXG3FlyXN55V+e91AU/Oxamz
cfirHge6WDB9JLt8LoYD2i6w09paD3XbBYC4M3VNCsiAapA3XEnq9bSaqfvikXw4qKFlOzmp5NaR
s+YXkv2HWYVq78jGIHreYW1J0L1SExOAP9b62dU0YyBJqVHEC6mZw7I0ABoB5fYH0TpGXIEHBq9V
OiQMO5a0AJacxthIi1qpGPQRzSGg/HDbd15t34tGDmKDf2h653qffUthyl3JclVvRhgkGQpTB/Rl
vWgxzQx1kUuttE+QQ/X3CdQo1/yZsAtb1cHKttzmE5TNRgEvYL8NVLHw14JluYf9BlwVJLTN2HrG
S5C54sbE0zJF1RB63zRPrIt3pV7kEVJIeOfUuvlmucl0Svo8ubeXenwhFcIMg2udSS8xQVtvfKhq
fHn4jm9G2tv2TKXieTTVCGsXI8HL4NQZGUW0EIhboa2A+w+Jvia2igCLBc9nY1hXxQrUpVzPc5Ey
Taymkd01dZk+5QyKCsqGLILYL6X5kTu1ggOojfWHg9p5o925smBaiRa9tiueeiTBL40Pjm7rlhV8
KtORn1dvSD7XbouGwKDtYoJq1JfKz2Z9VahifO5IYtWxnVbuazX21bP0xvIrait0oJzsK+tGLwMT
mxrltHVKyzGOBQ6C9sodXU0xUUOk60zqLx9jLgoS/YqeDiTUNMn4cpv0PvWUG6SRCib7EbxfNzES
+i79FcMKcoailDbY9Ghj1xZ0cWCSvrmjwGMJIncQpRkpEGkfpXRDA6SNDJ7xTC87EbQaoCIyjgtk
vLU0MaeqQy8cTP57ULs1vAU+98j4Q2Y8ZYEwPlObJDEL4uG/duqKHLd0k2cta7wMnciGNpJL0L+l
1breEWO4oKumHH8TwC/8O4U/eDucVjZUrDL0OTQqHiaerKv7nLSGFyOpZLfzXOQf+VR/CEYgsMaQ
UhOjMAm7ltlWlOjWm2CcjbfMmCYZT0z4hz5f8hecLP5/ncv+v3Qd/1v7R7Pxr6s+f+rX1OKFn/C7
Cu7Vv3mO/7a3sz85RKkC8iC/qQC/hhb/E4PMZTfnXpwR2MeZZ36t7Wh4RDrAjW9jpCU1w57tTwwt
tv97CwZNAMB0HPoiXc9nv8B38PdDy2i7FlhkgEaWgDq8FWvmiyPbp5rRApJxZ5yxyoG+PpaVOR8X
XCCgq8XUbJXv1Bxmtb/CEBnpdVlEM/PkL2r3a9OE5amauRHVTrYcJlofH1hrZJH2uDE7FANt0Mzm
gzWBYy10AnuscZz3Rtnlh2HgikroXgPU1sG2DWZussuSR5JimAsovE226bpKLo2+Z773WEhjVbn6
fe2q4pyPiTiuLOlqBHYr/8xjTr9WGq5Z4ofpidQMWEyRDG+dkU9c5yX0n8xf9mqxWZ0semJzp/yq
OAyOzg42rI99YnPHUn1ZP1mAq2+zLExvcljc0Sr8BLz5on5UTBO38+ihuy9FlZznNM1jnxKsA8ud
9GYEWw0uQJq7UGm8aapOdclh2WO6FX11rmvXj3GMPrRleN+6/dgdJztNAEHlRvXz77GzPfgAPO1H
hbLBY+F2mStyt3M+HVWnQ3xOdfmeOrN/MOhHvF/tAFzfxVfwurqL894XZKDBdyNtS1zaV6Ae5evC
tcalpUjrG2YxrrZTuKIREA/9qtcs+YJHW5Mu1i2lURuaOnE52JOXyjgdi14eLg85Z5NQjgjE3a+9
/ZAbrO/ojHrRs5VO0AINbtqLlgVFAm6IR9aopM8Wreggs62sA8o0sbZ9XuCxVrVP2lLBSKyz8YjJ
y9nVFltXuFK2PI4mTq04s4YGsQKj7HPOVfu6twf0gVLVXBwtaghgr9rzD0sWhsGSdSr7HXxy19my
9CXI2mSaoiG7be8M8o0dEKlWu/tS8pG8kBj1Ofw51S1ZuMkADX7L6rk8Ml6wh00W70qnIok139kz
0XrICWttxkBXxDMwTtK4yiy3JkfWPsROuzO1jQjG6mDcBv2U3a9F5d5Yazme5IRTHLSM2BY84k/h
HLo/5tZQy6by5XIAdOTcJSzL9sppncMgjBmWKjWPKSnqfetC2l69tAJWXI6RQPHe57MJssJZFr3z
8+bCpcpW8nqMmmSSWjDZVkjilfeD+HHmUScm+VYp2+nv8TzniDJW/rAI4V+N7NR2gS/kq2svo8tK
SE7nsJ68yMiCBh3cK/OvvRbNI/jPAUia3el9qbyBY6kZD1xD1pvOLLuHgIHuaDt+sg/mQe6U7bKf
GRDXd0uYNd+9Sfk7g+aPfRFWcLTNXGARzoRJk4ar+i8SMD8VqvOwZ7wfaNQAQu1YS7rr8rW+CpdK
w01uwaDzYVLHkXf/Rksj37YGDmiS706IQa9rqLgw+DiPtTINWsF4/ZlE+WnSTtFpVHWVNqzpkDKc
B6LB1l2tgaG7fQtizMku+GmzevMH1T4WdDbFdeH39w55kse8dKdXXkNxleicR9oyENB0jcTbdfNY
3sK3Hp4JWrt4Rzt5ry4bBHdt0DHrMbSeqoZjvJhmuFt2wxtaZcabkZFQhlg/o1qWaWAdOr30xw4A
5Ysjfe5dzPp2vl8Xo1bbfPKNef/n1Yf/pFo8LpR/rischrz4R64a/tBvmoL4RBCAVIqNs4ZA4aWP
5zdXjffJwxjzK9VjCo8z/dfx7Hz6efYSVhMh6Rn0+r8ez9Yn13X5/9LjgxzgkZb7M8czAbg/aAqB
xfHv2wTIWJiTQLr8878zvhljUfB4pKlwydc1Suu2OFjS8a6zAm89TTofbW8/csvzojGzv065oGzT
9c4aT/udnOrspQo9+TIpQ5w6K8O2NgfTtXbXlI/eWhyIEhomXF5n2bE3624oW/wIOhvn6oIK3rZV
+aXhWxb7QW7e+tSpbjV4/vsiX0L0UxXUWy4g6TlZLfGlXofqrQ8ox6kGyJCmR1HwxmvQ1oygYXnH
SqvR9Jl4+dkA4/CdQp8uljyEPqMO6/OKeQNKaNWeg8BkX858HOwgxSTxwDJSbH0ZqG22XBYS7Mo5
fbHWHNlncGFcM+ep12ivFYheCiuKBqpvWOMWBGOLYGrbX02dC/iVHhwyBGdFb0TbUZ2bWzSP+tnD
mhR4tLupjyHEW69mSltz75vGSXvGGGdC6t3sNEUkqmaIcT3ovbTcowCpf8vRVx9qG2W8CvpH1a/Y
m+fvQ9s/EIstHou1No6j62Q/tOlQXcmwAWhmHK7hL3a8hMZ8mDxhRIQnxMnh2vCY+M0tBSfr2fBQ
vrmbJbFrlCKe2yHdoTKHX0yALfsZPz71p0Uy1RE+kOBtajv/ZdU9WgIMl2qHj77GU+E76YO/DtYz
dAR3W8yldz8Yk3kK3UqfhoFbGFRlMERd6CaslwdetZ5qXCP3OTidipa/shZRHXKa2n6O9bHQywH/
dnfLZXjZlw1+b9b/w7GY/frAIyrY9rYtKenhQtUWbn5r5bm5W6mhuc+0FbxQOkG8MxteStobtmAU
b2vaBCPhz+J2aYpXMEtjRCVTgaXWNGK2LRQ65hk/a0hocrEvNc0B1UqxicQdFXXLNj1AlLEKDww4
+g0aRjZyf2a7fKqJIOxMH3BhI8mcRAPhnm1ahM7tPFliG7RELcYlsM8/X4PWqtqbufPzI9P5dLXU
/M1nHTI0JYm8D4GW30yWM24gYt7k3AXxpcxvKtFfRBMAlxnDI7szyK0WMYjFaiXqQ2dCNBbOjjLE
51V4GL0uSHCWP9TIOrw/fTp0kU5MEcs+reHEGN53DH12rCYJ79rOnqsVXHBvyeaImW3dLjK5FkEv
eG0RSwygvvEEzDZCMniUTHWj7q+6TJ3pjzLfTJeD2p1dgmD0H0nzvYQGtcdjfuig6Udho59q/D8b
M3HXawv0RuSWjEZrkO9SVkVSdPeD5AKeoaFoXkYic8Pjwnp963d8aBOjq/ZhPXqxb7hIfrhpjl2X
XHfL6GyTljV105c3JAou+H73w+r8c0gd2wyb+PKtvsACwxs+aHNs8D54qpfR0rogrfmeb1ifkr0Y
7Gk3NcMjpqPrVHVf8pHJOxA8iYS3gCgG6oEL5DCTNtis0IJiyxJ5XK7Oy9xXy3VTDcDgTcrNevsq
y6uvIGiugQE+oGa8BPSZb2wfIhiZL7J2ASjFcmr2XcVDxhqtrT+UewrNToXynH2J7Y3FZ/ulAivK
PCxXYjKtzXvsAOlQIsTIQ/dNiKt+mfosDrjSbMYxO6W62vp9dge9nb+xK/dzZZ+aovkxmcXVMspD
XtVN1E7TzTQFRzJlR8/N1TlhcYh9gFep7AWUYFubWNkcIhM2vgLfTlB/KjKOGIAKur7xk00F+KKi
mpLItk0ElaASpyD1+qfRT4GmWupQolpspUviAGg/TzPrztBgYGaPcoHVMd9auwDZCB4rrknbRxO9
bREJjnqjS/qIEoMFGCP2uyD6UtbutyLtLkBFlwczEZpdT2FupLu8PdhkWzcVZ9vB6ioXI8MKGYxj
5mgpWsSFB8AIdPJTJizMxA0xj2X0YNUE3d3sWnO0jGGyZcFW09Qa+HAn2enWQbvpK9oTukG+wiL4
ZnaDtQvLyWGCpDfc77KzCv1XkmO7PClvi8SHqlXN8K58JKWscPqoCMTVQAlaNJZQa0wOtJhIhSIS
mn72eQhG9ujv3Gy8oxjhVBpg4CE7sloa/FeJ9k/JfNE+1El2p7r0DfHsjk/lsaX9yautB9NfbqTp
/zBXltPV9Nh0/a27sgCrTRw09gWXLwm6JfbJDcsvfWY+Zapxd67RYMUobtY6vNaYn2IfTV53mgRb
cXYSCM8zGY446+1rWqdu7alpsfxxRCPbPNITvRWLuu3D5KpxEPpcgJcCc23etngQKcCNvDTNmIqp
9IGrv+s1iDDHLuzLToERuez2tmuf3bC4rgBeQQmbHwP212hKQ8kHShUxbjgv8ubEj9ysNcgqUdTS
JetAfqWlEAIuqTnZWdwMCWwwM/scoN3uPCM5OtMS3A1ufwJ0BZDeKzD3VgIWZ1lus6wBScxnb5Nk
F+E6CUi5EqHgi8RC9oIUR36Y6SOZnPtqstkwooTzOAzqTdo+wfkKNssKc9vpcn+bGu0FvUWjZyWC
WJPawIF5YXrTVEwHvbtlrUSCk89+sfe5PfF0d8HQJT1tBlBGZMuv1y7FRxY21LUFvbOjfuDeN4si
kgpbQ8AXNu7oaL3U9lQ4SbP12M+i3k6m9ci2Zdx09tLGJKUoLmBAYkEIryXwyh8WUn9oNnqzJOud
M6OPtMJpocdza8rKXCA+1BPpOIxzGTpvP6aMRDCnpg34jHofAko6pHSv0BZIv8iUS1Di9EhvfWt9
JLZgUxrmftjWgOm4ytVe2ToAl5YHbF+keRhcxS3cHd7Spf7GG4rrInHbqDKb92DBw6SxE23s3s1A
hA1vrsfuRk6KeF02ZiCNpi/42uCh6fkNI6uzBS+hb8VMi5hoS3KjU8CpQ4/URoc+/O9LnkxU5hCV
5XqJUlpYI/uSRYrgkRFR9PyejEQLS96B01i5oKeXROLDs8qJKEcizX2LVsAmyfV3SQBVlS45HiyV
o9CK8+QaW0mxI5bhRRDRk50t1BRzryKZxQ0sCnB0ob4jtTZ64DySFUx8U+mt0Wvkhl6sV9I39FN6
ORHLDD2AgxI/Fl3d+2FePxCruajZvCVJ36R79HrrIMO6PHnElQ85jfWI7NZTl+GYq5qZjHdGL0OX
66ibQLN7HXx+buv37HI4v4IBeUrqt4x9d8yslOBGN4xthUH+yiqHIRrHlmYrU4DsXcVZu6zaxSTN
2JiLMZJGvUQF1W3MldLYuQHWX6rMeBqltPJOI8HARSf9/WLo5VvaqAohi0HXRSMgjAT3LqvIIZX1
mxJ2+lgyCGKZnt4dkqf0DtBkmXo4gMfCwSCImW2LtfIrGS/f30/UQuqdoCdhmy/ueL2mDd9sn+aG
3vMTxQ6skfsF7RiXH8zsbloeGq8+N4lXUMQ4TvD/GkQ3z3VJVyY/6AS7GzRPv5ZHC/s1/4gSyNKj
0d02H+z8tjdlQ8UR51nS4IxfDDoH6RHEb6BkempMR11ekYJkauHetw6+as8avyKDOecZmQiZ6gdH
vdzWI3aSTllvM8/pW04PHInaFwDWXOd64LMBCWBcIlPSf+no19wWGcV5YfWYNV6/Xaj73OL8BcYL
mmMfMr49rlOD16izE4xEhb0FTK4iZ9HBV9tLDL5UOCDMoLNAlMPPtoK13NOQjjdQ59SqZDy+qpC4
aJdysPJcdSIKJdMrdZnIR2bpK6f0630/hsERN/JDl+r7MC1B9c3V8CKkp46pv4gYgZjBNVuSuE3r
a7sA9qvKbLij4rvdUuKn0IbW5KZsTPnhjlkT+14NYsyvhic9qu4gAXXtaX5M7+wLC9xIHLGxKKdg
yjFeJtF4TKMJpkxDlV9AKgOwwfkdQ71H9nPI3D5iC/UjUhDQm1ldQp9Puzae4Hr+aHrYOGr8CW1e
i12IK+wauEsY17Ul3xQ8+l3rletBGsAORgxPCI3LgznLbtt4pn8WjbmH/ZzGbuYDeG6ZqOmLvVdw
zgsoCF8l4+sX0ut/iRz+F7AdOijz/1zq+LeKFh09/L6T+C/LiMsf/E3uQLm4gMUuZgmkCaIKf5M7
2DkgMISsKujFtkCj/FXuCD7hNkMIcVg8YD38GT36tY1wkU8CD2MiISPSRCBu/ozc8YeY38V8yPXV
REDBCezxm/xhGfEfRV4K7d+Hm4hOeXhIHNwEPmowhsvLFuXvZJjeLUmxN4MdN21ZJjdd1zKN6GXp
oTJMYfM9MBe2ipQLDqc5m5sYHGhwgp/oXuNhmghmdOvbCnzxekRwYQeLC3HAxme2kVpnfGmsXtwv
VaKhg4YDl/F0HvHATaXVfKST7A5keXGKNVQcmGbufRsq2ezswRkfrMUwv1mhPd9obnYPrjkGW9jv
6S5ok/mcqTm9yw0myY3OzfylpWKShk/HbD7bI546+g5KTeWIl7V3TurWN0S4nOt6VcLbjCAWkG2V
weOb3A5ANDSNbt3S5ZxuzR4/eAHTyNzVSxUwMtgjj8UgHeVHT4uIGXV508zRSFXJMWEcj3uDeRxW
QYHiy1nDytVUS09rVGEX59au+o7rI/vZKp3hlxomrXjRAH5jANE2yjHuqQRxkMtr32PUzLyWtXzh
Gsc0sbuJmXmQpx7P9kH+ZUv8c2MMbLX8Wl/WyExT6b01ZkaHc2RtvxOxoycx4Rc1CEphKY2wba9v
XZZ69Ga26lgbpvMlZR2+62iEPlNRA34VJcnajKVZvWqvGWm70JZ9yJzRWY4Gd9cnGPbTjT+a+sVT
A9e6xPaWjb9MlyRDhmmlU3XxMVeGfBqbvDs7FmEQkMHg/LHU/IDY1l1NplE9eLChfDANubo2ZLmI
3doFZwpsw3da9Mxr6h+ys1VyT856d7mf/Eo+LdK0HpZxTe56vEkUT5llw8+eEjS4pBbJm+VkNR2f
vvnRcqDi/6Hjj6lrsN6DNuTQzbvlFARJisUt7BfuK2BSjmAI2cAEcu2AhXCqPqQjJyV3UKoy5EpC
YK4CHLzaxCROV3RJ+KnwbdIDfdgel7YiMA9PML0aaf998qgovCurlrKTyfDOwZh6ejNrhfF+IV1E
60trTlT+1WShKMwlhrUR0u+WXem2zg87AzDpm5imdgMg6BPGkXFlSHH0TWdhkNnoaWp+pFPgPMue
T/mloYQGIYdugIF9EDBox/o6yJA4wmBWzC4UasLbp070W9+GyUtIzfB3x+jHk2Fh0y0z7R3AhLN6
SlRDtXhb0ciRsxYp56UheT9eup5pi/6Q9iIe9aRdzFt4fu8Yecs7f26G09pDwAn9av0MGSw8Wk7i
A+FTTneajVCxCXKaz0bZM/ClncFcBZK1exC56SkvXlXefeVWhBAKcmNF73UoD1xyrwco6+YIn0xU
eAiQiJjTXvFhLbHnrpozNcM2Zq+KdDaWBI8H1JivpNrCQt1XI1daR9MylKtRR6SNmq2RwATeyLB1
tzT2UtFiuYBK1onxxLTSqMouthaKgKrPam751wG6Se/WarYOa2O5D3g538cVt0uWIL+APwrNc2G2
4xVfdTNmR1RAkETBup49MUcmLNyrcNDrlvdziYZwcKOgp+ZsNjBS+CVPkso1LEHoAWWgHyF3FAuN
QTppch5pYKxNNlIAkCAVv3ZKzAx3fvtCh5B96yz58+wQ5gHdui1JrZC/mbqUeseMKqRIZt76PRfS
vlFkdh5HaXsmvhiRP/AwS4lCpp58DnDM0U8CdIlre746cdvB/Cxsh17KQo4WZHJUrW9u3hn92a7W
/viXpiy364KctiKTiyT016MyVYK5L7CeLpczebcOLhXDRB7xBrcdZutg4E30aPM8NKnuztOairjP
vWk3Bn5iHYyfnVlNxQYeurYOr/5RcRbpQ/9bO5v37IqJ1KiUrXrqmDtMweol1Z79kU2U/PyrFi2D
YNHT6mYWEMNLP4yiy9hJVX40Bq+Mk3UJ9ris/2WHVqvZAjc5yb7/Db1ZdIEOsaWExeaZ84WDoLzK
qsXcS3guBBWzHLgH1VcqNYJbGSTfhpEc5sQTfQOt26anfDoO2QQHp6DpEVMYkhYExYA6cizIK4vz
hWJxEDz5xBdLXqpG6NPerZlrv/+h/MpVDt9ZNnXX/7/z6v9455U90yPt9f3/W51XHt31m0SB6G8u
gPF/0HlFvrr5so7cx//DO6+sArOEo9/+1zqvGtvkwpwPN8WM197TZfzvNV6plnW4y3X6IfuHTVdG
TxXUHHj/uumqFMPRbtOTtU5PlITSq4onl/HSm6LWH0iY2CgRUOWPhuX3mDXDyjik3LNJEOf6TrK5
ucfhu9J71pDrqS9TqrdaL6s1iEf45SZrPJwIssTQWYdMzTogEJWOgodnVTjvQegV0SxldrZLLyWD
mYeXVP+TKrj5KhhzmxHh3o8GcprPaZ7STtetuDkKbTDxjixuVXhfFcHXNMDbUFizuHJ8iQYauA1N
D+D/NzDEZKzlSC4mQPM1RDLduk0TPKCFpS9Q5ZKHzOkpfhvdBrON0dr7rK+wDQWQflhgULXVU35H
Fsxfb4gL9Sb0G8rZajGZnCeqjGrPXrDw0NJpXOUZPSJRlUxdjGD0A/oBaq0z3c1m9zYKH9tlEujH
wZyIgBSh/GBYkdFkrV3EciA7MS/STymD19wa8r3tdAQUFTONKQfSN/+DuzPJbhtLt/VcXh+xUBeN
1yEBliJFFZYsdbBkyUZdHRyUs7kDuKPIib0PTGeGw5EZ8eIVjXtzrWyFbYoiCPzn33t/ux+yZ0+m
9hM35XGNOHCuPChXjIXPjmz6da3jns3a+altK6rRLNGver3qF1nAPWgheEUGD0pP1acyTfMgw6bN
tANlPub5vDOycF4VwnhFfaCAijjAmlaX/GiTDkVhTchDK9ADFafjCcKHvsnwlF80dTRWjZU821n6
6HgKdm4gAZiysFdHUMTeMJ3QcGXnXRJU7kwp6SzZg0+pu++aKrqt3bzgFeeYGGw/zMpDS4P12XON
cW0A49pliev6vPP2voi5nArDpey+5UIt88gDephqxH2qWT/XdYJ0wumxvkFjp565KNP7bCiK3VjR
y2UxxX+lgGC4RI3uABu0VP2BqVSw2PIKP2tsDhMTBLVl8G1uY45jO89ooVqMoARWhU4fPAsmsaVp
oNza1Ai80s2qbxx9ArdJL1ZDQ58Hso4n5cUFIhhIA0bBKktHzU/kULzX+PIhQnTGkUpgZMHUapEh
appca4oyVmk3zTessasvWm0aBE/bGTxVpVPIl0TJXrVMLiV18iqsqEp/zmap+xrX2VZvjOYoOWPg
HZia975s7KNDRvfiRGP5IMVA/16JwjyopndjthGknCjMPtPXx2KOcADFPJ58tgpSz6shB5gXKVx7
lT2PO3eIxo01Cnmj5j2VOlh4s71VOtm7aaRJT+DKRZVi475t5cCufBKdiNa02NQP5Nvcs+tMDr32
lDM+T6kyI9BGsYt2reZ3uZk96CHic2G1AOOLuqMYYO7QH2QaFNpcbwAQZ+G67UhE5kzN0bamafO5
VguaFUXKulbVvG3Tpd1Zd3EdTLOu71lw68eIRGQgwLrcVViOEU8w1qe7NtVnJiQQdx/RJIZj2dne
Lcjo+q0YgKisejoa4lMp5HBfprPcQEjHs9D1cfolLwrnLS8S96xVC6cM/mjKTNSn48pQnCqI0Dhe
C/AtL51gn+2UMd18ZTi3+9rNlA2GLXlySeWfaJoWGeWHxbi4KOV4thq9pl0ySzEm2O1OkCndNEVa
B8j5VuKDqlYvPeGwm5AsAyFSN6QkQhDaVjj2kJjwSX8Z7yL2jF1c0OLhSy1scVogkt7P8yBPyGHq
cxdp/ZGKSWdXurF6x01W+1D5mZG1cKLh9KiXekpD+EaG44BqFDix2iRfSxANSKcYzK4xRPO503X5
/MMa7l8wzhZq9a9YHDZHeB8NWOzAdixPM3428Pz/pHbDC8daTOTJJktsaD9Zh1IOnVAMKIgcNSpX
xZd0Ov1129h/59Da4rr+9xvX9Vv7Vr6JryxX2b3Kaf/xP//Hd/c3f+9X97er2/i0bZBIjkWq+9eF
K+hoh0y3xWJVJ4G2fD7f/WX2L4bqcLl4KnFuSjYMdrHfF67mL7rLf8BcZvLXyIH8JX8Za8zfXJ5s
XHVw7trVyIYR3VicbD8uNhO2HpCNLcRLs4Ygol8JIinPV57JC1iEmmdzEy+wkS5Xh6MUZvklurJI
oHRodwnFMYbvLrCSRJHqkXBsuxn0vHlMLNyi0EGViEcEpJPCJFSysmRLj606mU+FRp3GKlv4KClr
KQ77haPASadX6kUxKDvShSePnPXFh2ubYFbqqIOdodqNExg0FDfkussOMTZKZbjGKhxmaxYH/QsV
NeMhusJcYpFEL5noMSLZpZXrhwaCaroODQwUa8BQ8hNqSuYEgHgtCpKHotloOrAaM0tNgKyadVFr
1Eh4GuxKt+w259vCgGFzmNmbHT3Z5KfGivJzMY0OeTaInwnTe7opbRJEKxmjAMK4oaOYAnCxtWoh
lvWpEMTx2KXHgeRJlL6QMKPOWK2rEH4Su3kKS+14KWge7Q33bCBHPJJfTSPvX7VEkERvNCpufAWz
dOo7I3VFuI6YztZJWmu3WaRjc1KBPX2yZmEt1TBWVwaNOSafsc7U1VExSuOrHOrywcYN9DgIDwEG
gQ55mOiBflSthkD6KhO69UafVXzP22k+WMXhRJWLKTUbbfYei1E1vXpWyXThXzWqiX6dzlQ3ihXL
m2oxulJFoz3aV/drFndqoNHFfIppHw+4mPSLNob6uiJCcBRFkmzl0OrrCCmxWM9FWezTxWmLyG09
1Iv7tlh8uKUwmwdj8eaaph1tDTLuhzpO8/cR2OQFu5VxH6n4D7TF4dsWY+Sbi+u3Wfy/atiPB2PO
uoPTpNETbbZMkd3iF6ZniotfLC7ieQ4bqj/nbD9WzIkrdsTN0WWUO9SmU67NRJc7q62tndAFTrdK
ercWqu5DsviXs4yV1IJMtSnESXBaOBj0ySDheiYNShogG8aPNq/SjbHYo9W5jSh5xzKtReZ00y42
an3AWdEv1mptMCQu68VwHYaAUZD1cWFbA+VcpKwHGFmLS7sllfwWG9qwHZGY9+w7k/tZmxZIt5vf
xRVFSd7V9+02aL52Dv9bp9XuIEra7ePIzRwKzwx2v4t33Fxc5DiSMJRbi7e8XVzmRuRQZNToBY7C
VoNHRgKAihbM6TUtSkBcjYtI3HE3XV3s7mJoLxZre+n0ZpAtdveY0OtJXSzwIiW93rW05I1lro7o
ftkQZKgn216HXu6YBZzqkEaxwSjC7aI+wosfvE1q1+Lk4IjbVkljH6asi4Jk8ed7cZO/lotnP+xD
9ajoHUmTq6UfJ31t4YbP8bPJORIXiRqKCWaJAoiO21ZQteWYY9o3vDgYPDgP1KnZut/Edtxtu2us
AHnYvIuGIdpzsx6WUwsBhAbfCnV3ljU9ybSZzHXJGg2OPGixyDT7EMm6ycDqYpmt9NE8wYPKH2vd
6b4Ki7YSp7KaN769fPRd1fke+DMG2BBbwqjXzPWQuAFcJRMX25SxjKR0y69jvf3az9BaVyGI/bsQ
+9rIggBYLOAKsSMkqUfc5Nxp7apOcReR9bsnA8zTX7aZ86Hhd13XtaUeuKiYLzvu73UFEXatWJgN
fB0PrQkUfw43BZmwCvtP7t40jjIEVTyXdxRxq+YunsNQIATYypdIzZNHl8i95ReQVeNgbDrPWtV6
FllBVXXk2HC2xIesaIvPQ0+QH8lMiDVgYR1dQlDL4YvZtj7PxUTwTRMgCZwSb+k283Kd07K3OOvh
D63TJMlf8kEN3Zta03mDEXfQ50GKTKzArcXbNjd6d9MLBVMCSN13qVOIvjJkU28VnhmMs6UOgmKe
S7dbayCvFmDJTEdVZGu0cumCEb5PE0ey+zMBYNVKzekzvXKs+PZhzSlE1nprEqND+WJduVflgsDS
pG6suwWL5bk1CLROLGQGSwvsydZuK7v6Othl5Ced3Z+qK2WLZsxoHWphHcAAT3eAwdttfAVzLYiu
tCHapF25XX99UPuv5u/3TF0j3fZHExh02b/9Z/8mfpzA/vnXflW8HWg2/NY5/bl/d/H/avDXkLsB
BvAM+S5rfx/ANPUXV1WBYjKXMbJbyL3/jN8xfLngdiz+Z2rUfvxfCd6O5TF9OSpgAxdW1dJx8uP4
xX3ke3VSjNNvE8W1tsYLXx2IpUt/BLiBuzKyt16RYBjXvXGn0GAa/L1hCYGjpOwATRJZdO6DH36V
/+Lcwm/6h3MLuUBbUw2smyrnF+wC5k+UX+P/bYnU31+PAdRkELaJOajLz/ODwj4XGAXlBAjfGjBR
JfictT9DPYNi+BdvikwlL6BSVaV6TOM/vkgNS1AtnNIkbMcDPutQAN2wVt8irZyQ4ruB0omNg5nP
3VEkIr/W14xy1c3NTiHs9wmKY/ZJSycsRmTn4ZKolv7iLmFnF54m0b0lAQ03pr3xllg0rbhA0bBk
Oo+4+wYjSLltw5CfpuhRVQlWT9eMdYqCrfmt2STGOpMxnrB2LprHeKo5l8aDynDMz4x6h9ia+Cbp
yfdUtdOL1YTK5wg/EAEAdoQwHEQYP0JuT3Ufgk2GuqqipmEqGtl3jdo4IuXWJOZ4zJCvqDP+itGE
7PaQUJDiSd9LjSXtpJhbPGagEj3CAwxjUdi/LqQb4kmqIl+0Yuy+4T5a8EtevMFJSI05BUjFxfDC
+uih5UL8mYro1q4j4xFamXypnbI5pNimGJm63O/sqblvYPx9xiWVXaBBakGoo+XqiY3bfqjJsSCP
P47AT/fZkBd7ktAj4iBru3tWh8qZ9bEbeLWiZSuOFgM2WIT2Aq8duwLgCUb3AQCQxOJUkRX3qT3I
31igtIXPNjnapj1xwQDjnveC69sFZCjd9qT30L0nCr7SFW/XfFA7s9txUZr3kn3ii1U308GCofDW
1jhLsbLYtzl9BvuOeCLZSOnQxtsR8x+N1oYIlAzlqWvGkAWlNZI0F3XDb5zyS9RpKyr0D3CU6U2F
0ykG5Ibit6pcoyRm0NZPjWzJs/OsBpUlJWPFmpVw9+JMs7tFJSetqMFu1TE+RCrjYTPcKg0HHxbi
MLh8FaO2uKhamXyECXE2DN7UFGLHij6HQzyDwyrJ14qEBjr2NHV+KEoy6E5Ojb3pLTBavUODrceo
v7cJ7x7Iz47gfVL3RPElzyhT1u+txts1Z8wvA2uWT3HdxPe62ku5Mp1RnlKh07Di1E53o7AuphHZ
7LZzBKcTFkJq3dtui1V5kFTRrgdlavC82F6HcD5WcZCbtng26rJ+q8PCqlaDIsuAJV+4t2HynFC8
26+N4/Q3rhQGTEFZN866kFm+lU4XQgPFexrrg7Wd3DHdliReAQgm9imNRmurYNFnWa85AWAma5/U
XK2se1uqhOKeHAqsXb+acE5bkxl96pVWMG5N1Q66Etr1rLo+dWiUqS6/rWwerHXGXSDAB5F/0b2i
WbMTc46s0dxjZ7NyHNnBXkIsfcRX52bDPFo+RIntbcCsYALCaVwy7crhEk4qRtislwR9dWqVA/6v
0farmScIbEjrjqqtLBGWwEex6pVmGO6oajE2w+DQXlamox9NRTeupZFGG4vjzRJrzS7KDHZqJA3r
bBFATFZmY3E/u328MWScP2RWFj9WoWjvU2EAI4GJsZaRCzg16pxz1ozpZsqaIYhnpaL5VxCmJOcN
q8W0NTR5ikmyc2q3ISSFKcNLr6pF867jMw8xpMoe4qITp6fOy4uTmyqWPyK0HLTSaD18t1XsZ7RO
RivZFYIYd+xSRrvMe1qff3P7ZW8Z91m6VdKhC3rLQY0Yojh6Nyk9+ZzFaO4G3BUg0T3HX5mYdwnR
mYtiT2C0Gt24SWTuHQC6TSs7M0PSypE1bR2SKT7n4fElGbntdzamWscSbrMeaKB9ojtnfA1jUHdh
Ww9fZ4Fs4s62um/tWufrWqfnQq3MXdta6tbAmJGtbHPi++K0RQPTDqb0F0N0+QPF1j0HKSLwZwxL
MrCmGamjwtDTrTkmiPfJDJMdhYaUlxqS+7lLqXXcp1Kwe41Bo2lDO79CTwahzXFSPeOGsk+NLrV3
IcP4WEh9OlqqlQRJaJBsIUHqu57M390OuzSHaSXdcWChATqepuwzh8QZqq5H8AT7b3YLOjsF+SqE
tpq1jPNBJXMZtEVRF8ysc/stRBiiI8ZUmy9W5YxYSIyOVM/SsFohg0dsSC55kqp3miKG2JdtIWDB
Zc7tmKrVjVCjbhMlMFLaSO91WMRYqIw2jQ9pi7d9hbWF47wHlJNmp4bvoIh6HjmUTeegK+fiXIqi
ucsXY0xXzrD3LCJUpT9OSX2hKxlPcaiNNzpVjLti6nAQTybA2zKr7BMtPchG+BbJfGv6Y+8N8ZZS
6PB5UHto4IlJN2OdQFRm7i+8Wwik1V1dUt2t9XN73y1mpYZeisN4dTCpi5lJv/qahqvHqZnt+Dhc
nU8GroRNFfYDv+M8t5+cq1VKkpv66tXeRltMVHjN+Wkxq+BbgYRYnFsjXuQwrFdJxfYWIkuhBHzq
yoPJYzzFn09B+KpFMmD9wC6+h0tnL47pogov/G61+4jL4TFazF+1SnQOIxrZl8UaBoqpfeek+Sm8
+sa40rOjzQEEZZPz1z1cUPwTetd/zcvcDDRbmaDvtO1ZziJ7FIs9rb061aRIzE8efn8biRBTW7jY
2+J2nA/mDHhkA0rOiPdhbXi3BEDLt4rHGcVRaT3vKWXKz1HdlxuhdfKTEz/98WCq/7yyXCbTH4e4
ZeP+w6QY1bMyzXVcBMOaPuZ+3Z5fiQYRb9uVR2TYcd3sdX/NMqFam8dDsvleVPBvG0N+51J1HOxa
MDhYr4PI/N0U6YimwkjVFoHwe3/2IewdHqNTv9bWL9XGe/mzsXVZwf5WQTCpc+VFWQc7nDl+XtFW
EXvCgTpX7nKrxGxWlntu0Gf++Ne6OFh/9ypXGy8baV37ueB4cll/ZiPpzyGrPso+9YVSbyA/PhYy
OXDl+X/8cr+dxBdZhM5YqGzqAhx1OYP99kOU4NY7Y1byoHE+j9Nn4kSrXIRobbs/fp2fPqzvLwRH
0fQ4ZWGE/cm5S3xEUWPaxaiY0fJNsgNZsGbP/c6iSfX/d1oVf7o+//GKzvIOHU406k+vyGg5dHyZ
8wAeoUp/Y7B0ZcyNL/1Q26pBFoS+s+bBOwak0jZo/+HJ3Kg7OoT++K0vJ7TffqL8io1ff46fvif4
vwwso/wcsOTpKJCiWvGc+JNjovYvP0iKf2k5tbilXgWGH76NAtJEjm+loDuETJ9Pr9QOpvLFCao9
Wd2Vrq6c/R+/LySOf/HGbGo4PZOgFsLab68dt+tlpTmEyGDb7YuaThbXb31l6z2FX8Cu/MmVqiG2
/O73iOsbTC8wHk78P73cbOVx3BdRETBYR7tyE/pLT+EKaIrPaSL4s5Jj/c9e76eTt213QyRMXo/S
xGB8xImxrdb75Jj7hFHpvJkD4v9cO0ggYND/5DawfO9+vmh+fLM/3WxcIKwswehytruaVaB8o80Y
UH9tPLSkNld955w0DIybrCyMP3npf3G9OuwcliwBv23bXX4vP1xJkPtCdcq5kuamwZs6esweRv7X
vxQOFEhWLQbEB8P+6cMk1Pp/UiH9u7cCOJkbzpKN4CtINuK3b+WPC5P/Upblv7P+avwh3GNVTW/v
f/uPH5d/3/MuP+A9tF88EyOEy/OTfSKbrF/lV/MXsB9cB7aJnkonO5/hP+lbmE1cLkRNI49C8xJ3
zn/Kr0TXUNVJ0RiqTn/8X8q70P/+m6/b8k/xT9i6ylMDddhyfrrmQSQokz7DqWNO7T8LRXo3SqSo
T1YSTZ5P7Hs+5FIlT9LPacswWIVnKhw6OliIjfFUua6ws8gxaAhmJvHHMrTvEk8+gn4X/dpSsF+t
OpwY+64rsVbYTtFsR54ZnEOWXbljwWSW1wV6UfXx9YCusjAPhwVOKSLS+cv6XQ3rutnKxDW0bX3d
1U/Xtf2ywO8bC86XIicDb5YXtYtAwLo/s63ic7JIAIw2mG0XLS7ZSCcN6aNU0CeDJK9Zx4TVNLHL
CCGJXHWFq8RAYEEzd7RORGfBLw6zTufexF6BooanioPrVa6AUVVPvhar+bxmO8WJACnnhkziV69h
nxBzG8UlNbpvsdn3TVDhO7knBN/fzrVH/DOpRMMYjoRiWKPdr/CHiQlMhFW/qXbPS9VaqW1azabn
Uo5OeKTRtl0PCKWESPKR5YM5qX6aoOG5i6SDquWwkRL91+Hvgg/SD2Wa4SWnWfLGrDJrhGaM6bxa
5KIcpRulmJ3nCeRAv8+Qc3fE65xF6FYObMX0YI5HLPWGY+OmZ/PjMSI1If2gtgNSq5iha01ZHYM6
nabhs1zoW71HuHSbyRrjFml6g9PzgurqkLVTKF219U3YlVjgKsDQKSEl4fBcW6I9CaUjpAM6FIyA
JqGPAbgaa/pDUu/GTWMJ7xmE93PooT/XbC3P3VxV28wW+r4EUvY62uMQzJRw+GUcwrKAu0A3raNd
wjHKxc5WFGw7TQdXNZQNgelJGwtGPguUOVjZiRKjRgnFU1zF46txZZWOxlS8RVjZb9TSHF5Mr5QP
iTrTdVkDOVVLifOpNcghrROu7Nu+abMPOZvNplggqSzx3E/VAk5lSRAFZlMJCHWj27QrtSB7u5Kh
FV5sfeGv4qkFnzgBYLkddaISrPOqT72aN/sxKeG3IoDJTTEAdc2NKTrq+sg3aWht7aMc+S9K6Th3
eaQal8Tk4195slNfqklEh0mNmhvaKgr6NY25v3MWrqx5Rcw23LSIOS3kWUWLoeqPIbuQDl0Txibc
l5M6xfpJQRbyOSimOxlb/V2ZukSNQ1rlkQHrjj1RXwgnXKDB4ptKXuEbJzawuDnG/eU+EZ6ThZir
Jgns3EmzNxxtladeFi3JsKYj2jyTGVCkxWdaKMQ7XY+SlaIdLdByC6nXWZi95ULvdebMPQ2wcpR1
fMX71qqcUAyv2N9USLnLFxZwX2raM6UU7J5ImGueL67gYFWf4wAQTnSUpp4e2dQmyUqzp/Ldi/ro
iU8aAjGngfxTprF/20We7F/YOlXTrmlp4allmYIJ7qEZO12aYtAAvBJEBrfWNUshL3BqUX7kZsg/
4+YwM1Z5psTbUMBKzhZqst5PfbuxrIFvcJeDi6e1p8DYVtf1yjMX8LK2MJipnAbHPKAIHtU5LJ7m
jOcGfQUdDOCF4ZxnU7TPYdPw0zsqlhBu34Ezd/lTbjrDITfxzPl4WpQv1pWvKRfUZtcK1YfYPn+4
3LNXhigJ3OcgAE8joBzAArzGQ0Hq0PZ77vjGCqSnuScGP3L3uQI/x6FSCc5HVvOQNyUpv2kyCDh0
ZHNWaeYRauP0nTy7gOCf3QUpmtCUlKy1RqsekwU5SjEC9FHvSiIta3MEkNuYc77CW4EFuUnQ8Fdx
YUCYsmU0bybdHANE7F4GkabO55S5bcsWLwyDSle7b/IaCpz7nICg0FRXBWNbZBdn6KubztSbS/v3
WCFXANeUUtZ8mwAdoWLU6ZOhZzafKLL8Ga9zl64KYvrfxqQGz4Fb2jfNpoc+1GbH0Cy4aeRql10G
EB4EpwsM1qkVY+IY2GjEswx0XcQXr6olJMqyPBTglvwB9DaxwSLO7+oO3IMPkoZa61wsBYpZMpwd
GqNJJWURJAuYiazm+9BRL8DjWZDNQ1c/mtxfHnovVT5aq0kl3QGZc0/ieQYb0bn9DQAEtg/jED2y
YrF24YzHdaP1YFokPuHPad/3KmHyzNx2eRux+lfxlqz4ylK8Mxoh5BeR3+Sdbnxj6w1DQIFodwa5
pb12MtLP3IbmE87argpsW+DemwjMeZnD7ZUll/2qkFp/5faqbHVFVBvQkh5lZ6LQXkM7dW4yORbn
mAv8MY0GCqhb02OWN/stS6tw40Wut++tKX5NWCQrPhtcrOmZ2llbvmLlB8b7hD+UaLQfjNpnYXNN
rNuGcoYwNdwbyC4U7Fi00qv01x70tMwevNE2XlpNeLQ35wVMmCmLdcLlThx+I/3ZsSxPQgh92SQe
WihSzw5/bFcC/txUuY15qh764ZhZeKIiV4nv4WO1O7cw9WJVzxOGAUtLqxPYKq/1uzIBTabCWbgA
G4+fqqZtAP8PZtysDDc3T4rsGjoX6vr7SfAvzdv/1WT0745Ejjn/3sm47d6S8m//+fb7UVrn7/3D
yWj/4lrEsl2NtQ2L6EUQ/oeQrjJla3Q4s9VByOam+89RmnYak2kSydzE+4pzkb/1fZTWftFssLfI
6aBukedB3/0FkC3wp9+O0jYzNN04zAZM7gD4nZ/OXL1kW2Cxjlknquzp8nCmCnC9Th7jmAHd4ZY7
ucZxNO3xITLQs6CWeMk5Se3yFVqVO66pBlQWPAJEPaa8TrlTZBRtUmkYrz3hutzHizhL4FW9Blx2
6OZTWtSQkkxA0LRZt2I6pwkMZl+rHFUH1mKSFkxblSd+mz85kioOCe+8DzBSW9tl+5UFPbSr5wF6
5FmfhvDTOIXZa2ZCVQo6iLTOGk6ryw06S6p80wkv+zzarvNcar18VDIjfPJ0koKkNIbumIrGeJ+L
WWwMxAPUCMAcJ8vIvYe+cfmJw94hbEHK7x40bElGl1gvjmtPLZ6JsU7TGsfpZRI5bHS31nynoFRG
pSpkP6VpZq0T1IR9ljb5AUI8Tcl6ViQP8ALKL3zrk2BCT/Njz4Siinh9VEad4bOQGOusfRuaTXwo
U+hcjE1J1XI7yEyA3uD3vxpOU1+sVM3OiMM2+J1MFSLQFR5Svi7A+AReqc2Hscv0+1DlDmeUQ3vO
7Tw/c7UmT4RXC+IYnIFe5tGL7lh6zV+tiJT62iimSqP+pO/TNT5NMz4m+MGVtZ1GIZYfUOE7yXMn
26pQ1V0/gikXr6MhFDiEwr54zxqRJ4hSzkwsUNfy+8ybu1c1BxbPB51t0raT+2hgxpMKz6fNDPvd
t/UQClDVWfmhVLKKjGcaf4xTJ3dOWTlB4w72RlDZ+KlIhM0PJJ1gUOYBnH1s2G8wgtvbiYjPUdFK
uC4FIGMODPj/PcLQwyxWaTLTrMSt03e0qvs2tSllAcoQ588j7T5HYhJthqcsCUmSKvamBGKl4AFt
KYvW6B/TNC/7OrqTvRkT3Xnoo7insqdmja7aoXvX6bC8PAo0t3NYjS+xaQwK7CJ1DoxSmpsJwycc
dVyXa3hfyaovC6bGdHayCzpzczabSXkp5fKHYtl1r+2MlSDhmwtEubO+4cKbOZZxyvLQ9h5NuPcV
ha0Vglc7meI49B0Ymz4BQqnnLa62Fg0JSDmQOSEk0oLASbnWat68goKtrUys/RvicOHWmjXqYyoD
C4HdyjHwOjU7RiFxUGYjoW7V0s76nWOEy18KlU9NIpIvldGbLUdHpUq31Nrbx5409hNQdOSidtaf
c6PI73uaCQie0w+/iiO1ptYtAzfUpG7k2zEmuEYUebtWqsgmxYxauxRdUTAw0LLwlNXNEHKOLQX0
k87eY48w12Dv9VeFUWdD1lS0/mSq4Y03z0tuXh21T6Yiw1WiEN9HQrP2Su5Cd9Jd5VllQ56vPTLK
G0sWxV2lzv0rq/zpWXiad4MN1oGyI3uTUcmhJ6+DQvcay5nJQwDp8xuyEhJzhVF800OotkxEsLXF
kMJrG3rl0cxs74aVWXtDxi+5Q4O3icQQMaLYkyKtL0Vp5tuuNoAJ6I0azKZVb0kw6ycnpcQUByCT
ukzb4WUEFaL7aWNSs+Fq7ZEqD64Y5Fr9HpC3c6rqGBde3M3p53Bxma9GTwCrcGPlg+9NFEz8EBRm
hJPhW7SPHHqCd7vZ1LrPdo0f2uknk0HIJNqNU2e57bRuoHpx+mFyMlNWGZzoT2bXc1tCI5sPjjqM
DJhyfIMSYZ9kaM93Y5pTXxGK0ThbEl+VkSvmzeCo1svkleWRL6T+7M5eeprqQvsqPafF2+1mN60b
anscmDGDnUrDkdvZmq/NdrjwxRW/IOO/drW6f6qBfnPbqar0Fjl23tLA0D2EuJsP1Wg3Gw6q1iOY
xMFYVTXlV1oi9W+hwlElxfulBf2YJB30OdorVs1spc3Kg0hxKcxUmjyIVAP76hg+MdeemsZYG2nL
CKfowzbPUldvMCtwxF/1+MshNeXuwXYHh2YVHPOXsMTQUlWe9xgLM4O60fEMiwEu4TrQxZZ5e3z2
8AUFoSGLe89sw3duL+Eh9VSS9oYtwdSVxhNzMzFJdO3uHR9ZbKwxO8mtEbbxZ6jq4Us36xOQ+Fji
RWoLxubI8edaq16tgTLOihzSReHj8xViceemiOxno07ULTfWcFcBVQ7a3MoD0A0563ZIHMGYqRLS
km4eusjMH3NADI8z9uPXmX8rGCeeHGjI8JIiVjAuFIY3bZg8mGd5WnqrfiosjCEi2WemSyFIZbNN
10tWA13o3ECspVDHG6ZDiiv8AKITilaTT49p6pq7uVGii11O1e0caRy2iFttdAmXzJ48LyhlEX/L
6W/b9jjH4LNV2pZduYf4IWyeftqgH1wc2ZeYupzN4FHLGY0hIdQ4mo+KazVf6MQIt8KJYp+KuJm8
a1euG0OW9yNDzMbuDO9gUDlyagsX6xJpBWDhja3ieIHqGcUqzEJF7Q9z4nb3AHUrQK1uHVAigKld
VvBIeIKkylIPYw3FyqsMm8HERvDXIkWDgzXY2ygq2/vI4oa6shMTePYwZN2msBc8RhJC5p0KQGqc
emWBQ6pgAZFAD4/WmO1TAOGuSF81raOmUnfT7ayqhl8OPTD6gsSmZsTRNp8WRsTcek9tWtEU2MOZ
i2v8ERPg35uMkoFNk2M9UvpI2TqgSitAFxgUzLa1l7QYa0W+YFsKDNDlx6YBLImgNUzDuCeNqLMX
gFFiKjhIVnVRjhAwrHJdDYUXFIrtXLiBpXdh5Ax+I2bwrrlC0Uae8O55nG/FgJsaK6h+54omWjN7
1Ed6BaqjhFULlDhTfXXAYt80sttIWfLwpWh7o2cUCuYg9bZ62mnrRrQU8zhsZttgNrD0VMc0c6Co
8K5PRVu1G0MpkqPe5ObehqZyjkI1YhGol7cm0VeuFLC5UTYbOxKHDoxdK+IeTU3n1uhm9SsldpWf
WkyqvZZDN0Tt3M8d60s7LIpxrXDYiuBmzB4yFSxfCxRcuSCVY55dq6Yx7Q/8xfKp4BRNvVk1u9B+
08FcWXU1ZlQqjBYpYEOxX9pyrp7HjA2hn5tlVK61cbZuaAzJP+W2rXz0tUI1UQQ1g6rZqAKhrMCE
HjoYHTtK3wHK5flUfu2mDjB/vfSSEwWu60/RTIclZW22uC87U7kwkXI5Eh0Q30ySCPuZpMF924T9
l4FSm+dZhu22xwi36fM0rPjq5/3mf3F3ZkmOY9mZ3kouoFmGeXhszABHJ31+gdHdwzGQIOaJO9I6
tLH+mFXZHeEZilA9tkyyUqoyIwECF/ee859/IBga6AOZx+WBRSY96PqiJGMoEw8M6q+oMjQ5F5m8
GsWxwZIVZAK08a49Y+9rAa4On+d4qAuMc4Z6T0hRfizTChbWWJpoHshoAkvJtKspUn+NOH8CVxOy
KrTXPV5HHcazsMhfMeq/PvSjkjMAVOkpDEUl2qsfhfrlzzbs32o4/ycPeNRftqWr4x90pnnW/KQx
vf3JvxjeNJJY0kDthqdsYkXGSPOvxlT+B9pHxokYdzHn+bNn/YvhTZgcPSIjHBWRHWNH2sm/GlPh
H8x+sEJjusyoEF/Xf6cx/dKWwqNmsyX6BViEQEa6oB9HgZjn3gx558Qtm3186vFkTV2VSPHvGvbd
Pwe0f1z6YkeUT9fehIY/dL/8MhHStKYTBYulAJf80v2edXKGryaXGbvEFccE0ycZl+zRzvGEHCTZ
j5PZiwdz013+6aj3X9JhvhIAvl75Ngv9bmxbmskVnuKUuJO4ajsHGhBoEozaX//AG1nh+7n016vc
HvN3VxF5Y8Ki4SpsWNbskODk4Cvv/foiP76r20MUGfoBYYBJQPr6qtVFmHcpJppIJu+6evHKtnHT
b7++BMrOv/0SXBDhuRssLUki1/fHX3IyVEwpzzH2w+S++jB+vHqo+9EmnXzR29OpxdQtR8VlNZiz
C24Xm/kreWLF8lQo9XsytygDBNQj982CCHEsyfUVXqrSJ8oj+C1pnK7BHTFFyC/zNbiqbe5qI0cU
PN8WQjaYO6ltWXxd69qieKnqZvHM6KFZ4a2eRRLOSGjC0QKRKC/rdnMeqTryRfuh9VRDoB7pjbtI
XMaWGVfn14Z22l2kRCV/1GDIJ/ezyY3HsTy715uZSY1pq1fnU1dGEInJ9IxjVXsdC0lKVoWammfi
7uexqT9veuzWxYRtwqxc7OIzMVxqK9LDnydPMOMYAydlzLwqHgXV63qojnMyorLptCRge7+silQS
InymFbcGjLXbSiPsF0AXKRBRgEOYi/WiDgBgMHurajSISMKhA9/XC2lQ8KM3hWhusZR3lRhduK0x
lQkJHcb3QLiaZK5LHdLXCUnaUq8brDF6ubp1T6WqPEjXwlyPdUbxp83z00ltqX8WC5k6B5dg83Mq
ZBB3pZODJJVP2Ksv0OoxUBtIfk1KTcWj9hQf9HMhewg98H8Fj8JNFskqx+VChCQFFfgwp0Pyeu7O
5bquRKRm5lD7uHjXqwGgYS2eFuPGiPEoHqWycvoKQKI0KVyQhxU2tfFsnxZ57xrAQBZcqdbvxhNR
lYsPtUakZIi14ixaelhkt+P9IpHn+2GUxlVJhqA3o7xaIcItD6C785OuJPVhQUjDcsxJlLcu45Vo
VMzobtFLzfnjJCTdcoE7f3UvYSAXYHua+10+6LPVa4UZseh4/Yo0h4ZQNsfmclGCsdFGRzFiaX86
TcV7gydb2F/IiiAcRXkb0w5/Jwy5thBHxL10KTTMRwnbtNVLW+0meWicGs5htZloDshN7EWIp91Z
6ezprCZHeuyz5pdUp+q6mLVJjIRCQbRqzKnK6GeA9akIwr5R5e5QNfLFLes/A33KCQMpgiaUd1FI
JsxfzFNXI/3L6sFph9x8A0bPeLdDp8+hXk5D5wz9Wcv8UT+1kjVKswyYmJkLNAPD1HWrvBNpquGR
li+L81VunXqa5W2MU8lp3XX0hy4+v8nJK2VKR4uEhIYmUpQYA9dXTO4uC1kaoIvr54OJket6AIZk
ltqajnBWyHvUzZQka1yiZdq2Ta8ooBYYislPVU024nW+pBu1zabHEgfxHSYnhodVhhnB96+3kjmP
GNMAmthVKfcEKki8TPtEGCRSw1aubv0y+JS9IDk7Qj+hOhdNlzFTT7r5Tu9y8VtFdsg3nUjSD0Cg
eDUzfHbHUQHPKMEz8YTOsugWKwk6KxSml9b9RHqdIHU36dMt1CglDFAZBJycY+nmM7PI7kXtWjYe
1aZKeHE5hxCH2qhZ5FmY1qkZFEo3k2DBbMw21Bh1wQjZ+JCbV/2buBBwuMDJ8fKtSOqPPzfyf6s2
+/9zGKACz//Xw4D/3bynSB7+8z/Ox6T84+PbH4Tz/vG/Lx/Nf/5H+7/+2DXlkH18u7xnxz/m29/q
jn/Yx+54zi4/q9K40l9VmvEPTRH4X4nw23+J7f5VpRkikwXaYfiDxOH9k6TzV5WmYj2LbcYtIA9K
lXG79b+qNIn5gSD+aaxBbJ3yb/kgfOFsIuXTRFUXCdSjduLIvuUHf19eyPJQ61dkDd6IOfuKWF2Z
j6myT/hFreOX+COrreZtwB/aBSiFMAJFZl2t6flKE3sTq15+98h/Vs59ZeNSrcIKEg3qTxPi4VeK
I5yXqi8SnIuyxruEMrTKhV2odtfRBdrtxTa2VxiAkB1V5At3gvmb6//N7xZiksyzvQkgca4gy+jH
50HCUFZe2n7h1p/EjsBZLfwcHz572BEhZEM+CcXPy148tof0lUzy5jeF2BdeFA3T7fqU5zIiUEi7
2pdyT7tKY503M+xZfwgNyQOSH5ooTgOOXEHBGd4dkI7JgfqE+xYJZQVWTlAWLQlvGJOIel95aw8a
e5+Xc7g68o54geqb8jQ+zXjP4NQ7WdU6Myx1N23P1F6v8niXXayD4f76Rcpf63LmZTq0M/oP0TDh
m315kGoHxjAmF/x4MfIkvdS+OtcQqfF5YU/zqgLJxSfrSQQ3eElWus34Sl8PruxWfmw6CvLPkeQI
r10s442xKZ4k/TdP+s9Q6u8L6z9vEI8SIFVcNtivf3zT8D3Lprxygzc2vWK3tsy0e2Hhj3YW7SG2
4xXBuh7xx8k9+MAMv54D05btwovdiRSiy0MXB79+aH8y2n91T19aikHpoK+lZeJV1Z3m6x7BqQ7a
t5N1/uQeDAvLf/di/44v/ZX6+vVJfFlzZZV3qVZx1cHDTSwgdNinyPBy/9e/7m/83tt18OCm9mfX
wVD6dh/ftTJNO2FpQMaAJ9ylIUZ4IEzdR4w3A4kph2Gp2zRq76oBtu2hqJ8d2b1EqYuEgxSTX9/K
38jxX25Fv63e727lIiejPJc1sVLrcxj7UG/xieqsyxN6UT+25G/6wlL2v77oT1YcI1oouAKZ0wiL
v+4tVNdyNnennBVHLC3pEZvCPb0utuW+eGxCwgncYi3vcYhwm8yWNUvxCkd4q0jI837L7f7aVvIa
EHKI9OYkqiqG/mWlzZ0yU6H/eS8G+ZW2DphD2JND61KNDuwT05es1JVHu69subLayi1/s9ca4teO
8OtNfNkjGoye8YDgJlr3piepI8mWPgUu7+r3UnRB4UKQ5a7cn/YL05pn92xuz0YoUkUhfLIW4id2
dliQ4/6KG/CII4iFWoq5YnHLK8HZl0ggrIQj8WxfpdUZjVQ4qW620e7kbcMML7NKOTLQXxVc9irV
hLRa00qIJL8Eb1xlm9jvdgK2F5uGuAM8X6xiI0UI+85ht2p2553hL4jDDq8rcyl6qDELHMlcXPMU
n5QZG/T5FAwrqdq0NySC+E4rfmw3BL/2j9mFAb1dra7vUmVfm+C6xUDw82paxGHmpF4ttEDdDmCN
UlSOjkg3JO+G93QGEbTba3DLUrc4frWN5s5wNJcSDhQL77KaHPLwmArXTr0/LfUuNFRvPgeGwSDN
mSfndTwK8p2YOmew1WZNa2pPkmW+VzHVslNmz6L+oZfWwvCRoe3omJWE3NeVOmzGaV3VZAixmTua
4WCXAh5bxV4Dx6Ve5rKj1Rt62ru5sUSPgAx7CgjdSF4bQr588iHKNeOM3Etbn4eZfqQpUVW2OS3R
NpPqmXeR2fLeHPIritym2+EOjqcaxNcZy10p4K9HeIkt7tSduVIPVCvX53Pip6o7u9TLpmLrgz3c
d51LKOVsPiuP0rAqdI+9hXQWlNZq6Zzs83LEeu8+Y6AadsWnkbjpwi1Wi2MMTZCzfcBelHv39P0J
ih/GHAEhSilfa+ynNCKTW7i5BxeJx8CtBRTdQ4Byb9P61dU5RYunS++qQX6yG2J2rcx96zVLDYiX
Dqb99a5//kbb21jqW20JkRZ1YR1dHVjHn6dj+oI9X4QfEZ4cxsfVGu57H+4AES0PsuBodByCU/oy
nZFNEJS9KGw5KHyc+zIO+Tsav866L8/+1fRHW75v3ZlJiepOq/ZhYV3bQHvElRujSQJ09tKHDJ8v
Ku238we9ooYSOiiCBAA+hHBUtVCk9ngvXs2HmCVxtflPVdu37XsxvOF7OK8l6pClHGBbU1WRqYTJ
XffUj4RbuZfqKb5HAZ6KNmLUhys4iKM4Rh+QLaq4YAENT/dF4pbbXZ0EsEHS05bnDE6vVsFt1TZ2
i6DQ1p9UqHJwECLIuvnFNp+Av3DMoatjm74aHjQ2YwwGIzK+Nds+DeTYNu3MXzwo41P9TKKNdOi9
Ouw2bKGBEuBB32mWSIX03OyxCaWq9fvlmVIytuJtgfm3K8mWlLjoQHu/8E+2ue6warVP6yaoyBvz
6hUOFZldGMFki3e6j0F4NC+JhdymyGcdOHyThYV0aDqVX2yz9zHUGofebIbNcdqLyl0VwfUtCYHu
vImIX4UpN8OtdbkznnX0/tU3uVwWwiaFyTEt57MnUpAPD4n0qOYHfk8H0Yaf2LnVhgnR+yxvBAxe
R9CVLfDVg77ESgjlysVgcGLpT6mnuqO0miJ15tE7ys54ESEPuMaKmMZwcutdxqvsbWlcJsj0T8FJ
IdTNOX9KB3HTuMV9kvhTv78ZhNriw2Wf7frOnRau1EUpOnCNYuTUhqlm5Qu3Gx1yh6DFhbPXSxxb
JAXNB8PTxF3SbIvMnR4XGUnFK6GAOmKdz0F1PGueWVP1hUbqXtBvI3wO5pXKqr3aw+iQXBycN+2u
GhxDcM6J1TM0C+SHDrUnnJS93pBmSTyaJVmVbeyTbX5XeBh0mVj1MOz1S6f5pgSyq3j6Xf8+uPw7
XKZ4MpyOADsnGnrVlY2luD5HC+c0eCenxm+zCiBoisVu6Lz8EvUkZGcgAn5F5rwZmtE5aLdt5Zze
R4Z8wypGi9S5sCHy0ZHO9uCqthRkBDBPvFnFK8Npw2jsubiXE080XYj24rrZnI+al+r2lUiITb4Z
ORbuCN7x42fGlIhrDycnI7WM3LHYvuau0Czb+lBfwjwJ9BdKTsbyDswVeVq3xjp+UhjVNCPeOQ4C
BGtUQ10B/HE7ZdkKB/w0xhWEK4+EQGjH+QYnWeZs72lUfcvvjDdif/p7vcARyyXkguc5e/kjMzQg
5kU4XyxlhUxw8hO+ueoomZ5UBuoYlltTQdtPAKG1ADnDPDWnSg6NZRuSsOXPPo8qOBMrgayaA2oh
epXDoSB/wGmMN8Lb2TdX148yj8oncye/6FCxHprR+nWt9ZNKWhZwlhF0Bs6yCDvvxwIvh8VSpNhg
eI1sayzRg/iWcNt3mCZUx6tm9YfUrQOwHv03U4G/qeYYfAnEwWAYh/SGv6Bz/760NHIYn8rlz8oq
25AU5MbhvAN59Esvc+qn3/zOW5fyY8fw49VuQ4rvClkAU6bRoFNecsw/9MCIZDwufMKVVrzPQvjv
lPHarTb81TW/PNvLIFVVSZvqcSZPu3w1mVaygY++SpaUXTABKkghDyyCKWpRUryL79nCxcuLOmfa
6WH71KvrdomXsFo78jNut1kgr8ZXo3DEZy2Snfah4MDV7urHfGd6rwR3hHFURvC4KYUtLdI2NfVi
7FcfbC3BFvmG8Jjty+XM5PcTpnTn3MpH1SvuqvvUzp3q+kZaU+4V64kV7w3ucORk+CTrgv+SnM8N
Bsb2Jeg9zHk984EN1e+W2WSNaxFhiCW1HnsOVmng/MOHcaxfk9fkG5EfHEn12YWTh1UcT52C/QhX
WKMyCIdtAoM3tijyuszC/VYiw5FPsLDPGQ4g9rQiaHJtbjSna/etpznT4MUTmZiu9IIT2epyPH3g
RHFtPSQ+8cF8VQ5SZUkLy6QxZda0S0fn1ISc++x32a557J/FVw5AsibdazQcxQj2lX3ewjZq13jG
uNjoItqsfAg4ruxjw4XLuoND36NR2Jd9jZ+07pzKLQeBTvLEke3eSVZ5GcDAcps9WDEBJcO+eDGj
+Jnpt5SRRWyxwcALj5/ZJlG2YEioH8XJuk6U6Jae2KrhyJ9FaIBOeDz/kzU+UVgvPlIG+di/UYTZ
9S1o0sbYT4N5/dJD/xktqPPjkzhTGviTcphUp4ouhdUeYNsvEBT/5gO6LdZfLeavABisazUhIJem
VOCMckEC/AQGN0Gjyxvk0+JGhejMIvk1AU75zdX//vkiuIPSa0AeBhw0vrTErTwU6ZSWhYePorie
j9AwXY5Xt5Pv/3sibfHvjd8PVzS/dL6YHULUvF1x8vA6J33Tg+M4lBYE1OCfeuL5uiELDVuip9/3
neptP/rxceMexuwPZrQognB+RV3UNE1hrBQ3WIjN4tz7yVG6S94goOb5a8N/K8yvwvBAeVRvFhyZ
Vr6V99nCg+sFdRmk6yac0IL0cWjsZDVWVpffAMISqAROC4dm5aIkGqXltEy+WX27vfrNJ+Y2Xn2Y
h91C3YlI0O4Ew8qp04jRPT9mDkuQFvfXr/Yn3T5pbjJ5Y6qBVFv4imReCNpoRiJZQFXKzcXHDJ4+
IkPHvFGDDM2fm6wpuD3JAtJZG9jBvOSsMMPu3fZ3sNLfN2xuRZOxUQFb5Tj88tCxxmHw2MgZPWqy
SXe6h9mgDVH6TvIE5+Rc7H97Ks+CZjELuiRg46tATvjxWFLOeqUw5Pwn1JEFWdQEKqASFij+rx/z
TxbULdANDoSiw34Xbo513x+A4qQV2nyNM+/y3ICBAh3UjlR8NvGaeOycLDGj+LylIp6bNRleePPI
+B9MFtTOpLQHxOQVgxJPy1BSkbwqLBmciex29OoWFVsx+lnviuKaSKWpW6VXl3pXzYO5vy+I0wYg
YSZ7dUcs8XtE6SZn1IqQrXiXFX4BYke+FFyam2jNLd9+/culn7xVESoHO4eMfTF40o+/XJDwSq9m
SpwbgCnZOuapmN97aKf2UCDot5eYs7SrCfpbahfhFEkehd7D6VA0/u82Munv37WJlSDoFmQM+ATG
l9cwLlS54W8nXvyQ3kQpzmljRAszuOxO++q67O/KV55N5SpkXn2gQiP/90TCpL68zOvFyW8eFlQG
SDV//Yz+RJl/3G5+vK0vu3s6a3PRZtyW4idBvxeXOLn7uUefXXMC2V101q0WpJkmmTiHz/k53V+P
EL9wviKx2md/cPStjoSKHC3I8ZsBSnlohtK+cX73zfxkw+A7QXjNl4OylQHAj+8TO6zqXE964nX0
bcBhkIqVureS+b4QXGN+5cVaKDRyjxbjxlH9TK7wzu/q6gXjzcZPaieNRs7mmkykXz9GuKQ/eb/c
EWC5pOL7wm7y483NfbyoGSqmXu22n2YCRJdW6yFx89DAr+GC4pD8PtuUV2STdKfVnK5TKI3VNu/C
XHMzMRiRPUh+eyTyqglhPmtRE2pXzLxsrd9j5dMpdjI5ZeEokU7yaoyLHJSh3FIlhAwW8AghqY95
hqsrOkNHMGw4I9gT9RQwjnG1C1d9Ux4ApjLCiY9F4l1B68S18mma/lB4xQRx0ZuFYMAfmKBenuRH
d4/2YdYsirskQIWxmqNqZT4P3MiePzL63cWKbxRPii6/3Uy03rthsAjayGOgBN98B1YbUTswi+ck
u29SB/LKYguXAVsvMrPFQMMT+fQClKG4/I4eQPHmMLvJGDroS/16KIugvjijsSz0A9lnKsL1wk44
mFADfgPWKskB4WcrGmNhP4eGKdiXOojFbSwE1/MqJYy39EH5GnpB6t7UlwyCA6zmAw1otUtMWxzQ
kXnpEGET7Js4NqmWcidFCtjTGVCXPggQzrQA3q7o6EKMrvtIiGjZYks4tpktnQlvQHBoLw7kiZ8y
rLBsTfIBjiRr8a7dwKYPzMXuKorpyobRU29uyX8ERggAbAiUcaG2IBzSgF5BPwWXMuNxduWVGMT8
AxZApJfAKKBG7V8m6+Jpj+zPDXtv9AxnxcE+mG9hCClV6g1A0ZlYY8T8DP3tyjXdek2ka0lQK4zv
3u3MoJ4c6fHkLvbVVnlAW77JgrM3vaF1eCHwoN4wbYD8UHmQBxS7CnXv4tTryzZ90WwBDu9L/CgH
F4ehW2WG7dWuILpnGh5kjtgSlAfkjG025pA+GCzhlMOKd5K+8+u6Q/Mix5a5VKCvcLqYrroME37e
FJ0PZEIfco9AcdWTnVR9WOAM9trfYWti9/6FQjOQ7GwpctFDmbCQpKPg3voWzRdseXV1CndaEjS7
7ML4bliZJAWiKVgSd243W+HIWh7C7uMq2adgWukeJX+jgfwBb3f8wHTHCis3pjc5aShEFCCLpyyK
X+Zv6TvB0e236qB7yHZzrx9wvrOunow4n9OkN23hUSoJQL+hctJDGamCNb4Se38Lccazlz4tubta
zMvI3nFaQGmE8Pe4xfjlQwuc6LceppLOsPGLb/Q5Lt0Qo8jUWsX3Q2WTr63DH0lvaA90d3GzyG11
A1J1eK8BaoKbIHVBTIotrHkH9M/PvEQnWTOKfhs31fYUtMdkSbfXu9qaUW2UPZauSMiwVzzKbNLt
sgw4uUtLfL++SP71WdgLqjXh2gVMd36QX7rEKUUQHGa4hquvGOZ23jkE7qdzM63LKg+1KH8+RUZY
PONAsYbpEab0NQ4cI/eCkN/HqNa5rjq+6MDYVIDdHq2Lxu0kx+vh6vGkBMe40yIwT3/0408K7J3q
TYdxrQPF3lUl8wTRObmlj7OcFtLrbeiWDnS5xApFuxwpOWxzf4i6J2VYNjjNA32Rqn31ecQ+ND2r
DXobpHd+FNbJq/QyLMP6Dlp0CCv6qltSmIWmL7vae70C9zAoaZpN9lGCUX/uTj6B6OXacMRgOhBW
/ci2FYjWffsw0fSljzSIDfOUyaJJtftH6bGO9KcTACs19tnrKksEf1Zd6gpbCJGWOQS2rvEic0wP
NHc61EDcEPVbq46GFV10+3jZaZp1vdefATOBKC0UzuvLQ/bUP302YO8Qzaig2uCyog4T7fltAj4I
5n3PnHiNmXsfMYr4lrw1o/2J/c924U/2DDo5rUWuTj6Vseo9E7rfw21O367oxJ3OOt0X62zVr08P
mZs6dOneyU49IVT3nWv6fhwaTu/Fh4V/cYXlvFzca+xROUFWXnKIyVtfXt4ZK+Fdq4dlgCmHwzyd
t6wmQarZ/MVl/TmCby37JTHV6/ZRHSyNMcXzyCY68M3N6ovs9W7yGD9odwydGHwGVR1q/o1bMAX1
ncJTDfiyxKfqsNhkFiRvJgp2OmZ7JSo31J+BuWT4wPmHN7ChWvKhd2fmOQy47pONkdrKnYzuyRND
LMLPE3ihDfVweE5uaez2In+4PJucSe1mjrqVYte8FfEd1WPjpQ+D1z/2d8lSxILy0Qy1tWDPDDDi
U6TDfzJsAJ5TxcfB/+XkwAHz3LrNip9xDttPiHUozxbb9J5A601uZwUbwHh29BCppCOGZ1++3P4N
+b3qXA/p2sSQn/EN+CVzrQPf4Qz6lvt8eDIuEexm46YJS80irfxVfG/d2M62CV+b4jcsa+rs1bSd
PHIZN+Oeg5YFbad3hju9t49d2G0hOt53ocbibOmzSNiwr37i1mkwP+h44bHNorCzdX83PMlL7B2z
CFM52wjV1bQ03f55uqveRs6pfEM1mA+ewDhG8c9XJ2XIUbn1t1ME1fcumyJyCq7MBd7yzz5OSQYP
ztKDIj8ZOcUJO5Y3LZatBh3D66sV8d8XJKrv458nuWtE86fqnT1mJDeAyefDqNivs5ch8yTFyTRb
yp1pKezGIcB1lCJVDBSCAtjZARJ3cM5u50b3VlYeFBWTT5x9NGMqkOwA8xX88hsPyuuFiFTMVd8L
2ko4kCA1lum+j04a4GBo2MYh9uKPcdd7CgaPzDs4X9hImQM8ahhJADlN8QYozB/sMsSIh0qst/MN
QEhPpgGFmNNtmErO7sBfNw4ZotAkSE3oqh040FRtYE/uLhvlXYUrww20zmBgZxBgbU8br71PBEEX
9g2h5M8NlCO9nW4A/otVfb79E1ytq2EEB8oz9rcXzWrDnBE1czkERQ2x8sxRgLO13o57X2icFO0C
5EAJz2Mr3cfbaoOUhVB2CzZwX1AmWp2+LEJiKLz2cD4v+10pIrLBgXWvxFaxO+3kzwyswU64jzHM
o8ZWtrf/b/DRaSZeHYB3861vZPc8bGWXG2/Dzp6XnQ+n0yt31JqSKz1tTsDtcETc6phw+5YGrLKu
vaeY0eNkG1Zil57oZju+Zq/ZDC57MBto6QjLxu423ZHRaW0deSseqm0hdrD+sOp7RrNbw+MOos5u
mGelk3Vybn8jeb4BNGMAl2dTvKhRY9jyayJZxr3sT495UMfWJbN5sxPl9vNplwd6hHGyf3UXoi+9
q5Gx5dGwbk6pw0D0NoYRNidtL8n2LSPXCOSjQY/GQluZDxnlhMtk5ap6kokY107jzcIfNrclcN0k
HyKjG83iTVz2OBzQhpiP8yrfo9ajWHblTxaGGtU7mY9LnZwzuPD5HRMOazjvNAhmtvzAOMLgyOuo
HcFNLeKWX9Rj9s6j8hOneKrdPCDANLHqYF5Wr7HqE6xo7rKnfK255kseDXfNxZEfGkq721Tlhn/T
EEscAS/GM2uXSQhZhQCX3tRaypJHrHmCN6W88/PmVuRiiWHV3rDud/nd+KYt+9i/UImRNAhkwMBV
Xy6YYw7R7f7jZ2P0EE4yRDPD046FNlEsWS3GE7eHUGJWl+LNuVRW0lPpSCuyz/uVtBqOya5JPEBb
LEdMw24JEE98lX8zbIBhv+DQGvx6p3+m55AIm+6hqS1CU4Q3Q7TN3lEYod8xHzo/1E+XhEbLmR66
O7wjnJRxeUVPaoYYpT+lD4uAcvXsp3e0rcAioeQPL7k/rJOtTg0aNDZwNlFqlr7jwg6dj3PqGM+k
rrCwY3feT7THgxtj+OuXzLKu68ppVrMfr0vdUsP4dVnZkoOIEirX8XK2dI5ctgl9Pe6EbXf7QPTP
2fTbECAl3ZD4RxDRfbpFPe2Pq3MEiXubObm18LFJ6azj6X4MCwdncefsA4YFFTMi+YDNDMuA+Fq7
tyMzmg+8xBsqOi+1t8Jp9sTL0ZutJ5f1zTN+6u5yNw3w8HX6AKp7lN4xnP12MRx8rRxGc/fM8UI8
wrdXmyE8CZRr0uWyl24vvSXew+j0z8wflfdiN6+gpa0K2TWYicF7vD/hwRF2e/Pb1dWPihc/4a28
jJ/RGy5LR1nKj/OhH+y4vT/pn1eMhVRn/FgkT/pjm96Wcl851QOUtm3lk9fhXyYbISguNPCP7ctr
deI3dRs2xt7OXsqX/I57W3zqxz4UJEuOwJxUvqomGvxyW3vMCY3lsOHjBntP96cBS2VWk6uma5kp
3n19r3NUb+Qaij5Ha7ToKWlfrq/8Vxe/zo4E15tvxnz797Bp1h8Sn7UGAGYxI7+yBZgWg9mF3/FJ
nLbwJmyQ/8mXWOCY5rsc7Z48QS+cVwPpwzv+o8bvciTxehsPEOjs8kUKqugGn7jcGCrdi3U6DIpz
jtgT3SsnQrepIoF/RllNR+aHVM6s6+kbe3K3ZnMTAq78YjxlTpIy3dWCy0Nx0IKb7qWNiie+Hnwg
+ROLMH7rvsFe+az4XEuPAUO/ZblXd4tdvjaYNUOcQr8Jxsnjhvp4lHivcQ3cKi6sstvMoqsubiXI
lERJjSm629eu3TJm/81M8CdQHdgXI0EBTRZjwa+oN06s4D5XWLa43gc5hLNrCLHVLaL2G4OGjgcc
aM7N4BJZKC+b6Gpr2jRrjvDid1DO31FDbgVSMQxbiKaAwj8COUZapGJq3Ai//6Q9ogC0UweoIZwZ
9+JAv1Z/M+Qw/j7kuF0SkZEu39At4XZL380o46bU9VMqpBTEi3dCg5ySsis73rhK7UPp42FKMUM1
HKp01MZjEU0H3FTJiie6nE6wfMBbzZPs4ih9FnvFPR9KXywsFL7uTJQsXU3rdEEcxPcVY67J1bzS
qdaxnYZYPMGuWp+84bWzk4/Sq/xxqeyl9edtGisE/VMLMWl3ZkUUS/0lvTtvSqd7+C3+/rsH8OWZ
95omZIuBB4DM1r9VqNMyoygqdold2b/nc/6E3fjjA/8C1klVnAlSz/XysAMDUWg0CFl3RXgGSET/
O3Osn6+q//eKv8C/ajzg4dRxRQ1LoxCWlLOg/B690zoJhdvw7+53wP9P5uy3H4mLpCyB/LO+flxV
17M6XvPTNaVplyANqW8YsVsaRVy/q/zfcRVh1X+dW3E1Exsd+RbOg5Dtx6sNndQm0BlTL/uc6Qtc
TCTENuKQfgZtj+ITcwGHvhcSF7qOqIjORIasszVD23lbAmDc46l3FGk272+OJxyW++lzXiUfxUcf
9ofmIdua+Ims0zUKxt+Btz+5dQXfCXyIoGQLX7muuoiTClFVmEdaMOZnqzVssHBa32rZYh8sPVe1
rUcYOrr/d7z6P1osQiQPH+h/LRSxj+ePY/u9Z9Q//8Rfgg/8VSV4/Gz20o0Hclu4f8ly1X8g5oD5
jCBW4RwwgPj/JfhQ/6HDyMWaUkJ+CRn9ton+S/ChEMl0Q911AzqJwer7txQf/Kkf1sPNelUTUFfw
P9JtRQhfJ8DYoPwf7s5sN3YkS7ZfxASddE6vijk0z8MLIekccSbdOTnJr7+LWZXV2X3RDdRrAfVQ
gFJHoRCD9G3bbJkjYc9tywJ+WA+S6ILGi19TF320oqtvu9QvdxQ7BvtyaIpN0fnlpVNaNWbg1j4v
VP3s46isN/6cpFDQsJsGDlUe/pA/Exscn5WXc4br9Xwse2TjXgQk1uzPps/dG/5BKAmwmjZ6yY9F
jTxGUhRjg43AqwQewMkGJEiZ8g0k/heVQTAy3M92bkp1hRfhBiy68j4Li3uvtgBZLOX3rPSwsfqs
eqLrWZ8qSzGz+TxNp5L/E9N32FVX2ex1J9pcjlrN73oU5VaU/gKCpHl0m/Bk2xxTTMQByvf0D20V
UBHC6rloV18gq70+JB6aT8WHXATP5iR6xsn+6UHn25iUkxTLVayjlPZRV35UA6O062JakKy5PHtq
t1Sd0fE8QbHpA2jsUVz/+H11287ZS5gxDQyJ2tM7RKStjJ1DlvRHsJvn2ZjHIRk/KyJ8MrIu3Rah
1u/2oV0ePFv0u2GhAoNqtW1YUHpkFEzQNsBX6xpkZSSkw0gV56ai4GF0vescyMZx6rsrCZVgoztz
yJPMbOqQtqC4RknvQjyiySBu+cGc6HPmV44trEYLjnMOsUtaNgyt29Mhz1jDR8L5VpMhSBruY1m+
5kohBjQBZXMCjqIqevxj1XAqsnY+N331FE/FZ6Pr9Bgb/TzGC4pxycqBeOeb40JaLQvvJNvx1Tbx
lZ8Vj9B9fsUiG45W6N8pIX9PcXxqx+55dOJHNyARNEbAglv5WqiehW5hX08lY5eeQWBAaZQ3lt3V
j04dq2s7Luxj16K9GvecB0FNHWFxM+aSlUfPb5tGccRf0IhdEOYsTuzs1U6Wdjfk4+eYIiyMtFXc
dyNql7AAbpg43JaN/6pz2tQDCKDtzIrHGwf7EzzlsqNfNtnQM4hrL8vGvQIPSXl9XF9Ss+6ANu3g
HyU2dgBQgxdg2fxt1s3NVeeLYcuaNaXCyqOeMNDzKY+UPHotR2XX0I/ahpT1UILub+WffwWdLttM
ps5Oi4ptWky7uNUG2HM0kkw0wLPJqPNABygNDnqwvGlef3SNhA6cPSZgJUAUu2ITAjDawJlCNHBz
ilgiZ7qqwU0iHzUPM4UYF5my6HIf+i9Zxz9WEvwGhsT86mPocpG9TIDhBz8aSlJDXVdOvTridBrt
IAfRRVggBBTlio1LWOTQakV6ShSXBQ0zF34dPWR+XVyNghas0YP9Q9XFr9rn/DvYswajQS5Yerp8
UQu+ZtLJTxBphm3tdJoPV4/9MsmsrUv3ORtAu+WdL/1N1vGClZWy6C/7Zb8IYYEzQVfr7ZIWqJFl
VuWsZkCDSzdOjbtzhbj1C4adQA/PHhHgzTiTOh9tc5Tw1OiGTY9RTokL4MtrLynO1YDsBLeKN0wk
X8HcXiZmOcUpRCT6qfxWPqUSzaKs55fRhgwHWupVpylC/uj2Gx2gQgbNfZdFD/Fo49fsWdvIosI/
LaEmu26GiABVdq8C/Sn9Ptq0lD1cFt30OQTeiTJKvNRVj0LWi/lcLc0DlTQFwdnc3NPahIbvpgxV
TY0eOkY4ELMJyxg1tJGZ7odhMM9ZVxLWLgPiF7aXb2alxh0EekT31iwbGkEpXJrX3JaLVlQJbmq9
6kAB9cW1lWH9BAB3Fa+XP594CFq7MqjFrmUOYFlm/YrIjqPBdK+xi2u5Ld2fMtCXwkGDTSaqKJbX
NMsYV3v/ztVIe05ksZApO8I/IR2dVKbRotwxI806OVtsWKeqfY9aezN5zqMcJIAu373tR8hqWWgd
s358Gbz6VNQdysmEbNP2HiYO/yfpDSJh2x/aEUV3EdWuzsGLT7HNVWkbSjvber6z7Yk2BaLKLBWL
x9z3JWo+gmfAY8Iu2EoEJRMDGfqBYl3vuQZUO2QVcd7E3UaWY7FRYkXrp81rWJJQSbrC23GvqkEj
J4QlSwGiQnt3QQ2FrlX2gVvvD0TWgwxaKN/qa/are7sSV9RJ3VExylZW6N9DUfwoCuVAN00Z1N/l
lW4WGmQlA7PVCuqb6cgyXW2OgHceq6D09jyp1IkMFEt5mEanlKcWcQvnsbeNdzQ5n5RBZB+2yO+s
TFT7pOR3ieFnAJ32L+LAgIu11KtoHYx7reFq9+DuOH7ebys1XlnV/OqCtNtk1oLBWgD2kCpEDGwD
pCp7euKue59aZQfaL31aePK+9v6o9mES0TdXZDs6CHmOpyxXEznftSObMNku1WHJRgv2N36vwrL3
rl02h6gd9sAhy6NTFsfSw1/ZhNOysS1iAKaQ7b7wXUliDP+XoC1mO8rsN4YZ0AD+YQQ0wc9LC8iY
NnfL3HVA/C3+Pq4WhVfHYzUVVMiEAp9B4o3u3q+bN8+36LJq1dukO9Z0uXlvrdRcz9Iy1/QQYV2Z
ly/dxXdLz74bPLEq/SsesQOUPNwIfX22DI+fLIoefasggIMcWHnFd7BAJoqD5b2JSzZUXk3eICIP
kM6cFkxD91pQYKL3RE2q2xBDadzkh1uqPPJNr3WwipfCModA5E/E6u2LPJ9+zzVreTOpT2Df/aYP
kZ16PCP1sj7M2TDEVvPb16Y/FBQ7X8DDzg5T2FwBo7uzwvR3W7cTMmrzqBvrqxihZiU0o12IBB9B
Rs3e0Yn717Ro6gtANHD0ioGGbarDtk3kEJ2IklvXBhIPk7LYUQjHJlpp7p1We2P6BWueqdSXP8mj
gDd+UQesMIdZX4tx/VwtKKWdldc7YvqvyYgFXNqIT1XCBRK25pexxXAMevPoKlCibqKynTLciESd
o/LH6UfpDXJnDz3v3gBVovOpmjEOK+wiCEiTlr7aE3470pZOTMflkewMsjvYJRuTqJovp0TlOFeI
vEDyIi/DJzDoXpSZjwl+e2fEC7RqSNFoXcUraLeocB64jboLDaq61uh81Agmu3jwWIaa9EaCqrCW
6gxaSiNbug8lwLmj8jzrHE1UAoy13opQrc3a4zcIZLBzkucnpHtSPlNK6o8OsQs74VM7ZPOdq8zV
uGSMbVYYnuNhxUkI7lZ0q0MacYJl0ywxft9WvzmVRUtetsZ6RXxT6+LotpiTfWK0c7w6dMOEbOvc
H/yZJ5bVvWfctGnuPcc+R6SYv5RSnb+G6l5ctvuAHa9oOfjhKfkM5/wHCIi6DrLkV7neiaHDPcQx
sTV/bgjoiOJ5qtNhZ8eYIzieWBtviuJd0uKic+CIAn2FtmFcCuLIXbNgWZYfIQTuYO19p1CLV3rR
hSoc6hMHfc6S6uhRa8nV3UcXgRf/dF5Q7wcd6V3MpxheiZqul2jauzo6wsl+C5r2I4MDvanc8mVo
rGMVxLSlL4/BhLCdLw+J7N7SKboSan7oUofgnBqOJsX20jrxZ5tB8ErxAFVFTZ3xRH5GWeN+lM74
AeYy2HmjtLdzYLDyWdEzz+6nuC33tUixR7PKsaZrD95hPoffSw0Fo8THU4v2caxGbhfLOyM5XnI6
GiZfYlSZyLtFsQP3D7+AVC0dAIPc+s70w0CUs2JVwNBJHyfzRDpbFoDA5infidmzt5PhTZxX9rge
yEA2oMQxXbf2Afml2UT+FN0kDojovqzOTkkfu4LYRtKoaU5en8mTTHP7Zi6qZ0/5v62k+Gl6smU6
8DC2WKzp8H9Zl72b/9hTbm0GGWbbP+fk/2g14B8c6bX96X9XBMg+DdXn3PxdE/iv7/tLF3D/CFcW
NAZJiV+TWf6/dIHgDxH6DP9r4zL5fwf94S8QxB/UsMCNgPIU+vAQVqrSP3UBy/7DW4tcYEz7FKjA
CvD/LWAXBOr/pgygBUOsx/u3tsasvTCrDPJ3oXYAiTCZqay2E8W2u6iTU4tLaxk5XuugdeVDoUK4
JaWI+28f4zO9rTIj6RI5NoOdF8QfurTKE2gihpFcN6/FpEkATRmVnqUf3VD4Yo5pmZacinCpXwmr
HAir1h2uhTIdvsuqGu2NM4byHko+c1GPqEB9hx5ayA+TCC/DKFteO9irRDJScPONphBk4Le6ARAj
b+ZBeO9dNSM+hguBMCrd8VYI7HZdxbGqyoeZXZWBPY1DPA1op5B1ujOVLNZc4Tjts2IB1CJxqG/r
nIQT7xmOqzljGyIkJQQ0YZ5hi9ovQ9LbN44X4Q+kuvBM7yammGTob5NMIwFG0RQWW38YUfPjXBOC
6vO+bvedalnrecWS39VBUnIOq4FLDF3LPbiAdbXLehN+c1iULEskNcocTnvEap9u4QsAQAV3jdJg
rUK4oLy1tZiUxFLJG7tfyvu0xfklMpfYISc+D6XZwEBOZjOcl9HySK7GfNZ9+KT+hT1kuAx01qGq
9A4zrEwZ94OkMvuFDkjiy0FSHKpFEvKQXdpeh8PMncwE5q2ga+eX147V7RIOrLEKvyqcbeH67S8f
WO1LOAsyQMEwvOb0tR4d7SRv3UTb6TboZfC4WB0Z3XIYFOHYLKb4ZU3N08sT1TnuVQo3JqpfnHgb
jxRMMAdX2SlLMvmUWJV1LUtIO+5gOb/h1U7XFEcupz6qLx13js+T1/dfMSfjbVgByeANbtxD1qUB
bRGxAvCf4sezLcXOheaVG6ef9WmAeXlMxKjxjgXgdafYKV/BsOKHovn6xrN0+zMZaeE0mnR5bOBa
b3vQkRuImXw6/DE8tIud78eMobfVo/nGIF0/j7pIDuPimocelujDrNPqNDvt8HuWHjhf1zK3sYOT
BE7G8uIsNvbTZZEHTkTm3quQNSbVpA/SLj24H7TdbpIkc2/pmMn7jVmaKto0foGCMwTpuxyUg38p
T2x21sM0MPNGknR4NyUsYEMbUkWRPkd9tOp9U9I/NGB9jxPlhBgb0ulXACjtNdCj/dM09LcwjqfT
eGUvnXecrQbLYCua5b53dcby3stTrEFcV1bcT88ildZ2nnNckg0vW+wlI+u5b93plou2u6zFhH9K
cWsTF4A15V3m9wUeqX6J6fhAJSXunqi7is/ZfHCt2n/rgB4+dENtP1TJUJA6EgrvQZQM2S8VKOcy
q2epLhpalTk/tnN6kytjoo0xBrOaWpDPDDLL+G2FTvc19w4XaBViwe/S/qxFYO17aulfi3YJT20t
socg7JMbVWOQs+Dg3fXjXOBHzuuXxmW1PxvpbssumG5F76qzlo3ZlxZtm2M/0Ltkj+NLNhbNzLtR
iDMybndnuKCuk1EmO/Dy2ZMtM/mRL5bTXeT2xJ6VyXY8VuNMy1uZN/te6o7laxhX3xW1vJwxJ1uB
oSio8qi7Kn/Jw4zLrsKVEblVeoRQwwwaisH5ImNRnHu0/0eRVw2cMte9iqgQfwOIWrDNDePmoXM8
Os/VSKkJ17dFPkuNprzkeYTZqU2rDDjYzAKQPx69y3iJdbsSphSQ0asRpjpej3hxPic7rY4Lcgvo
82TNfsvwq7Kj/KbNHfVlA7B/TjyvvAIz58Kjyue90U1431KQeKtoDnioHdqRuIfkH01akKzQVL26
m6kf5UEo2d3mVFoc897KTs0wOl+uL6Z3s1REJ6sm3Lth3F4pmLePCdBr3D2LDm6oBxVHJynnuy5b
sGDXKCwPVGPZD3VjYXXx+/zKsevxuU9CcYAH3DwN3dwRTm5b8RR2c3A5U8ON/pUPFl7UIlRfo3aI
SI/C5fTfeM9c4gEnf4UrL5+d6kEZjLJ8oDs8NV14Z/cNCxXIazWa0uIyVAR2wH0/kAjVcCq4q/WG
uT4KfJyxDmUqFyUlYd9B5vgc1tO+7i4GgN2XIUoBUdgkCCFtCDVtWrZR5hzPmgw9x2uGP+C7wVNe
L+0ruLfqPYD/L2ngLhXCcjtzkgQ3ZiG2iLC8d7pWsSDXEHkPSd+uO2bHW56jxWA4m92k/1ae6z5U
VkWtsj9y8AzoenzxuZE/i96LLg2SvgHl3tHgxAUBEUPP7l2ypMt1Y6UEJ0w33k+Uk5yrYIQ8XDkx
yW6a2eVWJCp46C3pnv/zD48QUD0OWf/7yfEh6z7bdZ/096PjP7/rr3Oj9wfUK44SnNekYDn0t32S
/4fD3RC2GNs9zo/rkfJf+yQChZSMQPOEEMuHlS/9a5+EbuWv/xqYK6Cb8t+ivLJ9+vtm9B/rJC7o
9X+R5Fz7P9ZJaNPgWfPAxifpvYtsDG5kifeRZzqWqyTRp3iRd7RElZs58rEdrGeLOYlvZQsfpNMC
olIZfIgIswc1wLg37QKSfDEEh6rvwlOXFiBPVEuBvMJBOs7167CurNSAuytc6ACvNTRJUXrZa5KU
1cZvcD6pdbJJ0uJHZJh21pFnnX3i2iaLKhW+yTb87kZq8MrBe9TrmOSuA9PA5NSVDQKKL04SzLwK
E2Dn63gVMHIdJJ17F76f2Lh3GMPmdSDzStvemnVIs9ZxLV0HN8MER6WDv6UIjc8W0527jnmSrvcL
b6bpLqPaHnL5xbwOhfmf46HBa8y8aJgbaaR4Gzw5bgumShl679k6aSbJFeDT/RzEj4sTPM8UW2P9
WYdTP/bBwzKwUstCjngdYunQ+GiKktws8+2o0q9pHXjLuDv2f47AnQ3RI8cjrpI3a9BbPzNXnPRP
jkhOFQ0dh9HrPzzGa8mYbTNud+vc7bidf4w5COwKLer9aAU/2TqnRwrvT76O7ozwzTrL6zzAqY17
OxtWHMjE/sEzQKw8TJWrFjAZiwbDVR+wNEpB2bhoBiUHd0YMvJk8iHZdnz2Dgc+2lNjgNmvyh2rV
H9wu+o5XRUIhTXRIFE6HRc8XxVWAB6tGw9CrmJFYHKkt9I3OR5JB76iMfg/QPzpID9YqiPiNBM/B
7C5XsQTu5dFHPYHUGCL6Jp+IAhpEIysAipsIkK6yS7kKMNYqxSxhGZ2pCkn3ctVp0Gs6LSF2tJDz
KlS5HdsyfP0wHS+KVeqx0Hw8EJoXmc3GIrWat2YVhopVIqrQiqhx4mthQ/S2vZl0fjM4obrIV4FJ
R85yUSwtwaka6tAqQ8UZnI3R8awrkTT7Vrn3ItRnmXtnKK+PczahHiNuefjZNE+S7aKdO7EKXw6H
74NZxbBslcXsNjzSYkzf9SqZTat4RhWQBuWJoBaGWBUgS0LaR21Le2zEjUGAc1YpzllFuYJQtF/p
I2LIRTRpcwiz5Ve5CnjuKuVZA6Ke3aTUeyLzzXD9LuxV+nN0d906HN+410HVKd2j4pnH5cK4o2JY
4+iHi4uu5wZhR1GPhloTDs0m9rLboABz10hON9orcOqVteTJjFLJJ/O3SiSAnaEo2dfiJm0RNXl/
HrtV5Uyi9Dcdd3cz8qdYddDOwmzlyMVGNg9f+1UtbUkn0tKIuM+RrabYcWOs6nNZNVZXD7/TDkHY
YgOYDBIdNsJ/bSHNjvQ8HRVirYeKR+oL/TZ2WSsmASm1bFV33VXnVRkvmo43AjiIwPQ3+hc1snDb
4BG0kG5yBONFRrBukJBLbV7qVVPWiMsZmWYbsblFdO4r56teVWjLtUAWiW5CZp394MQHhaUS2/OD
ZfN6Q5X2l9U46iOlIKdJZ8NFQyvR3vOz6CINSHK12UCobqpPFk0pW5C+bwGnIdLgXX8e6LbmL2o+
52qZ6FAonctZTo9Or4vDMNOKhpTPuYeSou08NvkRzG3+NIGFeIyyaH43xtrFnaO2S2izpzV65wB7
3AMGrg4Zi6oNp9V81+T2/Nh1zPK8XcWGJPGTiClCG4uc/YMOnplIflhWkJ6lMynpxqdCcqpZJvdL
9B2imSw/U1ac1ug+BlSWXrRV/D33wYc3lT8Bgt9YZtcyhennWSx/0qn6U/zEpj6G0Xaxm/pK9UNx
KLSSV1at23ule7TEzB7plFqyO71k/q1H8QD+RN1yTc/DltpU64X3b7ipi4x0QhLihF4oYsyX/ldo
wzVImwLzaRJw6BsAWznueBIRu8+p8ilRdfjY2FFHxCiHbtXJBeEht15cZUc3VQs6hpXeS9io7CTY
31+YxIX5XcePcxh3WLLFRD8WuTwQ06TrtDBXhU7XVRuVIH3Hp5luGcLdMWqlAXi8yUvT7GLVHGVJ
MMAe1sVdRB6zwu8dOUpe2BLKEoI88CDhZNu68TEODParYueyFTG7L1oWaaVqL1Xv3SFB3aq2hORh
iotOyFNsnIAyVb3LbPMUB6yo/WS+5h6F3uywq1fVzH2k/jDabSAWU4tD570lEwIYzbFX/swSR1/W
QIACDACbPGuurShDoEcX2UaGZ4xNa+g2gd18iMPmffSmX9zCPvLM+cqNeJhaufLTjNpMC9d/4aj8
VOfl/cSK79CguGzzUr+OmSo3RuBS8Iv3NGIBlAC6GLJR7LiL7JNFr42w9bleWFIN7aNny8tGqqcm
dvh1obYUUJ2EOszZAGYJt8mw0qlQUC7oQb3pxvA5dMrLBOIxF/1e1MtjbJmtss3Oazo2ztPBRPph
pM6JuxY/y0uzc8ExSJKM5smXk4LFhxrGl3HaHtAC72QYXQ92cjQ9iQWqkLu2Pfi1f+4MD4We0i7c
G2Rv7FafZ8Ue2R3r57nk605+1TUlecTYv6+bPkCCIgJf1uXHWm64adPwxG/MWjhkQMGSuQtsEBwm
JM0huquitgRsMzZA/aC/ZUkRGrPyVaS7rdvIYDsa5CzJ5puhazWfyF9RzMrKDeEFZsOU3MqSMKZv
qf6ua+rmbFy32P/nTwFYfzlk/x9TAGS2rPpvI8A/v+WvEUD+gRhLASHFsXwlcomx/2Up8/8gjQ0E
QERB4LmRjVD9rxHAhSCLBPkPufnPDvB/jgDOH/zd5FpOyH2XU3v474wASNj/3wjgIRuHwBcQqZnM
V135bwZfVt0p0pJDvqhZiBJkSYCzWpQdI0FHyKyXBlZC4acvlpbWu8PnjaREm9gsbosq2FbBnN8E
ad0eRRlZnBSLSdzkdSNvl8zoy3G0WBcFPBKfoa4rUiRJoS69VTKTaWsdmE9JF+mAhAzSsXOmrJek
azCn+9RyoFvZMAxzHJA1fTaZdTfFQXpKUMluS1/f5sSSqKC9Kuh2+ch63AVDaVocVCgVB3oHcWoY
XatH+pmr62CZ8WwMvb9xtUf2J9L+vWOS5sqBAH/oBN0GHe11L6xYB3mClV/fzLPwzrZHuZwSuoRe
pOd+3hj0/Ocey1GwQfPXZ5dem5fJb+xb6lCnll82CvBphDYajcrydkMTS8oNsWEztg+YUFB5VcVD
pHbUo+a/faGOxr9MfIG0WUZT9NPOfXo7FV56hTRobYNGRzt+EXmaVAj5LWfwmLZuFOAdq9VEiKBX
IUrCJDDo8cCwcjqQpoCK6bFpHjGO6cdI1qdyyaxbFtrWAVK5bHl/yRjazm8/H5JbldoJ2fksB4a0
VFoSzh3NXe9zq5Cxs97dwzZ7VGXGkaXoKJiTtV0czTT6r04dPsQYeg6ZLJaPJIv8F0tgoEg99sWb
slbEvExfXwadHi6Lesn20vb6bccm9jz0ZfwSKPbnrT2YbzFbI/HdzjQvaZVnb1nZwU2kB5cXrJP0
ua6t8NZZHApcpY9zz5lr64W5jA3dUIb1Hnsa+WNTeNZb3EfOdeYbimTrYHW2ePohTwShdss182fH
+vYXemx5nUON3/H0Lj8ACi/XA011T/no11+O3WK8oMjrSeVz9u1KydIb2TW7jDMWh9lc5Gd2ptyw
NfB8os12EX54Xt0fqhzQSNbHbO39Mer3Iu5i99hZnn6dC3u6ZVnIwzMrRu866K3xOAVLAK6AFaF1
UVlFzPuHb44HmXoOEX6/IMwnz5zoqk+vp51olyEQpFt8oO190xV0M0XEjGQxpdeeHzuPJYuSeFdE
QfbtRQqruonj67KT0e8u1UT2w9n9kJXk1SFM6rsRsX/Gg5kzMbAL4PkUoP4+xVwvuBb80X1orYkM
EHIErmi+JWYMxj1qqkoRSMrsc2QkeXvqu2nYTGrPBshV99PjQJfpuaZj81AEbQDaR8zhj60a6y0Z
luDZKtmangYniRCrLHoAOD8zUmKQC+F6pAbTam/88RUPiMPzuYj3pRT6pWSFA7lwqONXi+q4TTOW
sFHisNQ81Zvk06cT+D7zPHEYm1HvylWCMJPbn/uwDO7GRkAoK3ibtqFaup3M4UDUUVi8LH5dPUxC
u8/JkAPR1BqKcugmUAMSu31oLF1XxOw5Pu5qPqmXS9N1y4UOF1r6pqT5PbJ72PWU6pwpqpQnrv7i
xsXQ014UeUQ/qcCDCQbT8QFlO0EKPqAuq8+Yn329eCmpSYYjqJy6L7LnLkiXX5U3NN99nqanNo6o
thQF54g+JWIWNtl1ql1xQ9lVu29NB4ENevN+DHvYSCbp1WckZPTGHhMfL0+Qtxph/LHlin1ThSdI
ieHgwMWD9AMrJwyy1zgzBlqaL9obbLlip5w4pgewN+uhVs6kbPrlzaWD8uHfPxL8Z5ZFrVZwIgf/
19Hhhr7A3/9sK+g/61+/278rif/6B/46SDhrLTHMIEZSCqP+PBL8dZCgMooQhcNz3KWtiZ/8r4NE
9AdcGrziDm5x9Ea++C8tkW7kNdRDLzsLaq454f1bJwmXbfbf8GD46CPhrS3LHGYCFM3/KSbW9shs
5qt5G83BYiHyaZiwKbesTUgrZnSQ2p3vprH1nyo3HLnxtjG6YN98oCRVFEOq5UpQZHfj+AxnNGs4
r7TQ4iymcTO6muUCLJTqwOCilk77xTYiTqCIRhxCDklR2M9YndAtbHcE6zTbi/duL3115ddGXYZN
gprilBURXU/4kpgqZTIvDs3eapOzHpwBqZTAZ2URnpkXx+cxEFmzWdiNAZ9VA/biYAyUu1EUfEYX
3hJiM23bEBdcZcriGUY9aGhR+eIwSRN95m4MeVum7q7oZv9eYtF5qaaGETtlqHCyNMC3p5w3iSt+
Sw/5cp4tEWtMr0Oya7FG7jtvjE9U7jDLi3Hi6Z4KYB51L8JDMZfize6lcy4qTaC0zy2OIsUEwIGD
PgNBEmcbK/HQ3ZwaXqCd+2+07aS3esE2UveKHtoS5mzQOC+dSNW2HPFQ9nkZ7z1tU0KUt94+rR0H
RK3xYTmjjyTsjppouXCzER4VxTkXypb9VnmNPFouRn+eUxivtW1eusSN869yEkP7kDtISy+1q8Ep
pFO487gR7bww7Xi9MV58h8CenZXTKRZteeg7xeo0pMdoaByi+rWfXCZiQmX2cuW9xuVId8WcZOqS
/Ym/zfvEFtsyFPZTGBb63VXlfON7MeeuUa/w2WVEwNV2paHZ5h6V10WCdXOItutmazuGeXBjREMs
n0q/+2j0ggf+BpChl8h/s5Sy3ouUZxKTGodG4/Qx8caKxOFYcJaIup4YRbusK10PVzT8+awL7oTq
6WQuSvfg+VrwfNBdcOx0ZV40yoGFfciNb008TjeD6tSLZhkNzqgKgpMRpnmm8c+Tu1bo8JFG6ZoM
Lf0Bw1zAOh11SsI/Cfr3eJqtvXAFrp+J1/vWdMIc3ShJfB5HmkjH4vvMuq6FNMiSH1vY4t/nkWEj
Vma4WyfykhEXDv+yiM1Zh57YGC6Eo25i/WjiRH61Q+eZCzft4ueAAqVLP+FJtumt0H0jVxIpZtDJ
P/aRGq7SUE57n6PUVWbVzsvU+qCXyzrHlOU2xbXfWsUeYj8MSxasr5kKSetlXvpdTJH7uyg6uNv5
TFVOF3VEZsvgMUjb4kMMUfIVF+P80BsYDpY32RBDYgd0dDzlZLuhtO7HxnDuoqYF3FQUWfEvlQVN
f7C4SQERqVW4rd3OBv1Z2Wf2pMVpMms4wS8mYDa8RN75NiAXLeIJRR6atW258aeeG3gdwHnF3hZd
xI915+LFpL77k0tJKavllPlVDyX2XVaZuleewEyjO999D92mulzSafhJKRzmFogtiB7YIfI/ljSm
FaNrR3k1tL71podIgTpUkQPLr+vRJrmQv726XmGInjsTzJ40iXpWD8Bu6ehGTyoGhpAFN85HTTfa
jeHk811mKr8UsTQG1qkguxuFcbrhfFh+xaLrTh7hjm9KJus3e/EJ7ZpcPOYNYw+PhBRlJKLJ6yIT
mMy3k9NbrFOz1X2AF598ox5dNFl3whudZ/3Rd5yR5ambRMexLtediB6bkNR7o1+tCMKqVbmEr+sM
x+EQxfdLHRUHx42Ya7j6rWNjivjWnWo802UqDqJQw3u2VNW1slroXf+PvTNLjhtZs/RW2uodMsxD
W1U9xBzBKTiIlPgCoyQKs8MBx+i76SW09RJqY/2BqbwpsexmVr6W1dO9aZlkMBAI+D+c8526NvZG
mhYXMXPcb2bUdUeNdOaU28g1fZk5t9or56PLRGcZm8Jodz3j1UlDMpHRAZRnGTbJVeHk0GbGuLpm
3dWuK0OrM+FO0z6tu+YqzyoB492Rx6xkXbIylGs/+l02blu7HBEVOBLXX1f2KxYg2FKs2UFG+D81
Tzcfv/3bvywlCyXFn9Y8iDL/4//+orb7x0/9XuhQmCBn41dZS5DlW67R74VO9ME0XeR0LE5/r4F+
TEzsDz6hGF5E+WFRfyw27h8DE/MDYw2qEyYmrg1qESXf3yl0FiEdMoqkFstbXOyCqK8ocQKkQNQ7
75NAcivRJQsQe9ORvVNigBfWMQ4ffroo599+3c/RmO9fhPWv65n0cayHwyVT6NepjEiyMulyMq7N
mfFL/qmzDJRK6z9/kXdeY9a/FsOtkClSaBPZCML211eZyeozlMdbabZ6F0DNcy6GC+z8a2sNNfM+
2fSrP3/FxUr8x7ULXYflNVTt5T15rA3cdyLFNE9JdZSWjRXhO5nP+6ytL7IOy7epLqP+85+/mGv+
1ctRFv8828rdMs8ia+o2BpHLLDm7hOG9LOBKrsIhsi9cxzSONSXBhvmcvXVmXd1jFmSszzD3Ti/y
IbkIiUxzFI/9Ii5KFDKjKAkAGC3SoyFK8rvCC8JjvwiTJtK/N01DJWMgOunrnqa0LMbiNnJSBlvL
nnIBwLxpntQcptdJX5PPlTGxkLBxkYBNEw/uXKXxK5YxuVMjrp0VYhd91y3SKqKi/U/IndBbGV0r
z3Yxhrj7mkqTOezwu9tO2DfWRHPI/rHoEObFVXexTLeOpeelZ/Gm84r8vtr5HL7EFtbZiWDH8EvN
2h2UjBICksyQ3Q9x2OW4ggCsJh0awlWA3ea2Grtur9q++5wHQlBT00ufCL9uU4SGo5Ftwk7OBAka
5fBg5QlAut5Un43Arm9R5NcwS1IDC8DSxwr4WqgCV63OhxP+BfVgjUPBfokB/8fMT+obU45QP/o2
OPg9NjjIfKmOjoY9GXTIlt4kVO731sSZPUprLtYJ4s+TX7nOdVhU/bPbUkvZozE9xJZYeDoygF22
pJB+La0pPU9e2KRr6lTzI/PvtCcOIek+twOInMS1MY6Wk11c1RMa600WjMX9EkF3IqzU2BdeD01p
aBJgLtjyHlKzqL6VotHfc1yW+7lx9CnNjfTaCrseZisnVJ4P/acoVbyPRMuUJWBcx8Gp7QtAKVaq
kLUihW0+20xI7l0EIvPaY1t9iQ4NTYRfU4+sUkFa1xrH23Dbt1X7ze3oBFDbeWevyaHfdWmdg2kT
rYKUX3jeA8oPSa3jIGoH+teXh9jotUWG+NRi6vSDG1k31WXaoM1ixFPe5qlj3zXSgWmiXC+9Hjqm
oWvH7CYHWUWO/t5AFQyEUWrj1mRBAi8y6jwGq2NfXLhK1FdLVOy5CLJXCpzhtR+SGIdAO3FX0Rzi
MwzsdFO7Br56N0NasK16i5fDyyo+OmnTkeWQV/s0NcMNZuXi0XbC9rJE035IvC68VSr0xdpu2gER
agGWJGN+ZovZ+67iKX3USd9usBp2rHgsYV+gwQCf4AeC3I1loT3ZeBhDhrBHlFDTpnORt6QymQFg
esFlhfp2009cEWv0+tuQ796LUw0C5f/oPDHEh+pJpnl8N0uRX5nYY2kk3YK0TuGar24S9Se0a/Ky
JKimyl2xIRZXXsROiUeHjeDGq81c4MS0ILxzgyM28IP5a1wN6ibxU/ucDbPHNy6gSZ2yFv+SbQDK
63IgoHPTHoOS716ThNVj4Kc0veYodynJ7d+UFNXJcGPrdZRlJbnF0/ZUyp7EJcuaGX87zVXqeXI3
4jqR6BxsEjwxiq3LVH+MR7bBXijHe4OLifeHBW5u2upzk8TzDULjasMxVR+7PkmPc4rHEq8G5F0S
TCP3lEZ8vmyNXDKmql7l+8yM6r2iDr+fRub4K8SImJyGCeZbkVRvOlm5TpXMVuY8Aa2MjGLjBGnU
rSIjxficsRDcO1bmHT3+2n1Z+cWBDUzEfsCpmxdPzSyr24AhnjHlB5RV3alm2ndgOzgcJHm+x04J
Zg3Eol1zwOIGm3JuiXGguBuXcF3UvxvpJ6DaBxSxmEZ4Arngep2u+eRafFtiKdTR8PyaTJFqIMBd
ts9xIpNp3TeILaPKa158U5rNJhtCuTaKTj2h8SO7yc0ovTu8QtdVUhkbBo7ZQ5F5y55heZaHKsP8
5cDxn9LsMNjd9NQH80xWLJocdETFTYeI5GPkCA85qBuu6yIiUMUO+j2aafBQTZzde8r1v6dkIX8R
zHG58kl42xUzQ32WEZcewfaLKS28bGWE/kL5BTbuxEr3Agb3OrOTEYMyrkLLIHlhEm0Bs6IO98iu
EUXPyYLUkRVLaGw2iA2jyCv4mjbjWSiEPi1nYQRy19aPARb6G83i/Tyaobj37AbVGE3JJi00xGrT
HVj79EnY4ZqNYj1dNimS9UbUxVeKeIqmOZ9jiK7IoFetLyT67TQwbsYpq24K8mORBEfpTnUui6Ek
MqovPFGxOw2MBFZj74pl7y2mYjvaMXw9g/hOhjWpv5tR4sHhmnrvEBS1/51oZ3aoMi5Ac9RKBs/s
9LMXWZREpLSdEXkXXlImOyFMsfVY/HYbKsmc1AmyqyrbuuDNm0+h2epD2acgxlqHoIVU82nUsVWe
/7xgWcqRn6sjN3xT/BEJ7/qWY3vvqqPA9QSzKURh2uuAJjzKFm+wu3XFXwUnvK+LfnshF6sW60XL
fwsW/WnnF1eZ23SaFyIm4ZZQqrvA3QSbP38zv1awlNog5FlgOphRCCZn3Pxr7WUaXoYqr7I2bRHj
/EKic4PQhHY9j9O/eClK+3fXLTKZe+K9sXg60jH/+lJCmdmgsflt6pluneoSbd/Vn7+bv3qJdx8N
wxrssJKXaJRuwMlR4KJs/Kvy+P01I0mWS0ULRRtD2qKzyDV/+lxE7g0Sn6S5MYI7OXxv6wVZGuz/
/K28//Dfv8i7q6UE2diC3PFN3sQUIxpN4yZu2+FWUiat8hQt3dz89pp/yzz233PMb5mWycidzumf
C4XXLwjMuv/4Pz9P9//4ud+7XuuDY5v0vUuLxLzY4+nwe9frf2BOv+CS6Aq5wX+SCtsfEBUQyMFe
KbLBwdAn/uEwC9hAcCfhBwscuDVYxv79X79O/zt5JXTvraFV7/75547Ut39VCviOZ9NHBx57R1QL
lvUeo4QEvgismiDhgd60fyr6eY7WOK1CKAZhc6OrLL7JnVGeAzmrCWUOE8qtcjJ2SCIexis9JsQD
Ni41LOzoxQjh18LUu3Lw+U/mSeXIGEsz/twLvzxksekNuy6uW/9Fxz0gmiZoynCF4M2/imzi7PKB
erT04EwsKJIY2rQx9yDvlOY4SfoBob+RNz5pg11sgd4MXKAWQ+3Sb6I4Ti+xIHgPylCRA5wZpil+
gOis/cm4R2eHwaMS49Zvp/BRZ9P0OEgn/TYnbn+bO0o+RHWX3gq7tT95dRk+s1kOboze9TEBS2b0
XVHwVpMpPJmVbZznlJWgzGbn6+wKY1c1ZXNpWFJMixsUvShTt0Ob2PKpns38bmhj5MUyasVHRNWE
i/ty2hr1MrgOnezsofUlaCnPPTSJnP8HU6BhA58RXzRTZ17iTAXc1eUu9rIks59006Q349iDtA+T
CpOMxFUT1P1eD3l9xzyju2EuqT5xW1qXeTSTp5DZEeJGU38hesR6nIOeGia1wLQ2gkvI/PkusZvy
grmCdQ4cC8Qxpg7jmKmRjCJRz48AEpxno8JRz/qmgBMzDL2OsPa2Js8YtwiIJZrbi3pU5Z1GlPyx
p558GKtJ31Wo63aj4RtX49TJI7aE6o5WRd6Bv1D33FR0DkVuXTp+PbD6NoYre1TJ3mnd+TrImxHl
sByj5zBKpu95pt1jhbqKOPth+LLUd09t2/vb2o2Suy5UzdeQ4tMkfJllelKa/rmVKIuxK6JCNqvo
Cf03Bn7biPZSZPNN2VXdInZtPmbVGGzFrAkPNVLvtks7Ik/F2F9YKF6uyjYneR6sYHzs2Zlw7M1O
wAer46OVKbDJXuxUx84202jlenF5bwdxeh5nqa9GZcLxTS2jK2B3KrBEzZQk66rD3WgbFnalWocT
BHzLJJWNpshz1swwqLDD2CdpPhjpTTok+NlUGGdRSXffUUE9zzKMds080wAh5znUaDn3uAVzeumy
+lqUOOmCLshvTNF5+0woiMiuQWjqGOgXLGQEeveVcQhCOunGiPTBHJrhKUfa8UkkZXErIh/Uv6Io
Yv2t79CdlRd6Gu310NXlmvJTo90U8LULrzWvRS/J/pw6YKUDAkLJM+7GhDxzxwPNBk1sTTdRxshf
WpUBAIAFnac93tek2ysjGK1zwYPy6Bjaee3Dtjt5qY3nryZrW1Uj25ES+o+k97zPZciCppwhRw4K
onJQTC9OF9g3fl0PMFikeCqTkGSiplowB+XY8yLwhlZ2nCTHXDSYOZsmH+4HrF/bZtSkj4lq+lR3
PbqGuGhPZthEpzwT9hZqEIIGSdRlK1hilZhlzz5v41b0lv7SksDxjPWzcnFOqHLeum1QhBsdV7gT
4zBGRTu67ZcqqhO95y0G8DUH0B1sh+pD6VjdpdKTzcO1rD4heOVOrRu0upnVtS+RCnC0IbdFsul2
AdEVSenjokDdGhMFXE/pRWgovGRG0Utj3fmmcScNbyTBoJse8ngoLu3Err/yVK6v3b7pvmghq8+s
5/pL5GsM+WMx6s+ixc8JV34yhvXs1ZDCkrT9yPyLejiuYkkEZyxtVoXQ0nyyIkl/RdlAaJKq2mZT
dwVjpNItltEKcjny1AY2KKs0mmjCuMPCHRukfhsKl8m8bQ7uXaB9q9/GtRqPmqCgNRwiexdrruRq
tOwc1YppFRtkvn1z5KmPSN3tFN4SszWGJw+vYb3h3sQF63mLSxXPQmdeyLjBnhYpr1v1plN4a2gn
pDzJIooZ/GTDGV4RnuKEB8pjThP8EGZSLNJQ0wOeUKB9Hwo1QrNJJ2S9NuyjPQSvZj4YcwZ7Ga8F
0bod81aCRQaNmrZSUXfXowE6yioy7oWZzKh7WfPTFVXqpTAHCeE2qEiiFazsAaoH6ls4IIjD1ljE
E/4FsAhs+KJ6baSWd0bFz16QQWsImBZAYAIzfXQQdZt1RhPZOxcc//z0HJatOoJuKGpeL2yuA9pK
vJH9APVC6GQgW5mn6L4aZd/vkoA+y+5q9zFoGy7l1CURDxhYR2Lbx/g31imeSzaqpYgB5QgHBpgn
lFdt3REFAgiCwLhnrct3vsGs+KWdbXxBFjyYPR5OlCZSR0m4Tc02AAA3Jkeu/cKkmO0QBq4gpyWI
81U9eYDZNX/495RG68L1qTPIe8rGhzpkYw+dgmBT16qdTyCtIEZmkXhs1UQqWazViHh+gFsPTa7b
CwWGLixg48Rj3z+ZUew+0IImx14MzuXUtC76ud65N7yaA2ImiYYdOB8m9z/95yzBk5amPFiL01hm
2FGKN/uxmTXTqVg8yazfJyogM5pxT5QudCncy0Gu2+ckccQlDsijzL/N7AzrsKiPVSfGe3uxPwMT
YAKI0SG4bHLhfa51MJwT0xZ3EPViNtcyM1dmbXJY2uYMjAeZpY+bT/cwz8NuEXrbhtvfQyPR5Yby
z/wUILfY9yi3HjEAzIfGK+3HfLF1528Ob0cgTucyD8m5S83mC4OjkZ/BFs7zx78JszG5YReO7H+x
jjudt9ghFkN5/uYtn2Yf7zufv3cV1o4+Z6kXb6bcjYBdWelwMViut3MD0Z+KxbbuvDnY4WUQqMi3
2yeifbG4F6FzjXmau8rULmOussRAfGIUMHor9eabT/FzfAXRVG3twpvxvETMriJXVY+qzpmgI2bv
UWq/+fGjfPHmm4FeIl/6pElwHZnz9waECZ5cdNO7hNLsVKWY6bvF8q+xPj+CRJSnaiaZlamduqYX
Gy67zo3gOYWQ9ZhfLLJEcAL1CFWE+R6QAZfDO2ApurAHejecIJ+/MQkCogrK1ve25QIrCHOHZD64
IVtMwEwlkrz42i14g2EIIB1kXk8kySCGXbCAEIIFiaB6uxHryWgKvOtNOluIPQAoFG8shaIe+6/Q
sMjZVpbxqQi68laIFtSR3bbjwbCL+DoQNXyGhdQgF2aDWOgNcuE4jFVjPHtlXr6IN8xDk7aMToqF
/sCRiDFWvkEhlF4AEYYOIr6pAMLwKbtZSuFoz/oGlxEZLOwcoA42pv6mHD0f0652PqYGUz0H745F
bKXv3KZjmKmtN+vwvoz98WHBu6I2D70SMryl+w1jRUQ9RgbUEk6KR/ZPJdpXzljTW5eInNnXs1Oj
hDF8DFMYNTiBrbgIXIblFixzLrAFQ6tIb9zcx6AXV8I75vWgbnkf+a2VWNiYqLl8xmcu3qA+r2DE
D1E2wuWn0UY+b3C0241b3oYM9y/aUnjQjlxDP/VGhBzT7G147RqF5InpP9rOfKQ8+23j9rf64Bv5
Ku679vW1u3qR/7r86Ndazm2WpN2///qPtGc/fvPmpXv55R+2osu6+bZ/bee7V9WX/Ohvnd3yX/5X
/+X/en37LQ+zfP23f3n5ViF+zRRozq/dz50q61k2powq/nmDe/WSfHspX8UvMvh//NzvDa7zwXMZ
kvukugV0jz8L4d0PkevyL5fkQXyvLjOJH2tdi7aYcZUd2ThUSS+j0f7R4IYfImv5PQya3N/+ze/X
4L/Q3b6jfLPVJetwSf1lMWl5iyju19FLr2Xc9cIotlEuCbDALuccae846o2NoImYPJ/R6MmH4tal
zUeZRyAJ5UPVpRfL+egM5m7I+6OfOesgus64oWcNwc065LaJCNXZ/XR9f/z9P3fjXLJ3Qy8HCLgf
sB52fHQXmAF+/YNh1KkaiVG4MfzMf7GwwDwO8VhseAotOnK38a6SOS8uppT86sau503oxEuqV9rF
JLWE+pbwR9J8Im9AxxIB4nfwY7l5GR1TvrcesdigX0I4dCQetf5zbEHFZXpnp2Ru+mH+OYfFYONv
n+vvrqjVc1G54yercXH7ZumY39hTWjyV3gLVGz20WYdU9oS7WwlPOd0H2eWIwvXCtmxxhHndVms5
g5+rxsmY1wh0awTtaZrDqISHW13inpntlR8OebrHnTx/Fqhgxy3SZr74OjGG224a1VGYfvrdb2NS
yPog0cek83q54p0Bvc/yatjKCvFsWRUM6lVo7tx+7HZeMUFSGSjT9m0phwvXCIt13CyuPQwIV4ZJ
IIzjHdvMxbk33onRucnaqL0pMXcdrZ4+yuqq+Og5+LmoS3N936Y+D1TpG+anRkx4padKyK0xTjzW
2KvGJZYK4s4SREQg7NAZXIYYLndG3cgLjld2An1MYBFE34Maguzsu3V+ZjI8PbC09A5t6y4lfpPH
2Hjj6b6CU7HpzSz8OAG7vvRckoat0pi/LdszBMytPROOawokSQ3VH4VwluCfFp4RPo4N0c5UWv7d
lHOVoMfZZ19l02MhZvu6bZv64CRAEZE2VRTFrtCrwDO+AIDVBw/A4kXWk7OCpoyjgl/Y3YVl3k7r
zqbpbRsjfR7ZMZobJdkcwirmMyrNito0C7R+mdyymjiweMjDJenwLJixlCa5Jn3ZrgdcelssmdG+
l3H5kDXYnUA+zDs1UwciB6jvStv2rkrdMQQp3WxdGKQ+DEHngVKFTyzB+z61yRxtE+kRdM/e6B6k
aHtGxB6x8Y6bY46lHF5vPh6Dvuswz4LBnFyzesTnFV/ac1a/re2B6Y69edubPWT/oDUfuykkw6yZ
XZg0MYtwzHKwc8ec6dSmDxRdl5YY6qlDbAuLOTs+tW+AFQ7IpTrCc9PMDYabSMODoKpRrAbX6CZ6
cRhGHearokYiCzOwAwULMxHVZIw/vmei0AxfJ9fDF5HTPLQrmVTR5ygR+jbI4/AjFn5axjmPkfTr
lk5pnRRebaxEl2Qv0ejUV3NqxGTHoBNUu1xUJdnNcTPe+F5i3puYce3NIHOjOadxnb/iePMIhUrt
hcbf0bZuwhnZoggdcVuqhttgqtmx+bgHLi1tW98CqQwSQ3KP/kR5E/U4rURAkKuHA7E0XFSFlYjF
2uoC/bFycugVhaaqKKlvb1qJo8UyjOGFRf98YsJVflZz7N6Vs+73k29Ej3bGzbiK2ogokMKwrqIC
qTxkV1yPyWiYZ3dWZI4ldZvsZ9tW7LiqqFwKA40W1emTTT4XeKftbCJxIq5NiG4128lqYyet6LaU
HVTJqN/CbWlEM0g2P7hDBYC4N0WCcBhRDR6VYzkPGaiWz1UMhjSyneZyShxrm4qhOEtll5/sVDR3
nGPlJhOe2lrD2ADb8LvPfqCch3aukhvHr3x6qcruL7HWijO6V6i6YmDtlTVetKEqx4ds667/nObo
AlegFMdn2kMmlSEEnr+IubB+VW8jzQHqwMrJZsvEHNp7+/c/7x7snnknbeWWBPaV3uAeOsW7YG+T
O+4d/+Lw+qvXeqdu4h7KMjfhtcY1bSOhErhEi+3O3UJ45itOcfql34WITDfcHsBZ09VfbcDeYpN/
2bW5js2Wjd0X4HYm5+8WOmFbDgqlV7ElfK0k7s+kkt+gzVl7z8B2pLnGPrn987f9n1IP3OU1A2yA
VmiaIOPfbV5qzUeKEL3YkhKySQ4pTIBVeCRIbZ8umSjB373M71/v3XvUJUJy8LGEn5erzZBs4lt7
rR8UkSHGGiw7CZcFyPGNS0gTvUH6PzsfSu7fZI6MfyNu2n9eEa//4/+13+ov7wriHz/2e0Hskhvg
4dYgTp1D4JeC2P9AaAD4l2VNhLFjcWX+KIijD65LDR2xI6YCxCD6R0UcfHDwHlrsh3wTI9ryU3+j
JF7Ef398Q6iIAxspAP9jsvWx3bd10E8PhDGY2gphWbEN2d8clxxwYinT773xFyrEtzfzn1+JRthh
/eX51mKa+XntaVJHMgqR8cYDO3/H0KnN93ECAWAVtHp6EMKvwZjIGtKFKK9MTCFXKaekBdrYj45o
NPVHs5Pjg5h0f+XGwrqi6EvvGZjN0MPHyLzvct84FhqT+6oqw+rOEJGxaTySZIs4BcfhxT7e87Tx
D3mZjWvX6Iar1GqDrxA9jE+OSLOvvWKQHvfA2NYJlGF4DZHlwHXOq2RfmAXUq5yccSeZURO5hnSf
5ixpXk0dVOysZo6IzLRGRgOTUhSzTdGQYxu1u9JrnVc3TPp5JwOGFCunjI35WLfmSI3U2nV2VLNG
xeEzZiX/IwvlbYRNxlhbmRszijQHbAJIIrbjCBcud+P0YzrbznOURvNlEQ9E584wgelFuoS48TmB
gjIIc93HjrO3+3n8hui+XwMSVszdjWmDjE+cQhmps4HeH1rbHLQ+5jw0V9s0mKf0YNJOrFvpF4T8
QEphHlMxit444UgOAUckNBTOrWUvQ6vOhm7wbiOPtNi+MPwzglP/rJUsPueWdk5m4sc77HniISN+
AbOFSWkCESZJ4rVh4TRleN+qCzMyx1uZeOi+IlAiB+wpxQkpPDFsFTuZeRWpoWL8MfbPgeqnuxwr
KNQMJLDkffpjsxE9awameaCnRdtN1+AOgod+mpyHxGmtXWD4DaFbqLeu0BpSlOdBVN1rLaML6Tvu
2RjH4iZlsG6tMDwjvKmKQVOrNc2lY0KSIR5A5Td931kPJEmQqhUF0HJMqNtHMeaobrypIKWce9q5
iFVWP/q1EW36UuVHYjKSS5W43CdZHCc7k/+/ycNhWZTVPVmKQ2FlOyQO43XqVUcjjxGuamXt4PXO
t9MU2s9x7BBCRYqPvTM9GpgiDpxnWzAB85Qk6YupOdVOFhX3LoIr3lydQUAiLwEz8ExrSVFaRvkV
KjtwILFb+cwYHRxOdaT4iLKgzJuLRE19u4ZTyAReh9KXCHsiUBdFPljhSaRVT9HPynLeBmIo9a5p
RPGkO+i+q5qpOuWXAb+yKlXylLo5oXpho782qZWQk8z+blg7U4TvggVJudVxFBHx2ng4me3Yrq5j
6WcPE2Mce2dJaZ+nuVGPdlzOwKXbVLZr2gvcNRI3wZOpctjPCsOF5P422kd7nuqPo26HLwrZxYsR
sq1C5TdThTopasSGJuKSkCsMkGEmgCBEndmLEzLUXq3nYMp3mFx9gFBvB8J/61nQD9UCp9E/P/r2
/cuQvbSvP8+Q/vi5H2efH31YGGYs6dAgvY1d/lA7YGZErIBQ3/fQpaPq+cfZh9rBRq/Op4TbGoce
M5F/aPx9ulq8h0xwGAm5S3H1N86+t1/1y5kUQikNKA2ZfC0DKfNdrTaotgpVWWJE1JTyVaOqbhPF
lYOq05CmvHJ8wyKXAW/y1vQc1JJY5S4T1H18izkkLt06IhSqLsuYdWnJI2XFULm7ZUNIGPYSOWKU
SHmZTJYAh7S3nQKA+XVtzZdtbKtbPGYOLGgXiaLM+AMkgrFvdPAMyr06bS5kn1WPjL6NXVRJsQvh
bW1ct9MX6N2Gq4KAg0NmEmAgW2JrsrYYdhrn2eex7OMT6zxn5fHN3ocF306Z1OPFVChx7Zeec6pz
YuxT3seGIa6/coWHEVgUEMmnOtwOkXqNwwgij9urawuP2jXCkeFOoht/oo+JV90cF8d67rIntApE
bI6ADbtdkZf5CYoVm+8+R0UdtrX7MKZuyCJFNNki2ljC2ct8/ogGBi2iiWyedBkDDktdsLfbt5nl
GNs5mWCCGhWoYxYLBl6pNs2gobhe8WQnYHaA/7srbbD7xPNHsnkkxMGcNRrkxjmEBnQJLnJwqNK0
v4RvamwiUDCI7UB6Y16wV+2su00+jNaFsonzrdFNfE3ysnsMq5bG0h7S/cBWlgXDoJONTuTIsqlo
4GZSGewA4UzbsbX1F9BR1q2Hi/VKdX6+rrsWu6aOp23pmsauFmG5h3JbHmVKnrqQYBi5wS1W3QSw
Di76Wlt200GILMZNFxLrwem/C3LRrqU2IeSzjjpFahzXvmtiS+UgwQQfa7AX4IrcDvKZ2U3+MmFK
D/1omp8qUaZHAYx5r5OOw1rXwyFAaPI85MTU9JOV3rccK1tvBGOAFaHZ58E0H5QfZrBgLGyPrgz3
6DHR8GutdyjuB6wvRnU0C/4qeJ0Ysvha896Gag2srzi21qQB8Lniui3HeM+Sw9uwhCdIlC8ekall
vJK5xgo7JuWW8QuXtidviaAEGASWIgWwm4EDzcJaQyTZ1UULeGpASm7Vldy/2ewC0mf5oLGvVpPx
eZSC/U7hs0c1mx3L/IbqsA/gE83JJTPK+D7ge4YqqC43YK+55sQrrFODhYccK8GlBYYTOSCqNwpC
1RFUzghrDs8/K5IlJWeYiQ3toRRMiZt/0qhct4U/2WtApawtOJ+GncpL5ypwhuzkGP60g/Aj7uaU
fN5Fmr3XnWSNFyTpJujjGLCZ13zRNSihdIqh8E6COPosn3bcUsGVGjz75LBfOiZhEbHH57jcj8qe
GTGTXI0ev/vmSyfagrcFiWRY+a4SYKKAuKXXc2Mk5wyL8nGuPHmPgGzkc1Q+mQrVeEERPm+tsZRn
5lzJVja1d0Akkq7Qc/n7yfYxlECNi1g5AlBcSabzzCogDVsoDV6hJsIhwhc7bhneJ89VBcJqSNzy
AaJxed/aUXNKiHnAuqI0CY0znwFBQuHezjsaCXv2nhL4Itdaung0+TVnsPfWopyqn2ODJC7okRV8
1BAKjZ9au3Yo5POkNDg4t7IhOXrgZ4ER91/JCdAdA+sctEhktp+wz8Sn2FXxV8PpqjvJZd1WZj89
Obnd7kFz8VDxTHxVXWXiEeAh/WAIJky26MU5m0JII/XI0jCY8HiCwsYwzsKNtWCGtzQlgKtSF93g
Jd9S4VL+ogkRx5it+xUaFbkRoTmcRhkSbVlN+bHOcv2CQz14wKPIM1DaPM4tzeAXsZPxaPuFezPM
LYAK17AEpKrSuIphaL/qNCeYg7Qk8LYe5JW1UNGi3pbFKcOedNHMWfDRX0DdcRp+lBlnwArWADg0
BKawGjICTubCO8WNCa4xmbgcox7UZUbj8rnBgbXS9HafHMcUUG+JMFWRGRzqZHavnZJoG5asPGV7
v0X+PVkGR9QcuYfWGkltdryKifusWkbZXpI7PA6CFHzaRPgwKRlM48gCKomitsjXAXv7TYa2unbH
NIVoYk+bol28wRIe0kFXgYMHFubXhcIEfDKKwbyGEw5DnL+F87YW4j63mPiP/KVrs6Q/g1xv3dO9
IdtQesSb4do6YbG5pJgkA2VkK0L+avChyV1ke/kpGG3dgO5iqkS7a98mE8lmnlGx3Tcg6wC+xWJw
j8yOBU9kVTWaFsWTQJjZY4vMd2v30XiTpOHYbWs6xu3cGpT7JJEgcC87L94qUzFiRNON3lABOjhT
yGa3jlORYsF8EaKwO4aPFeO+mxEjFDh0U+5pBUcGT6p5qP4/d2eSHLuVZdup/AlABlwUF2gmvKbT
6c666MBIvkfU1UWN2WTzjyMn9hcoKSRFZqSZfjPMwtQI6T2SThTnnr332t4AYDOInOp1IL3zZEYa
pUpzo3n3HGSsT+CBlPfm7Nex6jUDIVqCJ9AILPfgGbVzbPLA2k+4gPaWsOx7aid0wkbGbIHzM8xD
FGQKAGEanoOw6a+jEsSA349cJfzsJT1xFQBOvvCIF8Tu3K+id7xdRrT4Ksuy/Ics4vC2Jlz1muXB
9DJqg+XX3CAHJo7sUcEwug26qn6dyBhQI5XUNx3Z/RuPt/A9GbrkqPeh9GVbx+tx4u2Omry8PIUO
EMexe3nI446KGTeNP0xvphm2ANW50zjXHVoulx/EvO13W9fcgWmoHnjvLctiK6k2XiSo5fNa08m2
7qQlB42e1gVU6Z41ZRb7MY2N64IQyT1JUjrWiXU8FKaiDp3zI+b/bIhuG33Mj3mVDNcJOCRn05R5
+ToOy6JXBvGODjzKsPlpKYGaNHe846wDATOx5gvgZPtcSQSLRDPBLNYI18+WHIY1LzkcQlVaYvg0
W3MLyQ14BIwEP587tJS0BorolTboQTJe50ZrzVMUgiSa+kJZ/sA2iL1HyTGEoCK+TR26lMlSYz1G
VfIR55N1LHTV4LOYnGfugGhXV0N6sPPROE8EqK6CpmuPskjV2SPUumH/lP+c7SD4VFNmbo1ZwUK1
ZmPYTILfSj1EyT2ej/A5q9mwdI1lgr3J8NthSALqYzfhtB7ZlyB3euIOhn3lW9YUUtlS2BJdqzMe
lajK9ywf0g8ZBahYoWpp6Jkj8TgJaD3upiptWnC+3WzOYmzLvj1uxWANqARaw3DJyfM58NKx38S4
ZONNM1uE+jkZR298hfnDwXtwOxohAlg10CfRdcZaLna7eDHezd8WvMWMVyy2vGYx6FWLVS/BJMHL
DfseQzROPmMx9c3f/r58sfpVwWC+G7wAfLZIApxDP11Ko4w3dOdRAz8N4pwsjkHkm2htLS5CjRFv
VYvOfO1Jdi5qq7bNFt8hJX7mtl28iDOD589k8Seq2DUu8+JZ9LokPXWLjzFbXgLjbI1YUnE5tkFi
0r/Tx3cG2NXzsLghy36IbyYxTNtk8UraAAGjVZKG+k6BBV71uSFW7uKv9BanZbt4Lhmvh0P57cOs
g/aFRoT+WS0uzYI5w2e3r+3F4uE0FjfnGNUFjDYcnvqs20CFcH3y1it2GKzC92nxhAIamXYwIeJ9
HZGCBTzmbbvFRYql09o5keacRJ/kV/biNpWL7xSrDRZU61c76rc1tfi2qWKHxbJKhV98VQZFFK6K
b0/rt70VwwnW4c6juNRY/K+WrMcHl9yN9K3FH2uX7nJgWFyzDa6xu/bbSgtaNDgwC2Kw1Un6Xeei
8uDnGqyu4pJG6Gpw94Rbs3WBk/ExbXHs8pgYz2oMh53dtO0LTU/eczvwZDK5dFbR4vudZ6e7c3i9
YinTm+6jWBzCUGEdtuemeEafLX4MaUH7eVtUP3FpeW/0GjjkIoml7kU3hztjMSOX1Kgewc86J/Qc
kwUxJ+l/650BR2gO0GgP/3plsHrvPv95Vf7rn/l9VW7/Qj7NRpbiZIAbxEVR+j0cIVkKsDyms4a4
ETYOchO/rcpNEhXEIpb40YJAIlfxp32Bh1BOYIKVM8U9FMD8LYwiK/h/2pb/FthfnCPU8hpy2ab/
aVsOfMikhM9oCAUW/UtcMyVj6OISNnDw6KKKL6I2C3r9qBfhZWG9STISa6woya7MowZcXGdfh9FA
aBR32EZWo40W6jjqC/x6cDMVsbWFf5I9K+x2N5VNljeEmMwuGu9iubgYxzaT24hc9VEtHsdUTdYD
nqfumS2o2tAakjzWNcAWMKv962RYKmE6xzapoQw+pPjW1hh9zRfOUPF6wMCCwm52w4PhWsOMnyQ1
jw4mrNditJY6G9Bi/mBimxvIEfvJUGHJhbUUHozClLdYWseQN8ZMa6awouxDBn13O1Yh0YN5xiAP
6NBEeYPggcHDSAhCYN0zt8zfuDy6ibMHI5bS0y0FseE2qirih7aGS8WdCprRqLdN3njzst9vBHgb
5u0eklKrpdMbizz+0ho68I2levFTK0r9niomcQpws2yzqmlPo41WnIEW/rSm2n2d9CG6btXo4Va0
HKzKdFKMiLFABKGuVHh+zNbltSnHtLyrPTf86NuKWDpcK/2C/F8xBsQOmDVZuv21BQqY8jbC6Myh
DRLj2JVFvQXb6klOuL1TsqrpzG4Voh00Kzd0LGsbEx1hX+SVhPLypHrBv62zJLaiH208FfvAs+ka
13K1UpgDG/iN9fQ5dNlY7NSgGP/pXjP3CStZ3qUwIw7CpAVyZQwcVn19soPbqQnKFl60HZwnHHka
c7c9mhtFpVz9VFAdaq28gDGkXFBx+QKNy6Z43mP78V6gv1XvykuoTw6nONiiOXingkMpUrVp3JRh
Ohxb5dZbSICLRSNzbmiltfnRxuSatJmFFzAdKBwOoJx7TsnvP6gipmajhnjkay4km5uwdocE7b2I
z0UR2o9lI91rZIn+NCRYiAeOEZdc192jLlp9R2EN3uCktY5OG8Qb3WXP1o824aQ4Sm7Kzky2GK7j
LcEe9kEB+EHWHBzruS42aTbPqzqTwVVd6v1G6jnmZFFpL65aqP+uC32f6lsbnXqVj4SJ8Ho4fkTj
xorYgncobKs9CVZYlLxRqmhO2MbQz2Ial2A8twWc9YinkS+kCfLeyItNOXc1bGxYCaZyvYusl3nX
Jb6hJpZqiQPwmOGv39QoEhxsFT5SocZTk0nI+CNbBSvtjAPDQc1RBgcTyPJY7Apv9l5ZbWg3OjLK
vPzisUrnWZRfi6RMAr9Jg25XYuSiSqDCDMaBZUICa3Lb5WgelJm2guMj3iZ8DjmmbVDhIUmS62hM
jGd90JufE4mAixta4U9bFNZnbDA3VkMd8awIxldTogYWAR8ERx5iQ0E+4blt4SQKFg19yAFjysaO
qge2WkOuohUHZG0X1CkixNjr+gZubrhKTT7Fop7GW0nDEa/fgVTwOCXmalp2RAr21JOAp3hwOffu
9T4qHkkd5ycga82NABsE7DKLP0OhJRcJkPOBa39aD9JudhIPNY3VnBRss65wvy0oVR43J1eb+9pP
45rcCXkhe41JidA5Hiv9h50YCA0iK4wfE2s3Coz0/i0JguiAqzQ4yVzHiawmV9u0WFkPotbo77QU
9nK/7LtqbROLWAWNReUsbTP0JePrynA21da2pGiBXPoQn7qBK0SWpn4oNM+9mTCEbevB1VEIw+y6
m+CycVxkQWCk4Uo4E2WMVmS/Dq0BtUmoFAI/N/tE6E2rDnlIdUI2WBYOhjinqYaTobnDOpaj/uUt
/5mhLYvTdmFFmAs1Iid0/kPp0Ponj4c9bAIbwARABGAT1sKdGEObOkkrku0L77v6Vf9GVBBXA1ch
C0lHjzYtGAvbRvTxWyG0J8rScmzOsXEXGq/CHuKzQ63RobOJlEapM3+xks5/1KLSH7oFncFJCYrG
NGTAsgNO+TZkgRfuOsEGNiqdk2YuFA5znAidL2iOTtHS5kND1R9x6MDuSBeMB6JT/y6TOGA9K1OP
746eWAqs6nbrmap85sulZxUV+b2eO9kdqGMDPhZsLVuWwXs5ivwhZ7Xhq1FXm2CBi4hkGtGVv5kj
cTPL/byASJxeled4gZNEGaQ5pE+QJVrV9DSXLRyTKadKeR1SeEsbJolIajD7VFzXsxh/2HY+b8N+
6h/kNx/FC0IwafRs5l+BotPCnChO8UmmQXer83bnLqyVEglRYUCPtG33DWMp5yS+l0ZCUwbqA8mg
rIlPFSM0/q5cn2916lqd1eQQxGoNbX6LF1rNztEEENPFUvCuwrTkuUO1QpOaVJIGgTqVQh83E4M3
VNeSjrGGPfYjO1ydMSWoQ6D5HXcwzJ7qaPXgjNnmtRHtTl5PQ9pSZZZ/15pNSw0anP5Ee8CUWl1G
jton+hpYZfb9cDsu/Wh5EhTXzdKZ1tVOt7WJApz//nz875kz9qyFmsRs+6+n6P9os//6Txzdn/9E
1/rtD/4+SuM6YRgmsLAASxiXkdd+H6XtX4TDdaA7izEKR8pfbNjknNHkEMMYdVHt/jFKG/ovgmcD
d5XN3Av/829N0r9Oyn/xnSBl4UTjBWlQn+mIZdL+0yQtY1A4qvOSjTXCOvFl7TQhO0aH+p807dt9
o0ZM/R09bhsR4ElocFvcZ4B1tsPQcHJdbhoeYFCI0ZXV2XZUxRSjMDvoSU0rTzq8MdPF29jGnWh4
lKJT2zuvmgnJwwm9HxgKnzTTpm/dK9/TLPhgYSPXejlFew8QEr7uBvY+HbvRkRcw6zCO41fBEFLI
M2KZoeMak2c9Bua5CRSITPK213SEEzjqK8DiHPhXiSoIbAD4W3f8Ng4xFWBXCY5MesD6qqAbknq+
3ZCIcGMSZ6IgiXrezFVm4o8qRnEINr3db/qGTR9PZWez8A9WoAKL23xU6TEbCn7kynqLR+Zoh1No
WKc09gwV0eMwd1bYZmZfTGbrx4ZFehojpG8niXGVduNDJq3ojp+kvhThZB7jcCJTbeZkMQtwP6rX
KXnTXwrDodS2hogTJ01Gl6j51Cr7rYm9YN+YzD0CBAztb8ZbJCpgQ7kujjnG17Vt1ywx5XSYkuTW
q0fnTMDj3Q3bQxvrMA2bccMmaSJRiYZFXXS+rg2n29gc41nV9RSNo5ax9+vHHYPCh7ts35yGWAlt
PHQ2TJi0c80uNgHsn1Vt9kiCuroYQxztoFbTrmnKsT0Zeg8cK6zq6A7KSnRg4U5XB+Dxx8bICSZF
8Y/EpKvcKMadjKY9vUyAz5P5S07ZG9aBagPB6t2djejItF2sJW5C+GK0TzUha0reffWV1mavXd5m
O2DYz25rOKg/bnRJ9JRpc+h/oEq94i1hKoPUTY4uwT8BuLJH61lnqj9oUntlYLlpqDbx7SKjSZhf
8WXxz/q9mN6QCinQ6Y2OLHDG9pLQ3Ywn3Qh2sVH0Z2FkA3HpIv4hSXpu27r1UBFdlptmbSW/5hH+
rRcTv5kS/tfNxH9QEVQW783/YGbgz/1hZjDZISzuWQvoCd6EPx6p1i8w/EB6ENNgGfHndmD9F/gr
pEAX1IduUczwp/WEZv0iTBp7vWV7waMYI8TfsTM4crHQ/fFQRYLnCzg0GKPrYWgAYPjXh2pD70yS
B3G61hU7zTjnlCSvoH3FWX5baJXMFo0kr1ROb5Mtc0Lb9kjCoDBveNGXb5HtxT9SoVGHNJrlC2mr
PsZ4Vc35yqBcnMx+6ix1Am71VLotFfNTVabbfJbtNtAadZmBEx2D3iA5J+KMDGij0psewADrddhK
t3mHlSlNppniUo43/oSD6dRjEz66esTJghPruGVmaSnIbmV+b4YjTVqunKMNaCjKYImsxLsgEHB6
pKZfsy5Id8oeuw7iqaHflJWyblwzt96rMHDZ9moiuScg4TyIBIRr2TkgT1RpcqSvzZzKLU77G8ee
xEdDX27ph/2Y3rXR7KKCtwJynTNL8LRFuONQmOi+kZXeLvD6aNNxvqvx5gX2J+Z2Ig9BXZic62bn
WnmyvnWTsVFQrtDNk8YBq+b2ZsT9O2XvWmY28Tqzy+6RqoTiFTJRd7Tqub4YnbTHNfg8GkhVMLWP
iJn9hf3I9JXaDXqK1AvtyoIUcmxw3nN40vL4WC2NQ1VuBJuxXb6ICZUah8FiBFhVmoYA03Xecz1O
w5OhwuK96AiJMrrq9qYbJmvapEyVE893O9vpo0BVs4NS7rRUDNcMjB0UDb354qeiNq0YlPFgRdZA
VLfX4lcn7YLPOe/LXdvOxlXRz4re49K9K5Oi63wds+SyREKSWKbkTvcV98lXXtMGwt9cbODEAdpQ
pbN1DTd+yWi5QHcY5uqo23q0nR3hffRVGJ8mjAuCSsDcRXIbrYdAC8Ue7990wEYas2GgAPSNSjTK
KvCuUZ81D/FLl5rjlTsXZABUT2AA7GHPgR+u9XQTEB64dWov3KD7KyBwjtplqezxw6B0FT6bMk3D
ml6beC3oDNjnWBI2GNrVve6o6CmAMnUdkqddq9ypMVtX+C682Um2lVbr43VCwvfLMJrklcKYaB1K
XAO+5Ld0sFOFOYHSMVoThA3yux2z+gLxPLiG3pbskEPdkw0W8qCNbfReI7NAUQvL8BwXRJ1SvWgu
gVPlhKzy7q7l0z3lcxn9aCbEJuGG5ZuqpuqxS2lHabuAS1PLPloUwK3jde7ayTAXgaqgI9cW8xpr
6MLf9YrrMHFawRs+1W5iPEBYTjrXWEfUtu6qUUwv5EyS+zJ342PaTOM+57M5u8xLD+nsTA8DtlpG
LIcto+8a9GXsKg5wxra3IqAsNqgOZ9l4qPOgghJTQWGR3hlCkHMrG/tqvra+OS/Yvvrb2ltMG2Ze
6pIj0UKGibveooOMjDTdiHnwOs1TrK8U2TOQJOCcp52n1wrSDNsuj87HhUADiDmg0zyJqBKB7Axu
NqG7Wy+mM3of+pXNUXk/adl4Yd7trzAQ22eed5n3aNIg0vrpsARDo++QqL7kRQeynVyoS5bU5JzT
g11rw6MImuzWELF1jYOMb2H4DqPSwNzeNl1tke2vzEEDa1cxSHhIYn7lMCuuNS0J3zAYE3gt557E
mt472JdA3wKlaJr21Zozzr75d2rW/E7QekuYto+gXiVNzCgEM5C0Lc8zSs9Yg2ePzncet+rY57ZV
4d7H33ndZInuIk3CjIuXQG9WGeZja6KwlkE6/yhdJ/vZpJXF17Xr7NzzZGY0ImJm8ADr56dgBF5u
6xUms0Mp3ewuq2PzdSJ5BeKiVd2HUc95uppZEz9SEm28ZXOZ7CJzrIpVWmX9Iw0oDlXWo9rXuSbX
RWbAXyTu8d6klLhDVjQPeimbS1902Qmrug5IOkYKNavEZisjY40uUW9uRrLL0nwCFaPvuEKyV87X
MPBDS6UkpED48E3QX/MMkZDHSMuGpFi3pQuvgpcz0xSO+uEpGOpmw2gLStFMeaYEoYe5qKys+UXZ
ifYRa25xT+A9+Qmy2NixORxPHiHBV70wsLdopYNDJysL4WcsEL5sY8DHkGsmLB6zki+xsIO95TYG
WblBrEf6J5kTR5ZEeKUw3gyyqDc8D8tzSa9x45cFLz0fHnz+KKm7A+M3J91pcGbx3EEVpXnOzM6S
GXJHo3AAJzCoJ+iqhruHQOgd89jJt3GeiCfY/fMu0sn9+nU4a9f0qrvcg0P06SVcthEFfjAY9BbI
aGphgFcAxXtR4Wyipukdu62FEzvMw+c+yAhlijTW97M9tPkaxTjU/RqXM0GmOnYewsSuHb+VavCo
r8+nddnZ3KNziu8rjsETZK1+EMmYX9Vpr46OTZDM73RiWW7TaEds6RoHNMM6agT0M9+EX3GJQ62w
180EPgVhACv8SudM9MzSvfBJq6q9Aue9hxHonkPOtMv/Ce0JSnlibN0Icn80Ff1hUD0+hzQVCW0U
08QVwzOt35cmKuCaC7qg9oi7kulfFZeMr7stwiUPONUYvVHuW3EL6CK/EpR1X1FTU90UWRj+pOdm
fkEPqHdT30C86LCpYekEYGrDCU6gO96NSoH0KE2z3HcwQQEdeiP4Udet33RANB+iKwFScvkHvunm
MOGRbb1q5zJXPNhRb942zDJwPvvgkvZmvc5lAKImC6tLllP2LJRHA3nkifEZV/5ypxrFHZz44soG
KsVGu/UOFqjZJ+q06K+d7dTGwNEZn3rUaSe6JftmN5qj/JAsrt5py52v0D74rJB951MDC+eiWaN1
wFPErTyOuvNFX5Y4eU2gn5NBU2cdb+fBDbho/ZhtmVjxsNAh5TTuUl3e0sUbeOFb0Tk5iHq8QS9O
AsAW9kNBbhQzjX5lMYIfQg6mwo+ZwT7HZFAHW5rjhjNYdUHw93aNkHKtQV5mwMBIfjKzedh7oJQK
f8gBBZWwiyo/TAYeqXnshaBvRUeOkG22hwiydUN3cXrHy8s2KtnpAp1or4cIJOhox95VYNbFoVOm
9LHXJh/hNEc3zWSVG1AL6ZrWrpHwMwm88wR+4zKRV4aL25i5yT7My3W8eW7A08Lu+gNAElhHUz5t
tADr2Yo8argr+Iav4nEy3nKQTIJ6xtpgQS8l4lpUSutBMq5sxDDTYAuyuHt3jTSd/AQu7NIwGG7Y
FXYkSGf4VkHU0/xuNGBjwygqyLrKeCPHyMo2RmN5Wy9TEnGv02PsNTK6F6nVbCV2DYxeOtcDrrGM
SGYseQ5DXzfVerBRIJTXVnvXbWC0DF2Vb4EVR1eh1+Y3FksUcz0lmAUIQILCqHMqDbwchs56bM1h
7/SYoHlCCXmZMcbtbZy+7aoUEFl4HOjVgWyvTmdLkZyn3MvvsqhXJ50z+NnGzMNjMjHFDaSb6ouO
KCFRB4f53MpejLytcTDjLawfqdqwj264VJizjDfRSB1W47WSzs8Aiwf3fF6En0rkeHA71JV+FfY5
oKvS4aUjO3E3ht74QC2cekmxDGzh5Gg4A5KSwC930QbRsX9yYjt4aNy5dPwxy61nvZXhMcDw8jpJ
jjgF6e6bQdA04HtNl3zoZTudE2QBfdVw1NvBqZvfCtFzeLLRKNjPlMKIieLq5iWpzL6Mdg2S2dCt
nCZi8D2g+EyPnsBi5RfSzD+hjE8HWVm0+aII2NcB0e1zRRiKijPd0T4Vtg1rPce1YjLqsjL0Z5Eh
b7hWFoL/DhXmtABN76WrS2guhrTqZGd58IwpxSHOsak11+s31DkYbEbqum5PtAmXn6Lv6v+PncC/
5zL2183Bgk3919vYX1Eabfl/Vu9V3L5n/32DsPz535ey5i+EF+gSsH/1Ivx1g/DdBACZQnLRskL4
h7/B+sUFe2p7rul+9yRIVhK/5SFMlrwuG1z+A25r/qu/VXlAfOIv+wNiUji3kchZRZj4OXiJ/HV/
gFWGIg0OYWt2lWAVwcn3luy3Dvawtc1OFf91gxfZUStWCpbPy/cElLD3jcF0/b7ToC1bMG3r+TJh
yyYLMb0SRTraVL143nDsW/PWs4AFcrfsU6Rilgv9RsngOfFsulKT+qwrFx5T5T61ExIud/JjqANC
UwzSdNnZK85WuDDdoV9LzTnSIVVtLC+fCTpoS70NNemo8uY1C8XbKCDty7h0zMg+rT0vv1VDxP5D
pcCGI5a9IMSyR51NwWEaiROUYW1QUpnwQCeejdaCAB9QujZb+Y+cPu5VyYLtFC2rvK4fLlFa1etp
1sd1WdHoN+rzOhPqyiJy4KuGI/wQ1hAdxsb3mEr3Y9eUfh1kQBltuOVBFN0abQHKfKZsNsZvqeXl
hV8L6TtaAXMLYm9l2v4wmw8Oz1Lc7B5trbq3wXrl+HGRxWs+63yHSNetLdE+0XOLgRnie5oBcxeC
yvuON/U6srC8SQ8cfzl4FtorsnwC82QrbL5T3cDPmpvmQIJS3M8tZMsGz7uItJ0VTKco7W4nUgNM
NsExqYn8zch6ojL3HPr1tRUyB4yQwcQYrCbFnkPSrMiQy/ltAuLhoyTg3TW0J8JtRyroqRrOzOc0
n5Njp+r3WQBlrA3VrLPB01Z57L62oYbDOp6NzWQQWJS9QyNRqGsbz04+IY0563hUNygXxSqyjU0H
S4GwWfGVgRGgNCjvKaicOnbltBTqU3HflNDl86o6Epbgko7DlyHLFYox/N0GUdQvqJvkmzXSgxfp
5p1dGBG1zXGJF5SH7Fj1N15vfM6hdzAJ4qyMNuzJzaExyFhswohfX2I7t/idrzi7EtlwkQRLhNOz
7kbDQbfok6ooLxu1Od5QxJH5sJweuyF9qrz4kR5tY2MyPZi68uCQED9C2aYrIinnVW7TPz2W813M
QYgCMJk92oSKrphfnHXbkSaoxGdkaWvDbdKtjrd4w9qPrx5MazTbiouMoR5GHz9QoG44n5kronIN
OJXuzVwKGpi+hK859pnq1WgVhcGHlnTP4D4g4Pfqc7bST4ZiEopBdkKmfpYq/4rbod9Q4DruMkZR
v3DZ7hljfCyr4RHZHwNJdsw7yDgy7tvN3LNVivTd4Bk438srbAq3eVD0K8rhspU7xLcswj54Hm0B
rq+zQgYrHlOXuUr2LYiZKGy2Yk4ufZ+e2jq6moGQUWV7XeMErqrifkrsY0JhmM9Pv9F1usc7Ye4C
aiECT/yk1ueTBOCDdLkyhYbBmtTqKm6L65ozPoUczU9Y5w1eJZpiYaASB50eSCI+t41gb1JkR6PF
bWwZyZ0lTLCBef5aMvPz++0/zAjCDMUjN2ObnlIx3lVJizbd0lLaNia4wTD9iIX7MLTNl2VBGw0y
hAsZX9lajxqPyCzLq3B2T71m33ZR5pHxQX4JXSob3WK6dqlDWCWR8TLPEp+RJ4kWF9x/WnmX1ulR
b903FTsfTP23dNO3FC+oO6kkA0z/WQt5y6B5wQZzFcAuHXOLR0B3Naupuwna8t4uqFvQ53lvshi9
smIoWpnRHKdeJ+NJwZga6Mts2e3V6rRwtCj9xG8dA0oCy7di1ihVcYdmfNQxdfv5KIhjwPJsDF/H
57XqkuCrRc7pWSj4KQ1leaXxG9hq66auj4Bil10YLQy5bb5RJNKsNbIEAOjrQzETG8Dud5QuS0Iv
Bp3nFRZsjxkcWEpXwwo1/EcaB2LFHe6sxqS6TQwv3rOUIMBexTlG4OX0qFX2SnnRkU4S9l0pw6Jh
57d9QQVrig2J7q2LnGZtLebmvXZigmROcE8H7sGgHo1J1Bk2AUHctScbl6Ccc5d1CuMxZmlJorXN
5lcCco88BJntbHuVxuPg16NGPZYwUshzbbulN4vmiECqHbDOox27cm1gBMx6HNRlSJkbKO5zPpEl
RCedz1EEiqg05kcBesYXXEn+lPGxNSpql3BfeoNf5yLTZly5aZ+uvD7TEfyJJiYSIwxlKLeB1ONj
k2AaIAEI4aSQtt9BBdV48fjM7pSpqRLH+xBR8UGc2hRmsWqH7CtT7Vm2EDSr3rauzTl5Csh0QBrd
RTg+WD3UPImD+XoG3NnEmPe0Uu7ZSR/JSTyPBrlDG1ihhXsRVwY3oe3lj2ECT6qeiOnTi3Pm00oo
GeNjwbP7OiydfYbhvKW4wf1uwCxfxba1ceDyrSst2PIy2XzPZX9Lu/p3nlMNFPR/Pac+vXfVf/3f
/0ng4o/9IXDRLuSY4ChY02EZYND83TMgftFNKDj4BpZSrG/t6x+NXLqrL//jYrHoFhd/kCo04xch
lj/jsStgsy+cv2UakOKv8yn6lkBFM/jrvv9a117+/Z9MAw5xIavvGrnimNu/2lQP8awEi0A3yyId
sTlERWqpHPzqiA4wUfLKvnbHwjjWcdu/DN9SVAZM9kbUymXOW6QqzRFLKU2Ysnb0+mqTijjcsWZt
7ozS7p+GtuxZV8lqTRjTJY6ftjuHNN2uwS27RgzrfJKEZ6Oqv+BuMiRA9Odsug6FYDU1WeIa3dA4
ENVJ+McUH8cC5wCuTKA3FUYeUFKAwxTs7wilYsPRk07RnH5mmsEo46CsewfAn9bNrjX3WMICColm
wKyVZV5pStKH3A8wdseCCbkCwL6OjR6YUOroxzlsTIz4OGlHLcaIQ9/oAsTI9CMgu3Y/OIS3ZIZJ
NDEc7TaecUZVwtDWlGXXG9pM01WRl9bWLAHlAe9gDghtexNR97kuG0dfWXkNsbrn5Wo4WH4zMcQX
16G3r3E6VsgKZC4KFEtLsrjragqH1QDf3M+VqEn8DeZNGKpsO1gU1TR52m1aG7KE0Q7WCUhftCef
Vu4HbWguodS0ryx2dJqSG/NVX94dmifCL4fyiQ3tm8Uzn4LYaCi319nEy9vMY9XBjzSB21FGf+TX
622LSBWrfOJhPhqZ2M+GXtkMMJb104a0sGHyQrRL3JDhT2cLwhvbsfjIyphDiB6+eMgua0OV4amI
KL0CnafX45PO8SJ4mUJsVOeAeIJ4Z4vZHnoKNE8EEjh5KNE+oGmle2doO+KyWgMAvyMjJ/rvfxE+
janJ2gy7sFzxCbPCBVpUEX2pnPxnR0G3xqUySs4PElnIYO46NIqusl4yqnsF4K/J6OWWkwALtTyV
D1gNiw6vK7EYmriC16Lt06NdB3znAZS9lIrP6xh45k+Hs9N9NnrGhR5Gdna8weA6G0mzpTzRuA6o
G7pAl543KTa1RxI30VutLDx3ZRt+lbpGRlBzhnhLBXa1xdKG0Ndpkremkeu72g7aA4aT7obWTUl9
aIBBOaFF/Iya0P8ww4o9HHs1e2eZ8HG3hVmTWSSL5twuGsajGTfVlmYz51QUSXuH73cBDVOecdVH
s7wVWencGVqMSMW0v3EgmKAxCQjklMdGd9yi3K14aii8L/UUQaB0MF9ipMUm6XUAwNCCTNy0w7Bx
ekhjIVL7vQ4mE/O6UyvcpqUEQ4J8laYedLc+GdLrxpDa+9BGwUc3qQhkhMSrGEUevnjMQeysQl1o
b+Msm+1IbvDO7FL0ADTox8gqJLo7gLcbY3Sa60TSIg96OCyZ0cm7MUKUwROhF3ubhvwmEfOCZASN
asbWeOSTnt4inUr5laQOLuKs28CdA+cWb+dca2sfVRJdV6mi+CSebn4NAwgqAL2uYF+atzcNNvw9
6BbOyWMXqBWAX+cqrO2BCleLWiSuOcFd62jBrNMubOGvQlwkuh542iICc6isv9PTdvH/2DuTJcmN
bbv+ikxz0NA6gIHeIBB9k30/gWVlA0cPOHp8vRaSpHjvla7MKDMNnkwzklXJyoqMgB8/e++1X+Oy
RsGtcDY3SldApxZT+xK89qrEPJX9TBcvUaBdvQS0Pc1zduVcPck40V5ny6xWoztHQUyBak9p7g6r
KHy1ytHWlJxtcyNdZnQi4b0owsBcYuK0sCv4nFQXF4PINgLxeetEDjtgHP+8FITNa3xua8ssw527
RNEtt5r3vLlZbabSgog7zNu0IH+viGEEs3SqQ5ECtoxnN99O/JErljb+TiM4uRMsvbHQg/oWelzs
QqSQtyqVPXtbqd2pLEXd8Nr4Peu8fI/lYuJJ4DvMuE4DDpiYZG5B3jeWYD4R5SjgCYK92bBmOp0d
68Ohs2CV0F8fQO8uA29J+y8G5K2Wmf0mX1gA1kIFAEvj4ru14kOS8WFb4AHlD0ZgAQpwgfG2sUd9
VeZWJXAKfz6pBUEgFhgBFXjVpmHYX+v97KxJgVvvcInB/i74gmQBGVCJiqNALniDxAOOQMyDrSXr
aVbjkd08DUlOOQT09TW0Q8pa+9qGeIhP2+51NgZmWG44XqCmLoiFoW4JFo+O2KV5Sh1bO3E5L3ww
fB1RuLZ7qsxSW0c0n626LCTYjk7wZOqCuiZRlWqP92oiG6ImnY9px8Jlpc2hdtGpINtVP1yIqJrs
ZQnNfcL4IUeMqL+P/Q9PIiWXEnMvUPlR2KF66hf0xKi1hMpYCiS40kTebpuG2C6PG5AVcjDTQ1Tl
rx0UczsY+eRc+ZhnruJSsSAKm686zeVWLTwMarpCdGUYGdFCy+AmnsMqgqAxLSyNrpn9Y58zzLKz
ivYpd4RVYUaIXKIKX+eO0qleq0lwJzYUU4UdhPRJf7EWhgd9wDHbmbjYzgvhA6USxTZv2uukExJC
Kj9HZHrxq7MjL3D6wTr3xBX5AcBCXoOebG7rxrFIibv5jo4FhyAPmJFE6T64N9AjOBa9l7bt29u6
9RHK5yGdvVU2a1Jn6RGRKOXRbePkzsVZF1Xzall1s41qG9G1xJqJA0AIi/5fJxn8R1Z21aFf+jpg
CKXcbbL5zg511HOukCuRhc5VsdR8QL5Tp3ip/uBdFMEz1D0DVqY9d7xGP00hpjbPjzVvj43rVcW1
8qfw7HgoMZRtmsbNYMjsxLpcu0vD6GPiBdmObiduwyHUn0hyzDhCsvADf9H8CNI5fWYCM69L3g53
45zYp8zNqgf+1dgXgzU8JhAXblKJAXKVdJVC+JyKg96oehOOTr1POSo31lKvon5vWvlpXdHcGF2P
Dox1Q3sjACezvimXohZqHeyzG9IotiodsuxgvAleJqNPtClb6l5Gm+KXzI+tj9ZfiCO9kpspTbV9
TFLtCPghCRr2vDulV+SGCDO717icStaTWYlTZ+TNNTvOuSZs8gL6UnuGn6NucI9DctKILd466NxP
8qe0ZpL0YC1FNrAoLNAPCdOYXXrOXZMZ00P2Y9CAW7EvFtMG+Z/03i/T+SVeLB2EwDk3f3weKHLh
lQZnwVz5dgbkNCKa8OAsZpERXXg7WxWtOYudpJBa9RgaU/GmFrMJOr/8dOy4uRA+7u4sv5APHir8
AyVe02FeLCvVj3slXIws9mJpgf3lXRhxmGm1MTx3i/Ulycul+H4xxNg/3hi7TSChKIeAjW7Zck0/
d/La28r8Ln+8NYwBKYCoVh4Kf1J4bxYbjrYYcjzHlk+Ugqr7bLHr1D/OHQpMrV2a+fh57N+9PT8+
nwG8xTqcPAwFUSI3/mIIwkI/Xbn8Y7eJnaKsNh0kz28z84p93Ys+2ZJkSPfEG6q3pQXwLYllfI9z
zNyrLLMfrMWfFJO8Jty2uJbqZBmQ+jysD5jc2EpozVR99nM8f5SDV19S1fM8wzQ0vjK5VyW0XLpT
Vqj/yPRq8VERV1W77sdbxSN0R8UD5SJwW+9jGizGTeHXuLL0xaA1wYGkBQPTlj9SG5nw1OxwKmfO
qbFc3Artj9droDJvo6D4kF33xvxdLbaw3tDSC4H08CKSnvkcygJdDaWhyHNEtLD7lj7s6yVXBk2D
/3VT0bZuzCw7Z76hQG+N9jn5Maili1ctXlxrEFZLpH1DGvcGyTZtrRm6dhYRXrewS+MnA6TMM8IW
S79Wj/J3d7GuCdcmS4ReGG5TQl9qhZ43XbjOpFcYr5ydPieS4YEo4gc5NAx4wqfpd5wEe6NoTpGH
0z7ESx4OcDaaxcendTj6vIrn5qo2pfULvstirW49/MaLD5DwctVvshEr7aqaNPFAjCK5pxMTb0va
GPZ7sVgKh8VcWP/4DH19Snf5Yj5Eupj3uWZbwIv72NlP4BRe/v7K4j8bR/4P0YzVwb9fRgSEqOPi
nbfXP+eB//ravwQzjH5IwbopwKCjUv+1kUAW85ekMP8RUuZPwOGPjYSzCGYsHbDUCsPxwZT/k2C2
sCexdJElgClv/R3DLcSZfyeY2S6FZsL7F37YiMG7ghuFGmVzyluOam7nsegfWjnWh870pqe+rQnM
Zzn4OtRbYFtrWTisvjNEtefYjHQsEU73Po/h8MHttdmDrwZ4pYe643CDY0Mo7cZhhomjS9Qbbb3t
68lbfEmIvGmZXyJW+neJjMaNHZbcNuXiCPKG+l6Gs7yQmJ5IK1e2VzL6xlh4rMGwm/UonORgFRC6
tZKmIUyv8wW0upq4F9T6GZcUFuHafo25qF58gUeGF1/uYvjeV1Nn+Jj5WPE23CtXoWlWdyWQlx1u
Y2/dLFFKa3JhvNS2gH0kzfu8b4ctO6fwnfNQg9NpjNxg42kz4pOkG2madhV9FevQR7rACVDuZhFR
kqv3CqEjZb5d8hQV+KCjz8PxhBnNujJmaRyjIZFrs9DkRzwP7a6qdHBILmmqxejjvHSNAyhaM0t5
O06OHQyMTVSBtwLoo8f5NgyYOjFAPRsxReGRTUVFEFMByv22lg8QReBGJf1IztZKBQk/F0eAiIx6
08hquHCm99sq7vEWc/XDEUAr1Xm2igxhLCo2hqKyR5smVK9aN/JfCZuYC7NEjgdwnKfPKG5tY+1x
Lz9HZpttSqDy1/Rvk9Fmi55dO/akiAco+4z+GV3zqoE9txxrOEdTxnbLhUSCitHUIWplgcs2sBBL
KZxp2ulmrpMrEVrpetRjgA08B7maU2+5JTGhHuqItITFQVGzhbVhodmUVyuyOJ3xVc0m1pcs1GNM
vnGFmRZH+QUMo9p4SZ0Yi3dYPiqj6ACiTDZp4bxY9NM6TPxHUTI5rxKzN24YDps7WEGER1O9nYn0
pbIiEt7r41c+OxEPateK67Umw3zeTMVo+SgLc6/A+EDSuxKeO1DrzCLIILMauNK5WKW5YEOpyXGv
dayZ1auW6239XEndOepjbd1I6EXZBlZGDnOj7F+yliaItQTwsIMVaV2BHdIIhOq1bzIPuuJDWV11
y1qtOmsxZKskZ9OBd88VNx76Ih7reNLeSFXENPLE0G/qoR9OHMGDG5R1SB0u3vp9a7rxc1GG6l4l
RUKJbEhUtJghfXdZtRjdY88U1A7lDQhqX4Y+YrnQAqdCYR+mLrry5zjd+qhf130Rcqx4kX9uiaoG
jcBkyvQ/Gi9hFBunVGvZthR98ZlGJmMcbqqcgU11d86kF+thljbfoxGX7yFN3IcB+9G2wDxLfnz0
WSwM+hFHafGQtWN+leCoPU++Um+mTKxmZWmq3LJo0nazbNo3G+jAm/RCP1l3nI2wSoo0wO3elZvM
oMKubyPzKrZC/S2ZW3Ul4klczFwv3ozBc34N3ghwMOy1h0GI5JEUE2ngHq12IF2e2jvuEhjCO/Lw
L5KFyBZaB8NmEad0+uZp9DAgnwZ9R9K+KgadyH7NnWLm91f84Pz0F/uN6QXbfvUgIo/Lw5wWxo20
Fhi9jTOR3AAWSEg7OYZmMDNi0zahwBg/mtjvkeX72xTI+oQddS4ZdMP86IZVjCZs1NdTappbZRP2
6dgi7a1F3GH5kt6YFoZX8EQ0bjjIO9uqLwtUriJ682qtC1oKJDZ09HHXYctKahkI1tPgWu1tXgDY
C5u8eeaOiLyjGYMBTqlx7yTxuLcZ+i24rs7FvyMz9xX3eASkwEfvUp3VcYkEZ+xlBu+oZHAljUJT
8jjRcrmJzLo7W4bWQQFGsIJ113WfXWrbPSwZ0TEeUa2yE3qkX0fQ66garmJ1Wsp5npfmL2vPbbpZ
J2MiamQbLyQPUbS7uTTdN8qhAYbbZZ5hcJroyslB2XB39eOTaxFxXtHVRB5b00g6WaYqfnXDUDxE
kz9d8sxP33D5YeEIE2DOPJc/QwvuQFHZkhxVbFrXsC8oUJO1fypFRZi/UtpLhY28ZrtgFCyQdO4z
dWX2LwALMrUKfa88u5XuXdu8Do9U2BKGz8n+bvkjm7ecWNcTRIraXtl5iWOKlTSnR5uFT54WyuOA
eXFdldQ5Wl09nDgtihM9VN2O43eiJWN2rvm26i/oAuJdazqDXup204r61gpn80VqUX0mNRDfIobh
VZDCVABpRdZuMiB3N12WzvQbhPOpzTPtppR6ZCNlUwxwUGqxYQCRvrYlKF6VduW1pdpz05Wc0n1Z
soEFMQV5E4qzx2J/xBvoCMgVsbUfRzXey8oenuI2Km9B/GYXrPUc3HKus3vKk5z/b+j6g+j+x3z5
vxfK4g/5/vlPmJq/vuxPocz9DZz74tKiyehHKvtrLDV+0xktGSyXHK3+o6H9MZYKODUL493VGWVt
cl8Mi3/4uMzf3OW/Ebp1+bRzfrp/ayz9yXn9lQNzHI9vitYgwgIEZvk2lrH1H3QyaYUjVSApz7nY
pXaBLRi+QrO3rycSYPsc2/x19oMpFJxDtKuG+aVYKIZ1WxJ8IFxw0dCBVoXws0vXT/FFoUYfoh8Y
IhbudJ+RDyP/rgS6LcyaQCSGw52QZEoeXs+zsYbjYVubzonZH7GXtm8UxZ7s1ngNOPctI+7oP7SF
xlZNy+ZAj1tu96YjDu3Epmul4Sx9qEZRb0Mvd4+4bxTYjVY726njv3jWgFLiAmu7eOlU70NZR8+6
pxnrSLerXY2x81iVzbTNk2jagcZKn4HMxNuxTo0bm2jqUeAv/YIqZR7gR6aMID1wJ2jsN26S6Xse
sVB+mxxfSReK+VZ0ibjAThzfhT6M33YW60cswH5M5ZPRPZaRG2krh86cB4vj4libtH2Esk0SWgK9
9rlpKySOkPG0G83pxDgvj3pioXjEWtPu/bHBAgxAkh1UT9NKEMdDecPDfNi5VWw92JxGxzQsrLsc
v7wWZJHWnOLaNrCDGaZJRXAzvLa9xE6TuF656RPHvGgubnXdxKId1mX4C99LtrPrqPlFTqlIgeAq
akmYBONb1WjN2UmFf7YGDmsrU2qfKminzOEFANxQ6l9ehUd9XeQdhRbtzDmOAVa+EeaSQdn2lNdg
tTfY0Glo/NSmTM+lL4c30eb5rTN0uAOyBVCMCzt7t4py/lWGI7gyfTQeRyQ69hS2Hp7jucAIprX5
fDBLIiwe2eZgILR3gD2hgqjzx3gNPNLAs6W5/gX2Ox3tEbjMk8/O59yjl3wqBXs8cGQWP1QoeQsr
yKXLq7KRE2oJEbATY7atQEjc+W5kPc9RJ3cAerInFXnipFUF5pbC6u0mqHl6/7JUqD32LRudZgnr
7DttApzpd+zOq95PT8gcrGHYnJ4NHgP4Y0J4ryVy0WUYzPyb1W3GpSlhHxHqVn+22J5vzDzBezUU
mbdWnlt8D6GWYu01ZEN2umTtgcsN07zn9fkDGChK6yI1o4tYWCr73it2fYKXsKir5kFyRUDmdtzu
06eI4Kqf8+ymK6hWWGHJ4+eU9BlsDRUZt1zOZqxM43ix3dyh+EUX7lrmAkZ1DwuiB2yy4U2D4WS2
Z0ShzHLElsdZ+kWJKkY2ZldikJpOKg61bzum1J8qRvx0PcWTfkrcLnum3FuhH452942tO1yn8aye
ByfW2Yp7Vefj7OnpfaKBPi2CyUrRZRO9uRb4a96hfI49EYfW3WSxEmzQ0+ix8hYkB7T2Dc+rdj8l
s/xUBLBBHDvZUVQdWSGygflaixrpbCKWridBzOPItVWd5qyiBjmL+7eYmPRdUrjA+ZNa4Z1stDD/
6PXOrm67VDeNA94Byo4pBq33Q9EUdB6QsmWIFI5119d6eAXMkd2S0DH38wDTpqu4QtzhB+5o+7Rt
24/GJXm+MnuBjaaER/TKkrS87XMdXHZo2vYbXEO2e9oALJPKCxfFF1nLtzb+jCt4Q7bUFSwDcemt
UOLbIehqow4D1HLuFhhnvvzCKYiTclWhIKHvEPe4jREmMstnXnftiaZgwh9GEfWvRh1RmjnrZkNQ
aMC+izfJ0R+zkRQTreWu+K5ZuZDzxyb4JWwNv6vblMaz29K4vKWYXZeEifwuRG0c+M4pGwVGGHuY
v6RnFp+00vWPVcGOci2cVB5YQfJLetlxP441rfjUrBDAmBh0cTuIyQyDjuz0sWkGE7Fr8P04qLBL
wurqrI9yLp0FbGDhF9DRbQZUr5K4ZqFxY1u1rDGc6578aLsePXAMyq8NON2DhqlDRl/sOgBjdTwH
CFrY0vJ2jshHxuqayJfpFlw28YI0mKQ63rvsSNQVFz1Aj2E+pjcaFqk3qhrGGSOJSg78/Gt2GPRv
VCv4Pd135ncF1lmDJygnVtV8NqPlPaS1PVPsM+TRWzf6GoXBRRMFyK7yLcqhc+I6Uzf6MOc7ripG
DerBk5ekMyyCVIU16IjRRn0flrGkElnarty0pjEJ0MLEkQJMr9WB2K4S5O6a4ewIVszMv475SrA2
Cg8eTjCxboB1QIBwSlaSVQNjLQgx3n1xWnlfw9SY4UovZTyeimkicDRjOz9VFjwGXqwF1wQCy3qQ
HQUYVN6ZX1XdTOZRn3yJ2VVyrriT5xAl0fTiETCoKbjml+69ya12iXJOk36s4UnrOBYnisvdpHHO
YHI8jTyGRT8Hn+k3GUbpa+VUakPtbnWZrIT84VyVoR+MC75zxf4Iu2Vo+aG+oVGjSo4ReeeaTLKe
7BtO6WsR0f1FrrVD4ptsSGNbuAw4CVtdyeqIhF46zTUNISr2121UeQiIRuK/2iq3H9oftLHhlYLa
pSnJbnWtcfdJipzlG3w/jS7inUnilftLR1LajfOvwTHVk/9DVG5tVh4iNQiaN16z8VDW4HfBX878
ons3DC+H8BDPQVX12h7znHlb4J1/g3NH+qz1ADrT520lCN3weWzqBj+5wo7/B9P6f84dsU264N/v
iO+7j/9VucTyRX8uh+3fHLLueMvYvOoUJcF9/NOuBkiSLCh5CPwaOmgGQAh/TOFwbKBAsvnl00Ll
EOb3/zGFe79hVlu+gE4k3AIuTJq/US7BevpflsMu3esMYKQLKHGyf+b9f5zCay51jYu1ZJ0PwNUh
n+VB4llyl42tvnFn22DpiblBpw5yL30YgayTr4vZ8g8xFu+Aw+pVmRDSUXLswMKwvabgrlpPeG+w
2eoTU7Lx3dJlu6oHg/TUNByQjzhPCAFuoromxqExE2vVXL/j9UX1HXOTTZ/G4ZYO11ODIYD+FIkr
WfjbZpyf+xkIf6kl10jwCvtTmO0ZDJdFUachDtqKPoAfhEOfrK22HHZe6d8MNOeta2nR0tAyd8xV
ExHihwi80l3/jRmU4qRiT3j9rGaWXkuK4gxQ9irpnXJlaCx2WY4dOsoGCdb5c5AWJCd1JNajH7r+
ivUC5gwi7lR9wmGNe9aOhgZs1k18nP0toTxdtBe4Nk95BFh/mnKw+/RFbOyMI2HGGffpmFgpFFbW
TTWPe2zr7zlP/zWbd+jOoIGwOEcEwxoesphWCdmKhqJN1hFDc90LwFs+wuS6szJc3IiN2yphIQQt
3Kfur8JUr0rIPZKfUs627qpNOlx2lRbduX003k/o4GsxFsCH0MVXbWtPw2oijEqRpj2clmlwR4qm
C7JQPXYL2pHzgH4RQrD7buC1BKFYfUHSFCvdL0fm/14GNofcukeWWoIDYBKJECTzcOGqEwZDoT/a
A1SjMgs3yNTfeTubMHCXvUI6Aj/jrab1brTSUHFJmAzfwP/xFajpXebZ9TBkD4XlzXtTE956mrSI
xlIFvJyqUHTqNvtgsXMvDaddZZR2bMaGVstwJNGYVvgUy967sdLJRrYcfXLp0Esp+Z7PWet924su
PrtE9/uZB/VEiaWpd2Q7IRYEScEp5aCO7mrlTHvyPf3acu3+mFTKXxvY1djjOuSXXXve83wt1vDS
WP735ZVjQrcHKf5Eham4AJB/dkACHbRKS0BOjGKF2vFBUdhz1DbdRsL6Dojj0LZJAIJlb1ZtB89t
6BZwy1Ov9AvPDzBQk/fIj+XYc8OmBH0BpRC8W8ULS7m05FWFq3tfJJYdeBldTvi+7COgOOKpcLO3
DvrnYQ65cbC2oQlwrO7qXieoxJGA1cxDI2js5xZnxgZI31XJ4jLQkqnGkpOghEo95d6M/aoLXZbS
vthIBY0O+xZ/I3v0cCXVd97k3qc5HwUbexKSznRs/flo0uy1yWv0pmTgqlMxr7LK2JmtlFv8ClWA
hJLAgciTVW9nd44vGWjb2l+TZX2nI9zYVO78QXJHYgkLH4zSxoivyxT+UvzK27rfllX7hRMN6mVn
UgVvJLchogmzldERb2QwQuK9HkZ9wHiYu2vTHqedWAR7sBrpfdmm19HoHSTB8pXo0KbnyX6KZ243
kRZTUy6sYmfp1XkOdXDcOONL2RZB3ETJbtJa+xbvrxbMAFk2ttabO/wUPhlcrXmACo++MFHXy5aX
0AGx+gP2yXg/awOtwhwGbN+nS0pPAxRLc1rzmLthgZ8FOUaFLy6lIuCtrra6PwxBKoZmBbKeF7xW
pIxwj4GqlnhvVLWx3JgB0S66e1KiBzN0b8WYXDDmlh+AOPhYNenSilO2b0NkXLM2eCLO1B51nYKp
WbPOxUiFgmll7Hen/IJLvlsTgKYiok9vy3Eod/lEtE1G5KN6Slv3s53xSEi4B7ZuGhHvFMO2F+D8
zZ5J2Yo9VumEYgIutbeU4bgBTzMA9E1rrTDdABXFCb3K0gRy1Vjb6VVhQjLddk3ccBVxlmvMtMEq
pvMy03G0SrkNHPPIwrvrdVDoHSvZC+lMtLO09Y4I68CUp0dnkuR4G9y52g26F3GHyasjNyCxXbKK
28bz4JnMbsdyxLJ2GemIwJi1ZpflXhUQPvYPo2fre8IY7Z1M9YazTb3C49FO0qzbtQ5iIPAVrM3M
pR+AO96agi4cAFwrjiWa8IoCDkX2QJ92QMTjc6XMIvCnRm7oIsvWvRmHG6kjjw1GBI6s6sN3jmSY
L/AbDhAjx2/gGPUTmj7vgdD0icZZXmie55Lr0ioyovlcYdPaOTH9Nz0KCD69SzNbamsQzdjwED+B
vGGhRQyFp7b7JZdqN9vT7U0TavKbz3J0TlPuxFFj3MR59VUjWK/9pRrOTcGxAdKfNxqGybUxgmgj
EaF2lQjFrmwQaSvT5ugZybXT+mvxUWZ9T9cJd3fw7AR+5vY4woM7zVW8mIdCKiA6OWzLKfmVWZQS
9FO1q6bwERYzRbpOMweJsL/6JnuGBoJ+WIJxgDH95rAH8w1BLYMqKdzAtrKi0q4MBpMMJtk+c51J
/R4HDURigINrwxIPUub3VLE0C5RH4ows66B2m24dJ2Scw6VHLxuy58q1cZj1ZCqr2r8kfj9wBBkU
z8X1o+elX5pVXw1tkyJVQlGZbfq8WV0CMCjKYObmsapEcdP1FdB3jXTVSB3HBn0dUNykc9rFHk1U
ooLSGZmXuDDOUzVxZ0phnEZqSteqy6y1UuozG8Mu6KbuKSZ8tHIky0A96iZABFO5jox+vKJZvVjV
vX/dmN2dLegSpOr6O4Wfvx6m9q0t549M0knAhwf4RKZh8XGUf9fHaVDGqbFqekoLuWg3QQWPceOZ
JV0VrCdgVrvprq3gic7DFdI2OxyA0tspZUHHywPeNGMw5FXJthiSEZkFtq6hN6aDzM23ZiyfZcb3
PLXeLbyjGDph+4tN269UqXkVdUtHY+rBPSIUFkBbB+rS1hsvlt6x1KziWPCXfcSQ9honlnwNE21r
QOLYMD5HIO+sj0wr9DU/uRxz0YwruHPfWFW7Oxq2ZEBvMX+fpvEPXo3PjZsfVGiPOocSeAR1FxwR
o2qodlqkFq2Jr920EzfoSiw45sI74EOVQbYYT0HX8fKaw1Mpy5fZs/uDm/d20ON6elGKYihdG01u
3BVXMWC6HHT9tO+62Nq5tewD4KOcNgJ8dBvHO9cExa1+2ihhIPBllfZpMEVvkBubV5dQwDMJ4eRu
rKIXthP6qqJ27E44dfE9isz4csqBZxyOxOQt1F0sWniTbrphLk9uSf8Vc5EpN+S+9LVaWjJR4G4H
c8APbdLibbD2g2Utl2HK30a6410PZcbdm5V3IGL1oFnwtg3nkmDECGD6zjyU83Az5Nab3cxP0Tzw
moYxp/bIDF/mXKd7DZPGVNIzpcU4bnXq00O2XidhSpgKvjiEVGEv8cObLPaeNNU+64V+x70yD+Jp
oiDB8WQwJazWCtqdTrHL2xNgJhOADVeGcWH1941J/y9nqRbu/7+/mgZfzbv6n4P+yxf9eTU1f/NY
jmA/Mlii8Kn7J1QgKW5PZ3Fou55DzOofr6YE/AU3WsO22Staf11N3d/4BeYY4aMgWfyuvwUKtGz9
X6+mLgF/yo2BETDI4cf8Z4HIKxWt5Zmw1sin3q+Zh+KZg770ER4r+1tYWvpUcK3qAyesyh34cjo7
sbBo74LitesOn9Cjg41x14ZOwgQhUj68Br2AZ92PsZvExH0hpOPoYaVDnqLUPeAuUd9Ujxndfsz6
9AURVsi6dIsmEm3jVDbUxPWCkXBCB9p1A9udLnKnO0rv5C9PghDgEeGCgPWms9EJfZOljfZMdsX6
6pNafsjKy0/w6/Tn2a67tS9i1ttD1VwXqE1wmxUXpskRxhPtNcm5HbVxS/JovhKFke9y/u7Mc7hN
ny1ZekBlyfmckGvDxyF3aexr2pTbONHQ+5G+lP00hAbs72I8kjZlNHbHCEMx1/znFAjHoweA/8az
bPPZsEi/IhV2J3+ko4TPPKCg5ckx7DPD7l8cBGp4872jbWffsW4iP2u+YfN3wOU9HMKpOTEMh6Z3
v0yzyP3WnN2EyM5736X+cdVz4XjisTdeSdjs10uFI5mW1tKfY/Bpe73qQvqqalM7RqKHzSo1Ushi
UIyaoW26zx1G8GbFBss7WaZZnMN25EHt6Fa+wUhtfErbnn45o8IMxFKS1gOcbWqdaM1Aj2BkbiYU
q5uG0mvsPZlv7yh9i1Ht/bR4cI3I7vdN3xsGfJTBe2yHJGzgNhTVkyKPtS1qc34oJzO7Nuo235dZ
V+0wnoGNmmfT5jDItJ0YEvXLLuqMH0ZWHQd6JD+TCVcMMfqx2Dst9q86GeM3XrGFxoJZ4uwxwt1q
XYRFGXhc6KwaB1gN3VkdRMnZ48HbuONNbxWLLhZSBpnoituNI3X6AhMDfSmro/5OyxSWjikZWcUT
isFrFnbq2wSh1i2ULu8rCl3zvjDj/JdvtqwbVAtD0mCDenJab+lQa1N1Ko2qu3AIlBDnSMLsQtta
svEt7YpoUTJ9kgQ2NhVtB1ujtwfMakPrb6s0J9wLvi0+1sgQB9otltbc2mNRX1Ka/VF7jfk1qD7/
ylIV3qrFvxM0BRkYmHrFkTK0mX0SDEcgsy61d2sRyYLEMacQfmFt+rRtn01B35qwZwz3MdPteD07
E16DOgm3fZOSSqQeodxjNW8eHbtMbryefB+F3OGuQ1e6IiAIR5Fj9+RqjKjE4JyzlqekAZh4yk00
doTvXLy0xO7Z1W5UMZowgAolX3iyMD9gEmwehWnNH9GU62ezo4xoHEN/oczh+J3Mc9VND2WfrbGZ
IVDLNZf69FqryUlHLhiOJqMFue/NV1p7vChQTt7SKOpwQ0AjjXYOwImNOTrNZSqYoTam6LxtSXdi
tWr8TuzLKYJ6wBKYQd1L4sMUaT2Xr46BIPfKeNjwdnVeDHKL2hb3tm6veJ8Tn6PkLulXYOckdg08
AHqQxeX4UIbgoliEdMWhz5nKqUOMz4qVB+0oSLZltpcC+0oAzT597i3SI8TN+3ab5PbwUkBcfA1T
Po5cqgtmGsymCZzDvmPTRgbCwafpO2/czr0TrvZwEwH8c9YEYv1DRPP8pXYNsCKF8OZbWcg2PLhW
SNmDSqhIkIa/iSaRnDRU4kuesylhgvPqNWtS81HluvNuzpXzapMjc/d9nswfs2az/HcxrJOTqxgw
V6MOZ4+lW2XfJo4SfKrIzz/LpodKIQe0fQbPxIR2H8oHraqMtyqZhAt8KNReYsfo7xns1WvH6/9c
q3lU/EqHy9TOmxJ7kTs6N0rA0Kx1N7wZhr67xbKoXwxYafWqn8butYtK9CGeFEzQNgZ1X+9DuHKc
QDBpMcCSY/NE98J6rLz1xjC5mqUHDLNM/Bu6tWbvAH260VekJrpv/Ev5qWqExUSchy/YauOnvz8i
/d/ay/+ReV+/t+8bSPDtdNt9qenuq4Gs1/y5sqasMvv8+eX4q/k7v+Hf/w/+y9fPn3b4/G//1fmL
NPTzBz1M1dfvf/Tvv2f59/94/8zj4ndC0kf7U3/1D7/4Zx3WP375f6fuanbjhIHwq6C8wQZF1UZK
pS2qmkMTbZsq9wlYiSvWblxYdR+nxx72UOUReLGOFwwYvCbqOCtxRWg8f/5mxgzjRrAx606ezMNr
zhS2kj/tDtLuGi5vYcOuzhLIM7B+e7+40AOUOkauziw2e4mfj+5Xjjmgpm1IaaWcY0KHHyGotL9J
vKrFIhzHeE5KJ3wPec6ijOU4rWpwFVesG9jpK9xKVegVojsQBYiMWXnyEsEQU4cAy4Di1d/BBQjY
rxBjnkvV/g08ZpAzYRkAOccvOAH8JqleVCYfBsSxj2yJyT6V9ZFV20vZqJTxCvNqv7WrHl2K4MAH
OttTN1ocQEcDyv9t1Ynh7kTq67IoN7CzfLFuGFwEUI1/bAeR9QSeS1ZUv40FNYQ1rOMfM1SX+VTC
loPrG+4iANBclzy3NlHTpBkAAJBxLqq9i/qCrpYvJRdZtXf4i552QlV6M4UwMkHXUOxMexhHSHSc
G1a4tBMgQr3izzAi7/fe/l4i8QR+gnD6vJ6KQzXuSg2jduP0AfbTB7mD1AUFIUJq8iTT6sUooPNF
fcBFVgqaTD6X3OGQcYBMw5nH1GqPA+C7r8uF6oueU0oi6c8QIUh+58qhdCwMyDZFpUcrkSkcWBVh
EhmtldzyjInUZWU9BMrvRK6qor2Nd1xr1HXU5AttobXGDS+Kj1qnRyqto2+YCsbxQiNTt1nOEV7b
M+nDanal0wdlf7LUW82Q0Mtoy+ECZqDaMak8PBvNpb8uH5nsLWP0MhYKYdEn1BBQ5yMYYrJPMBvL
ZyOWjgY+sQZhZD5yYajwybUaRpn5SIZRyifZKMDNRrIGr2qwcQDiOErNQDTs/lpOWGy1qf4onsLh
IOeuVHb4SyW6qsCA1DN7D4n7gI99se/q/XwizO8WPGo0W5gfOQhWS3IiFqecKpHYw/TQ5SG1S6Wy
FIU+gcXRgOIVim+NfCKp2qMaHxIMz3jedrdMSY7plX4lzRmo9/8AAAD//w==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s-ES" sz="900" b="0" i="0" u="none" strike="noStrike" baseline="0">
            <a:ln>
              <a:noFill/>
            </a:ln>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olorStr">
        <cx:f>_xlchart.v6.3</cx:f>
        <cx:nf>_xlchart.v6.2</cx:nf>
      </cx:strDim>
      <cx:strDim type="entityId">
        <cx:lvl ptCount="8">
          <cx:pt idx="0">10106924</cx:pt>
          <cx:pt idx="1">10106936</cx:pt>
          <cx:pt idx="2">10106929</cx:pt>
          <cx:pt idx="3">9421486</cx:pt>
          <cx:pt idx="4">10106933</cx:pt>
          <cx:pt idx="5">10106930</cx:pt>
          <cx:pt idx="6">10106928</cx:pt>
          <cx:pt idx="7">10106951</cx:pt>
        </cx:lvl>
      </cx:strDim>
      <cx:strDim type="cat">
        <cx:f>_xlchart.v6.1</cx:f>
        <cx:nf>_xlchart.v6.0</cx:nf>
      </cx:strDim>
    </cx:data>
  </cx:chartData>
  <cx:chart>
    <cx:title pos="t" align="ctr" overlay="0">
      <cx:tx>
        <cx:txData>
          <cx:v>Gas production STB/d</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Gas production STB/d</a:t>
          </a:r>
        </a:p>
      </cx:txPr>
    </cx:title>
    <cx:plotArea>
      <cx:plotAreaRegion>
        <cx:series layoutId="regionMap" uniqueId="{A0D17D48-951A-4646-9730-F0485CA32A9C}">
          <cx:tx>
            <cx:txData>
              <cx:f>_xlchart.v6.2</cx:f>
              <cx:v> Gas production Mscf/d </cx:v>
            </cx:txData>
          </cx:tx>
          <cx:spPr>
            <a:solidFill>
              <a:schemeClr val="bg1">
                <a:lumMod val="95000"/>
              </a:schemeClr>
            </a:solidFill>
          </cx:spPr>
          <cx:dataPt idx="0">
            <cx:spPr>
              <a:solidFill>
                <a:srgbClr val="002060"/>
              </a:solidFill>
            </cx:spPr>
          </cx:dataPt>
          <cx:dataPt idx="4">
            <cx:spPr>
              <a:solidFill>
                <a:srgbClr val="7030A0"/>
              </a:solidFill>
            </cx:spPr>
          </cx:dataPt>
          <cx:dataPt idx="5">
            <cx:spPr>
              <a:solidFill>
                <a:srgbClr val="92D050"/>
              </a:solidFill>
            </cx:spPr>
          </cx:dataPt>
          <cx:dataPt idx="6">
            <cx:spPr>
              <a:solidFill>
                <a:srgbClr val="4472C4">
                  <a:lumMod val="60000"/>
                  <a:lumOff val="40000"/>
                </a:srgbClr>
              </a:solidFill>
            </cx:spPr>
          </cx:dataPt>
          <cx:dataPt idx="7">
            <cx:spPr>
              <a:solidFill>
                <a:srgbClr val="ED7D31">
                  <a:lumMod val="50000"/>
                </a:srgbClr>
              </a:solidFill>
            </cx:spPr>
          </cx:dataPt>
          <cx:dataLabels>
            <cx:txPr>
              <a:bodyPr spcFirstLastPara="1" vertOverflow="ellipsis" horzOverflow="overflow" wrap="square" lIns="0" tIns="0" rIns="0" bIns="0" anchor="ctr" anchorCtr="1"/>
              <a:lstStyle/>
              <a:p>
                <a:pPr algn="ctr" rtl="0">
                  <a:defRPr sz="500">
                    <a:solidFill>
                      <a:sysClr val="windowText" lastClr="000000"/>
                    </a:solidFill>
                  </a:defRPr>
                </a:pPr>
                <a:endParaRPr lang="es-ES" sz="5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geography cultureLanguage="es-ES" cultureRegion="CO" attribution="Con tecnología de Bing">
              <cx:geoCache provider="{E9337A44-BEBE-4D9F-B70C-5C5E7DAFC167}">
                <cx:binary>lJrZkqW4lqZfJS2um0wJSSAdO1kXgj377OEeww3m4eGOBEICSYyvVY/QL9Yr6kSfysyqruoy8xtn
sxGINfz/t/bfX5e/vZq3F//L0hkb/va6/P5Bxdj/7bffwqt6617Cr51+9S649/jrq+t+c+/v+vXt
t+/+Zda2/i1FmP72ql58fFs+/Mvf4Wr1mytf4svORh3X+/HNrw9vYTQx/Jef/j8+/OXt3y7zce3f
fv/w8r3TttQhev0aP/z86PT99w8YYZQJkn745bc/XufnGTcvHXy5UO71f//rf/6tt5cQf/+Q5Nmv
CBGKc5HxnH34ZX77x+H8Vy4IZYwhRnKMBP3wi3U+qt8/8F+znFEq4DAhORco+/BLcOOPj8ivIqNZ
LgTLKMkwy9N/bs+dM2vt7D835Of/v9ixu3PaxvD7h4yRD7/0/zjvxxNySnJEM0wJTxGF+xM5fP76
8gDvAE7H/8vPiCmlh7Rc10DFnidJ/ro4yl7TTgxIzsGIIGtH2H3XWHckix4uua7FXS1IuxWdXsS0
C47Yz7MP6a3LHS6reeCiSJvQzHLqYv3kkB1UkXd65HINyVBsQbHCotbkRVb5xRa40f5rZRNMS2HH
+sTHULGyqbz6RFs9fFtF4g5pMqn3BJFYlS3T9SDJ7KpLG7Zxkn3eVjvUCdLLuaHTPYQlSXe81cHv
8m5w5Ib0SZ3LWPPNynRJRy07YbXZMauW/mQWs94oQ5vvtp25lnqK4yvrmHiL45JGGXIXyl4stNyW
NN853RAn4zhvh00Zp8u6neMs3RbzU6As0iNxU8plXWtzHRJt912ehXOeTHCXMc4PM85GdZ0ixqKE
8Bxe3JiJ25mg+UKHub9DCWIfGZ3JV6+JaI5uTZiXgZD0Pm8p2q0YdVfblqanFLVjWfeKXpOQFmM6
d/uZtN37gDp3Nwxi/NRFgepDWGJ/oELZQ69WtcjE6P4wNa7ZhXQbD54Tf+I2ToeMcL9b+2zapxML
h2qNU1JkLN1OPM79c87dZgpnW35jcegfNz/6ukAGd1auU8cPtedTWW+DmorM5u1rHIg+Q6A177jB
8arJcrMT7di9GUiZb+mGukOf2uoxqf3WyTUdxNcqmPqwQMReUeHQPohuOLf14B+ZMt05RaE5ojj7
j0lCptJTpUvPs+28NDQczBbTMkvhvNaEBFbK/CIhZPWJp9zstzHA7TPvyHvCuPvmlo1ddRmtGrlm
eLhJ5pw/zZvTH1VXDyc1OnQKnLMrk7W+QL0L54YR9iZo7Xe6y+NdBwlc9j5Pdnw128dxtuk+tbH+
gtVorxGtSFmJZpC8z3MsKxLUQSdVfqTWDbfNnGyqYI6IYz2082Hks/1G9cBnWVk23+EqhLe2Yv0d
mbU79SNJHuYk14VO1v7KrHgc5UJEetM1eLk4U0O6VnkrboP32Xn1PDwECMSSzvNw7MO2FF2j9bFR
ZMZPcZiXVSokspc4uPo21IGf+mirncFLcmZm1LupX3IrF0Tw6zRP/Jmjpq4Old6Sq75ryC7Rw9JK
P43daaFqK+lC2wsxXOOSEN0h2Uxz+6lGY7eU9cyH/ap0w47pVkEZID6UwfE4St17PX+qfBX3dHaZ
udR03ELZrmbui4qMyyej3ZIdM8dRXWzW12KHZ9a+LxiFbxsj1RdvabgbY9NmEi4MpcVubrwxSYPv
mMlwIyFd+u9a4PVzZQbMJJqxaMq+2ZoaAqJpO0nZmOAiNnSuC6G39naZq6EvtiyDtHQzg92osC7t
1rpdN0/ti9Bk3K18FE+19/pmISs6qXyb+H6xYT4zJJpvdUzX63SLqpO8jToth5S390PN0+tlnsO+
wyg959aTIk4OXa8tGgordPtKpwkXk6nWz7xO2IltQ0alcwO9yojNHy3y2wN163ZNzBhKFTLfSlrx
8THRIz4h1S8Q2Mi/atbZWMxDT3spUDXtqxEtX6Lp6uMQebyIbcFfvKf+JaRIfFeUuYOfu+q0rnNS
jHmdXSpIoH09j+M1n4f8GJYku55Gvb4nPA8Pm2rCJHVj1ZUTtXZyJWvzCA+iCoxYfzW3PC8EM+RW
1JneNxbN30dbZ67kfq4/bRnf7l0Q435J4voUcrGpXe1t/yQYmc6+89NpFRxdFBZT2Wb98Bxj4suR
h7gnsHnLOlCpFs2fugr5I6Od340UyoBmvS4H8anGRh02GuyVYC37inyXFczmdD+kHXtzg7ZXnIxY
jss8nEydqkfSz/pxsdt0ZmnSF0vTLbcx2zomY0/Tt6zaaGly3tzWiWOVDD5zrHCDsOeqU83jNKT1
DR4TdwkijEIGlCa63Ohg3jqvkJVzUqFvwptJ8kHg3TqpquBmmO8yo9jBhjHdka6rn+tEk6vIlTrh
jcALy7qlx/sch+yGmSqektzRuy1mtJznTbWJXFqow9osCGKhmU2BLNxeSrahDDpTO6P4sjMpHxvp
dBzv02VccOG3Ifb3oyJ5L+0CBUIatOLToj0ph4F3sltE8+6Fzq9WYsnVQIJ9MIu1V2Ry+Zm4NT0K
kXTv6Uzqy4TX4b7CImNS6TbAotjS/nqdeALvRvGPLa+XU7vZ4SSIms+4GtiuhSb1BB2axBIyDX8m
7YgK0/vskIfR3sTUJYcKT/OxIi4cMPX+4iB9D6G2eZSr6KDK9n0GfXZt7qA2ai8bFtNY+OGQZc48
dcSR5yyG/hh4D3s6kfGg7BZbOSZM30xzT08kbuOuEYu+ZGJE+xkPuZIdmfo93zh+aqHxnNiMYybV
kDbl5Dg0ZZ23ocj6ypyqpE6KJOXdXKB6ppdhVeS9Y7VL5Woi6QoaRbvDsZ6zcmNGuAdswopkndep
HDY7y3zlTxi3KS+metZf8YTUs2Ox3XV1lvUlHaCI5O28fa95kpXjYMi9xSs+dLiuS96S5pMyg4OQ
b9A1hGzYJZzzsgFBd5s2+Xzns63ZStO7JgO1FP1+HZd61wbmd1Cc2cNs2brXZlL7hMsK17IO1XDI
O9zftb2qL1xswylp8/mcxlAf8RKPtjJbKyGRq6s8M9k5EIeKKkLrhV6mSqFyJHvbQRMGOb+8TWEx
DNTmph7bgOZnakP/vlVjftxwNRmpMzN+U0JUT950mzRwtNzsanZjV7Un0Va8aLHK5Lx6UdbZMn0e
mGpK1ViipLBrIkE3VxrKhHubetft2jYup25Yu2NdpaZYXNPvkwapPSdMfB+Tut67UfkiXULaSdsM
RE6b5tciE/MX3/K4x001gbSjw23Wk/hdZS2R1BpC5Lgm4zkRpFZFjbLwTJqZPZEMar2MabMdXGzi
oeI0hxSY55NfCJPMzF7vszmm9mwtwhfP2/yedsu3xcHOTdi6a9U14eCGaNuyr1aJRaovfsp1udKM
XHCtw2WYKNnlYUYvUM3TLy2n8x1BGxQ+PS/f1x4Ka5EHT65UwszZjmq96drEFWKqxhfFQA0XXR+a
7mL6DZHCrGg4ce39J7rS7R7Uf3JWiQ1FwxuhpE0hJyXnOt4InrnnVeixGBTLrzucZKdJb+yabAl5
zT3Gh7ln6/fKKHc0DVp+tOMwOzmOMTmu6XxkOtVFP9XmuqtqDe015/xzrXNz66Gm8MIQlWIJggYF
OXHrL4y34EV83aFyS1SjJEeVe2smLHDR6DR55otqjluozHVMAv7kh2nZjSBhCpXkard0qL5r1kwg
iRwP99AIOl3A7lL6QxPMT1a7pJYxF/wWOs52lQ9QneWwVN1561N6xxNKOzkvYMyKfEjZVzat+hzG
mXyxLNffxajRe1NVIxQD1DePw4Zjvv+DrfxPrBoYxb8YtRSnFNqloJRB6eR/MWqL2NIBjaLs0CYX
/UUNq5wgEP/rVfCPy/zZD/55GfHnZdLG2nadhdklx+xp26OdKY2SKhTzPtu3++lel7z4b9YEQ/3n
NTn4XMoQPB9H8Ih/eTQW5lyMCze7WKIiLUJhHrPy1Z3sLrlrDv/NYv9hH2ExxjDOkQB3j/kPQ/wH
w2vGMbFp15td2OF9usNl+jQUqsQP5Lwcsm/mnJTN//gBwcFnaQrr8izlJPvLA5rVxSWPpNktr+CM
juGgD8nTUpCiK/tDXv7bE/72DwbyM1L+YfJfXb96XaufEOSf//7L9f9lK3//8bV/P/4DpPz7f7f9
m32M/u0tXr/0fz3zT1+E5X6u/4PB/Omf/wBk/ohK/n8//BOPeXWjjT/wDihF+0eywvAf3vWPG/kz
iXHGdd/0y1+/8ZPCZNmvHF4745imiAtOAbf8JDEc/5qTlGYIpVjkacYAt/wkMZj8SjgTXGD4o7mg
kA8/SUxCf00JBmQiUiEyeLn8f4Ri4Cb+nAeM5ZDb+MdqKdh4AEJ/YTGhDbrpKt2WyM/pre4mrfIz
ODVtunvVW18lq0Q4WeyOoyHkj6GfZnpMq8SzG9wmS5R5Pd3ifnjftulE8um9iUud3C8MRDlU+2qa
yzhl+r0jG5ZsGZN1vzqcrw9U4DorSFUhe2pra9NWWp2m4JYx6plMQt2uO0tinD5a1dRbmRo0LM8d
n03wRQXWM32ZuHOmGFoRXcEalM1FD51eyIH1xlzGTYtEaotr/+DVVIfTsqVqk6mdKvINfM/Yv0/B
6unAiG6pnFWbL/uYTOsoczFBvlZjktuHCewaLaxt4gMCowS1IooBcITqZrZHJMmD7EzehV3tUAss
aGum9IBBzBmpwMbloNFHR2XbQnUoGz9krqBtA2a3mmslCri1zJwUtXknFZi9fleZ2lXFuAzKybbO
Rw87OYH1yuWStLoDUAKusgzRxPrcmLlpbpoo1u3ZqRbp+hWFTnwFc2cbMMKZF9IOXXLPBlZr6RbH
E5m0Nrz0FTNwZHQWmi1RaFLSJ+Avvtaqmakc0mmuvvq+0hbJJdBl3Y/BVs1numIATINnqj5FSltX
2sltfUEDeO+joSqkpRIUzFLFF7d98hlpwG1ko3BlZmOCjRTJ4ACJCRS2B1M5XB9EGtEPjoGGLxqB
TkYgSx1TO0unjuwUuCu1C9ilAyiASOLR8a3Gx65ZaRMAK8Hd35jAu+kCzrYyF5rxoS26dRvRYQSR
0O54Uqvp3NI60N1Wd7o90WVr6HnK1DDfUzos/JKuBJsSeBpR1yPd1hWCClyxRCB8T9DA8XCshTW0
JD0bkdyQXd/nyNul7OJUMXYKFajlMwRKwwBjahfkwLd5e7AsZHBSi7zfBZMJfNd3YzXuxsTw7Kpd
aLKeSAd5UQbwis5J5dd5BXs7jSi/imvMadH0dNHgmvqpPYu+0W7f8mxVu1l5v77kOar6b7j3oMTx
NAEx3fAA275NyZhfQuir6gVso3Afk2prmn0U2teg5Rz+NCbVPH5WAadTDS4u59M92xBvXteKCL4L
YU59Af1Z6MLWCPPTHLaZXRhzY16uiXCayW0dlg0cJ5vjLiNmM/ctV0adLIAddpdsS6KvqqDhnCED
MHVA2WBFWiYd0r3sx65pS85t3vegYfGalWnlR7dD2yLQqRnHzvWAQ0eehaOuqnW+iuNUtQ9tHVZS
GoNYdgZ4O8x7CuiFlqlbhuZTrdb1Etoe9q6jk3mu+zXFu6WyzVwAyxj1KeA8Gni73K+XLJuW6WXr
eEOKbTR22AkckrwUKV/eOYcEvlJNZyE8etNVXsJ79/bIxxXkpExF2+UHhSEcd4hMhO0nB/f8JW1X
3wOwBoh+RvnC0QnMXTRflqXpcTl1Q6cvNcOVOdO2hmhxtu+Hnc4pGr6NiCz1R/BLvC+mhfIwlNvc
2dlIs+DRP3Rb3wfQvpx/RE1qQNLarL7UeMEEwrZnnyozjbioe9rVp2CzsJZ4MGKTs/HztBszlORA
0SmHWtv3yZdWUWEl8jEr5jRWi0Rd3hymlg0PAkqNhdCrmlgwWrsoTUR+knU2pZdOJWb+Aam8LnEb
2gtQFhVk30/8QtLUXlVxSa1kiHQ7kxsMrIeu39jikZZT1k9XNKrFl00S5kdP6xS4RLXcBUH4KNXc
O7CpcW4qIOG0ypJyG1tSXQ9GhbxMaB/XHVhX4PBZW8fwYibKbcFStGzAaGmopE5daI852kR73CYa
8kz6FK3zoamzpm4kGcFXSF9VZIUakffTOZu1sceqYtnXuUvT+qpjSpj6CHHnh/c4AAV9ChAEsSsi
CwAyGkBHXYxPPK2KOoUxBVIPscGXRWQDsJD5nEMmyc2lH5eBPww5nYt8gvKXY4D8wP30fmFJXrSh
y2QWenRENNHH2mUDgJ0p7tBYY9k79jladhd6Dqgm3jdQC6V2EDQJ2qZyrrYM3gcxsrHxOqH4qu30
AEWUzCde21uYkTz7Vj0yvHKJV/M26+V+2MIEUCCt4UWEt3pJXsDx3zYEOlO3zoVaSTzjEIA/0ZRf
odnTTyS1RLYWAyIz7dFOSl042dCBDQTaiuHdvh4SyI4AwxeStI9zLy4chiMSxzaVHgJ8x5ZYf0as
HgsO76SvbTywtsrPpu/EAaeuvo+QonXZ2L5lEtB2dwuTC4X2uIr0AIjxew1wEWzWoqSB7NhNbfai
k7a+UktwuxySH64s2lKNHfQxtFEueR9vV6UArBh7sy7rIn1b6wendbbnht0Y4FovIGc+JyvOiqYh
57lrPyZamd0M7/oACatkxdSLcAO+Vd0CFtvNQQoNJs3nTuwR8+lbbJb2dtPze74uai/Q2hSjyc9J
px7SrRPXgA7upxQp2TpLDu24rAfv+qqIff9iXEsfVjWr56Qbu3NUrC/d0rLPa0zaC3BldkjsjyGP
dUmhsf22eh9k3o9XWzLkZYBZSLkRXBUhgrG0HrXfwoSujTFXHHc3cYOyaQfX7KeqHwogiNlOrPxF
wYxDZnZqZLp5Uayku+T11uygm5cwRHFFFMYdF7ruYXx1B1s3X1GIKTfHVY5D/wa2Bmwq7o/e8mP0
5tlv6TenhmMz0FmmwVxrtp1zKlgp2nAFI5qmaFPfnCKz+8bYu1ah01jnrzSGU0DTXhFRS1Et+3lZ
9ipVh1Sp7qVJWn+cVf29zRsMvLBjh3kJ3aFZxedJLAnEND7k85YVNXGHZWoOPK8LBZiigNnaXEIZ
eAD9/dhicmG9vwo1MA5XAb1eebgsQOPNCDU0bepkF2GkWUQ1tfsqadERBj6QwlOfbbKmXXbAFg37
XtTiI920e3QAoj8hmk6PNYnoTVhVPerVjk2xEA+YonGqlhgmWtC1LW6fxj6CSsozse9cw1eYr2F1
EWShV9UKEnXy4/gywgTkKde8fYBTzB0HYl7anqlrFT2Ryiz9HmQ3f+tzpGE+6rajXUV/M3Zb/XmK
1XrTrm0sKmyz94zy9i7aMZbZOgzuBrRoS+FhMa7k5qdYAH4Mn50SiTo6gLTsepn6tZE1zAA6KGeb
Ax/erJvfG1+J8WRBR3/rAJqOBRVtHEqeJbXZUb9OjwzmLFD5p5ivJ0jDKZbTaDJ9YJO2zZlk48K+
OqNzGMhFnDVQJaj7otckG9+4QTo/DM5YGMcOa23rvhDOJ1kRsKi5zDmu77WBIYB0A8g3mbYtX6Re
Fx1KNI/ofkSjv7a5R8+r9hE6QU/PaB3sKtvB8xEeIm6AL/NQpXLrsQZ1ZcARASDvfPgBfONUeD/C
NtDaDAYUUhrFcQFdk0o+VvibS7JPDcd2R9MllxhobQMuZbydk3WXZIDfNjLGYgJXUULKLk/d4tuL
mW1/bEIMUBdb6MBzn+y7+scoIINW7FoiTnPlkGRNg89QED6anKqHZfHDna1XctH1yqAQo+bkJ3Ry
I/pscYbKZQCcpZtgpKPkOXr2lZo+u01z99g5jr+qtPdn1yFoz9G7krFhPuIkeRPDkt1ueHpxW/5t
Bi4KI6V2PQN9V4XKkL1lsYuXrp+6A4zm2bVKeYB2qnQhZjM/9evKywiDyj0ojO59E2bdQxHfiqbT
ag9xCdyGqBHf9xvM2yId1a6hPnkAR4F2s5hMqcE/gXTsYDooeph+AXzOAtgelJxDDZJSIpJ20CJC
csoWgq5ByIWDHWxe0Jpem6Hp5ZDn01WaV77oPMcwckBOfRQWuQsb+wqkeGsOqe3NNc+qAfrO/H2I
YoaJ2dIctK2Wk7AdLxyJz1AZFDwY35sf7aJaxpuOsu/5IAoKs1FWsWJaDZYD1g81IW94pcDepscR
z1AttWsKkH2LrCbxJVYUJiC9NtDmR7EzA6PSdumXlDDo84nAknp3znKoM7OatsJm4Ku3KjsmOrtZ
enLjk/gM2m+VXVClX+qnpg/HKkwwKYjZdZK1L2MaPlMLsqFB+Lai6ZWAgxFPJ4v4YcYOhrd4dcdM
1ObMMCuG3kBjSWkig2nYnrfzzbK2H+00fl9RwHKb+2tQXtd+RfE61yACSAVsL2vpu3CJlnzOZuiS
6DpNs1ObCyK7diO7ifhBRg5VtCYw1Q+DnDU7+Qp9jLU+jBncR0Zh+mRFjAefVFRO1L0qvA37MWpX
VtBGCvhdQlrWGmpgk2kidcuMxDXcdLKkRK5x+UqWrPT5Cp0SfrsDI3D/pOvsKYYAM6RVmyK68WMV
u8PYikkSBD8zsEs+naISo/RQYk/9bO7jtpS+jQbo/Yp32Ff7vkmhaCTNjZisg54hlsJPjdgFm9RF
363PTTNeoejT3SASCKUEXN6cNlJ789HH4R6AOzo4VyO5wsh9x9DwKggOcubkfquXAi/oI23E3WSa
c6rCLWDVQtlmKWer6/vek37fzDYe0xbqT5MCG2dh4EBYTHs3UEuLEHxbZE06ztJ0Y35lmpDBlbT+
AfvXK6ezThpmN4lGBSMPo6/g5w9wSKGtGBN0s7H8lq7hRBYLd8M9LdjaQ4NG/CIc21O00oNZdXfy
CYR5ChatMt1abjh/ZoNwhSXJKHkmHlw+X/3A5WvbYQme4tiQ+pnRdYeSFNj81n4FbHAd2PrJTOFp
bYd5p7bElQ1KDYQ+P0LN64/ca7TLx8qUII3mItgtKfAMKvXHL3/kAnshB1rBb2QgTe11vwI0aE31
cXKL2fWdfcJJf9XVRNxT7GA2PMIlB5Oue0cNzGJr4a4QSvoT6LjhMOCZQsPJx2dQq6SWg286EILc
n3yY+lDggbIOmMNC9myb2h4wThe6ohF9BdP92VffhrWfTqqNuN6zfp00mNG+eolju4w7XvcbOyLC
oCsy205oJ9SwLMDDsd4LXU0Pyf9h50ya5caxLP1XynqPMBIAQXDLwcc3D3qSNrCniRM4kyDAX9/H
X0RWaqgKZXVbL9qqNhlpIVO4O4nh3nO+cytFz3ybfJQwBDgZ1KqnUmITqYtnjZe2dx48gpxxd3uB
P3YLMVMEpck1Nc4OvuxyrudD2JnpEIi5+aZ9EpxmKBnH2RvQcwkf7iFdsP9oubkWXJEoJf4SGrV4
QXMKfwOvmWxrsY88aXi8aOXhmPFUE5yiLarYuW7q6ZpTsrxvfDF2+6qGSx3TENrGMYK1sS+jMjpD
vFmja+3r/NjqtcaOggc2HttGzYmAsXLrwbS/3aiK7opCuPKhr+xkj3re2NVW8kLjAbfjyTYj3Q+5
9W4qHxXNnqxl3sas5dpPayhdUAqcHws0dGeUEDYby9l+K1TYZmir/EO9dT7EQ7bRVAYzwXEQ0piQ
6j4gm7sq/eZpYHQ79zTI3+kG9qbiVXmbj9706I/5fbeZs4M9T8dpPHYU5aoTI9+1pXoqqm2H941O
WrBXV610NxBRxtzmJrbwXJumulf5cLPMrEzYMt3xBSiHDeTRVvSG22ZXdyzrQg827xR80VV/8tEb
mJF8bGwAV8eOJyBaXlaJ7mVsqtseBlsGJ8slPhSzVDRTm9ChWdDuAWSZqcC9J8QuZ/Ct0YmmNIQT
jOL0eiklanxRfRhNeVWjiATRNnUx3slBuO5a1NGJhEFGRithWxm3GzUUxUZF3T0PihninqlTP/c8
3JJRnslOrbBn0TdUfFvjeQzZqaZ+eRuhM7gNWlqBWOl7UGauBY82cnw7Lvweul03w+Fd9NVaQJVr
Gs+7IR6vElqbaxOhTyNQi/FYACvUBdkL3V0tvDjIzTyyusryvL8fqWrhe5M6tlwfoLrVyVySM1XT
M+tnnvhbXWcKHGImyIxDkPPy2AvWoHhWx1X0PLaC3EXz9jKtQxQbq54qhvuX0/k9GcltVc8zmDwr
k4n3Km49uq9K+Nulnm+WNsTNpoCpWXsLafZTZ7CeQ3UTFs19ZeHJ0GCfO/egVx7ETdubuAHwEC81
OfoL/UQIPUMqzuNNkFc/kh/9EmxaVVZdOhL0wl19pxxABeGu59w7boV8savLllw/T5oeIJimI52O
gJX27bbmMfXarJIj/MOuOirl0yQM12vHi280n07NZq91NdxPQXCPY+c+JPlzHg7fAriqHTSAnKEA
qRt3O9C63VcbOhMXjt8MjOMkYuYd3m0ajRJXu8yoAqkI9fjFyep+cKqHjUyOXC+x2oo7M3df+s5k
xDJsv2kXgNiaug7SLN5twBhs/CY1lhbJFOSoOMYHSgZ0kHO2WXakEPB51d2tlD/qMhjBMk1zvNXi
bm3JDZS667AxVeLz5nNNvPdaFLe1Gw7LFOGiDp5x5l9QrAlQlp3npF/lSw87U8s5T2hjPIitobj1
0d6hG3FdrBRh8aRqup+Vd8wN4Uld4ILt/bB/N82Q2/1uGmNgcQkf+mc8wVtZmdOyLcks7aHqvHNk
UFENyp4qoXeS9+daDhnn0E42XwKWGeoisc5rYuz8l8aLgjhv+3wXgQyLu7E4Ql2M16B7ncp1j6Ly
OZdsv1XdJ+3GG0hiV7lePpduDrAo9VNdjdm48Wy0/W01sttBlwUuPptCIExrUl2hPv1YiepeVyrR
G9SXZn4N14DEcGSx8Sj4nJlOe7ZuAEfRR2kz3M5F8RL25VNXj2Vs2yE/FN34tTM5JG40gihn/LRv
AB62uklAyn6yk/o018FuyIsnNkWv+KHVWeT2ppywMC+VkqeuCrVcQTlPbAPwiGnY/LQgRRbQ/qml
0d7YtnvlIFNPSwPIZbrULHT1sTWr9t7Wk0qjssffDmyRmW25CxXkD0q7u3J1u5aQKPFKvaOqf6pB
LLxRbbQbtl0Yii9hL8h+mRqe9GPQ7TjJH6D+fG6JvF6JT9C3hZeCczuXyr8e5VDEq+nvA6hFiRuW
w+yveKjBApLIYnV0+dO8mvfYqsWh7KO9HOiTLPVx2XQXj5asu38NldNVw64X1f/rqJzrfRT9DJDW
/zNUDrLKJzM4yCrhRXQBvwVnBOBcVZTApk2jEuXKu1HTEu45eZKGtfsWt3EXBjoJWQne5h80HRrR
26CHrT8tjiab529x1ARDNpRr6pMQynAVlnFOsUuVh2NARBDKI2wTqB0mRktwz2t+8tn4CN8PyzSU
bifamt2VjM0xdFEPrtOg0zcgzw3CxjU09bgZwjqGIvtAul7GnR7SaJMvrhEjOMX6o6jCTx3q42Qp
6iBhvRlgNaqXfCxSLbupQe9jP4kyfO8KSd4HU7eHkTRmHt8Ozew9KN//NA7sSxHaJBIbSRn475ib
+sVZ6yU97JK0GmgX9wqltg+X4xhcmlAggNNuLPH6rGFHvWxPYUEEtML5/VyTK5BSt5Pxb+aBujRv
JnHIgagnbe5PqcClHo9Fo2NSTmUs0Gn5bX8Oo/LQkQoH/bC9h3Zx24Tjq/a8xzIYtthfuk+bcN6N
P5qDz/mjslsOLQHKvWX6WDBx/D1iWBvj9iHH14dWcsddNyTO9pDO/s9oQypXeytnpf+HNvz/jTaE
dr38S6ghX+YlW6X4b4sauvH2L8YwpNMIqz6SroYb/itbqFrodTHIBWB+8CL1QzAMQbNTc10VGclN
+9VXzP+ipmg9uTysv/5JAJpWTR8VlIh3htWdiGeQ09ufbF8PxMyP9bBVH/22th/bwuuCDOXMHJwF
sibTjjfRaJt4qrCXQeKjaYjNKiYDtahBIf4nXxex0QdSHRqmMn+AvAkRcnNa3OVhgbNAqHxcD1tX
oNAbPOWHx3+n39Bi1gbAZgGwL1Bd9CzRq3fA+zQDT9GCzc6WTk1k7+cuErtwefOD2xWV1DrP9R4Y
k2NZz6IZfFYEATCegpY3WTm2sOvraEUZOjo4fHHjgi5P8iGU+SGgTp98K4t5N3Mzf4IAO9Vp409w
aZY5miNouHR4D3IFN0wZ5KRIVK/tuJtpzuRJy764KX2Q4mkZmj0U4NA/hI5U2wNAlAu4WvR0TRvG
traGntH6X7qWwKGUpMVJK8Sy2F3eLFBRg5yjlcUfgt1gYrzIUAr4YLwoVvPM52DZ06lduMgqT7bN
uQCdLmEzBc1wLUwuy+vOQgd+DYJaB9drt1h7PdVB+2GqltXiW1MNb8RffOfifAhMooBqNIOdOxgt
KvpKWxd8UwI1BQjAbpnOUWmbe1kY0iQTxKKkGsFAJARZF2gmoEWWmE2z7PeBN7cmnVSOBABdoSEd
l8ibv3JCYXF4m+c88HLbs1ojFweyh40a8Q188lyXnxvLlz7r52iJoCC0DDRIE0XuwZ9RUHvd3Czn
hTL5GSaHswngn8Wmi1IAcDxBpLcbPVVf55HZvs21RdMvvN4bUqKQstt7DQllVlg99inx4HPEc7mU
RdqtTX/FV0ftlbkgI3tU3mN1ac0KNKOVnNh56SaoZVhDQH9Xx0MgDyJSm73iZOnCx9CokKSrLZvb
HnpGnokcSEXS5Dofb5eS5SxzEQOQEC4QePbGgDq5GmcSBeelbvq70KoNpBv1zzOu2RUd1mLrxwrx
iPGaLrlBQbMRCmxHKCxDGG8rQVnfSvBI1usHPM5q62OwUABHVh6B+/YFCoXMNy1rdiYkvoVXPzRR
1lYT+Vz0CONd9YBzoHz4BnJSp4bqi93CQsWz6Fgigwo/dOjkvSEdABKQOsIAsakLlmAFQ4asywi2
UuOpSCW9W+0j0KApR9vlqmeJ/Je8d/mqP1XBNm3HNSyK4akB+ODvZkHQzntT3hdxhaJNvdOC2uba
L6Zyjg3+KxaGWbFAk7UIAqEMMm3zISSXEoiTIq9QhU8SAjWdhHsJxsArEw8UdQiluhpFEuqieIdY
CJPxQIohvxct3b6sw6K2tKEK+M1Myu19XQk4p061kseIPS6f/GFr6qRsCmiG8xry8bbPtfkG+7Oq
467AfzHro22yMbhJ9m6jTYPyKxyA7vdQM+oEXBaxXz24SMMuB10T7r3IAHr2CilCbLDCNIisVFV+
0rRy33gD2uGIDA6XWddrE8Xa2a09h17XjgkSPWCp2qDiemeiGSx32VT0neErd/uBh4HLQhqo1wIi
7/IxAKQxnXpS0THNq2DAOR6Oa5TMCFdAMCYNuUJbXraxwJphcWSQR2nN6N24TjV1WuakDdLJjd0S
u0WDs8FhjpYauIo+WMBQO5yGIik9Y/qkrmkFJxxRSIs4ScOCKzHYYUzLwtPTSbM84jgWRxyfMDfg
Usw69GH3w9Nv06XicOODYuN2p8wwLC/wMOWrgtEIXdXX9JKoJC+qDnqTRk5zNPpYHHAE+og3u87Y
MbiH4sHqxAtcXRwHNYX8Cvmw8ZZXfVslZTltCPhpPtJkJqsNjjhpZ3aeIzQQ6QrEbErnNg8G3HHd
plKNiKFLsHlnxHKYAh4/2qC+1jn+4NyMPhjoenA1/GkpLbZFP623SJDYcscmBtCrbIkez3O/QSXz
+27rYuDkdXE1QR7ZYiXF/LlxQ9fs2kHlUzJpx4LEwUgZ9o4NvNwXiEPM+DXb+hkRQhtBXPMCuadl
DWCqyHPb731Vq0+I0pFtDwYK4UGy8DHaCePB9t2qYgC1hXwoUh9L0ZXJWjYCSmFhxusB0as6G6og
MLgB1+12Dg21iZ50WMUjdyNAkx4gCjrozkP+kDazzUDN4ORg1cyn49bNDNk5fNyUCeQPXNLg7wYZ
hyo4JeHaIQo5DWDF0HFrGIJFB3Eu4WCHS27jAbzAc925i25EHHcJ8qG+O+mKBgR8Otc5NlMj3Hbj
h3yo9jxag+VypNAGpwxubPEbcvsCh/4AbkOM83zBwoBKNDEUrOz3XDPQSeD6TUHRVKkRu2GefBxN
bNzxhfQxnmR9cMNvYOoLDP7DZ4ZeEAJ/9XG+I5JML0Drdyw1oO4S0nzNUh423kMooTqyYQCSWnfT
DrK02rU5d2mNB5Gswbgtv/nNv7DcoScYDWB+Mk5DRBB//HyoeMXmAnz+PLTbzi8LcwipAy/hFfbr
dyzxX1D190np/+ijuBdGAfBxHoY/s7nbisKzL3qW+nTUN9RDQ04AzKV1XsuHv/8o//K1f3ysFDAx
FwAjBfCGt8z2d481L7G7DSRXlBkOpO0CRTEfUGAGqRqId1UtE4SvekQJ5HD49pDg48UT3m+odUDP
P38LySWkaFDyAiLCT6A8gkHNglODpfnc0E81ClOT2JrouB90ez8h/LX95hN/WcIhfquIQklBQfuh
+Gk5IYqnSuxJ/MxOFHFXma+Ab7wUEPD7YvSQmAQg+PeP+te3ypCzR/yeCeiHkl6ewXdPemxswQez
BilsmTZFSbrFTAMS8kIz/2av/PI4kfKRgcA8ARFwxvhPGQBmwLutywyO2a+G94WV1WlbODI1OcKK
nY7I4e9/GnD2H18fPgx5FMo5aHeGbP+PP21gRV8FeYuWQA5IHpChBABnoS3+Lr7xH3wQ4hu4kVHd
4fD5+RlGdsF1YxG0CkbPPIKJLW4sN2H29z/H//VjpEQQlgYABnko+GXxfPeqFgc43ua8ytomYLu2
q+i+9nmNK2GqkhHSUZKPcovxJd65NlcZSI42rnmLuQOyuHQEFgZ1qPLfrKDLa/thryI/9/3X+um1
trXCjzVBlbm2APxRA0TYlga5uZ7USbAF83Wd59WdVhH9zYL65YHgvMVrxZZhvu+ztwf23QPpS/AE
jNUakU7WXnXKRXeu9MLffMrPO4RLHOySIhqBVYvK+aff5yEaqWGy+fDuQUiMsrS3Heq8WFaqSP/+
Ff/8g7D/5GVMhhdQzLZg7KcVOzLQ7ejeK8jOPpyyDXl7QPu2D9ffrKWffxNWKvIVuDlCCrQrEN6P
Swmpw8hMw1LsfOvoeB10pnrgwnqAe8CcmD9/1n+fPM5/Oh+FcaCC373jXyI57161/vpvX77qf0te
l88/JHP++rv/GJES/IHXLiTOSKRvKF7YP6M5uH0C/PswlIy+XfF/RXOCP2Dwy9DzLodOIJmHa/Sv
aA77A7cW0jQoSfA/WMLsvzIkxb/cO//c4whtYdkLZBCpjwENIuQ/3UsiH3NUeCFLzXuTloftQDIe
61eWjMnvw2I/Ls4/PyzEfkNJE1w+7rJLvtvW/zc1Df8lcYS4HWpGgcgRv+xu+VMBxQWCEXQFnz1b
RE2jRsHZJyHZ9dBTIIEok5Vi8/eT62Q25sBdxFCXn/LCU7clFCuQsMuQhTBjM5QzkBwCT8TBpmak
cxmiOc494p2We+7Quy8SBG6OEz4xdl1uADZGx2iq2gTQJ7wMDQgLmECbdCUw4hll2EEAzD9glExa
G/dt9BpQin3n4TtVNTlJt2zJ1COvjSYGqTot5G6dvGXPKx/tfVlUN2iRihSVGonDWZWgaCk/90FD
zpJ43j4XOjyHS8Bvhy1yyJE7c91Oobxq0EM9B4CEbkkvYe4qaTS98QY9d3HUAz+Pe+QEcjgNmEfh
j/X2FelFv0hgU8GTE1H3eQ6L7Ysobfms22ioU2uW4MmfJMIfCiw2ug2x77Yt/zZOW9kkmgqTDV2E
5DHYnwVCgz8NMBSp2O6cdPzYB1V0qmjNsrlau6+45+w3Y/N5g9bgijNGAMDrI6PIYQfn3oj+d4K8
6Q1DveOjCR58y9gzsVvz4Gi/PnWmRNyk36YM4AV80Ybq6j2SOu6+Qfx2t4rZj5Ko0FvaOysxn6Zb
ljWZ3UDOi0c2c0DIa3mgAKWmWJe5eqz8qn8alZyPUUDmHUr99jzW1lOxAJ36EVNIEOQmq3jgyLbf
gQQb0yDk6hBpVX9pQ0YOvSoQHivnucQLV/S+F1FzaGu62QwpXxGmeuCTBEQzaD/xcxS/pI0ABXl6
RPEGcfNAzCJPePfja4OW/2XTja5iTfvqWOMGOY+FsF/qCh4mAzO8Q0qjT0fRr7ioG5sstaAJ5Wj+
e6/LM4QSNlhVEPp4qaPd0i40WXv/XTT16bDwNZv6YXwIprDoMbynUR+rJZo+VXlBXnJq3VOHKPm3
AIGdOZm62St3ulr666HV2A/KjAc9RsXHqOkgNpJoadjNhGEyY0brCFCPUZdpFhKroYdsoqLM85Tw
Y2e9ee8tK5q5zjJkX4ppczNEVd7tOaquT62v8pfwbW6SuoxQojoHvlvIbfg4FN7aJkjEo/csC2Dp
pkULm0dNK4FmXGYzLZcxTf7bxKbobXpTi5BCSuaGXzuvDz8sNYiWjFeq2hJ5Gf9UmaA/L4a0B9Ji
OBSKFHJTKF+2KSII4hHBHAIZcdMs2o1vaehlm5BEbErIweotLm2n8gtCHtNjK7r6Oe/x/+xbwjp6
S1u3IF7unPKbk5EMP7StJ3NXKCdvu7e0tncJbo9vGe6W+xpaBg6z+/ot5Y2nXR2phAJpLiFwU9fF
nhNBH8pt6U/IinsnFnTkXY215eP3mO4roRZAANlyL3V0zXtIrgozB3JHUjUHoA77fOzvI71On2ft
B3gTyKitK10+DEK2yBW5skqrKdfJIu3YZG3ZaowH8gSk+iNbouHbSgDdDdUY3opqgLOneGQ/KMJJ
xjTUAKYuCJi3rQkSOyqVng5TPvD6OPZ0OPvlNmQtXObT4tUIElm/y2pkHe4xMSfc5wzrBoLMhDNu
6JKBQOv3g6g9ULOYq8kg94Sz4MKfFC0SmrV+4IuPUQBglk+BrHoMknKfRqMm2LIAuWcTDqBuQR8U
BTR5DC2BMdD2MumR9DyuDWD8tgZcxMVc7pZuK1KmiLkoQog+mGGFvYyTVnjVdg09kWdtvUFHZRha
5HIPhZ0/zx+btnBJ3xqz29YuOId8NtcXBSdZjcdP4YyRCcyq4MSKAUgbW7ZjH2EiCURVTOZp9ZLl
xiIrhAgpgL2oiYqTK5oeesNUphgzIfe1t9CYQpy/N7gA0TVQDOrpF3PEaBUcNYEoydXYze7pMooN
w1OG8gbZDXbtFet0YrlBcKFfFRDFwTsyAH37vMT4nEqXyBV5vQRECnRo2+YxBeQdZBsEUYw9MuTB
n5R96MOhPqkSx82yGHqwbW6u/rRVlCv0aSQF+ThDDsuYEmuGT5fnxc5lVmu+4NTt7pkNwhj5qgkM
d9s9t3Xp3o09WJ+oYBuqYoxhSk07jk99XiJSM+USASPtphjjcfiNZ3ykGYDl+QlipUtCJiaTi2cj
t64CUAOQ5tAg1nxuTRiBGjYbuykZckOHPhqKPHmzc4QZRHhF+m2+HkMIZpY6iFrKoyuaZOxRhGJN
fYfDNwBxNyLiU8z5fBragB1D3BKQIavWwq1ZAZExTFGiHuBY2XnewYSYKzZqXDCmctUTyJLqrop0
+Zm6hWT4d+RsG9Xeb6Zon0NXhocozMsTDsPPpOmad2IGUxa10PIr0+VIaFqMQJskmRJXIyWp0Rph
/6LcgJaTJ8gwAhAdanDUdc0IGKEIgFonAMDlU5dgAJkAtzM3O4ek1c6XDYkRKuwSYHnkwvy4D906
FKnz0Yhw2vLPGNFVfEWoY7rbVu+S1ar8F7KO9soigXSGYYPDtpB+8QqgsCHAiDFUIaa8dTmoALz+
RCL8V+N+1hi2Vm/VOwcUZN/7ht0j5ouJXLRecbNsYmL3DVjRDx0r6b5kpjwQt+B7I+8rTq0Klx1I
1ejquxL97s+69nuli1466X+WuxKDGLjEODfEZCh0ij+Lxu8qUNWPanX5eJmQ0Jp4fKqz6fmYH3hW
ZiTZ9tE9YqJjvBy9lMZlOh0O5e6vGQY/jDD44Tv8WAX/9R0EiHwPoM5FmfmxCi5Wp5FHGnACR1XS
yHyPLCgwEvxjQTDpAeNc4nr+HBE/y/soqSO3g++R5lOxU2V130gF2vK55/cT12mXg1xVV6zvdwPd
0iF47mr/NzLAm9T5y0P77gv/pJZNK3gWmeML8/1KMvs4PQe3zQ3Pur0+By7JYvLaHecbYC0C83cS
svv7l+b/7oH91DZEnaoQMsfnB4DjgAclXtbuiltxBAD+Tr+CiNsvv1GYfpFk3hbKd7/58p2+Wyhy
RAK245do/jU4a1QrabErkyWtHsabbkfS38m99Ge9+e0DLwMapAcFSPzcrshq6OsNqgAGhZDbGZM0
dmbnMmQEd7f1YUryLLoB8njCCK9DwndNFXuH380P+UXGe5OcQyxLNJ9ciJ9kKAwtMyXcG5Z24Vl0
S9b3eRYUX4bJHf/+jb7pZr+sqO+24U+9mY9nO3KFNzqn9et7YL97mk37KO5u1tc2zTOc2FdryhKk
pt7NZULjOkVO809J9n/Ei//153BXin3ynw93vf46/yBa/PPv/EO38P/wwhC+AIa6YD6Id5Gs/1Iu
Qv5HxDB4EeN6GAZJwZf596Ei+BO0w7BMENDnjAofi+gv5cL/Q3gYgxPhr1JYGnBV/ivKBQ8vUtY/
FxHUBF8iXouBA3Bo5MUe+nGLoqQwa4g5CSmSDtxL2RyC/jNVjSSenMJFJ0LL8XXoBhxao6PiLvIL
71vRYRICkiEIhBsl+37egWSZz7iP8jvblfalCebqCxLT6pUauz05FFcNnFGMX/N4v+5G6aKbBaSg
QwMVNohYzYNLhAmrE7zy+REjiNq9h8zDYfBNmXYebla6jeh5yTCxnQuU+tyDmf0qMfAWJdIy3jaW
zeetmL0TaYW97fu1RvwRiVQvz8OXaQnDXVnK9nYeRPlJYBACfEc7v/dZXd6KrgsTA10HGD1mm3JM
ZV0dsGHOrksh3a3qAgxz4FEJPp2DQS6bEexutZlkXrU+mjyoDlBApq8rz/MsR5/4DLgFMJIei482
WDA7okDtjFaMXy9tIx6qCoEPhmrsQ6NW8errDiBO1wNX2KBJHm1ExLvalWxD6110V7Pf83NFS/1Y
YRIb5pD2ogfhPuT7GtNLjuWMSZ6kxnzTnAeujPvVa78iRjwhd4FETYapNsika2TMHnxvDK+LMtyi
eKHE3pVLY5AjRh157fLcv1vCFjHFHBpciofFTpGpm7Nb5fJFLgh9wovW6oz0abPXkGKRJrPIukWO
3rByGW4ExQBBsvTDh9Zs9D7EJILnUs0SU/w8jFRpMKiy9139AZNo8vtG6+ZLvRp92qJC7UEFy29c
1wbV2hZZZLHrClhn25YvIblM5qJIQl7BdUVKWtXe0S4RO5b+xh8NwfpN8tlrz6WIoiOXZgFUZcwj
HgQBcTl764FK33/Y5gBoFoaRBJ8xZTh6BDZdgp2ZaN8lLFoMLkU9DU/euq27oQoxDXeoAc5TxDAx
aVe+a/NlrVPKmu0RQ26re8wRcXdwc8B01G0oNUqOAON7I48iozQSMDZrTxYQaBKTNgYxBi/IKWAo
m+vbM+SZ5jCQCDAsZtLhW8l2eMHbh6GNJHC/xDnaRDRZnN4PwHBisdJtgLxV1ieS1/nD0MoAQ3hI
CBfQ+ZhxwTG4ozk1xervLOK8z9GEaWWya1ssGrjvSCp1lzmPQXDLJxS0pq302TUhA98RBuwgA47C
n3vUpmwtioPfFvNNQ2f5RSJls6tzLzxvLmfI9/E8PK8KS5DnFWMxvBUg76EHaAW/OF+8sehPW63H
3WqIueodgmmEav+ssKz9U+cjUrVpvvGdtF6Fi4n3wd1KJMtEVPhf/FaGGMzZYX+j9cNmoRdAAZ1h
hQpvxgSM5oTZkxMeE3Ko7wuwxwX6zhYpATqYD1wj6Axzvp0UXHR/bhGH0naIoYUgUrPJGeMgmg7f
Nwea8AXzM9DUY3bl8uKMHuwOpwFyS9qW9mOD8Ay4/lnzd63HpitvUoWMNX7x0QXl+hoK0nzlXdA/
4XVj4MSwloDEJnXlELiE410O/n0BrN7Heu7bT4oM6zkHTX0lgpDtfJKLD+0YtHPMjN87REEAIMQ0
AFiRmM2qTBl0UKXWwVU0N/Mewf7miGRVBdWUtWk/zKBUyqVe4R85MN1ifW+oXzxaDKtJETjrri3K
kLPhVfDRViFLOsfNR8GXZsKsSSvo+8q1PXrEgWNUUe2CHBMm29X/SEskatYEoGBPnpD4HEwc2sGP
Qxmu9jAGS1ndACLcNFq1RhdpyEK9ZZDYywH1NdUvmOyIYQJLXYBv1iCP7jGcpz1PvR3QeUMHezBS
+HcDghsATlQVPbetRV5osKUvYwIYzuJc6YrnafVLH3kiPWZRGVTX6zB1EfYB9DLwXLK6UyMnX9m4
QaEsDbCLtKgHbJ8eCucdwu2YnjNCiAEBQzFHpVcLYCAIYFUp78OybDr8LIVbp5oGhSA0RmrBlJPO
+9/sndly3EiapZ8IMiyO7bIDiI1kBFeJlG5gpCgCcMfm2IF3mqeYF5svVMqqypyqassxm57p6bG6
KassJalY4L+f/5zvXIIxznTjdgrKdyv69DbxW2ICOEaOQdMWtxZxhvVy2+uuBSTl2B1adNPBcSBL
T/6W6L+3TVZ8H2JVkCfkLG/SzMbi5mJLuzIk3iYiX/M+t33nCEU1OCpPYhM1ZFfvBrRJ/mBKQp0w
uo79ZPSusI4Y8VzW0409CiiyLZCMOevVbdhdboguF9euT3hmWI1j7Hh4+ldpSoogq/LuAFhU7XXe
6ENtFY31UBWsUtCplxoqc1/i6q+EHd5U01IZe1XMXQqzoJOk3AkyEq8yYabhTjWHeuM2aXeDaatp
tkEIpWcDk7i4ZfeRfa0msNmbpgtsBNm1Kx4Dpy7uekYAvl8TDPloqhzNLUxl1rPr2NmE40/71V7D
mkI00Eu1r30VvPlJp954CaswLvJ84Bm74MIBtC4xZelljXHr8bFNiq4+J2GA0XAMOxjpWTHI+zaf
eXIPyjS3fB/X6uDChTxUZUhErUl4P5FexudpdQrwJlK7F/5sU477pDctFUPZ4NgxCMJvzLRgzMCr
FGHknI7e6lnD1jJH8TAOkIM2Xtr5N2SpWwsmjV6eWeZaZaQAA2FabUPQ73w00iGGEzKcVTHVdxIM
rcfPb3AyskfhVoBZ6kKDbXoOkmVI7iqvwram5h6slTYm5DRwLsNN7xXhC4wc9QbVsz5bWbZ+XLwX
POp7CARimfYdeKCHVTTaiHwDxy48/jm7TlcFPeHnePunxv3/S6mA/3QL+WsoZ/L+54P8/ZBX7//9
v9V/zwb825/7bZh3PznM8eS53IuX6O+2kL5LVYPrMub//F9/LSDFJ9+2HDv04LuzgKSn4a9jvOBa
4GCL8n2HHxOQF/0zY7wd/P7WeVkK8u9gB2ryH5u9/x/GeHwiTIOjscZSZOrGssfgEoW/W8sOZyhj
Cx8WBXvPllfVnH0fmXJA7XD0ecWMXKkn8FBJgXFuaZ9na3qDNqd2XmoXsAT68HksSozNstSbVfvF
RiglN74QN/5gvOPkA7vMV0KKYYzNlAwn3j65QRtj3zfVuBXngiBi3sRr7b+35bJsy3F9lz1uyIpJ
klxp9tVpxEmAaGOMGJ9IarebzPbHzRDUny3gJkhduBMLgG/Qu6qTExorT9NuvErhM20Lx/zaelkf
lSFx9oCtYJQL/dGIEHluTlXE8cJSJCieDO3a8RjAmQGw91mrgdRAUBCe7DCYJ1P2rU+T6mivzU0u
BrFNJdTaaQjHSDMysuG1dubk2rspKMudS8jzUHktzSG+l53HYOl2l7vW0Wksa9MF44uVXgjI+Pn2
6ewHG4mEuHETNR1601bvqbDUDiJt/yWti+ml7NSP0lPQTQ3nh2lOTAGN+2KMZbXPF2DEpfBZHZj2
XejjKTctApQuy8PdWNmg/8HGsMJTu76uakokmh6iPXcaCbz5Fgl0iBIeR5B4Mti7fn3jruWpJUoe
4K0VtfDjGZma6+jNJAa1a9zq+6iygsiAC/7U6m6mhCwCQvcmXNNtlYJXWvLM2cB9OBagwSJQa998
AEPA53s/Rhe572u2ayCOb1aIz8LJvyTYaiOr1Veku1/6n2u6mQQyp6dTbQyoFZ5spy23VXHCiv1N
VParhTcW+nmN2to9yXJ4CpuU/Nfgvk0Gc31ngTG+pBlyaA1Yzq4LHO2xBCsoxoDZa2WvBh3i+xSW
1yD8mZa03LWZytgPA/oY3IkphbM+NufykCjr7Ax+tpsKiREbQ2YbwMvMXHc7JOJ6DNtdMwNA8LLs
B7d6bjkjKrtanzq2tIASrxPbuF96fa5m8d0ZGKa8ab4aey+MDC3AdXgzPlyjIDvhXS+jfYEANHvE
YyAeYUoUIAzZUK4vol6/JcQjLv0YT6VbuafGSm+YpQ5gDRXkBdZrHd8M4mkX9INzrTPjUJT23sQV
K9LwIRzNZoNZ7dqtsbP6yRXIyYc5Wyzcqxzt4Ri+pFJ8TwntbR1dCUIt/UEOvFElZkFLQdrA9FZT
aVA+Tyz9j4ke71PR3IGuJ/OhQ/NyKfmKU/g6y+1Ta2oAYvBAo4RqCD6RWIAqcgZ1hzgMHDGa/abe
JdX4EBrNc+4HT0vufi1CXlt+KQcYlUQkhsnf1YE4Z1Zh7hdYPVtZTR/IByOfnYWzWiv3GHhFdep1
asQUBagtXRVhjOrf3ZuZHA6NbSxxsXY3CSSaKIPB8OLXabLRvUYYFk23BcB4++dPw//UJN1/58y8
OKz++Zn5+Fr1r9X7j/Z/PjQvf/C3Q9P+hGcH4SkUP8m5f39qik84ubjuWKYQIZ5OvGO/js7gE5VD
wkaZCAVnKIvBvx6dFyeQx7+OS4Lv4szEHfsbUfjX8uJfFRwBMfyDAkZsGRMk3qLLGiHAKfR7BWyQ
hrNmolx5bPnFMTUrhOpZeSkqTDGcag7VjdOYwXCwWHHfT61S1yshLqwFeiifApEBIa/zknwayse2
GD2gj6zmF5ajPiUqu8L2eY63tndBUuZ7syn5AV7imqSvCVrgROFIjyahLZZ9OihOVkVChtT8KK+W
ylVROPTldEjJiL92pZT5gRuG+mwvJbFzWDOAXpiNv0vDHN4BngSnBVb5ddBBftAZvBzulD2QTqCY
eN3B1ZdfymGstuTbQPNnC4HsgiYTNK9wJEYi6iHAAiGG4FSbmfcQDGPxefWX6sPG6k4OYgmc18yX
3RUJqSCeMwPS5VjjNKEKoeVycAEdeHp9bPUEgYWX6yZzq2VPygB2EMRCzS8U+N4PNtLejyJwNHeR
RDtUa8h6njZrPuCiSSab69I0iW/gmATRiXG4Ww3Dumq8xP9RCgsmSLJWBZyEhqiUO7Exx1OvdWw6
K4+rtAchsWiLecFPevmV2IYi6Owr87bOgvHRl0O/mzvPep/aof/eD259qia3PFoF/yCUHgQXrJmw
XEaz/hzMhM0IqtenZWiMMGbbXyLqk5C67XiQ7fpxNl81W/RuI0Tewcqf8YiA2guAI87BZ5jG/QvO
aI3xxdLfLNEH9wFvZReZyaW0yWh8gtJFoEgHZOaIA8Moz2GZVa/CtQWVVPM4f/Mqw7snwuJyYtKK
hP8H0EUNTgfGcHXANaFPVl4uMBmhGoYBDpFlMof7wpHDFcb39BT2aXG3FlyXN55V+e91AU/Oxamz
cfirHge6WDB9JLt8LoYD2i6w09paD3XbBYC4M3VNCsiAapA3XEnq9bSaqfvikXw4qKFlOzmp5NaR
s+YXkv2HWYVq78jGIHreYW1J0L1SExOAP9b62dU0YyBJqVHEC6mZw7I0ABoB5fYH0TpGXIEHBq9V
OiQMO5a0AJacxthIi1qpGPQRzSGg/HDbd15t34tGDmKDf2h653qffUthyl3JclVvRhgkGQpTB/Rl
vWgxzQx1kUuttE+QQ/X3CdQo1/yZsAtb1cHKttzmE5TNRgEvYL8NVLHw14JluYf9BlwVJLTN2HrG
S5C54sbE0zJF1RB63zRPrIt3pV7kEVJIeOfUuvlmucl0Svo8ubeXenwhFcIMg2udSS8xQVtvfKhq
fHn4jm9G2tv2TKXieTTVCGsXI8HL4NQZGUW0EIhboa2A+w+Jvia2igCLBc9nY1hXxQrUpVzPc5Ey
Taymkd01dZk+5QyKCsqGLILYL6X5kTu1ggOojfWHg9p5o925smBaiRa9tiueeiTBL40Pjm7rlhV8
KtORn1dvSD7XbouGwKDtYoJq1JfKz2Z9VahifO5IYtWxnVbuazX21bP0xvIrait0oJzsK+tGLwMT
mxrltHVKyzGOBQ6C9sodXU0xUUOk60zqLx9jLgoS/YqeDiTUNMn4cpv0PvWUG6SRCib7EbxfNzES
+i79FcMKcoailDbY9Ghj1xZ0cWCSvrmjwGMJIncQpRkpEGkfpXRDA6SNDJ7xTC87EbQaoCIyjgtk
vLU0MaeqQy8cTP57ULs1vAU+98j4Q2Y8ZYEwPlObJDEL4uG/duqKHLd0k2cta7wMnciGNpJL0L+l
1breEWO4oKumHH8TwC/8O4U/eDucVjZUrDL0OTQqHiaerKv7nLSGFyOpZLfzXOQf+VR/CEYgsMaQ
UhOjMAm7ltlWlOjWm2CcjbfMmCYZT0z4hz5f8hecLP5/ncv+v3Qd/1v7R7Pxr6s+f+rX1OKFn/C7
Cu7Vv3mO/7a3sz85RKkC8iC/qQC/hhb/E4PMZTfnXpwR2MeZZ36t7Wh4RDrAjW9jpCU1w57tTwwt
tv97CwZNAMB0HPoiXc9nv8B38PdDy2i7FlhkgEaWgDq8FWvmiyPbp5rRApJxZ5yxyoG+PpaVOR8X
XCCgq8XUbJXv1Bxmtb/CEBnpdVlEM/PkL2r3a9OE5amauRHVTrYcJlofH1hrZJH2uDE7FANt0Mzm
gzWBYy10AnuscZz3Rtnlh2HgikroXgPU1sG2DWZussuSR5JimAsovE226bpKLo2+Z773WEhjVbn6
fe2q4pyPiTiuLOlqBHYr/8xjTr9WGq5Z4ofpidQMWEyRDG+dkU9c5yX0n8xf9mqxWZ0semJzp/yq
OAyOzg42rI99YnPHUn1ZP1mAq2+zLExvcljc0Sr8BLz5on5UTBO38+ihuy9FlZznNM1jnxKsA8ud
9GYEWw0uQJq7UGm8aapOdclh2WO6FX11rmvXj3GMPrRleN+6/dgdJztNAEHlRvXz77GzPfgAPO1H
hbLBY+F2mStyt3M+HVWnQ3xOdfmeOrN/MOhHvF/tAFzfxVfwurqL894XZKDBdyNtS1zaV6Ae5evC
tcalpUjrG2YxrrZTuKIREA/9qtcs+YJHW5Mu1i2lURuaOnE52JOXyjgdi14eLg85Z5NQjgjE3a+9
/ZAbrO/ojHrRs5VO0AINbtqLlgVFAm6IR9aopM8Wreggs62sA8o0sbZ9XuCxVrVP2lLBSKyz8YjJ
y9nVFltXuFK2PI4mTq04s4YGsQKj7HPOVfu6twf0gVLVXBwtaghgr9rzD0sWhsGSdSr7HXxy19my
9CXI2mSaoiG7be8M8o0dEKlWu/tS8pG8kBj1Ofw51S1ZuMkADX7L6rk8Ml6wh00W70qnIok139kz
0XrICWttxkBXxDMwTtK4yiy3JkfWPsROuzO1jQjG6mDcBv2U3a9F5d5Yazme5IRTHLSM2BY84k/h
HLo/5tZQy6by5XIAdOTcJSzL9sppncMgjBmWKjWPKSnqfetC2l69tAJWXI6RQPHe57MJssJZFr3z
8+bCpcpW8nqMmmSSWjDZVkjilfeD+HHmUScm+VYp2+nv8TzniDJW/rAI4V+N7NR2gS/kq2svo8tK
SE7nsJ68yMiCBh3cK/OvvRbNI/jPAUia3el9qbyBY6kZD1xD1pvOLLuHgIHuaDt+sg/mQe6U7bKf
GRDXd0uYNd+9Sfk7g+aPfRFWcLTNXGARzoRJk4ar+i8SMD8VqvOwZ7wfaNQAQu1YS7rr8rW+CpdK
w01uwaDzYVLHkXf/Rksj37YGDmiS706IQa9rqLgw+DiPtTINWsF4/ZlE+WnSTtFpVHWVNqzpkDKc
B6LB1l2tgaG7fQtizMku+GmzevMH1T4WdDbFdeH39w55kse8dKdXXkNxleicR9oyENB0jcTbdfNY
3sK3Hp4JWrt4Rzt5ry4bBHdt0DHrMbSeqoZjvJhmuFt2wxtaZcabkZFQhlg/o1qWaWAdOr30xw4A
5Ysjfe5dzPp2vl8Xo1bbfPKNef/n1Yf/pFo8LpR/rischrz4R64a/tBvmoL4RBCAVIqNs4ZA4aWP
5zdXjffJwxjzK9VjCo8z/dfx7Hz6efYSVhMh6Rn0+r8ez9Yn13X5/9LjgxzgkZb7M8czAbg/aAqB
xfHv2wTIWJiTQLr8878zvhljUfB4pKlwydc1Suu2OFjS8a6zAm89TTofbW8/csvzojGzv065oGzT
9c4aT/udnOrspQo9+TIpQ5w6K8O2NgfTtXbXlI/eWhyIEhomXF5n2bE3624oW/wIOhvn6oIK3rZV
+aXhWxb7QW7e+tSpbjV4/vsiX0L0UxXUWy4g6TlZLfGlXofqrQ8ox6kGyJCmR1HwxmvQ1oygYXnH
SqvR9Jl4+dkA4/CdQp8uljyEPqMO6/OKeQNKaNWeg8BkX858HOwgxSTxwDJSbH0ZqG22XBYS7Mo5
fbHWHNlncGFcM+ep12ivFYheCiuKBqpvWOMWBGOLYGrbX02dC/iVHhwyBGdFb0TbUZ2bWzSP+tnD
mhR4tLupjyHEW69mSltz75vGSXvGGGdC6t3sNEUkqmaIcT3ovbTcowCpf8vRVx9qG2W8CvpH1a/Y
m+fvQ9s/EIstHou1No6j62Q/tOlQXcmwAWhmHK7hL3a8hMZ8mDxhRIQnxMnh2vCY+M0tBSfr2fBQ
vrmbJbFrlCKe2yHdoTKHX0yALfsZPz71p0Uy1RE+kOBtajv/ZdU9WgIMl2qHj77GU+E76YO/DtYz
dAR3W8yldz8Yk3kK3UqfhoFbGFRlMERd6CaslwdetZ5qXCP3OTidipa/shZRHXKa2n6O9bHQywH/
dnfLZXjZlw1+b9b/w7GY/frAIyrY9rYtKenhQtUWbn5r5bm5W6mhuc+0FbxQOkG8MxteStobtmAU
b2vaBCPhz+J2aYpXMEtjRCVTgaXWNGK2LRQ65hk/a0hocrEvNc0B1UqxicQdFXXLNj1AlLEKDww4
+g0aRjZyf2a7fKqJIOxMH3BhI8mcRAPhnm1ahM7tPFliG7RELcYlsM8/X4PWqtqbufPzI9P5dLXU
/M1nHTI0JYm8D4GW30yWM24gYt7k3AXxpcxvKtFfRBMAlxnDI7szyK0WMYjFaiXqQ2dCNBbOjjLE
51V4GL0uSHCWP9TIOrw/fTp0kU5MEcs+reHEGN53DH12rCYJ79rOnqsVXHBvyeaImW3dLjK5FkEv
eG0RSwygvvEEzDZCMniUTHWj7q+6TJ3pjzLfTJeD2p1dgmD0H0nzvYQGtcdjfuig6Udho59q/D8b
M3HXawv0RuSWjEZrkO9SVkVSdPeD5AKeoaFoXkYic8Pjwnp963d8aBOjq/ZhPXqxb7hIfrhpjl2X
XHfL6GyTljV105c3JAou+H73w+r8c0gd2wyb+PKtvsACwxs+aHNs8D54qpfR0rogrfmeb1ifkr0Y
7Gk3NcMjpqPrVHVf8pHJOxA8iYS3gCgG6oEL5DCTNtis0IJiyxJ5XK7Oy9xXy3VTDcDgTcrNevsq
y6uvIGiugQE+oGa8BPSZb2wfIhiZL7J2ASjFcmr2XcVDxhqtrT+UewrNToXynH2J7Y3FZ/ulAivK
PCxXYjKtzXvsAOlQIsTIQ/dNiKt+mfosDrjSbMYxO6W62vp9dge9nb+xK/dzZZ+aovkxmcXVMspD
XtVN1E7TzTQFRzJlR8/N1TlhcYh9gFep7AWUYFubWNkcIhM2vgLfTlB/KjKOGIAKur7xk00F+KKi
mpLItk0ElaASpyD1+qfRT4GmWupQolpspUviAGg/TzPrztBgYGaPcoHVMd9auwDZCB4rrknbRxO9
bREJjnqjS/qIEoMFGCP2uyD6UtbutyLtLkBFlwczEZpdT2FupLu8PdhkWzcVZ9vB6ioXI8MKGYxj
5mgpWsSFB8AIdPJTJizMxA0xj2X0YNUE3d3sWnO0jGGyZcFW09Qa+HAn2enWQbvpK9oTukG+wiL4
ZnaDtQvLyWGCpDfc77KzCv1XkmO7PClvi8SHqlXN8K58JKWscPqoCMTVQAlaNJZQa0wOtJhIhSIS
mn72eQhG9ujv3Gy8oxjhVBpg4CE7sloa/FeJ9k/JfNE+1El2p7r0DfHsjk/lsaX9yautB9NfbqTp
/zBXltPV9Nh0/a27sgCrTRw09gWXLwm6JfbJDcsvfWY+Zapxd67RYMUobtY6vNaYn2IfTV53mgRb
cXYSCM8zGY446+1rWqdu7alpsfxxRCPbPNITvRWLuu3D5KpxEPpcgJcCc23etngQKcCNvDTNmIqp
9IGrv+s1iDDHLuzLToERuez2tmuf3bC4rgBeQQmbHwP212hKQ8kHShUxbjgv8ubEj9ysNcgqUdTS
JetAfqWlEAIuqTnZWdwMCWwwM/scoN3uPCM5OtMS3A1ufwJ0BZDeKzD3VgIWZ1lus6wBScxnb5Nk
F+E6CUi5EqHgi8RC9oIUR36Y6SOZnPtqstkwooTzOAzqTdo+wfkKNssKc9vpcn+bGu0FvUWjZyWC
WJPawIF5YXrTVEwHvbtlrUSCk89+sfe5PfF0d8HQJT1tBlBGZMuv1y7FRxY21LUFvbOjfuDeN4si
kgpbQ8AXNu7oaL3U9lQ4SbP12M+i3k6m9ci2Zdx09tLGJKUoLmBAYkEIryXwyh8WUn9oNnqzJOud
M6OPtMJpocdza8rKXCA+1BPpOIxzGTpvP6aMRDCnpg34jHofAko6pHSv0BZIv8iUS1Di9EhvfWt9
JLZgUxrmftjWgOm4ytVe2ToAl5YHbF+keRhcxS3cHd7Spf7GG4rrInHbqDKb92DBw6SxE23s3s1A
hA1vrsfuRk6KeF02ZiCNpi/42uCh6fkNI6uzBS+hb8VMi5hoS3KjU8CpQ4/URoc+/O9LnkxU5hCV
5XqJUlpYI/uSRYrgkRFR9PyejEQLS96B01i5oKeXROLDs8qJKEcizX2LVsAmyfV3SQBVlS45HiyV
o9CK8+QaW0mxI5bhRRDRk50t1BRzryKZxQ0sCnB0ob4jtTZ64DySFUx8U+mt0Wvkhl6sV9I39FN6
ORHLDD2AgxI/Fl3d+2FePxCruajZvCVJ36R79HrrIMO6PHnElQ85jfWI7NZTl+GYq5qZjHdGL0OX
66ibQLN7HXx+buv37HI4v4IBeUrqt4x9d8yslOBGN4xthUH+yiqHIRrHlmYrU4DsXcVZu6zaxSTN
2JiLMZJGvUQF1W3MldLYuQHWX6rMeBqltPJOI8HARSf9/WLo5VvaqAohi0HXRSMgjAT3LqvIIZX1
mxJ2+lgyCGKZnt4dkqf0DtBkmXo4gMfCwSCImW2LtfIrGS/f30/UQuqdoCdhmy/ueL2mDd9sn+aG
3vMTxQ6skfsF7RiXH8zsbloeGq8+N4lXUMQ4TvD/GkQ3z3VJVyY/6AS7GzRPv5ZHC/s1/4gSyNKj
0d02H+z8tjdlQ8UR51nS4IxfDDoH6RHEb6BkempMR11ekYJkauHetw6+as8avyKDOecZmQiZ6gdH
vdzWI3aSTllvM8/pW04PHInaFwDWXOd64LMBCWBcIlPSf+no19wWGcV5YfWYNV6/Xaj73OL8BcYL
mmMfMr49rlOD16izE4xEhb0FTK4iZ9HBV9tLDL5UOCDMoLNAlMPPtoK13NOQjjdQ59SqZDy+qpC4
aJdysPJcdSIKJdMrdZnIR2bpK6f0630/hsERN/JDl+r7MC1B9c3V8CKkp46pv4gYgZjBNVuSuE3r
a7sA9qvKbLij4rvdUuKn0IbW5KZsTPnhjlkT+14NYsyvhic9qu4gAXXtaX5M7+wLC9xIHLGxKKdg
yjFeJtF4TKMJpkxDlV9AKgOwwfkdQ71H9nPI3D5iC/UjUhDQm1ldQp9Puzae4Hr+aHrYOGr8CW1e
i12IK+wauEsY17Ul3xQ8+l3rletBGsAORgxPCI3LgznLbtt4pn8WjbmH/ZzGbuYDeG6ZqOmLvVdw
zgsoCF8l4+sX0ut/iRz+F7AdOijz/1zq+LeKFh09/L6T+C/LiMsf/E3uQLm4gMUuZgmkCaIKf5M7
2DkgMISsKujFtkCj/FXuCD7hNkMIcVg8YD38GT36tY1wkU8CD2MiISPSRCBu/ozc8YeY38V8yPXV
REDBCezxm/xhGfEfRV4K7d+Hm4hOeXhIHNwEPmowhsvLFuXvZJjeLUmxN4MdN21ZJjdd1zKN6GXp
oTJMYfM9MBe2ipQLDqc5m5sYHGhwgp/oXuNhmghmdOvbCnzxekRwYQeLC3HAxme2kVpnfGmsXtwv
VaKhg4YDl/F0HvHATaXVfKST7A5keXGKNVQcmGbufRsq2ezswRkfrMUwv1mhPd9obnYPrjkGW9jv
6S5ok/mcqTm9yw0myY3OzfylpWKShk/HbD7bI546+g5KTeWIl7V3TurWN0S4nOt6VcLbjCAWkG2V
weOb3A5ANDSNbt3S5ZxuzR4/eAHTyNzVSxUwMtgjj8UgHeVHT4uIGXV508zRSFXJMWEcj3uDeRxW
QYHiy1nDytVUS09rVGEX59au+o7rI/vZKp3hlxomrXjRAH5jANE2yjHuqQRxkMtr32PUzLyWtXzh
Gsc0sbuJmXmQpx7P9kH+ZUv8c2MMbLX8Wl/WyExT6b01ZkaHc2RtvxOxoycx4Rc1CEphKY2wba9v
XZZ69Ga26lgbpvMlZR2+62iEPlNRA34VJcnajKVZvWqvGWm70JZ9yJzRWY4Gd9cnGPbTjT+a+sVT
A9e6xPaWjb9MlyRDhmmlU3XxMVeGfBqbvDs7FmEQkMHg/LHU/IDY1l1NplE9eLChfDANubo2ZLmI
3doFZwpsw3da9Mxr6h+ys1VyT856d7mf/Eo+LdK0HpZxTe56vEkUT5llw8+eEjS4pBbJm+VkNR2f
vvnRcqDi/6Hjj6lrsN6DNuTQzbvlFARJisUt7BfuK2BSjmAI2cAEcu2AhXCqPqQjJyV3UKoy5EpC
YK4CHLzaxCROV3RJ+KnwbdIDfdgel7YiMA9PML0aaf998qgovCurlrKTyfDOwZh6ejNrhfF+IV1E
60trTlT+1WShKMwlhrUR0u+WXem2zg87AzDpm5imdgMg6BPGkXFlSHH0TWdhkNnoaWp+pFPgPMue
T/mloYQGIYdugIF9EDBox/o6yJA4wmBWzC4UasLbp070W9+GyUtIzfB3x+jHk2Fh0y0z7R3AhLN6
SlRDtXhb0ciRsxYp56UheT9eup5pi/6Q9iIe9aRdzFt4fu8Yecs7f26G09pDwAn9av0MGSw8Wk7i
A+FTTneajVCxCXKaz0bZM/ClncFcBZK1exC56SkvXlXefeVWhBAKcmNF73UoD1xyrwco6+YIn0xU
eAiQiJjTXvFhLbHnrpozNcM2Zq+KdDaWBI8H1JivpNrCQt1XI1daR9MylKtRR6SNmq2RwATeyLB1
tzT2UtFiuYBK1onxxLTSqMouthaKgKrPam751wG6Se/WarYOa2O5D3g538cVt0uWIL+APwrNc2G2
4xVfdTNmR1RAkETBup49MUcmLNyrcNDrlvdziYZwcKOgp+ZsNjBS+CVPkso1LEHoAWWgHyF3FAuN
QTppch5pYKxNNlIAkCAVv3ZKzAx3fvtCh5B96yz58+wQ5gHdui1JrZC/mbqUeseMKqRIZt76PRfS
vlFkdh5HaXsmvhiRP/AwS4lCpp58DnDM0U8CdIlre746cdvB/Cxsh17KQo4WZHJUrW9u3hn92a7W
/viXpiy364KctiKTiyT016MyVYK5L7CeLpczebcOLhXDRB7xBrcdZutg4E30aPM8NKnuztOairjP
vWk3Bn5iHYyfnVlNxQYeurYOr/5RcRbpQ/9bO5v37IqJ1KiUrXrqmDtMweol1Z79kU2U/PyrFi2D
YNHT6mYWEMNLP4yiy9hJVX40Bq+Mk3UJ9ris/2WHVqvZAjc5yb7/Db1ZdIEOsaWExeaZ84WDoLzK
qsXcS3guBBWzHLgH1VcqNYJbGSTfhpEc5sQTfQOt26anfDoO2QQHp6DpEVMYkhYExYA6cizIK4vz
hWJxEDz5xBdLXqpG6NPerZlrv/+h/MpVDt9ZNnXX/7/z6v9455U90yPt9f3/W51XHt31m0SB6G8u
gPF/0HlFvrr5so7cx//DO6+sArOEo9/+1zqvGtvkwpwPN8WM197TZfzvNV6plnW4y3X6IfuHTVdG
TxXUHHj/uumqFMPRbtOTtU5PlITSq4onl/HSm6LWH0iY2CgRUOWPhuX3mDXDyjik3LNJEOf6TrK5
ucfhu9J71pDrqS9TqrdaL6s1iEf45SZrPJwIssTQWYdMzTogEJWOgodnVTjvQegV0SxldrZLLyWD
mYeXVP+TKrj5KhhzmxHh3o8GcprPaZ7STtetuDkKbTDxjixuVXhfFcHXNMDbUFizuHJ8iQYauA1N
D+D/NzDEZKzlSC4mQPM1RDLduk0TPKCFpS9Q5ZKHzOkpfhvdBrON0dr7rK+wDQWQflhgULXVU35H
Fsxfb4gL9Sb0G8rZajGZnCeqjGrPXrDw0NJpXOUZPSJRlUxdjGD0A/oBaq0z3c1m9zYKH9tlEujH
wZyIgBSh/GBYkdFkrV3EciA7MS/STymD19wa8r3tdAQUFTONKQfSN/+DuzPJbhtLt/VcXh+xUBeN
1yEBliJFFZYsdbBkyUZdHRyUs7kDuKPIib0PTGeGw5EZ8eIVjXtzrWyFbYoiCPzn33t/ux+yZ0+m
9hM35XGNOHCuPChXjIXPjmz6da3jns3a+altK6rRLNGver3qF1nAPWgheEUGD0pP1acyTfMgw6bN
tANlPub5vDOycF4VwnhFfaCAijjAmlaX/GiTDkVhTchDK9ADFafjCcKHvsnwlF80dTRWjZU821n6
6HgKdm4gAZiysFdHUMTeMJ3QcGXnXRJU7kwp6SzZg0+pu++aKrqt3bzgFeeYGGw/zMpDS4P12XON
cW0A49pliev6vPP2voi5nArDpey+5UIt88gDephqxH2qWT/XdYJ0wumxvkFjp565KNP7bCiK3VjR
y2UxxX+lgGC4RI3uABu0VP2BqVSw2PIKP2tsDhMTBLVl8G1uY45jO89ooVqMoARWhU4fPAsmsaVp
oNza1Ai80s2qbxx9ArdJL1ZDQ58Hso4n5cUFIhhIA0bBKktHzU/kULzX+PIhQnTGkUpgZMHUapEh
appca4oyVmk3zTessasvWm0aBE/bGTxVpVPIl0TJXrVMLiV18iqsqEp/zmap+xrX2VZvjOYoOWPg
HZia975s7KNDRvfiRGP5IMVA/16JwjyopndjthGknCjMPtPXx2KOcADFPJ58tgpSz6shB5gXKVx7
lT2PO3eIxo01Cnmj5j2VOlh4s71VOtm7aaRJT+DKRZVi475t5cCufBKdiNa02NQP5Nvcs+tMDr32
lDM+T6kyI9BGsYt2reZ3uZk96CHic2G1AOOLuqMYYO7QH2QaFNpcbwAQZ+G67UhE5kzN0bamafO5
VguaFUXKulbVvG3Tpd1Zd3EdTLOu71lw68eIRGQgwLrcVViOEU8w1qe7NtVnJiQQdx/RJIZj2dne
Lcjo+q0YgKisejoa4lMp5HBfprPcQEjHs9D1cfolLwrnLS8S96xVC6cM/mjKTNSn48pQnCqI0Dhe
C/AtL51gn+2UMd18ZTi3+9rNlA2GLXlySeWfaJoWGeWHxbi4KOV4thq9pl0ySzEm2O1OkCndNEVa
B8j5VuKDqlYvPeGwm5AsAyFSN6QkQhDaVjj2kJjwSX8Z7yL2jF1c0OLhSy1scVogkt7P8yBPyGHq
cxdp/ZGKSWdXurF6x01W+1D5mZG1cKLh9KiXekpD+EaG44BqFDix2iRfSxANSKcYzK4xRPO503X5
/MMa7l8wzhZq9a9YHDZHeB8NWOzAdixPM3428Pz/pHbDC8daTOTJJktsaD9Zh1IOnVAMKIgcNSpX
xZd0Ov1129h/59Da4rr+9xvX9Vv7Vr6JryxX2b3Kaf/xP//Hd/c3f+9X97er2/i0bZBIjkWq+9eF
K+hoh0y3xWJVJ4G2fD7f/WX2L4bqcLl4KnFuSjYMdrHfF67mL7rLf8BcZvLXyIH8JX8Za8zfXJ5s
XHVw7trVyIYR3VicbD8uNhO2HpCNLcRLs4Ygol8JIinPV57JC1iEmmdzEy+wkS5Xh6MUZvklurJI
oHRodwnFMYbvLrCSRJHqkXBsuxn0vHlMLNyi0EGViEcEpJPCJFSysmRLj606mU+FRp3GKlv4KClr
KQ77haPASadX6kUxKDvShSePnPXFh2ubYFbqqIOdodqNExg0FDfkussOMTZKZbjGKhxmaxYH/QsV
NeMhusJcYpFEL5noMSLZpZXrhwaCaroODQwUa8BQ8hNqSuYEgHgtCpKHotloOrAaM0tNgKyadVFr
1Eh4GuxKt+w259vCgGFzmNmbHT3Z5KfGivJzMY0OeTaInwnTe7opbRJEKxmjAMK4oaOYAnCxtWoh
lvWpEMTx2KXHgeRJlL6QMKPOWK2rEH4Su3kKS+14KWge7Q33bCBHPJJfTSPvX7VEkERvNCpufAWz
dOo7I3VFuI6YztZJWmu3WaRjc1KBPX2yZmEt1TBWVwaNOSafsc7U1VExSuOrHOrywcYN9DgIDwEG
gQ55mOiBflSthkD6KhO69UafVXzP22k+WMXhRJWLKTUbbfYei1E1vXpWyXThXzWqiX6dzlQ3ihXL
m2oxulJFoz3aV/drFndqoNHFfIppHw+4mPSLNob6uiJCcBRFkmzl0OrrCCmxWM9FWezTxWmLyG09
1Iv7tlh8uKUwmwdj8eaaph1tDTLuhzpO8/cR2OQFu5VxH6n4D7TF4dsWY+Sbi+u3Wfy/atiPB2PO
uoPTpNETbbZMkd3iF6ZniotfLC7ieQ4bqj/nbD9WzIkrdsTN0WWUO9SmU67NRJc7q62tndAFTrdK
ercWqu5DsviXs4yV1IJMtSnESXBaOBj0ySDheiYNShogG8aPNq/SjbHYo9W5jSh5xzKtReZ00y42
an3AWdEv1mptMCQu68VwHYaAUZD1cWFbA+VcpKwHGFmLS7sllfwWG9qwHZGY9+w7k/tZmxZIt5vf
xRVFSd7V9+02aL52Dv9bp9XuIEra7ePIzRwKzwx2v4t33Fxc5DiSMJRbi7e8XVzmRuRQZNToBY7C
VoNHRgKAihbM6TUtSkBcjYtI3HE3XV3s7mJoLxZre+n0ZpAtdveY0OtJXSzwIiW93rW05I1lro7o
ftkQZKgn216HXu6YBZzqkEaxwSjC7aI+wosfvE1q1+Lk4IjbVkljH6asi4Jk8ed7cZO/lotnP+xD
9ajoHUmTq6UfJ31t4YbP8bPJORIXiRqKCWaJAoiO21ZQteWYY9o3vDgYPDgP1KnZut/Edtxtu2us
AHnYvIuGIdpzsx6WUwsBhAbfCnV3ljU9ybSZzHXJGg2OPGixyDT7EMm6ycDqYpmt9NE8wYPKH2vd
6b4Ki7YSp7KaN769fPRd1fke+DMG2BBbwqjXzPWQuAFcJRMX25SxjKR0y69jvf3az9BaVyGI/bsQ
+9rIggBYLOAKsSMkqUfc5Nxp7apOcReR9bsnA8zTX7aZ86Hhd13XtaUeuKiYLzvu73UFEXatWJgN
fB0PrQkUfw43BZmwCvtP7t40jjIEVTyXdxRxq+YunsNQIATYypdIzZNHl8i95ReQVeNgbDrPWtV6
FllBVXXk2HC2xIesaIvPQ0+QH8lMiDVgYR1dQlDL4YvZtj7PxUTwTRMgCZwSb+k283Kd07K3OOvh
D63TJMlf8kEN3Zta03mDEXfQ50GKTKzArcXbNjd6d9MLBVMCSN13qVOIvjJkU28VnhmMs6UOgmKe
S7dbayCvFmDJTEdVZGu0cumCEb5PE0ey+zMBYNVKzekzvXKs+PZhzSlE1nprEqND+WJduVflgsDS
pG6suwWL5bk1CLROLGQGSwvsydZuK7v6Othl5Ced3Z+qK2WLZsxoHWphHcAAT3eAwdttfAVzLYiu
tCHapF25XX99UPuv5u/3TF0j3fZHExh02b/9Z/8mfpzA/vnXflW8HWg2/NY5/bl/d/H/avDXkLsB
BvAM+S5rfx/ANPUXV1WBYjKXMbJbyL3/jN8xfLngdiz+Z2rUfvxfCd6O5TF9OSpgAxdW1dJx8uP4
xX3ke3VSjNNvE8W1tsYLXx2IpUt/BLiBuzKyt16RYBjXvXGn0GAa/L1hCYGjpOwATRJZdO6DH36V
/+Lcwm/6h3MLuUBbUw2smyrnF+wC5k+UX+P/bYnU31+PAdRkELaJOajLz/ODwj4XGAXlBAjfGjBR
JfictT9DPYNi+BdvikwlL6BSVaV6TOM/vkgNS1AtnNIkbMcDPutQAN2wVt8irZyQ4ruB0omNg5nP
3VEkIr/W14xy1c3NTiHs9wmKY/ZJSycsRmTn4ZKolv7iLmFnF54m0b0lAQ03pr3xllg0rbhA0bBk
Oo+4+wYjSLltw5CfpuhRVQlWT9eMdYqCrfmt2STGOpMxnrB2LprHeKo5l8aDynDMz4x6h9ia+Cbp
yfdUtdOL1YTK5wg/EAEAdoQwHEQYP0JuT3Ufgk2GuqqipmEqGtl3jdo4IuXWJOZ4zJCvqDP+itGE
7PaQUJDiSd9LjSXtpJhbPGagEj3CAwxjUdi/LqQb4kmqIl+0Yuy+4T5a8EtevMFJSI05BUjFxfDC
+uih5UL8mYro1q4j4xFamXypnbI5pNimGJm63O/sqblvYPx9xiWVXaBBakGoo+XqiY3bfqjJsSCP
P47AT/fZkBd7ktAj4iBru3tWh8qZ9bEbeLWiZSuOFgM2WIT2Aq8duwLgCUb3AQCQxOJUkRX3qT3I
31igtIXPNjnapj1xwQDjnveC69sFZCjd9qT30L0nCr7SFW/XfFA7s9txUZr3kn3ii1U308GCofDW
1jhLsbLYtzl9BvuOeCLZSOnQxtsR8x+N1oYIlAzlqWvGkAWlNZI0F3XDb5zyS9RpKyr0D3CU6U2F
0ykG5Ibit6pcoyRm0NZPjWzJs/OsBpUlJWPFmpVw9+JMs7tFJSetqMFu1TE+RCrjYTPcKg0HHxbi
MLh8FaO2uKhamXyECXE2DN7UFGLHij6HQzyDwyrJ14qEBjr2NHV+KEoy6E5Ojb3pLTBavUODrceo
v7cJ7x7Iz47gfVL3RPElzyhT1u+txts1Z8wvA2uWT3HdxPe62ku5Mp1RnlKh07Di1E53o7AuphHZ
7LZzBKcTFkJq3dtui1V5kFTRrgdlavC82F6HcD5WcZCbtng26rJ+q8PCqlaDIsuAJV+4t2HynFC8
26+N4/Q3rhQGTEFZN866kFm+lU4XQgPFexrrg7Wd3DHdliReAQgm9imNRmurYNFnWa85AWAma5/U
XK2se1uqhOKeHAqsXb+acE5bkxl96pVWMG5N1Q66Etr1rLo+dWiUqS6/rWwerHXGXSDAB5F/0b2i
WbMTc46s0dxjZ7NyHNnBXkIsfcRX52bDPFo+RIntbcCsYALCaVwy7crhEk4qRtislwR9dWqVA/6v
0farmScIbEjrjqqtLBGWwEex6pVmGO6oajE2w+DQXlamox9NRTeupZFGG4vjzRJrzS7KDHZqJA3r
bBFATFZmY3E/u328MWScP2RWFj9WoWjvU2EAI4GJsZaRCzg16pxz1ozpZsqaIYhnpaL5VxCmJOcN
q8W0NTR5ikmyc2q3ISSFKcNLr6pF867jMw8xpMoe4qITp6fOy4uTmyqWPyK0HLTSaD18t1XsZ7RO
RivZFYIYd+xSRrvMe1qff3P7ZW8Z91m6VdKhC3rLQY0Yojh6Nyk9+ZzFaO4G3BUg0T3HX5mYdwnR
mYtiT2C0Gt24SWTuHQC6TSs7M0PSypE1bR2SKT7n4fElGbntdzamWscSbrMeaKB9ojtnfA1jUHdh
Ww9fZ4Fs4s62um/tWufrWqfnQq3MXdta6tbAmJGtbHPi++K0RQPTDqb0F0N0+QPF1j0HKSLwZwxL
MrCmGamjwtDTrTkmiPfJDJMdhYaUlxqS+7lLqXXcp1Kwe41Bo2lDO79CTwahzXFSPeOGsk+NLrV3
IcP4WEh9OlqqlQRJaJBsIUHqu57M390OuzSHaSXdcWChATqepuwzh8QZqq5H8AT7b3YLOjsF+SqE
tpq1jPNBJXMZtEVRF8ysc/stRBiiI8ZUmy9W5YxYSIyOVM/SsFohg0dsSC55kqp3miKG2JdtIWDB
Zc7tmKrVjVCjbhMlMFLaSO91WMRYqIw2jQ9pi7d9hbWF47wHlJNmp4bvoIh6HjmUTeegK+fiXIqi
ucsXY0xXzrD3LCJUpT9OSX2hKxlPcaiNNzpVjLti6nAQTybA2zKr7BMtPchG+BbJfGv6Y+8N8ZZS
6PB5UHto4IlJN2OdQFRm7i+8Wwik1V1dUt2t9XN73y1mpYZeisN4dTCpi5lJv/qahqvHqZnt+Dhc
nU8GroRNFfYDv+M8t5+cq1VKkpv66tXeRltMVHjN+Wkxq+BbgYRYnFsjXuQwrFdJxfYWIkuhBHzq
yoPJYzzFn09B+KpFMmD9wC6+h0tnL47pogov/G61+4jL4TFazF+1SnQOIxrZl8UaBoqpfeek+Sm8
+sa40rOjzQEEZZPz1z1cUPwTetd/zcvcDDRbmaDvtO1ZziJ7FIs9rb061aRIzE8efn8biRBTW7jY
2+J2nA/mDHhkA0rOiPdhbXi3BEDLt4rHGcVRaT3vKWXKz1HdlxuhdfKTEz/98WCq/7yyXCbTH4e4
ZeP+w6QY1bMyzXVcBMOaPuZ+3Z5fiQYRb9uVR2TYcd3sdX/NMqFam8dDsvleVPBvG0N+51J1HOxa
MDhYr4PI/N0U6YimwkjVFoHwe3/2IewdHqNTv9bWL9XGe/mzsXVZwf5WQTCpc+VFWQc7nDl+XtFW
EXvCgTpX7nKrxGxWlntu0Gf++Ne6OFh/9ypXGy8baV37ueB4cll/ZiPpzyGrPso+9YVSbyA/PhYy
OXDl+X/8cr+dxBdZhM5YqGzqAhx1OYP99kOU4NY7Y1byoHE+j9Nn4kSrXIRobbs/fp2fPqzvLwRH
0fQ4ZWGE/cm5S3xEUWPaxaiY0fJNsgNZsGbP/c6iSfX/d1oVf7o+//GKzvIOHU406k+vyGg5dHyZ
8wAeoUp/Y7B0ZcyNL/1Q26pBFoS+s+bBOwak0jZo/+HJ3Kg7OoT++K0vJ7TffqL8io1ff46fvif4
vwwso/wcsOTpKJCiWvGc+JNjovYvP0iKf2k5tbilXgWGH76NAtJEjm+loDuETJ9Pr9QOpvLFCao9
Wd2Vrq6c/R+/LySOf/HGbGo4PZOgFsLab68dt+tlpTmEyGDb7YuaThbXb31l6z2FX8Cu/MmVqiG2
/O73iOsbTC8wHk78P73cbOVx3BdRETBYR7tyE/pLT+EKaIrPaSL4s5Jj/c9e76eTt213QyRMXo/S
xGB8xImxrdb75Jj7hFHpvJkD4v9cO0ggYND/5DawfO9+vmh+fLM/3WxcIKwswehytruaVaB8o80Y
UH9tPLSkNld955w0DIybrCyMP3npf3G9OuwcliwBv23bXX4vP1xJkPtCdcq5kuamwZs6esweRv7X
vxQOFEhWLQbEB8P+6cMk1Pp/UiH9u7cCOJkbzpKN4CtINuK3b+WPC5P/Upblv7P+avwh3GNVTW/v
f/uPH5d/3/MuP+A9tF88EyOEy/OTfSKbrF/lV/MXsB9cB7aJnkonO5/hP+lbmE1cLkRNI49C8xJ3
zn/Kr0TXUNVJ0RiqTn/8X8q70P/+m6/b8k/xT9i6ylMDddhyfrrmQSQokz7DqWNO7T8LRXo3SqSo
T1YSTZ5P7Hs+5FIlT9LPacswWIVnKhw6OliIjfFUua6ws8gxaAhmJvHHMrTvEk8+gn4X/dpSsF+t
OpwY+64rsVbYTtFsR54ZnEOWXbljwWSW1wV6UfXx9YCusjAPhwVOKSLS+cv6XQ3rutnKxDW0bX3d
1U/Xtf2ywO8bC86XIicDb5YXtYtAwLo/s63ic7JIAIw2mG0XLS7ZSCcN6aNU0CeDJK9Zx4TVNLHL
CCGJXHWFq8RAYEEzd7RORGfBLw6zTufexF6BooanioPrVa6AUVVPvhar+bxmO8WJACnnhkziV69h
nxBzG8UlNbpvsdn3TVDhO7knBN/fzrVH/DOpRMMYjoRiWKPdr/CHiQlMhFW/qXbPS9VaqW1azabn
Uo5OeKTRtl0PCKWESPKR5YM5qX6aoOG5i6SDquWwkRL91+Hvgg/SD2Wa4SWnWfLGrDJrhGaM6bxa
5KIcpRulmJ3nCeRAv8+Qc3fE65xF6FYObMX0YI5HLPWGY+OmZ/PjMSI1If2gtgNSq5iha01ZHYM6
nabhs1zoW71HuHSbyRrjFml6g9PzgurqkLVTKF219U3YlVjgKsDQKSEl4fBcW6I9CaUjpAM6FIyA
JqGPAbgaa/pDUu/GTWMJ7xmE93PooT/XbC3P3VxV28wW+r4EUvY62uMQzJRw+GUcwrKAu0A3raNd
wjHKxc5WFGw7TQdXNZQNgelJGwtGPguUOVjZiRKjRgnFU1zF46txZZWOxlS8RVjZb9TSHF5Mr5QP
iTrTdVkDOVVLifOpNcghrROu7Nu+abMPOZvNplggqSzx3E/VAk5lSRAFZlMJCHWj27QrtSB7u5Kh
FV5sfeGv4qkFnzgBYLkddaISrPOqT72aN/sxKeG3IoDJTTEAdc2NKTrq+sg3aWht7aMc+S9K6Th3
eaQal8Tk4195slNfqklEh0mNmhvaKgr6NY25v3MWrqx5Rcw23LSIOS3kWUWLoeqPIbuQDl0Txibc
l5M6xfpJQRbyOSimOxlb/V2ZukSNQ1rlkQHrjj1RXwgnXKDB4ptKXuEbJzawuDnG/eU+EZ6ThZir
Jgns3EmzNxxtladeFi3JsKYj2jyTGVCkxWdaKMQ7XY+SlaIdLdByC6nXWZi95ULvdebMPQ2wcpR1
fMX71qqcUAyv2N9USLnLFxZwX2raM6UU7J5ImGueL67gYFWf4wAQTnSUpp4e2dQmyUqzp/Ldi/ro
iU8aAjGngfxTprF/20We7F/YOlXTrmlp4allmYIJ7qEZO12aYtAAvBJEBrfWNUshL3BqUX7kZsg/
4+YwM1Z5psTbUMBKzhZqst5PfbuxrIFvcJeDi6e1p8DYVtf1yjMX8LK2MJipnAbHPKAIHtU5LJ7m
jOcGfQUdDOCF4ZxnU7TPYdPw0zsqlhBu34Ezd/lTbjrDITfxzPl4WpQv1pWvKRfUZtcK1YfYPn+4
3LNXhigJ3OcgAE8joBzAArzGQ0Hq0PZ77vjGCqSnuScGP3L3uQI/x6FSCc5HVvOQNyUpv2kyCDh0
ZHNWaeYRauP0nTy7gOCf3QUpmtCUlKy1RqsekwU5SjEC9FHvSiIta3MEkNuYc77CW4EFuUnQ8Fdx
YUCYsmU0bybdHANE7F4GkabO55S5bcsWLwyDSle7b/IaCpz7nICg0FRXBWNbZBdn6KubztSbS/v3
WCFXANeUUtZ8mwAdoWLU6ZOhZzafKLL8Ga9zl64KYvrfxqQGz4Fb2jfNpoc+1GbH0Cy4aeRql10G
EB4EpwsM1qkVY+IY2GjEswx0XcQXr6olJMqyPBTglvwB9DaxwSLO7+oO3IMPkoZa61wsBYpZMpwd
GqNJJWURJAuYiazm+9BRL8DjWZDNQ1c/mtxfHnovVT5aq0kl3QGZc0/ieQYb0bn9DQAEtg/jED2y
YrF24YzHdaP1YFokPuHPad/3KmHyzNx2eRux+lfxlqz4ylK8Mxoh5BeR3+Sdbnxj6w1DQIFodwa5
pb12MtLP3IbmE87argpsW+DemwjMeZnD7ZUll/2qkFp/5faqbHVFVBvQkh5lZ6LQXkM7dW4yORbn
mAv8MY0GCqhb02OWN/stS6tw40Wut++tKX5NWCQrPhtcrOmZ2llbvmLlB8b7hD+UaLQfjNpnYXNN
rNuGcoYwNdwbyC4U7Fi00qv01x70tMwevNE2XlpNeLQ35wVMmCmLdcLlThx+I/3ZsSxPQgh92SQe
WihSzw5/bFcC/txUuY15qh764ZhZeKIiV4nv4WO1O7cw9WJVzxOGAUtLqxPYKq/1uzIBTabCWbgA
G4+fqqZtAP8PZtysDDc3T4rsGjoX6vr7SfAvzdv/1WT0745Ejjn/3sm47d6S8m//+fb7UVrn7/3D
yWj/4lrEsl2NtQ2L6EUQ/oeQrjJla3Q4s9VByOam+89RmnYak2kSydzE+4pzkb/1fZTWftFssLfI
6aBukedB3/0FkC3wp9+O0jYzNN04zAZM7gD4nZ/OXL1kW2Cxjlknquzp8nCmCnC9Th7jmAHd4ZY7
ucZxNO3xITLQs6CWeMk5Se3yFVqVO66pBlQWPAJEPaa8TrlTZBRtUmkYrz3hutzHizhL4FW9Blx2
6OZTWtSQkkxA0LRZt2I6pwkMZl+rHFUH1mKSFkxblSd+mz85kioOCe+8DzBSW9tl+5UFPbSr5wF6
5FmfhvDTOIXZa2ZCVQo6iLTOGk6ryw06S6p80wkv+zzarvNcar18VDIjfPJ0koKkNIbumIrGeJ+L
WWwMxAPUCMAcJ8vIvYe+cfmJw94hbEHK7x40bElGl1gvjmtPLZ6JsU7TGsfpZRI5bHS31nynoFRG
pSpkP6VpZq0T1IR9ljb5AUI8Tcl6ViQP8ALKL3zrk2BCT/Njz4Siinh9VEad4bOQGOusfRuaTXwo
U+hcjE1J1XI7yEyA3uD3vxpOU1+sVM3OiMM2+J1MFSLQFR5Svi7A+AReqc2Hscv0+1DlDmeUQ3vO
7Tw/c7UmT4RXC+IYnIFe5tGL7lh6zV+tiJT62iimSqP+pO/TNT5NMz4m+MGVtZ1GIZYfUOE7yXMn
26pQ1V0/gikXr6MhFDiEwr54zxqRJ4hSzkwsUNfy+8ybu1c1BxbPB51t0raT+2hgxpMKz6fNDPvd
t/UQClDVWfmhVLKKjGcaf4xTJ3dOWTlB4w72RlDZ+KlIhM0PJJ1gUOYBnH1s2G8wgtvbiYjPUdFK
uC4FIGMODPj/PcLQwyxWaTLTrMSt03e0qvs2tSllAcoQ588j7T5HYhJthqcsCUmSKvamBGKl4AFt
KYvW6B/TNC/7OrqTvRkT3Xnoo7insqdmja7aoXvX6bC8PAo0t3NYjS+xaQwK7CJ1DoxSmpsJwycc
dVyXa3hfyaovC6bGdHayCzpzczabSXkp5fKHYtl1r+2MlSDhmwtEubO+4cKbOZZxyvLQ9h5NuPcV
ha0Vglc7meI49B0Ymz4BQqnnLa62Fg0JSDmQOSEk0oLASbnWat68goKtrUys/RvicOHWmjXqYyoD
C4HdyjHwOjU7RiFxUGYjoW7V0s76nWOEy18KlU9NIpIvldGbLUdHpUq31Nrbx5409hNQdOSidtaf
c6PI73uaCQie0w+/iiO1ptYtAzfUpG7k2zEmuEYUebtWqsgmxYxauxRdUTAw0LLwlNXNEHKOLQX0
k87eY48w12Dv9VeFUWdD1lS0/mSq4Y03z0tuXh21T6Yiw1WiEN9HQrP2Su5Cd9Jd5VllQ56vPTLK
G0sWxV2lzv0rq/zpWXiad4MN1oGyI3uTUcmhJ6+DQvcay5nJQwDp8xuyEhJzhVF800OotkxEsLXF
kMJrG3rl0cxs74aVWXtDxi+5Q4O3icQQMaLYkyKtL0Vp5tuuNoAJ6I0azKZVb0kw6ycnpcQUByCT
ukzb4WUEFaL7aWNSs+Fq7ZEqD64Y5Fr9HpC3c6rqGBde3M3p53Bxma9GTwCrcGPlg+9NFEz8EBRm
hJPhW7SPHHqCd7vZ1LrPdo0f2uknk0HIJNqNU2e57bRuoHpx+mFyMlNWGZzoT2bXc1tCI5sPjjqM
DJhyfIMSYZ9kaM93Y5pTXxGK0ThbEl+VkSvmzeCo1svkleWRL6T+7M5eeprqQvsqPafF2+1mN60b
anscmDGDnUrDkdvZmq/NdrjwxRW/IOO/drW6f6qBfnPbqar0Fjl23tLA0D2EuJsP1Wg3Gw6q1iOY
xMFYVTXlV1oi9W+hwlElxfulBf2YJB30OdorVs1spc3Kg0hxKcxUmjyIVAP76hg+MdeemsZYG2nL
CKfowzbPUldvMCtwxF/1+MshNeXuwXYHh2YVHPOXsMTQUlWe9xgLM4O60fEMiwEu4TrQxZZ5e3z2
8AUFoSGLe89sw3duL+Eh9VSS9oYtwdSVxhNzMzFJdO3uHR9ZbKwxO8mtEbbxZ6jq4Us36xOQ+Fji
RWoLxubI8edaq16tgTLOihzSReHj8xViceemiOxno07ULTfWcFcBVQ7a3MoD0A0563ZIHMGYqRLS
km4eusjMH3NADI8z9uPXmX8rGCeeHGjI8JIiVjAuFIY3bZg8mGd5WnqrfiosjCEi2WemSyFIZbNN
10tWA13o3ECspVDHG6ZDiiv8AKITilaTT49p6pq7uVGii11O1e0caRy2iFttdAmXzJ48LyhlEX/L
6W/b9jjH4LNV2pZduYf4IWyeftqgH1wc2ZeYupzN4FHLGY0hIdQ4mo+KazVf6MQIt8KJYp+KuJm8
a1euG0OW9yNDzMbuDO9gUDlyagsX6xJpBWDhja3ieIHqGcUqzEJF7Q9z4nb3AHUrQK1uHVAigKld
VvBIeIKkylIPYw3FyqsMm8HERvDXIkWDgzXY2ygq2/vI4oa6shMTePYwZN2msBc8RhJC5p0KQGqc
emWBQ6pgAZFAD4/WmO1TAOGuSF81raOmUnfT7ayqhl8OPTD6gsSmZsTRNp8WRsTcek9tWtEU2MOZ
i2v8ERPg35uMkoFNk2M9UvpI2TqgSitAFxgUzLa1l7QYa0W+YFsKDNDlx6YBLImgNUzDuCeNqLMX
gFFiKjhIVnVRjhAwrHJdDYUXFIrtXLiBpXdh5Ax+I2bwrrlC0Uae8O55nG/FgJsaK6h+54omWjN7
1Ed6BaqjhFULlDhTfXXAYt80sttIWfLwpWh7o2cUCuYg9bZ62mnrRrQU8zhsZttgNrD0VMc0c6Co
8K5PRVu1G0MpkqPe5ObehqZyjkI1YhGol7cm0VeuFLC5UTYbOxKHDoxdK+IeTU3n1uhm9SsldpWf
WkyqvZZDN0Tt3M8d60s7LIpxrXDYiuBmzB4yFSxfCxRcuSCVY55dq6Yx7Q/8xfKp4BRNvVk1u9B+
08FcWXU1ZlQqjBYpYEOxX9pyrp7HjA2hn5tlVK61cbZuaAzJP+W2rXz0tUI1UQQ1g6rZqAKhrMCE
HjoYHTtK3wHK5flUfu2mDjB/vfSSEwWu60/RTIclZW22uC87U7kwkXI5Eh0Q30ySCPuZpMF924T9
l4FSm+dZhu22xwi36fM0rPjq5/3mf3F3ZkmOY9mZ3kouoFmGeXhszABHJ31+gdHdwzGQIOaJO9I6
tLH+mFXZHeEZilA9tkyyUqoyIwECF/ee859/IBga6AOZx+WBRSY96PqiJGMoEw8M6q+oMjQ5F5m8
GsWxwZIVZAK08a49Y+9rAa4On+d4qAuMc4Z6T0hRfizTChbWWJpoHshoAkvJtKspUn+NOH8CVxOy
KrTXPV5HHcazsMhfMeq/PvSjkjMAVOkpDEUl2qsfhfrlzzbs32o4/ycPeNRftqWr4x90pnnW/KQx
vf3JvxjeNJJY0kDthqdsYkXGSPOvxlT+B9pHxokYdzHn+bNn/YvhTZgcPSIjHBWRHWNH2sm/GlPh
H8x+sEJjusyoEF/Xf6cx/dKWwqNmsyX6BViEQEa6oB9HgZjn3gx558Qtm3186vFkTV2VSPHvGvbd
Pwe0f1z6YkeUT9fehIY/dL/8MhHStKYTBYulAJf80v2edXKGryaXGbvEFccE0ycZl+zRzvGEHCTZ
j5PZiwdz013+6aj3X9JhvhIAvl75Ngv9bmxbmskVnuKUuJO4ajsHGhBoEozaX//AG1nh+7n016vc
HvN3VxF5Y8Ki4SpsWNbskODk4Cvv/foiP76r20MUGfoBYYBJQPr6qtVFmHcpJppIJu+6evHKtnHT
b7++BMrOv/0SXBDhuRssLUki1/fHX3IyVEwpzzH2w+S++jB+vHqo+9EmnXzR29OpxdQtR8VlNZiz
C24Xm/kreWLF8lQo9XsytygDBNQj982CCHEsyfUVXqrSJ8oj+C1pnK7BHTFFyC/zNbiqbe5qI0cU
PN8WQjaYO6ltWXxd69qieKnqZvHM6KFZ4a2eRRLOSGjC0QKRKC/rdnMeqTryRfuh9VRDoB7pjbtI
XMaWGVfn14Z22l2kRCV/1GDIJ/ezyY3HsTy715uZSY1pq1fnU1dGEInJ9IxjVXsdC0lKVoWammfi
7uexqT9veuzWxYRtwqxc7OIzMVxqK9LDnydPMOMYAydlzLwqHgXV63qojnMyorLptCRge7+silQS
InymFbcGjLXbSiPsF0AXKRBRgEOYi/WiDgBgMHurajSISMKhA9/XC2lQ8KM3hWhusZR3lRhduK0x
lQkJHcb3QLiaZK5LHdLXCUnaUq8brDF6ubp1T6WqPEjXwlyPdUbxp83z00ltqX8WC5k6B5dg83Mq
ZBB3pZODJJVP2Ksv0OoxUBtIfk1KTcWj9hQf9HMhewg98H8Fj8JNFskqx+VChCQFFfgwp0Pyeu7O
5bquRKRm5lD7uHjXqwGgYS2eFuPGiPEoHqWycvoKQKI0KVyQhxU2tfFsnxZ57xrAQBZcqdbvxhNR
lYsPtUakZIi14ixaelhkt+P9IpHn+2GUxlVJhqA3o7xaIcItD6C785OuJPVhQUjDcsxJlLcu45Vo
VMzobtFLzfnjJCTdcoE7f3UvYSAXYHua+10+6LPVa4UZseh4/Yo0h4ZQNsfmclGCsdFGRzFiaX86
TcV7gydb2F/IiiAcRXkb0w5/Jwy5thBHxL10KTTMRwnbtNVLW+0meWicGs5htZloDshN7EWIp91Z
6ezprCZHeuyz5pdUp+q6mLVJjIRCQbRqzKnK6GeA9akIwr5R5e5QNfLFLes/A33KCQMpgiaUd1FI
JsxfzFNXI/3L6sFph9x8A0bPeLdDp8+hXk5D5wz9Wcv8UT+1kjVKswyYmJkLNAPD1HWrvBNpquGR
li+L81VunXqa5W2MU8lp3XX0hy4+v8nJK2VKR4uEhIYmUpQYA9dXTO4uC1kaoIvr54OJket6AIZk
ltqajnBWyHvUzZQka1yiZdq2Ta8ooBYYislPVU024nW+pBu1zabHEgfxHSYnhodVhhnB96+3kjmP
GNMAmthVKfcEKki8TPtEGCRSw1aubv0y+JS9IDk7Qj+hOhdNlzFTT7r5Tu9y8VtFdsg3nUjSD0Cg
eDUzfHbHUQHPKMEz8YTOsugWKwk6KxSml9b9RHqdIHU36dMt1CglDFAZBJycY+nmM7PI7kXtWjYe
1aZKeHE5hxCH2qhZ5FmY1qkZFEo3k2DBbMw21Bh1wQjZ+JCbV/2buBBwuMDJ8fKtSOqPPzfyf6s2
+/9zGKACz//Xw4D/3bynSB7+8z/Ox6T84+PbH4Tz/vG/Lx/Nf/5H+7/+2DXlkH18u7xnxz/m29/q
jn/Yx+54zi4/q9K40l9VmvEPTRH4X4nw23+J7f5VpRkikwXaYfiDxOH9k6TzV5WmYj2LbcYtIA9K
lXG79b+qNIn5gSD+aaxBbJ3yb/kgfOFsIuXTRFUXCdSjduLIvuUHf19eyPJQ61dkDd6IOfuKWF2Z
j6myT/hFreOX+COrreZtwB/aBSiFMAJFZl2t6flKE3sTq15+98h/Vs59ZeNSrcIKEg3qTxPi4VeK
I5yXqi8SnIuyxruEMrTKhV2odtfRBdrtxTa2VxiAkB1V5At3gvmb6//N7xZiksyzvQkgca4gy+jH
50HCUFZe2n7h1p/EjsBZLfwcHz572BEhZEM+CcXPy148tof0lUzy5jeF2BdeFA3T7fqU5zIiUEi7
2pdyT7tKY503M+xZfwgNyQOSH5ooTgOOXEHBGd4dkI7JgfqE+xYJZQVWTlAWLQlvGJOIel95aw8a
e5+Xc7g68o54geqb8jQ+zXjP4NQ7WdU6Myx1N23P1F6v8niXXayD4f76Rcpf63LmZTq0M/oP0TDh
m315kGoHxjAmF/x4MfIkvdS+OtcQqfF5YU/zqgLJxSfrSQQ3eElWus34Sl8PruxWfmw6CvLPkeQI
r10s442xKZ4k/TdP+s9Q6u8L6z9vEI8SIFVcNtivf3zT8D3Lprxygzc2vWK3tsy0e2Hhj3YW7SG2
4xXBuh7xx8k9+MAMv54D05btwovdiRSiy0MXB79+aH8y2n91T19aikHpoK+lZeJV1Z3m6x7BqQ7a
t5N1/uQeDAvLf/di/44v/ZX6+vVJfFlzZZV3qVZx1cHDTSwgdNinyPBy/9e/7m/83tt18OCm9mfX
wVD6dh/ftTJNO2FpQMaAJ9ylIUZ4IEzdR4w3A4kph2Gp2zRq76oBtu2hqJ8d2b1EqYuEgxSTX9/K
38jxX25Fv63e727lIiejPJc1sVLrcxj7UG/xieqsyxN6UT+25G/6wlL2v77oT1YcI1oouAKZ0wiL
v+4tVNdyNnennBVHLC3pEZvCPb0utuW+eGxCwgncYi3vcYhwm8yWNUvxCkd4q0jI837L7f7aVvIa
EHKI9OYkqiqG/mWlzZ0yU6H/eS8G+ZW2DphD2JND61KNDuwT05es1JVHu69subLayi1/s9ca4teO
8OtNfNkjGoye8YDgJlr3piepI8mWPgUu7+r3UnRB4UKQ5a7cn/YL05pn92xuz0YoUkUhfLIW4id2
dliQ4/6KG/CII4iFWoq5YnHLK8HZl0ggrIQj8WxfpdUZjVQ4qW620e7kbcMML7NKOTLQXxVc9irV
hLRa00qIJL8Eb1xlm9jvdgK2F5uGuAM8X6xiI0UI+85ht2p2553hL4jDDq8rcyl6qDELHMlcXPMU
n5QZG/T5FAwrqdq0NySC+E4rfmw3BL/2j9mFAb1dra7vUmVfm+C6xUDw82paxGHmpF4ttEDdDmCN
UlSOjkg3JO+G93QGEbTba3DLUrc4frWN5s5wNJcSDhQL77KaHPLwmArXTr0/LfUuNFRvPgeGwSDN
mSfndTwK8p2YOmew1WZNa2pPkmW+VzHVslNmz6L+oZfWwvCRoe3omJWE3NeVOmzGaV3VZAixmTua
4WCXAh5bxV4Dx6Ve5rKj1Rt62ru5sUSPgAx7CgjdSF4bQr588iHKNeOM3Etbn4eZfqQpUVW2OS3R
NpPqmXeR2fLeHPIritym2+EOjqcaxNcZy10p4K9HeIkt7tSduVIPVCvX53Pip6o7u9TLpmLrgz3c
d51LKOVsPiuP0rAqdI+9hXQWlNZq6Zzs83LEeu8+Y6AadsWnkbjpwi1Wi2MMTZCzfcBelHv39P0J
ih/GHAEhSilfa+ynNCKTW7i5BxeJx8CtBRTdQ4Byb9P61dU5RYunS++qQX6yG2J2rcx96zVLDYiX
Dqb99a5//kbb21jqW20JkRZ1YR1dHVjHn6dj+oI9X4QfEZ4cxsfVGu57H+4AES0PsuBodByCU/oy
nZFNEJS9KGw5KHyc+zIO+Tsav866L8/+1fRHW75v3ZlJiepOq/ZhYV3bQHvElRujSQJ09tKHDJ8v
Ku238we9ooYSOiiCBAA+hHBUtVCk9ngvXs2HmCVxtflPVdu37XsxvOF7OK8l6pClHGBbU1WRqYTJ
XffUj4RbuZfqKb5HAZ6KNmLUhys4iKM4Rh+QLaq4YAENT/dF4pbbXZ0EsEHS05bnDE6vVsFt1TZ2
i6DQ1p9UqHJwECLIuvnFNp+Av3DMoatjm74aHjQ2YwwGIzK+Nds+DeTYNu3MXzwo41P9TKKNdOi9
Ouw2bKGBEuBB32mWSIX03OyxCaWq9fvlmVIytuJtgfm3K8mWlLjoQHu/8E+2ue6warVP6yaoyBvz
6hUOFZldGMFki3e6j0F4NC+JhdymyGcdOHyThYV0aDqVX2yz9zHUGofebIbNcdqLyl0VwfUtCYHu
vImIX4UpN8OtdbkznnX0/tU3uVwWwiaFyTEt57MnUpAPD4n0qOYHfk8H0Yaf2LnVhgnR+yxvBAxe
R9CVLfDVg77ESgjlysVgcGLpT6mnuqO0miJ15tE7ys54ESEPuMaKmMZwcutdxqvsbWlcJsj0T8FJ
IdTNOX9KB3HTuMV9kvhTv78ZhNriw2Wf7frOnRau1EUpOnCNYuTUhqlm5Qu3Gx1yh6DFhbPXSxxb
JAXNB8PTxF3SbIvMnR4XGUnFK6GAOmKdz0F1PGueWVP1hUbqXtBvI3wO5pXKqr3aw+iQXBycN+2u
GhxDcM6J1TM0C+SHDrUnnJS93pBmSTyaJVmVbeyTbX5XeBh0mVj1MOz1S6f5pgSyq3j6Xf8+uPw7
XKZ4MpyOADsnGnrVlY2luD5HC+c0eCenxm+zCiBoisVu6Lz8EvUkZGcgAn5F5rwZmtE5aLdt5Zze
R4Z8wypGi9S5sCHy0ZHO9uCqthRkBDBPvFnFK8Npw2jsubiXE080XYj24rrZnI+al+r2lUiITb4Z
ORbuCN7x42fGlIhrDycnI7WM3LHYvuau0Czb+lBfwjwJ9BdKTsbyDswVeVq3xjp+UhjVNCPeOQ4C
BGtUQ10B/HE7ZdkKB/w0xhWEK4+EQGjH+QYnWeZs72lUfcvvjDdif/p7vcARyyXkguc5e/kjMzQg
5kU4XyxlhUxw8hO+ueoomZ5UBuoYlltTQdtPAKG1ADnDPDWnSg6NZRuSsOXPPo8qOBMrgayaA2oh
epXDoSB/wGmMN8Lb2TdX148yj8oncye/6FCxHprR+nWt9ZNKWhZwlhF0Bs6yCDvvxwIvh8VSpNhg
eI1sayzRg/iWcNt3mCZUx6tm9YfUrQOwHv03U4G/qeYYfAnEwWAYh/SGv6Bz/760NHIYn8rlz8oq
25AU5MbhvAN59Esvc+qn3/zOW5fyY8fw49VuQ4rvClkAU6bRoFNecsw/9MCIZDwufMKVVrzPQvjv
lPHarTb81TW/PNvLIFVVSZvqcSZPu3w1mVaygY++SpaUXTABKkghDyyCKWpRUryL79nCxcuLOmfa
6WH71KvrdomXsFo78jNut1kgr8ZXo3DEZy2Snfah4MDV7urHfGd6rwR3hHFURvC4KYUtLdI2NfVi
7FcfbC3BFvmG8Jjty+XM5PcTpnTn3MpH1SvuqvvUzp3q+kZaU+4V64kV7w3ucORk+CTrgv+SnM8N
Bsb2Jeg9zHk984EN1e+W2WSNaxFhiCW1HnsOVmng/MOHcaxfk9fkG5EfHEn12YWTh1UcT52C/QhX
WKMyCIdtAoM3tijyuszC/VYiw5FPsLDPGQ4g9rQiaHJtbjSna/etpznT4MUTmZiu9IIT2epyPH3g
RHFtPSQ+8cF8VQ5SZUkLy6QxZda0S0fn1ISc++x32a557J/FVw5AsibdazQcxQj2lX3ewjZq13jG
uNjoItqsfAg4ruxjw4XLuoND36NR2Jd9jZ+07pzKLQeBTvLEke3eSVZ5GcDAcps9WDEBJcO+eDGj
+Jnpt5SRRWyxwcALj5/ZJlG2YEioH8XJuk6U6Jae2KrhyJ9FaIBOeDz/kzU+UVgvPlIG+di/UYTZ
9S1o0sbYT4N5/dJD/xktqPPjkzhTGviTcphUp4ouhdUeYNsvEBT/5gO6LdZfLeavABisazUhIJem
VOCMckEC/AQGN0Gjyxvk0+JGhejMIvk1AU75zdX//vkiuIPSa0AeBhw0vrTErTwU6ZSWhYePorie
j9AwXY5Xt5Pv/3sibfHvjd8PVzS/dL6YHULUvF1x8vA6J33Tg+M4lBYE1OCfeuL5uiELDVuip9/3
neptP/rxceMexuwPZrQognB+RV3UNE1hrBQ3WIjN4tz7yVG6S94goOb5a8N/K8yvwvBAeVRvFhyZ
Vr6V99nCg+sFdRmk6yac0IL0cWjsZDVWVpffAMISqAROC4dm5aIkGqXltEy+WX27vfrNJ+Y2Xn2Y
h91C3YlI0O4Ew8qp04jRPT9mDkuQFvfXr/Yn3T5pbjJ5Y6qBVFv4imReCNpoRiJZQFXKzcXHDJ4+
IkPHvFGDDM2fm6wpuD3JAtJZG9jBvOSsMMPu3fZ3sNLfN2xuRZOxUQFb5Tj88tCxxmHw2MgZPWqy
SXe6h9mgDVH6TvIE5+Rc7H97Ks+CZjELuiRg46tATvjxWFLOeqUw5Pwn1JEFWdQEKqASFij+rx/z
TxbULdANDoSiw34Xbo513x+A4qQV2nyNM+/y3ICBAh3UjlR8NvGaeOycLDGj+LylIp6bNRleePPI
+B9MFtTOpLQHxOQVgxJPy1BSkbwqLBmciex29OoWFVsx+lnviuKaSKWpW6VXl3pXzYO5vy+I0wYg
YSZ7dUcs8XtE6SZn1IqQrXiXFX4BYke+FFyam2jNLd9+/culn7xVESoHO4eMfTF40o+/XJDwSq9m
SpwbgCnZOuapmN97aKf2UCDot5eYs7SrCfpbahfhFEkehd7D6VA0/u82Munv37WJlSDoFmQM+ATG
l9cwLlS54W8nXvyQ3kQpzmljRAszuOxO++q67O/KV55N5SpkXn2gQiP/90TCpL68zOvFyW8eFlQG
SDV//Yz+RJl/3G5+vK0vu3s6a3PRZtyW4idBvxeXOLn7uUefXXMC2V101q0WpJkmmTiHz/k53V+P
EL9wviKx2md/cPStjoSKHC3I8ZsBSnlohtK+cX73zfxkw+A7QXjNl4OylQHAj+8TO6zqXE964nX0
bcBhkIqVureS+b4QXGN+5cVaKDRyjxbjxlH9TK7wzu/q6gXjzcZPaieNRs7mmkykXz9GuKQ/eb/c
EWC5pOL7wm7y483NfbyoGSqmXu22n2YCRJdW6yFx89DAr+GC4pD8PtuUV2STdKfVnK5TKI3VNu/C
XHMzMRiRPUh+eyTyqglhPmtRE2pXzLxsrd9j5dMpdjI5ZeEokU7yaoyLHJSh3FIlhAwW8AghqY95
hqsrOkNHMGw4I9gT9RQwjnG1C1d9Ux4ApjLCiY9F4l1B68S18mma/lB4xQRx0ZuFYMAfmKBenuRH
d4/2YdYsirskQIWxmqNqZT4P3MiePzL63cWKbxRPii6/3Uy03rthsAjayGOgBN98B1YbUTswi+ck
u29SB/LKYguXAVsvMrPFQMMT+fQClKG4/I4eQPHmMLvJGDroS/16KIugvjijsSz0A9lnKsL1wk44
mFADfgPWKskB4WcrGmNhP4eGKdiXOojFbSwE1/MqJYy39EH5GnpB6t7UlwyCA6zmAw1otUtMWxzQ
kXnpEGET7Js4NqmWcidFCtjTGVCXPggQzrQA3q7o6EKMrvtIiGjZYks4tpktnQlvQHBoLw7kiZ8y
rLBsTfIBjiRr8a7dwKYPzMXuKorpyobRU29uyX8ERggAbAiUcaG2IBzSgF5BPwWXMuNxduWVGMT8
AxZApJfAKKBG7V8m6+Jpj+zPDXtv9AxnxcE+mG9hCClV6g1A0ZlYY8T8DP3tyjXdek2ka0lQK4zv
3u3MoJ4c6fHkLvbVVnlAW77JgrM3vaF1eCHwoN4wbYD8UHmQBxS7CnXv4tTryzZ90WwBDu9L/CgH
F4ehW2WG7dWuILpnGh5kjtgSlAfkjG025pA+GCzhlMOKd5K+8+u6Q/Mix5a5VKCvcLqYrroME37e
FJ0PZEIfco9AcdWTnVR9WOAM9trfYWti9/6FQjOQ7GwpctFDmbCQpKPg3voWzRdseXV1CndaEjS7
7ML4bliZJAWiKVgSd243W+HIWh7C7uMq2adgWukeJX+jgfwBb3f8wHTHCis3pjc5aShEFCCLpyyK
X+Zv6TvB0e236qB7yHZzrx9wvrOunow4n9OkN23hUSoJQL+hctJDGamCNb4Se38Lccazlz4tubta
zMvI3nFaQGmE8Pe4xfjlQwuc6LceppLOsPGLb/Q5Lt0Qo8jUWsX3Q2WTr63DH0lvaA90d3GzyG11
A1J1eK8BaoKbIHVBTIotrHkH9M/PvEQnWTOKfhs31fYUtMdkSbfXu9qaUW2UPZauSMiwVzzKbNLt
sgw4uUtLfL++SP71WdgLqjXh2gVMd36QX7rEKUUQHGa4hquvGOZ23jkE7qdzM63LKg+1KH8+RUZY
PONAsYbpEab0NQ4cI/eCkN/HqNa5rjq+6MDYVIDdHq2Lxu0kx+vh6vGkBMe40yIwT3/0408K7J3q
TYdxrQPF3lUl8wTRObmlj7OcFtLrbeiWDnS5xApFuxwpOWxzf4i6J2VYNjjNA32Rqn31ecQ+ND2r
DXobpHd+FNbJq/QyLMP6Dlp0CCv6qltSmIWmL7vae70C9zAoaZpN9lGCUX/uTj6B6OXacMRgOhBW
/ci2FYjWffsw0fSljzSIDfOUyaJJtftH6bGO9KcTACs19tnrKksEf1Zd6gpbCJGWOQS2rvEic0wP
NHc61EDcEPVbq46GFV10+3jZaZp1vdefATOBKC0UzuvLQ/bUP302YO8Qzaig2uCyog4T7fltAj4I
5n3PnHiNmXsfMYr4lrw1o/2J/c924U/2DDo5rUWuTj6Vseo9E7rfw21O367oxJ3OOt0X62zVr08P
mZs6dOneyU49IVT3nWv6fhwaTu/Fh4V/cYXlvFzca+xROUFWXnKIyVtfXt4ZK+Fdq4dlgCmHwzyd
t6wmQarZ/MVl/TmCby37JTHV6/ZRHSyNMcXzyCY68M3N6ovs9W7yGD9odwydGHwGVR1q/o1bMAX1
ncJTDfiyxKfqsNhkFiRvJgp2OmZ7JSo31J+BuWT4wPmHN7ChWvKhd2fmOQy47pONkdrKnYzuyRND
LMLPE3ihDfVweE5uaez2In+4PJucSe1mjrqVYte8FfEd1WPjpQ+D1z/2d8lSxILy0Qy1tWDPDDDi
U6TDfzJsAJ5TxcfB/+XkwAHz3LrNip9xDttPiHUozxbb9J5A601uZwUbwHh29BCppCOGZ1++3P4N
+b3qXA/p2sSQn/EN+CVzrQPf4Qz6lvt8eDIuEexm46YJS80irfxVfG/d2M62CV+b4jcsa+rs1bSd
PHIZN+Oeg5YFbad3hju9t49d2G0hOt53ocbibOmzSNiwr37i1mkwP+h44bHNorCzdX83PMlL7B2z
CFM52wjV1bQ03f55uqveRs6pfEM1mA+ewDhG8c9XJ2XIUbn1t1ME1fcumyJyCq7MBd7yzz5OSQYP
ztKDIj8ZOcUJO5Y3LZatBh3D66sV8d8XJKrv458nuWtE86fqnT1mJDeAyefDqNivs5ch8yTFyTRb
yp1pKezGIcB1lCJVDBSCAtjZARJ3cM5u50b3VlYeFBWTT5x9NGMqkOwA8xX88hsPyuuFiFTMVd8L
2ko4kCA1lum+j04a4GBo2MYh9uKPcdd7CgaPzDs4X9hImQM8ahhJADlN8QYozB/sMsSIh0qst/MN
QEhPpgGFmNNtmErO7sBfNw4ZotAkSE3oqh040FRtYE/uLhvlXYUrww20zmBgZxBgbU8br71PBEEX
9g2h5M8NlCO9nW4A/otVfb79E1ytq2EEB8oz9rcXzWrDnBE1czkERQ2x8sxRgLO13o57X2icFO0C
5EAJz2Mr3cfbaoOUhVB2CzZwX1AmWp2+LEJiKLz2cD4v+10pIrLBgXWvxFaxO+3kzwyswU64jzHM
o8ZWtrf/b/DRaSZeHYB3861vZPc8bGWXG2/Dzp6XnQ+n0yt31JqSKz1tTsDtcETc6phw+5YGrLKu
vaeY0eNkG1Zil57oZju+Zq/ZDC57MBto6QjLxu423ZHRaW0deSseqm0hdrD+sOp7RrNbw+MOos5u
mGelk3Vybn8jeb4BNGMAl2dTvKhRY9jyayJZxr3sT495UMfWJbN5sxPl9vNplwd6hHGyf3UXoi+9
q5Gx5dGwbk6pw0D0NoYRNidtL8n2LSPXCOSjQY/GQluZDxnlhMtk5ap6kokY107jzcIfNrclcN0k
HyKjG83iTVz2OBzQhpiP8yrfo9ajWHblTxaGGtU7mY9LnZwzuPD5HRMOazjvNAhmtvzAOMLgyOuo
HcFNLeKWX9Rj9s6j8hOneKrdPCDANLHqYF5Wr7HqE6xo7rKnfK255kseDXfNxZEfGkq721Tlhn/T
EEscAS/GM2uXSQhZhQCX3tRaypJHrHmCN6W88/PmVuRiiWHV3rDud/nd+KYt+9i/UImRNAhkwMBV
Xy6YYw7R7f7jZ2P0EE4yRDPD046FNlEsWS3GE7eHUGJWl+LNuVRW0lPpSCuyz/uVtBqOya5JPEBb
LEdMw24JEE98lX8zbIBhv+DQGvx6p3+m55AIm+6hqS1CU4Q3Q7TN3lEYod8xHzo/1E+XhEbLmR66
O7wjnJRxeUVPaoYYpT+lD4uAcvXsp3e0rcAioeQPL7k/rJOtTg0aNDZwNlFqlr7jwg6dj3PqGM+k
rrCwY3feT7THgxtj+OuXzLKu68ppVrMfr0vdUsP4dVnZkoOIEirX8XK2dI5ctgl9Pe6EbXf7QPTP
2fTbECAl3ZD4RxDRfbpFPe2Pq3MEiXubObm18LFJ6azj6X4MCwdncefsA4YFFTMi+YDNDMuA+Fq7
tyMzmg+8xBsqOi+1t8Jp9sTL0ZutJ5f1zTN+6u5yNw3w8HX6AKp7lN4xnP12MRx8rRxGc/fM8UI8
wrdXmyE8CZRr0uWyl24vvSXew+j0z8wflfdiN6+gpa0K2TWYicF7vD/hwRF2e/Pb1dWPihc/4a28
jJ/RGy5LR1nKj/OhH+y4vT/pn1eMhVRn/FgkT/pjm96Wcl851QOUtm3lk9fhXyYbISguNPCP7ctr
deI3dRs2xt7OXsqX/I57W3zqxz4UJEuOwJxUvqomGvxyW3vMCY3lsOHjBntP96cBS2VWk6uma5kp
3n19r3NUb+Qaij5Ha7ToKWlfrq/8Vxe/zo4E15tvxnz797Bp1h8Sn7UGAGYxI7+yBZgWg9mF3/FJ
nLbwJmyQ/8mXWOCY5rsc7Z48QS+cVwPpwzv+o8bvciTxehsPEOjs8kUKqugGn7jcGCrdi3U6DIpz
jtgT3SsnQrepIoF/RllNR+aHVM6s6+kbe3K3ZnMTAq78YjxlTpIy3dWCy0Nx0IKb7qWNiie+Hnwg
+ROLMH7rvsFe+az4XEuPAUO/ZblXd4tdvjaYNUOcQr8Jxsnjhvp4lHivcQ3cKi6sstvMoqsubiXI
lERJjSm629eu3TJm/81M8CdQHdgXI0EBTRZjwa+oN06s4D5XWLa43gc5hLNrCLHVLaL2G4OGjgcc
aM7N4BJZKC+b6Gpr2jRrjvDid1DO31FDbgVSMQxbiKaAwj8COUZapGJq3Ai//6Q9ogC0UweoIZwZ
9+JAv1Z/M+Qw/j7kuF0SkZEu39At4XZL380o46bU9VMqpBTEi3dCg5ySsis73rhK7UPp42FKMUM1
HKp01MZjEU0H3FTJiie6nE6wfMBbzZPs4ih9FnvFPR9KXywsFL7uTJQsXU3rdEEcxPcVY67J1bzS
qdaxnYZYPMGuWp+84bWzk4/Sq/xxqeyl9edtGisE/VMLMWl3ZkUUS/0lvTtvSqd7+C3+/rsH8OWZ
95omZIuBB4DM1r9VqNMyoygqdold2b/nc/6E3fjjA/8C1klVnAlSz/XysAMDUWg0CFl3RXgGSET/
O3Osn6+q//eKv8C/ajzg4dRxRQ1LoxCWlLOg/B690zoJhdvw7+53wP9P5uy3H4mLpCyB/LO+flxV
17M6XvPTNaVplyANqW8YsVsaRVy/q/zfcRVh1X+dW3E1Exsd+RbOg5Dtx6sNndQm0BlTL/uc6Qtc
TCTENuKQfgZtj+ITcwGHvhcSF7qOqIjORIasszVD23lbAmDc46l3FGk272+OJxyW++lzXiUfxUcf
9ofmIdua+Ims0zUKxt+Btz+5dQXfCXyIoGQLX7muuoiTClFVmEdaMOZnqzVssHBa32rZYh8sPVe1
rUcYOrr/d7z6P1osQiQPH+h/LRSxj+ePY/u9Z9Q//8Rfgg/8VSV4/Gz20o0Hclu4f8ly1X8g5oD5
jCBW4RwwgPj/JfhQ/6HDyMWaUkJ+CRn9ton+S/ChEMl0Q911AzqJwer7txQf/Kkf1sPNelUTUFfw
P9JtRQhfJ8DYoPwf7s5sN3YkS7ZfxASddE6vijk0z8MLIekccSbdOTnJr7+LWZXV2X3RDdRrAfVQ
gFJHoRCD9G3bbJkjYc9tywJ+WA+S6ILGi19TF320oqtvu9QvdxQ7BvtyaIpN0fnlpVNaNWbg1j4v
VP3s46isN/6cpFDQsJsGDlUe/pA/Exscn5WXc4br9Xwse2TjXgQk1uzPps/dG/5BKAmwmjZ6yY9F
jTxGUhRjg43AqwQewMkGJEiZ8g0k/heVQTAy3M92bkp1hRfhBiy68j4Li3uvtgBZLOX3rPSwsfqs
eqLrWZ8qSzGz+TxNp5L/E9N32FVX2ex1J9pcjlrN73oU5VaU/gKCpHl0m/Bk2xxTTMQByvf0D20V
UBHC6rloV18gq70+JB6aT8WHXATP5iR6xsn+6UHn25iUkxTLVayjlPZRV35UA6O062JakKy5PHtq
t1Sd0fE8QbHpA2jsUVz/+H11287ZS5gxDQyJ2tM7RKStjJ1DlvRHsJvn2ZjHIRk/KyJ8MrIu3Rah
1u/2oV0ePFv0u2GhAoNqtW1YUHpkFEzQNsBX6xpkZSSkw0gV56ai4GF0vescyMZx6rsrCZVgoztz
yJPMbOqQtqC4RknvQjyiySBu+cGc6HPmV44trEYLjnMOsUtaNgyt29Mhz1jDR8L5VpMhSBruY1m+
5kohBjQBZXMCjqIqevxj1XAqsnY+N331FE/FZ6Pr9Bgb/TzGC4pxycqBeOeb40JaLQvvJNvx1Tbx
lZ8Vj9B9fsUiG45W6N8pIX9PcXxqx+55dOJHNyARNEbAglv5WqiehW5hX08lY5eeQWBAaZQ3lt3V
j04dq2s7Luxj16K9GvecB0FNHWFxM+aSlUfPb5tGccRf0IhdEOYsTuzs1U6Wdjfk4+eYIiyMtFXc
dyNql7AAbpg43JaN/6pz2tQDCKDtzIrHGwf7EzzlsqNfNtnQM4hrL8vGvQIPSXl9XF9Ss+6ANu3g
HyU2dgBQgxdg2fxt1s3NVeeLYcuaNaXCyqOeMNDzKY+UPHotR2XX0I/ahpT1UILub+WffwWdLttM
ps5Oi4ptWky7uNUG2HM0kkw0wLPJqPNABygNDnqwvGlef3SNhA6cPSZgJUAUu2ITAjDawJlCNHBz
ilgiZ7qqwU0iHzUPM4UYF5my6HIf+i9Zxz9WEvwGhsT86mPocpG9TIDhBz8aSlJDXVdOvTridBrt
IAfRRVggBBTlio1LWOTQakV6ShSXBQ0zF34dPWR+XVyNghas0YP9Q9XFr9rn/DvYswajQS5Yerp8
UQu+ZtLJTxBphm3tdJoPV4/9MsmsrUv3ORtAu+WdL/1N1vGClZWy6C/7Zb8IYYEzQVfr7ZIWqJFl
VuWsZkCDSzdOjbtzhbj1C4adQA/PHhHgzTiTOh9tc5Tw1OiGTY9RTokL4MtrLynO1YDsBLeKN0wk
X8HcXiZmOcUpRCT6qfxWPqUSzaKs55fRhgwHWupVpylC/uj2Gx2gQgbNfZdFD/Fo49fsWdvIosI/
LaEmu26GiABVdq8C/Sn9Ptq0lD1cFt30OQTeiTJKvNRVj0LWi/lcLc0DlTQFwdnc3NPahIbvpgxV
TY0eOkY4ELMJyxg1tJGZ7odhMM9ZVxLWLgPiF7aXb2alxh0EekT31iwbGkEpXJrX3JaLVlQJbmq9
6kAB9cW1lWH9BAB3Fa+XP594CFq7MqjFrmUOYFlm/YrIjqPBdK+xi2u5Ld2fMtCXwkGDTSaqKJbX
NMsYV3v/ztVIe05ksZApO8I/IR2dVKbRotwxI806OVtsWKeqfY9aezN5zqMcJIAu373tR8hqWWgd
s358Gbz6VNQdysmEbNP2HiYO/yfpDSJh2x/aEUV3EdWuzsGLT7HNVWkbSjvber6z7Yk2BaLKLBWL
x9z3JWo+gmfAY8Iu2EoEJRMDGfqBYl3vuQZUO2QVcd7E3UaWY7FRYkXrp81rWJJQSbrC23GvqkEj
J4QlSwGiQnt3QQ2FrlX2gVvvD0TWgwxaKN/qa/are7sSV9RJ3VExylZW6N9DUfwoCuVAN00Z1N/l
lW4WGmQlA7PVCuqb6cgyXW2OgHceq6D09jyp1IkMFEt5mEanlKcWcQvnsbeNdzQ5n5RBZB+2yO+s
TFT7pOR3ieFnAJ32L+LAgIu11KtoHYx7reFq9+DuOH7ebys1XlnV/OqCtNtk1oLBWgD2kCpEDGwD
pCp7euKue59aZQfaL31aePK+9v6o9mES0TdXZDs6CHmOpyxXEznftSObMNku1WHJRgv2N36vwrL3
rl02h6gd9sAhy6NTFsfSw1/ZhNOysS1iAKaQ7b7wXUliDP+XoC1mO8rsN4YZ0AD+YQQ0wc9LC8iY
NnfL3HVA/C3+Pq4WhVfHYzUVVMiEAp9B4o3u3q+bN8+36LJq1dukO9Z0uXlvrdRcz9Iy1/QQYV2Z
ly/dxXdLz74bPLEq/SsesQOUPNwIfX22DI+fLIoefasggIMcWHnFd7BAJoqD5b2JSzZUXk3eICIP
kM6cFkxD91pQYKL3RE2q2xBDadzkh1uqPPJNr3WwipfCModA5E/E6u2LPJ9+zzVreTOpT2Df/aYP
kZ16PCP1sj7M2TDEVvPb16Y/FBQ7X8DDzg5T2FwBo7uzwvR3W7cTMmrzqBvrqxihZiU0o12IBB9B
Rs3e0Yn717Ro6gtANHD0ioGGbarDtk3kEJ2IklvXBhIPk7LYUQjHJlpp7p1We2P6BWueqdSXP8mj
gDd+UQesMIdZX4tx/VwtKKWdldc7YvqvyYgFXNqIT1XCBRK25pexxXAMevPoKlCibqKynTLciESd
o/LH6UfpDXJnDz3v3gBVovOpmjEOK+wiCEiTlr7aE3470pZOTMflkewMsjvYJRuTqJovp0TlOFeI
vEDyIi/DJzDoXpSZjwl+e2fEC7RqSNFoXcUraLeocB64jboLDaq61uh81Agmu3jwWIaa9EaCqrCW
6gxaSiNbug8lwLmj8jzrHE1UAoy13opQrc3a4zcIZLBzkucnpHtSPlNK6o8OsQs74VM7ZPOdq8zV
uGSMbVYYnuNhxUkI7lZ0q0MacYJl0ywxft9WvzmVRUtetsZ6RXxT6+LotpiTfWK0c7w6dMOEbOvc
H/yZJ5bVvWfctGnuPcc+R6SYv5RSnb+G6l5ctvuAHa9oOfjhKfkM5/wHCIi6DrLkV7neiaHDPcQx
sTV/bgjoiOJ5qtNhZ8eYIzieWBtviuJd0uKic+CIAn2FtmFcCuLIXbNgWZYfIQTuYO19p1CLV3rR
hSoc6hMHfc6S6uhRa8nV3UcXgRf/dF5Q7wcd6V3MpxheiZqul2jauzo6wsl+C5r2I4MDvanc8mVo
rGMVxLSlL4/BhLCdLw+J7N7SKboSan7oUofgnBqOJsX20jrxZ5tB8ErxAFVFTZ3xRH5GWeN+lM74
AeYy2HmjtLdzYLDyWdEzz+6nuC33tUixR7PKsaZrD95hPoffSw0Fo8THU4v2caxGbhfLOyM5XnI6
GiZfYlSZyLtFsQP3D7+AVC0dAIPc+s70w0CUs2JVwNBJHyfzRDpbFoDA5infidmzt5PhTZxX9rge
yEA2oMQxXbf2Afml2UT+FN0kDojovqzOTkkfu4LYRtKoaU5en8mTTHP7Zi6qZ0/5v62k+Gl6smU6
8DC2WKzp8H9Zl72b/9hTbm0GGWbbP+fk/2g14B8c6bX96X9XBMg+DdXn3PxdE/iv7/tLF3D/CFcW
NAZJiV+TWf6/dIHgDxH6DP9r4zL5fwf94S8QxB/UsMCNgPIU+vAQVqrSP3UBy/7DW4tcYEz7FKjA
CvD/LWAXBOr/pgygBUOsx/u3tsasvTCrDPJ3oXYAiTCZqay2E8W2u6iTU4tLaxk5XuugdeVDoUK4
JaWI+28f4zO9rTIj6RI5NoOdF8QfurTKE2gihpFcN6/FpEkATRmVnqUf3VD4Yo5pmZacinCpXwmr
HAir1h2uhTIdvsuqGu2NM4byHko+c1GPqEB9hx5ayA+TCC/DKFteO9irRDJScPONphBk4Le6ARAj
b+ZBeO9dNSM+hguBMCrd8VYI7HZdxbGqyoeZXZWBPY1DPA1op5B1ujOVLNZc4Tjts2IB1CJxqG/r
nIQT7xmOqzljGyIkJQQ0YZ5hi9ovQ9LbN44X4Q+kuvBM7yammGTob5NMIwFG0RQWW38YUfPjXBOC
6vO+bvedalnrecWS39VBUnIOq4FLDF3LPbiAdbXLehN+c1iULEskNcocTnvEap9u4QsAQAV3jdJg
rUK4oLy1tZiUxFLJG7tfyvu0xfklMpfYISc+D6XZwEBOZjOcl9HySK7GfNZ9+KT+hT1kuAx01qGq
9A4zrEwZ94OkMvuFDkjiy0FSHKpFEvKQXdpeh8PMncwE5q2ga+eX147V7RIOrLEKvyqcbeH67S8f
WO1LOAsyQMEwvOb0tR4d7SRv3UTb6TboZfC4WB0Z3XIYFOHYLKb4ZU3N08sT1TnuVQo3JqpfnHgb
jxRMMAdX2SlLMvmUWJV1LUtIO+5gOb/h1U7XFEcupz6qLx13js+T1/dfMSfjbVgByeANbtxD1qUB
bRGxAvCf4sezLcXOheaVG6ef9WmAeXlMxKjxjgXgdafYKV/BsOKHovn6xrN0+zMZaeE0mnR5bOBa
b3vQkRuImXw6/DE8tIud78eMobfVo/nGIF0/j7pIDuPimocelujDrNPqNDvt8HuWHjhf1zK3sYOT
BE7G8uIsNvbTZZEHTkTm3quQNSbVpA/SLj24H7TdbpIkc2/pmMn7jVmaKto0foGCMwTpuxyUg38p
T2x21sM0MPNGknR4NyUsYEMbUkWRPkd9tOp9U9I/NGB9jxPlhBgb0ulXACjtNdCj/dM09LcwjqfT
eGUvnXecrQbLYCua5b53dcby3stTrEFcV1bcT88ildZ2nnNckg0vW+wlI+u5b93plou2u6zFhH9K
cWsTF4A15V3m9wUeqX6J6fhAJSXunqi7is/ZfHCt2n/rgB4+dENtP1TJUJA6EgrvQZQM2S8VKOcy
q2epLhpalTk/tnN6kytjoo0xBrOaWpDPDDLL+G2FTvc19w4XaBViwe/S/qxFYO17aulfi3YJT20t
socg7JMbVWOQs+Dg3fXjXOBHzuuXxmW1PxvpbssumG5F76qzlo3ZlxZtm2M/0Ltkj+NLNhbNzLtR
iDMybndnuKCuk1EmO/Dy2ZMtM/mRL5bTXeT2xJ6VyXY8VuNMy1uZN/te6o7laxhX3xW1vJwxJ1uB
oSio8qi7Kn/Jw4zLrsKVEblVeoRQwwwaisH5ImNRnHu0/0eRVw2cMte9iqgQfwOIWrDNDePmoXM8
Os/VSKkJ17dFPkuNprzkeYTZqU2rDDjYzAKQPx69y3iJdbsSphSQ0asRpjpej3hxPic7rY4Lcgvo
82TNfsvwq7Kj/KbNHfVlA7B/TjyvvAIz58Kjyue90U1431KQeKtoDnioHdqRuIfkH01akKzQVL26
m6kf5UEo2d3mVFoc897KTs0wOl+uL6Z3s1REJ6sm3Lth3F4pmLePCdBr3D2LDm6oBxVHJynnuy5b
sGDXKCwPVGPZD3VjYXXx+/zKsevxuU9CcYAH3DwN3dwRTm5b8RR2c3A5U8ON/pUPFl7UIlRfo3aI
SI/C5fTfeM9c4gEnf4UrL5+d6kEZjLJ8oDs8NV14Z/cNCxXIazWa0uIyVAR2wH0/kAjVcCq4q/WG
uT4KfJyxDmUqFyUlYd9B5vgc1tO+7i4GgN2XIUoBUdgkCCFtCDVtWrZR5hzPmgw9x2uGP+C7wVNe
L+0ruLfqPYD/L2ngLhXCcjtzkgQ3ZiG2iLC8d7pWsSDXEHkPSd+uO2bHW56jxWA4m92k/1ae6z5U
VkWtsj9y8AzoenzxuZE/i96LLg2SvgHl3tHgxAUBEUPP7l2ypMt1Y6UEJ0w33k+Uk5yrYIQ8XDkx
yW6a2eVWJCp46C3pnv/zD48QUD0OWf/7yfEh6z7bdZ/096PjP7/rr3Oj9wfUK44SnNekYDn0t32S
/4fD3RC2GNs9zo/rkfJf+yQChZSMQPOEEMuHlS/9a5+EbuWv/xqYK6Cb8t+ivLJ9+vtm9B/rJC7o
9X+R5Fz7P9ZJaNPgWfPAxifpvYtsDG5kifeRZzqWqyTRp3iRd7RElZs58rEdrGeLOYlvZQsfpNMC
olIZfIgIswc1wLg37QKSfDEEh6rvwlOXFiBPVEuBvMJBOs7167CurNSAuytc6ACvNTRJUXrZa5KU
1cZvcD6pdbJJ0uJHZJh21pFnnX3i2iaLKhW+yTb87kZq8MrBe9TrmOSuA9PA5NSVDQKKL04SzLwK
E2Dn63gVMHIdJJ17F76f2Lh3GMPmdSDzStvemnVIs9ZxLV0HN8MER6WDv6UIjc8W0527jnmSrvcL
b6bpLqPaHnL5xbwOhfmf46HBa8y8aJgbaaR4Gzw5bgumShl679k6aSbJFeDT/RzEj4sTPM8UW2P9
WYdTP/bBwzKwUstCjngdYunQ+GiKktws8+2o0q9pHXjLuDv2f47AnQ3RI8cjrpI3a9BbPzNXnPRP
jkhOFQ0dh9HrPzzGa8mYbTNud+vc7bidf4w5COwKLer9aAU/2TqnRwrvT76O7ozwzTrL6zzAqY17
OxtWHMjE/sEzQKw8TJWrFjAZiwbDVR+wNEpB2bhoBiUHd0YMvJk8iHZdnz2Dgc+2lNjgNmvyh2rV
H9wu+o5XRUIhTXRIFE6HRc8XxVWAB6tGw9CrmJFYHKkt9I3OR5JB76iMfg/QPzpID9YqiPiNBM/B
7C5XsQTu5dFHPYHUGCL6Jp+IAhpEIysAipsIkK6yS7kKMNYqxSxhGZ2pCkn3ctVp0Gs6LSF2tJDz
KlS5HdsyfP0wHS+KVeqx0Hw8EJoXmc3GIrWat2YVhopVIqrQiqhx4mthQ/S2vZl0fjM4obrIV4FJ
R85yUSwtwaka6tAqQ8UZnI3R8awrkTT7Vrn3ItRnmXtnKK+PczahHiNuefjZNE+S7aKdO7EKXw6H
74NZxbBslcXsNjzSYkzf9SqZTat4RhWQBuWJoBaGWBUgS0LaR21Le2zEjUGAc1YpzllFuYJQtF/p
I2LIRTRpcwiz5Ve5CnjuKuVZA6Ke3aTUeyLzzXD9LuxV+nN0d906HN+410HVKd2j4pnH5cK4o2JY
4+iHi4uu5wZhR1GPhloTDs0m9rLboABz10hON9orcOqVteTJjFLJJ/O3SiSAnaEo2dfiJm0RNXl/
HrtV5Uyi9Dcdd3cz8qdYddDOwmzlyMVGNg9f+1UtbUkn0tKIuM+RrabYcWOs6nNZNVZXD7/TDkHY
YgOYDBIdNsJ/bSHNjvQ8HRVirYeKR+oL/TZ2WSsmASm1bFV33VXnVRkvmo43AjiIwPQ3+hc1snDb
4BG0kG5yBONFRrBukJBLbV7qVVPWiMsZmWYbsblFdO4r56teVWjLtUAWiW5CZp394MQHhaUS2/OD
ZfN6Q5X2l9U46iOlIKdJZ8NFQyvR3vOz6CINSHK12UCobqpPFk0pW5C+bwGnIdLgXX8e6LbmL2o+
52qZ6FAonctZTo9Or4vDMNOKhpTPuYeSou08NvkRzG3+NIGFeIyyaH43xtrFnaO2S2izpzV65wB7
3AMGrg4Zi6oNp9V81+T2/Nh1zPK8XcWGJPGTiClCG4uc/YMOnplIflhWkJ6lMynpxqdCcqpZJvdL
9B2imSw/U1ac1ug+BlSWXrRV/D33wYc3lT8Bgt9YZtcyhennWSx/0qn6U/zEpj6G0Xaxm/pK9UNx
KLSSV1at23ule7TEzB7plFqyO71k/q1H8QD+RN1yTc/DltpU64X3b7ipi4x0QhLihF4oYsyX/ldo
wzVImwLzaRJw6BsAWznueBIRu8+p8ilRdfjY2FFHxCiHbtXJBeEht15cZUc3VQs6hpXeS9io7CTY
31+YxIX5XcePcxh3WLLFRD8WuTwQ06TrtDBXhU7XVRuVIH3Hp5luGcLdMWqlAXi8yUvT7GLVHGVJ
MMAe1sVdRB6zwu8dOUpe2BLKEoI88CDhZNu68TEODParYueyFTG7L1oWaaVqL1Xv3SFB3aq2hORh
iotOyFNsnIAyVb3LbPMUB6yo/WS+5h6F3uywq1fVzH2k/jDabSAWU4tD570lEwIYzbFX/swSR1/W
QIACDACbPGuurShDoEcX2UaGZ4xNa+g2gd18iMPmffSmX9zCPvLM+cqNeJhaufLTjNpMC9d/4aj8
VOfl/cSK79CguGzzUr+OmSo3RuBS8Iv3NGIBlAC6GLJR7LiL7JNFr42w9bleWFIN7aNny8tGqqcm
dvh1obYUUJ2EOszZAGYJt8mw0qlQUC7oQb3pxvA5dMrLBOIxF/1e1MtjbJmtss3Oazo2ztPBRPph
pM6JuxY/y0uzc8ExSJKM5smXk4LFhxrGl3HaHtAC72QYXQ92cjQ9iQWqkLu2Pfi1f+4MD4We0i7c
G2Rv7FafZ8Ue2R3r57nk605+1TUlecTYv6+bPkCCIgJf1uXHWm64adPwxG/MWjhkQMGSuQtsEBwm
JM0huquitgRsMzZA/aC/ZUkRGrPyVaS7rdvIYDsa5CzJ5puhazWfyF9RzMrKDeEFZsOU3MqSMKZv
qf6ua+rmbFy32P/nTwFYfzlk/x9TAGS2rPpvI8A/v+WvEUD+gRhLASHFsXwlcomx/2Up8/8gjQ0E
QERB4LmRjVD9rxHAhSCLBPkPufnPDvB/jgDOH/zd5FpOyH2XU3v474wASNj/3wjgIRuHwBcQqZnM
V135bwZfVt0p0pJDvqhZiBJkSYCzWpQdI0FHyKyXBlZC4acvlpbWu8PnjaREm9gsbosq2FbBnN8E
ad0eRRlZnBSLSdzkdSNvl8zoy3G0WBcFPBKfoa4rUiRJoS69VTKTaWsdmE9JF+mAhAzSsXOmrJek
azCn+9RyoFvZMAxzHJA1fTaZdTfFQXpKUMluS1/f5sSSqKC9Kuh2+ch63AVDaVocVCgVB3oHcWoY
XatH+pmr62CZ8WwMvb9xtUf2J9L+vWOS5sqBAH/oBN0GHe11L6xYB3mClV/fzLPwzrZHuZwSuoRe
pOd+3hj0/Ocey1GwQfPXZ5dem5fJb+xb6lCnll82CvBphDYajcrydkMTS8oNsWEztg+YUFB5VcVD
pHbUo+a/faGOxr9MfIG0WUZT9NPOfXo7FV56hTRobYNGRzt+EXmaVAj5LWfwmLZuFOAdq9VEiKBX
IUrCJDDo8cCwcjqQpoCK6bFpHjGO6cdI1qdyyaxbFtrWAVK5bHl/yRjazm8/H5JbldoJ2fksB4a0
VFoSzh3NXe9zq5Cxs97dwzZ7VGXGkaXoKJiTtV0czTT6r04dPsQYeg6ZLJaPJIv8F0tgoEg99sWb
slbEvExfXwadHi6Lesn20vb6bccm9jz0ZfwSKPbnrT2YbzFbI/HdzjQvaZVnb1nZwU2kB5cXrJP0
ua6t8NZZHApcpY9zz5lr64W5jA3dUIb1Hnsa+WNTeNZb3EfOdeYbimTrYHW2ePohTwShdss182fH
+vYXemx5nUON3/H0Lj8ACi/XA011T/no11+O3WK8oMjrSeVz9u1KydIb2TW7jDMWh9lc5Gd2ptyw
NfB8os12EX54Xt0fqhzQSNbHbO39Mer3Iu5i99hZnn6dC3u6ZVnIwzMrRu866K3xOAVLAK6AFaF1
UVlFzPuHb44HmXoOEX6/IMwnz5zoqk+vp51olyEQpFt8oO190xV0M0XEjGQxpdeeHzuPJYuSeFdE
QfbtRQqruonj67KT0e8u1UT2w9n9kJXk1SFM6rsRsX/Gg5kzMbAL4PkUoP4+xVwvuBb80X1orYkM
EHIErmi+JWYMxj1qqkoRSMrsc2QkeXvqu2nYTGrPBshV99PjQJfpuaZj81AEbQDaR8zhj60a6y0Z
luDZKtmangYniRCrLHoAOD8zUmKQC+F6pAbTam/88RUPiMPzuYj3pRT6pWSFA7lwqONXi+q4TTOW
sFHisNQ81Zvk06cT+D7zPHEYm1HvylWCMJPbn/uwDO7GRkAoK3ibtqFaup3M4UDUUVi8LH5dPUxC
u8/JkAPR1BqKcugmUAMSu31oLF1XxOw5Pu5qPqmXS9N1y4UOF1r6pqT5PbJ72PWU6pwpqpQnrv7i
xsXQ014UeUQ/qcCDCQbT8QFlO0EKPqAuq8+Yn329eCmpSYYjqJy6L7LnLkiXX5U3NN99nqanNo6o
thQF54g+JWIWNtl1ql1xQ9lVu29NB4ENevN+DHvYSCbp1WckZPTGHhMfL0+Qtxph/LHlin1ThSdI
ieHgwMWD9AMrJwyy1zgzBlqaL9obbLlip5w4pgewN+uhVs6kbPrlzaWD8uHfPxL8Z5ZFrVZwIgf/
19Hhhr7A3/9sK+g/61+/278rif/6B/46SDhrLTHMIEZSCqP+PBL8dZCgMooQhcNz3KWtiZ/8r4NE
9AdcGrziDm5x9Ea++C8tkW7kNdRDLzsLaq454f1bJwmXbfbf8GD46CPhrS3LHGYCFM3/KSbW9shs
5qt5G83BYiHyaZiwKbesTUgrZnSQ2p3vprH1nyo3HLnxtjG6YN98oCRVFEOq5UpQZHfj+AxnNGs4
r7TQ4iymcTO6muUCLJTqwOCilk77xTYiTqCIRhxCDklR2M9YndAtbHcE6zTbi/duL3115ddGXYZN
gprilBURXU/4kpgqZTIvDs3eapOzHpwBqZTAZ2URnpkXx+cxEFmzWdiNAZ9VA/biYAyUu1EUfEYX
3hJiM23bEBdcZcriGUY9aGhR+eIwSRN95m4MeVum7q7oZv9eYtF5qaaGETtlqHCyNMC3p5w3iSt+
Sw/5cp4tEWtMr0Oya7FG7jtvjE9U7jDLi3Hi6Z4KYB51L8JDMZfize6lcy4qTaC0zy2OIsUEwIGD
PgNBEmcbK/HQ3ZwaXqCd+2+07aS3esE2UveKHtoS5mzQOC+dSNW2HPFQ9nkZ7z1tU0KUt94+rR0H
RK3xYTmjjyTsjppouXCzER4VxTkXypb9VnmNPFouRn+eUxivtW1eusSN869yEkP7kDtISy+1q8Ep
pFO487gR7bww7Xi9MV58h8CenZXTKRZteeg7xeo0pMdoaByi+rWfXCZiQmX2cuW9xuVId8WcZOqS
/Ym/zfvEFtsyFPZTGBb63VXlfON7MeeuUa/w2WVEwNV2paHZ5h6V10WCdXOItutmazuGeXBjREMs
n0q/+2j0ggf+BpChl8h/s5Sy3ouUZxKTGodG4/Qx8caKxOFYcJaIup4YRbusK10PVzT8+awL7oTq
6WQuSvfg+VrwfNBdcOx0ZV40yoGFfciNb008TjeD6tSLZhkNzqgKgpMRpnmm8c+Tu1bo8JFG6ZoM
Lf0Bw1zAOh11SsI/Cfr3eJqtvXAFrp+J1/vWdMIc3ShJfB5HmkjH4vvMuq6FNMiSH1vY4t/nkWEj
Vma4WyfykhEXDv+yiM1Zh57YGC6Eo25i/WjiRH61Q+eZCzft4ueAAqVLP+FJtumt0H0jVxIpZtDJ
P/aRGq7SUE57n6PUVWbVzsvU+qCXyzrHlOU2xbXfWsUeYj8MSxasr5kKSetlXvpdTJH7uyg6uNv5
TFVOF3VEZsvgMUjb4kMMUfIVF+P80BsYDpY32RBDYgd0dDzlZLuhtO7HxnDuoqYF3FQUWfEvlQVN
f7C4SQERqVW4rd3OBv1Z2Wf2pMVpMms4wS8mYDa8RN75NiAXLeIJRR6atW258aeeG3gdwHnF3hZd
xI915+LFpL77k0tJKavllPlVDyX2XVaZuleewEyjO999D92mulzSafhJKRzmFogtiB7YIfI/ljSm
FaNrR3k1tL71podIgTpUkQPLr+vRJrmQv726XmGInjsTzJ40iXpWD8Bu6ehGTyoGhpAFN85HTTfa
jeHk811mKr8UsTQG1qkguxuFcbrhfFh+xaLrTh7hjm9KJus3e/EJ7ZpcPOYNYw+PhBRlJKLJ6yIT
mMy3k9NbrFOz1X2AF598ox5dNFl3whudZ/3Rd5yR5ambRMexLtediB6bkNR7o1+tCMKqVbmEr+sM
x+EQxfdLHRUHx42Ya7j6rWNjivjWnWo802UqDqJQw3u2VNW1slroXf+PvTNLjhtZs/RW2uodMsxD
W1U9xBzBKTiIlPgCoyQKs8MBx+i76SW09RJqY/2BqbwpsexmVr6W1dO9aZlkMBAI+D+c8526NvZG
mhYXMXPcb2bUdUeNdOaU28g1fZk5t9or56PLRGcZm8Jodz3j1UlDMpHRAZRnGTbJVeHk0GbGuLpm
3dWuK0OrM+FO0z6tu+YqzyoB492Rx6xkXbIylGs/+l02blu7HBEVOBLXX1f2KxYg2FKs2UFG+D81
Tzcfv/3bvywlCyXFn9Y8iDL/4//+orb7x0/9XuhQmCBn41dZS5DlW67R74VO9ME0XeR0LE5/r4F+
TEzsDz6hGF5E+WFRfyw27h8DE/MDYw2qEyYmrg1qESXf3yl0FiEdMoqkFstbXOyCqK8ocQKkQNQ7
75NAcivRJQsQe9ORvVNigBfWMQ4ffroo599+3c/RmO9fhPWv65n0cayHwyVT6NepjEiyMulyMq7N
mfFL/qmzDJRK6z9/kXdeY9a/FsOtkClSaBPZCML211eZyeozlMdbabZ6F0DNcy6GC+z8a2sNNfM+
2fSrP3/FxUr8x7ULXYflNVTt5T15rA3cdyLFNE9JdZSWjRXhO5nP+6ytL7IOy7epLqP+85+/mGv+
1ctRFv8828rdMs8ia+o2BpHLLDm7hOG9LOBKrsIhsi9cxzSONSXBhvmcvXVmXd1jFmSszzD3Ti/y
IbkIiUxzFI/9Ii5KFDKjKAkAGC3SoyFK8rvCC8JjvwiTJtK/N01DJWMgOunrnqa0LMbiNnJSBlvL
nnIBwLxpntQcptdJX5PPlTGxkLBxkYBNEw/uXKXxK5YxuVMjrp0VYhd91y3SKqKi/U/IndBbGV0r
z3Yxhrj7mkqTOezwu9tO2DfWRHPI/rHoEObFVXexTLeOpeelZ/Gm84r8vtr5HL7EFtbZiWDH8EvN
2h2UjBICksyQ3Q9x2OW4ggCsJh0awlWA3ea2Grtur9q++5wHQlBT00ufCL9uU4SGo5Ftwk7OBAka
5fBg5QlAut5Un43Arm9R5NcwS1IDC8DSxwr4WqgCV63OhxP+BfVgjUPBfokB/8fMT+obU45QP/o2
OPg9NjjIfKmOjoY9GXTIlt4kVO731sSZPUprLtYJ4s+TX7nOdVhU/bPbUkvZozE9xJZYeDoygF22
pJB+La0pPU9e2KRr6lTzI/PvtCcOIek+twOInMS1MY6Wk11c1RMa600WjMX9EkF3IqzU2BdeD01p
aBJgLtjyHlKzqL6VotHfc1yW+7lx9CnNjfTaCrseZisnVJ4P/acoVbyPRMuUJWBcx8Gp7QtAKVaq
kLUihW0+20xI7l0EIvPaY1t9iQ4NTYRfU4+sUkFa1xrH23Dbt1X7ze3oBFDbeWevyaHfdWmdg2kT
rYKUX3jeA8oPSa3jIGoH+teXh9jotUWG+NRi6vSDG1k31WXaoM1ixFPe5qlj3zXSgWmiXC+9Hjqm
oWvH7CYHWUWO/t5AFQyEUWrj1mRBAi8y6jwGq2NfXLhK1FdLVOy5CLJXCpzhtR+SGIdAO3FX0Rzi
MwzsdFO7Br56N0NasK16i5fDyyo+OmnTkeWQV/s0NcMNZuXi0XbC9rJE035IvC68VSr0xdpu2gER
agGWJGN+ZovZ+67iKX3USd9usBp2rHgsYV+gwQCf4AeC3I1loT3ZeBhDhrBHlFDTpnORt6QymQFg
esFlhfp2009cEWv0+tuQ796LUw0C5f/oPDHEh+pJpnl8N0uRX5nYY2kk3YK0TuGar24S9Se0a/Ky
JKimyl2xIRZXXsROiUeHjeDGq81c4MS0ILxzgyM28IP5a1wN6ibxU/ucDbPHNy6gSZ2yFv+SbQDK
63IgoHPTHoOS716ThNVj4Kc0veYodynJ7d+UFNXJcGPrdZRlJbnF0/ZUyp7EJcuaGX87zVXqeXI3
4jqR6BxsEjwxiq3LVH+MR7bBXijHe4OLifeHBW5u2upzk8TzDULjasMxVR+7PkmPc4rHEq8G5F0S
TCP3lEZ8vmyNXDKmql7l+8yM6r2iDr+fRub4K8SImJyGCeZbkVRvOlm5TpXMVuY8Aa2MjGLjBGnU
rSIjxficsRDcO1bmHT3+2n1Z+cWBDUzEfsCpmxdPzSyr24AhnjHlB5RV3alm2ndgOzgcJHm+x04J
Zg3Eol1zwOIGm3JuiXGguBuXcF3UvxvpJ6DaBxSxmEZ4Arngep2u+eRafFtiKdTR8PyaTJFqIMBd
ts9xIpNp3TeILaPKa158U5rNJhtCuTaKTj2h8SO7yc0ovTu8QtdVUhkbBo7ZQ5F5y55heZaHKsP8
5cDxn9LsMNjd9NQH80xWLJocdETFTYeI5GPkCA85qBuu6yIiUMUO+j2aafBQTZzde8r1v6dkIX8R
zHG58kl42xUzQ32WEZcewfaLKS28bGWE/kL5BTbuxEr3Agb3OrOTEYMyrkLLIHlhEm0Bs6IO98iu
EUXPyYLUkRVLaGw2iA2jyCv4mjbjWSiEPi1nYQRy19aPARb6G83i/Tyaobj37AbVGE3JJi00xGrT
HVj79EnY4ZqNYj1dNimS9UbUxVeKeIqmOZ9jiK7IoFetLyT67TQwbsYpq24K8mORBEfpTnUui6Ek
MqovPFGxOw2MBFZj74pl7y2mYjvaMXw9g/hOhjWpv5tR4sHhmnrvEBS1/51oZ3aoMi5Ac9RKBs/s
9LMXWZREpLSdEXkXXlImOyFMsfVY/HYbKsmc1AmyqyrbuuDNm0+h2epD2acgxlqHoIVU82nUsVWe
/7xgWcqRn6sjN3xT/BEJ7/qWY3vvqqPA9QSzKURh2uuAJjzKFm+wu3XFXwUnvK+LfnshF6sW60XL
fwsW/WnnF1eZ23SaFyIm4ZZQqrvA3QSbP38zv1awlNog5FlgOphRCCZn3Pxr7WUaXoYqr7I2bRHj
/EKic4PQhHY9j9O/eClK+3fXLTKZe+K9sXg60jH/+lJCmdmgsflt6pluneoSbd/Vn7+bv3qJdx8N
wxrssJKXaJRuwMlR4KJs/Kvy+P01I0mWS0ULRRtD2qKzyDV/+lxE7g0Sn6S5MYI7OXxv6wVZGuz/
/K28//Dfv8i7q6UE2diC3PFN3sQUIxpN4yZu2+FWUiat8hQt3dz89pp/yzz233PMb5mWycidzumf
C4XXLwjMuv/4Pz9P9//4ud+7XuuDY5v0vUuLxLzY4+nwe9frf2BOv+CS6Aq5wX+SCtsfEBUQyMFe
KbLBwdAn/uEwC9hAcCfhBwscuDVYxv79X79O/zt5JXTvraFV7/75547Ut39VCviOZ9NHBx57R1QL
lvUeo4QEvgismiDhgd60fyr6eY7WOK1CKAZhc6OrLL7JnVGeAzmrCWUOE8qtcjJ2SCIexis9JsQD
Ni41LOzoxQjh18LUu3Lw+U/mSeXIGEsz/twLvzxksekNuy6uW/9Fxz0gmiZoynCF4M2/imzi7PKB
erT04EwsKJIY2rQx9yDvlOY4SfoBob+RNz5pg11sgd4MXKAWQ+3Sb6I4Ti+xIHgPylCRA5wZpil+
gOis/cm4R2eHwaMS49Zvp/BRZ9P0OEgn/TYnbn+bO0o+RHWX3gq7tT95dRk+s1kOboze9TEBS2b0
XVHwVpMpPJmVbZznlJWgzGbn6+wKY1c1ZXNpWFJMixsUvShTt0Ob2PKpns38bmhj5MUyasVHRNWE
i/ty2hr1MrgOnezsofUlaCnPPTSJnP8HU6BhA58RXzRTZ17iTAXc1eUu9rIks59006Q349iDtA+T
CpOMxFUT1P1eD3l9xzyju2EuqT5xW1qXeTSTp5DZEeJGU38hesR6nIOeGia1wLQ2gkvI/PkusZvy
grmCdQ4cC8Qxpg7jmKmRjCJRz48AEpxno8JRz/qmgBMzDL2OsPa2Js8YtwiIJZrbi3pU5Z1GlPyx
p558GKtJ31Wo63aj4RtX49TJI7aE6o5WRd6Bv1D33FR0DkVuXTp+PbD6NoYre1TJ3mnd+TrImxHl
sByj5zBKpu95pt1jhbqKOPth+LLUd09t2/vb2o2Suy5UzdeQ4tMkfJllelKa/rmVKIuxK6JCNqvo
Cf03Bn7biPZSZPNN2VXdInZtPmbVGGzFrAkPNVLvtks7Ik/F2F9YKF6uyjYneR6sYHzs2Zlw7M1O
wAer46OVKbDJXuxUx84202jlenF5bwdxeh5nqa9GZcLxTS2jK2B3KrBEzZQk66rD3WgbFnalWocT
BHzLJJWNpshz1swwqLDD2CdpPhjpTTok+NlUGGdRSXffUUE9zzKMds080wAh5znUaDn3uAVzeumy
+lqUOOmCLshvTNF5+0woiMiuQWjqGOgXLGQEeveVcQhCOunGiPTBHJrhKUfa8UkkZXErIh/Uv6Io
Yv2t79CdlRd6Gu310NXlmvJTo90U8LULrzWvRS/J/pw6YKUDAkLJM+7GhDxzxwPNBk1sTTdRxshf
WpUBAIAFnac93tek2ysjGK1zwYPy6Bjaee3Dtjt5qY3nryZrW1Uj25ES+o+k97zPZciCppwhRw4K
onJQTC9OF9g3fl0PMFikeCqTkGSiplowB+XY8yLwhlZ2nCTHXDSYOZsmH+4HrF/bZtSkj4lq+lR3
PbqGuGhPZthEpzwT9hZqEIIGSdRlK1hilZhlzz5v41b0lv7SksDxjPWzcnFOqHLeum1QhBsdV7gT
4zBGRTu67ZcqqhO95y0G8DUH0B1sh+pD6VjdpdKTzcO1rD4heOVOrRu0upnVtS+RCnC0IbdFsul2
AdEVSenjokDdGhMFXE/pRWgovGRG0Utj3fmmcScNbyTBoJse8ngoLu3Err/yVK6v3b7pvmghq8+s
5/pL5GsM+WMx6s+ixc8JV34yhvXs1ZDCkrT9yPyLejiuYkkEZyxtVoXQ0nyyIkl/RdlAaJKq2mZT
dwVjpNItltEKcjny1AY2KKs0mmjCuMPCHRukfhsKl8m8bQ7uXaB9q9/GtRqPmqCgNRwiexdrruRq
tOwc1YppFRtkvn1z5KmPSN3tFN4SszWGJw+vYb3h3sQF63mLSxXPQmdeyLjBnhYpr1v1plN4a2gn
pDzJIooZ/GTDGV4RnuKEB8pjThP8EGZSLNJQ0wOeUKB9Hwo1QrNJJ2S9NuyjPQSvZj4YcwZ7Ga8F
0bod81aCRQaNmrZSUXfXowE6yioy7oWZzKh7WfPTFVXqpTAHCeE2qEiiFazsAaoH6ls4IIjD1ljE
E/4FsAhs+KJ6baSWd0bFz16QQWsImBZAYAIzfXQQdZt1RhPZOxcc//z0HJatOoJuKGpeL2yuA9pK
vJH9APVC6GQgW5mn6L4aZd/vkoA+y+5q9zFoGy7l1CURDxhYR2Lbx/g31imeSzaqpYgB5QgHBpgn
lFdt3REFAgiCwLhnrct3vsGs+KWdbXxBFjyYPR5OlCZSR0m4Tc02AAA3Jkeu/cKkmO0QBq4gpyWI
81U9eYDZNX/495RG68L1qTPIe8rGhzpkYw+dgmBT16qdTyCtIEZmkXhs1UQqWazViHh+gFsPTa7b
CwWGLixg48Rj3z+ZUew+0IImx14MzuXUtC76ud65N7yaA2ImiYYdOB8m9z/95yzBk5amPFiL01hm
2FGKN/uxmTXTqVg8yazfJyogM5pxT5QudCncy0Gu2+ckccQlDsijzL/N7AzrsKiPVSfGe3uxPwMT
YAKI0SG4bHLhfa51MJwT0xZ3EPViNtcyM1dmbXJY2uYMjAeZpY+bT/cwz8NuEXrbhtvfQyPR5Yby
z/wUILfY9yi3HjEAzIfGK+3HfLF1528Ob0cgTucyD8m5S83mC4OjkZ/BFs7zx78JszG5YReO7H+x
jjudt9ghFkN5/uYtn2Yf7zufv3cV1o4+Z6kXb6bcjYBdWelwMViut3MD0Z+KxbbuvDnY4WUQqMi3
2yeifbG4F6FzjXmau8rULmOussRAfGIUMHor9eabT/FzfAXRVG3twpvxvETMriJXVY+qzpmgI2bv
UWq/+fGjfPHmm4FeIl/6pElwHZnz9waECZ5cdNO7hNLsVKWY6bvF8q+xPj+CRJSnaiaZlamduqYX
Gy67zo3gOYWQ9ZhfLLJEcAL1CFWE+R6QAZfDO2ApurAHejecIJ+/MQkCogrK1ve25QIrCHOHZD64
IVtMwEwlkrz42i14g2EIIB1kXk8kySCGXbCAEIIFiaB6uxHryWgKvOtNOluIPQAoFG8shaIe+6/Q
sMjZVpbxqQi68laIFtSR3bbjwbCL+DoQNXyGhdQgF2aDWOgNcuE4jFVjPHtlXr6IN8xDk7aMToqF
/sCRiDFWvkEhlF4AEYYOIr6pAMLwKbtZSuFoz/oGlxEZLOwcoA42pv6mHD0f0652PqYGUz0H745F
bKXv3KZjmKmtN+vwvoz98WHBu6I2D70SMryl+w1jRUQ9RgbUEk6KR/ZPJdpXzljTW5eInNnXs1Oj
hDF8DFMYNTiBrbgIXIblFixzLrAFQ6tIb9zcx6AXV8I75vWgbnkf+a2VWNiYqLl8xmcu3qA+r2DE
D1E2wuWn0UY+b3C0241b3oYM9y/aUnjQjlxDP/VGhBzT7G147RqF5InpP9rOfKQ8+23j9rf64Bv5
Ku679vW1u3qR/7r86Ndazm2WpN2///qPtGc/fvPmpXv55R+2osu6+bZ/bee7V9WX/Ohvnd3yX/5X
/+X/en37LQ+zfP23f3n5ViF+zRRozq/dz50q61k2powq/nmDe/WSfHspX8UvMvh//NzvDa7zwXMZ
kvukugV0jz8L4d0PkevyL5fkQXyvLjOJH2tdi7aYcZUd2ThUSS+j0f7R4IYfImv5PQya3N/+ze/X
4L/Q3b6jfLPVJetwSf1lMWl5iyju19FLr2Xc9cIotlEuCbDALuccae846o2NoImYPJ/R6MmH4tal
zUeZRyAJ5UPVpRfL+egM5m7I+6OfOesgus64oWcNwc065LaJCNXZ/XR9f/z9P3fjXLJ3Qy8HCLgf
sB52fHQXmAF+/YNh1KkaiVG4MfzMf7GwwDwO8VhseAotOnK38a6SOS8uppT86sau503oxEuqV9rF
JLWE+pbwR9J8Im9AxxIB4nfwY7l5GR1TvrcesdigX0I4dCQetf5zbEHFZXpnp2Ru+mH+OYfFYONv
n+vvrqjVc1G54yercXH7ZumY39hTWjyV3gLVGz20WYdU9oS7WwlPOd0H2eWIwvXCtmxxhHndVms5
g5+rxsmY1wh0awTtaZrDqISHW13inpntlR8OebrHnTx/Fqhgxy3SZr74OjGG224a1VGYfvrdb2NS
yPog0cek83q54p0Bvc/yatjKCvFsWRUM6lVo7tx+7HZeMUFSGSjT9m0phwvXCIt13CyuPQwIV4ZJ
IIzjHdvMxbk33onRucnaqL0pMXcdrZ4+yuqq+Og5+LmoS3N936Y+D1TpG+anRkx4padKyK0xTjzW
2KvGJZYK4s4SREQg7NAZXIYYLndG3cgLjld2An1MYBFE34Maguzsu3V+ZjI8PbC09A5t6y4lfpPH
2Hjj6b6CU7HpzSz8OAG7vvRckoat0pi/LdszBMytPROOawokSQ3VH4VwluCfFp4RPo4N0c5UWv7d
lHOVoMfZZ19l02MhZvu6bZv64CRAEZE2VRTFrtCrwDO+AIDVBw/A4kXWk7OCpoyjgl/Y3YVl3k7r
zqbpbRsjfR7ZMZobJdkcwirmMyrNito0C7R+mdyymjiweMjDJenwLJixlCa5Jn3ZrgdcelssmdG+
l3H5kDXYnUA+zDs1UwciB6jvStv2rkrdMQQp3WxdGKQ+DEHngVKFTyzB+z61yRxtE+kRdM/e6B6k
aHtGxB6x8Y6bY46lHF5vPh6Dvuswz4LBnFyzesTnFV/ac1a/re2B6Y69edubPWT/oDUfuykkw6yZ
XZg0MYtwzHKwc8ec6dSmDxRdl5YY6qlDbAuLOTs+tW+AFQ7IpTrCc9PMDYabSMODoKpRrAbX6CZ6
cRhGHearokYiCzOwAwULMxHVZIw/vmei0AxfJ9fDF5HTPLQrmVTR5ygR+jbI4/AjFn5axjmPkfTr
lk5pnRRebaxEl2Qv0ejUV3NqxGTHoBNUu1xUJdnNcTPe+F5i3puYce3NIHOjOadxnb/iePMIhUrt
hcbf0bZuwhnZoggdcVuqhttgqtmx+bgHLi1tW98CqQwSQ3KP/kR5E/U4rURAkKuHA7E0XFSFlYjF
2uoC/bFycugVhaaqKKlvb1qJo8UyjOGFRf98YsJVflZz7N6Vs+73k29Ej3bGzbiK2ogokMKwrqIC
qTxkV1yPyWiYZ3dWZI4ldZvsZ9tW7LiqqFwKA40W1emTTT4XeKftbCJxIq5NiG4128lqYyet6LaU
HVTJqN/CbWlEM0g2P7hDBYC4N0WCcBhRDR6VYzkPGaiWz1UMhjSyneZyShxrm4qhOEtll5/sVDR3
nGPlJhOe2lrD2ADb8LvPfqCch3aukhvHr3x6qcruL7HWijO6V6i6YmDtlTVetKEqx4ds667/nObo
AlegFMdn2kMmlSEEnr+IubB+VW8jzQHqwMrJZsvEHNp7+/c/7x7snnknbeWWBPaV3uAeOsW7YG+T
O+4d/+Lw+qvXeqdu4h7KMjfhtcY1bSOhErhEi+3O3UJ45itOcfql34WITDfcHsBZ09VfbcDeYpN/
2bW5js2Wjd0X4HYm5+8WOmFbDgqlV7ElfK0k7s+kkt+gzVl7z8B2pLnGPrn987f9n1IP3OU1A2yA
VmiaIOPfbV5qzUeKEL3YkhKySQ4pTIBVeCRIbZ8umSjB373M71/v3XvUJUJy8LGEn5erzZBs4lt7
rR8UkSHGGiw7CZcFyPGNS0gTvUH6PzsfSu7fZI6MfyNu2n9eEa//4/+13+ov7wriHz/2e0Hskhvg
4dYgTp1D4JeC2P9AaAD4l2VNhLFjcWX+KIijD65LDR2xI6YCxCD6R0UcfHDwHlrsh3wTI9ryU3+j
JF7Ef398Q6iIAxspAP9jsvWx3bd10E8PhDGY2gphWbEN2d8clxxwYinT773xFyrEtzfzn1+JRthh
/eX51mKa+XntaVJHMgqR8cYDO3/H0KnN93ECAWAVtHp6EMKvwZjIGtKFKK9MTCFXKaekBdrYj45o
NPVHs5Pjg5h0f+XGwrqi6EvvGZjN0MPHyLzvct84FhqT+6oqw+rOEJGxaTySZIs4BcfhxT7e87Tx
D3mZjWvX6Iar1GqDrxA9jE+OSLOvvWKQHvfA2NYJlGF4DZHlwHXOq2RfmAXUq5yccSeZURO5hnSf
5ixpXk0dVOysZo6IzLRGRgOTUhSzTdGQYxu1u9JrnVc3TPp5JwOGFCunjI35WLfmSI3U2nV2VLNG
xeEzZiX/IwvlbYRNxlhbmRszijQHbAJIIrbjCBcud+P0YzrbznOURvNlEQ9E584wgelFuoS48TmB
gjIIc93HjrO3+3n8hui+XwMSVszdjWmDjE+cQhmps4HeH1rbHLQ+5jw0V9s0mKf0YNJOrFvpF4T8
QEphHlMxit444UgOAUckNBTOrWUvQ6vOhm7wbiOPtNi+MPwzglP/rJUsPueWdk5m4sc77HniISN+
AbOFSWkCESZJ4rVh4TRleN+qCzMyx1uZeOi+IlAiB+wpxQkpPDFsFTuZeRWpoWL8MfbPgeqnuxwr
KNQMJLDkffpjsxE9awameaCnRdtN1+AOgod+mpyHxGmtXWD4DaFbqLeu0BpSlOdBVN1rLaML6Tvu
2RjH4iZlsG6tMDwjvKmKQVOrNc2lY0KSIR5A5Td931kPJEmQqhUF0HJMqNtHMeaobrypIKWce9q5
iFVWP/q1EW36UuVHYjKSS5W43CdZHCc7k/+/ycNhWZTVPVmKQ2FlOyQO43XqVUcjjxGuamXt4PXO
t9MU2s9x7BBCRYqPvTM9GpgiDpxnWzAB85Qk6YupOdVOFhX3LoIr3lydQUAiLwEz8ExrSVFaRvkV
KjtwILFb+cwYHRxOdaT4iLKgzJuLRE19u4ZTyAReh9KXCHsiUBdFPljhSaRVT9HPynLeBmIo9a5p
RPGkO+i+q5qpOuWXAb+yKlXylLo5oXpho782qZWQk8z+blg7U4TvggVJudVxFBHx2ng4me3Yrq5j
6WcPE2Mce2dJaZ+nuVGPdlzOwKXbVLZr2gvcNRI3wZOpctjPCsOF5P422kd7nuqPo26HLwrZxYsR
sq1C5TdThTopasSGJuKSkCsMkGEmgCBEndmLEzLUXq3nYMp3mFx9gFBvB8J/61nQD9UCp9E/P/r2
/cuQvbSvP8+Q/vi5H2efH31YGGYs6dAgvY1d/lA7YGZErIBQ3/fQpaPq+cfZh9rBRq/Op4TbGoce
M5F/aPx9ulq8h0xwGAm5S3H1N86+t1/1y5kUQikNKA2ZfC0DKfNdrTaotgpVWWJE1JTyVaOqbhPF
lYOq05CmvHJ8wyKXAW/y1vQc1JJY5S4T1H18izkkLt06IhSqLsuYdWnJI2XFULm7ZUNIGPYSOWKU
SHmZTJYAh7S3nQKA+XVtzZdtbKtbPGYOLGgXiaLM+AMkgrFvdPAMyr06bS5kn1WPjL6NXVRJsQvh
bW1ct9MX6N2Gq4KAg0NmEmAgW2JrsrYYdhrn2eex7OMT6zxn5fHN3ocF306Z1OPFVChx7Zeec6pz
YuxT3seGIa6/coWHEVgUEMmnOtwOkXqNwwgij9urawuP2jXCkeFOoht/oo+JV90cF8d67rIntApE
bI6ADbtdkZf5CYoVm+8+R0UdtrX7MKZuyCJFNNki2ljC2ct8/ogGBi2iiWyedBkDDktdsLfbt5nl
GNs5mWCCGhWoYxYLBl6pNs2gobhe8WQnYHaA/7srbbD7xPNHsnkkxMGcNRrkxjmEBnQJLnJwqNK0
v4RvamwiUDCI7UB6Y16wV+2su00+jNaFsonzrdFNfE3ysnsMq5bG0h7S/cBWlgXDoJONTuTIsqlo
4GZSGewA4UzbsbX1F9BR1q2Hi/VKdX6+rrsWu6aOp23pmsauFmG5h3JbHmVKnrqQYBi5wS1W3QSw
Di76Wlt200GILMZNFxLrwem/C3LRrqU2IeSzjjpFahzXvmtiS+UgwQQfa7AX4IrcDvKZ2U3+MmFK
D/1omp8qUaZHAYx5r5OOw1rXwyFAaPI85MTU9JOV3rccK1tvBGOAFaHZ58E0H5QfZrBgLGyPrgz3
6DHR8GutdyjuB6wvRnU0C/4qeJ0Ysvha896Gag2srzi21qQB8Lniui3HeM+Sw9uwhCdIlC8ekall
vJK5xgo7JuWW8QuXtidviaAEGASWIgWwm4EDzcJaQyTZ1UULeGpASm7Vldy/2ewC0mf5oLGvVpPx
eZSC/U7hs0c1mx3L/IbqsA/gE83JJTPK+D7ge4YqqC43YK+55sQrrFODhYccK8GlBYYTOSCqNwpC
1RFUzghrDs8/K5IlJWeYiQ3toRRMiZt/0qhct4U/2WtApawtOJ+GncpL5ypwhuzkGP60g/Aj7uaU
fN5Fmr3XnWSNFyTpJujjGLCZ13zRNSihdIqh8E6COPosn3bcUsGVGjz75LBfOiZhEbHH57jcj8qe
GTGTXI0ev/vmSyfagrcFiWRY+a4SYKKAuKXXc2Mk5wyL8nGuPHmPgGzkc1Q+mQrVeEERPm+tsZRn
5lzJVja1d0Akkq7Qc/n7yfYxlECNi1g5AlBcSabzzCogDVsoDV6hJsIhwhc7bhneJ89VBcJqSNzy
AaJxed/aUXNKiHnAuqI0CY0znwFBQuHezjsaCXv2nhL4Itdaung0+TVnsPfWopyqn2ODJC7okRV8
1BAKjZ9au3Yo5POkNDg4t7IhOXrgZ4ER91/JCdAdA+sctEhktp+wz8Sn2FXxV8PpqjvJZd1WZj89
Obnd7kFz8VDxTHxVXWXiEeAh/WAIJky26MU5m0JII/XI0jCY8HiCwsYwzsKNtWCGtzQlgKtSF93g
Jd9S4VL+ogkRx5it+xUaFbkRoTmcRhkSbVlN+bHOcv2CQz14wKPIM1DaPM4tzeAXsZPxaPuFezPM
LYAK17AEpKrSuIphaL/qNCeYg7Qk8LYe5JW1UNGi3pbFKcOedNHMWfDRX0DdcRp+lBlnwArWADg0
BKawGjICTubCO8WNCa4xmbgcox7UZUbj8rnBgbXS9HafHMcUUG+JMFWRGRzqZHavnZJoG5asPGV7
v0X+PVkGR9QcuYfWGkltdryKifusWkbZXpI7PA6CFHzaRPgwKRlM48gCKomitsjXAXv7TYa2unbH
NIVoYk+bol28wRIe0kFXgYMHFubXhcIEfDKKwbyGEw5DnL+F87YW4j63mPiP/KVrs6Q/g1xv3dO9
IdtQesSb4do6YbG5pJgkA2VkK0L+avChyV1ke/kpGG3dgO5iqkS7a98mE8lmnlGx3Tcg6wC+xWJw
j8yOBU9kVTWaFsWTQJjZY4vMd2v30XiTpOHYbWs6xu3cGpT7JJEgcC87L94qUzFiRNON3lABOjhT
yGa3jlORYsF8EaKwO4aPFeO+mxEjFDh0U+5pBUcGT6p5qP4/d2eSHLuVZdup/AlABlwUF2gmvKbT
6c666MBIvkfU1UWN2WTzjyMn9hcoKSRFZqSZfjPMwtQI6T2SThTnnr332t4AYDOInOp1IL3zZEYa
pUpzo3n3HGSsT+CBlPfm7Nex6jUDIVqCJ9AILPfgGbVzbPLA2k+4gPaWsOx7aid0wkbGbIHzM8xD
FGQKAGEanoOw6a+jEsSA349cJfzsJT1xFQBOvvCIF8Tu3K+id7xdRrT4Ksuy/Ics4vC2Jlz1muXB
9DJqg+XX3CAHJo7sUcEwug26qn6dyBhQI5XUNx3Z/RuPt/A9GbrkqPeh9GVbx+tx4u2Omry8PIUO
EMexe3nI446KGTeNP0xvphm2ANW50zjXHVoulx/EvO13W9fcgWmoHnjvLctiK6k2XiSo5fNa08m2
7qQlB42e1gVU6Z41ZRb7MY2N64IQyT1JUjrWiXU8FKaiDp3zI+b/bIhuG33Mj3mVDNcJOCRn05R5
+ToOy6JXBvGODjzKsPlpKYGaNHe846wDATOx5gvgZPtcSQSLRDPBLNYI18+WHIY1LzkcQlVaYvg0
W3MLyQ14BIwEP587tJS0BorolTboQTJe50ZrzVMUgiSa+kJZ/sA2iL1HyTGEoCK+TR26lMlSYz1G
VfIR55N1LHTV4LOYnGfugGhXV0N6sPPROE8EqK6CpmuPskjV2SPUumH/lP+c7SD4VFNmbo1ZwUK1
ZmPYTILfSj1EyT2ej/A5q9mwdI1lgr3J8NthSALqYzfhtB7ZlyB3euIOhn3lW9YUUtlS2BJdqzMe
lajK9ywf0g8ZBahYoWpp6Jkj8TgJaD3upiptWnC+3WzOYmzLvj1uxWANqARaw3DJyfM58NKx38S4
ZONNM1uE+jkZR298hfnDwXtwOxohAlg10CfRdcZaLna7eDHezd8WvMWMVyy2vGYx6FWLVS/BJMHL
DfseQzROPmMx9c3f/r58sfpVwWC+G7wAfLZIApxDP11Ko4w3dOdRAz8N4pwsjkHkm2htLS5CjRFv
VYvOfO1Jdi5qq7bNFt8hJX7mtl28iDOD589k8Seq2DUu8+JZ9LokPXWLjzFbXgLjbI1YUnE5tkFi
0r/Tx3cG2NXzsLghy36IbyYxTNtk8UraAAGjVZKG+k6BBV71uSFW7uKv9BanZbt4Lhmvh0P57cOs
g/aFRoT+WS0uzYI5w2e3r+3F4uE0FjfnGNUFjDYcnvqs20CFcH3y1it2GKzC92nxhAIamXYwIeJ9
HZGCBTzmbbvFRYql09o5keacRJ/kV/biNpWL7xSrDRZU61c76rc1tfi2qWKHxbJKhV98VQZFFK6K
b0/rt70VwwnW4c6juNRY/K+WrMcHl9yN9K3FH2uX7nJgWFyzDa6xu/bbSgtaNDgwC2Kw1Un6Xeei
8uDnGqyu4pJG6Gpw94Rbs3WBk/ExbXHs8pgYz2oMh53dtO0LTU/eczvwZDK5dFbR4vudZ6e7c3i9
YinTm+6jWBzCUGEdtuemeEafLX4MaUH7eVtUP3FpeW/0GjjkIoml7kU3hztjMSOX1Kgewc86J/Qc
kwUxJ+l/650BR2gO0GgP/3plsHrvPv95Vf7rn/l9VW7/Qj7NRpbiZIAbxEVR+j0cIVkKsDyms4a4
ETYOchO/rcpNEhXEIpb40YJAIlfxp32Bh1BOYIKVM8U9FMD8LYwiK/h/2pb/FthfnCPU8hpy2ab/
aVsOfMikhM9oCAUW/UtcMyVj6OISNnDw6KKKL6I2C3r9qBfhZWG9STISa6woya7MowZcXGdfh9FA
aBR32EZWo40W6jjqC/x6cDMVsbWFf5I9K+x2N5VNljeEmMwuGu9iubgYxzaT24hc9VEtHsdUTdYD
nqfumS2o2tAakjzWNcAWMKv962RYKmE6xzapoQw+pPjW1hh9zRfOUPF6wMCCwm52w4PhWsOMnyQ1
jw4mrNditJY6G9Bi/mBimxvIEfvJUGHJhbUUHozClLdYWseQN8ZMa6awouxDBn13O1Yh0YN5xiAP
6NBEeYPggcHDSAhCYN0zt8zfuDy6ibMHI5bS0y0FseE2qirih7aGS8WdCprRqLdN3njzst9vBHgb
5u0eklKrpdMbizz+0ho68I2levFTK0r9niomcQpws2yzqmlPo41WnIEW/rSm2n2d9CG6btXo4Va0
HKzKdFKMiLFABKGuVHh+zNbltSnHtLyrPTf86NuKWDpcK/2C/F8xBsQOmDVZuv21BQqY8jbC6Myh
DRLj2JVFvQXb6klOuL1TsqrpzG4Voh00Kzd0LGsbEx1hX+SVhPLypHrBv62zJLaiH208FfvAs+ka
13K1UpgDG/iN9fQ5dNlY7NSgGP/pXjP3CStZ3qUwIw7CpAVyZQwcVn19soPbqQnKFl60HZwnHHka
c7c9mhtFpVz9VFAdaq28gDGkXFBx+QKNy6Z43mP78V6gv1XvykuoTw6nONiiOXingkMpUrVp3JRh
Ohxb5dZbSICLRSNzbmiltfnRxuSatJmFFzAdKBwOoJx7TsnvP6gipmajhnjkay4km5uwdocE7b2I
z0UR2o9lI91rZIn+NCRYiAeOEZdc192jLlp9R2EN3uCktY5OG8Qb3WXP1o824aQ4Sm7Kzky2GK7j
LcEe9kEB+EHWHBzruS42aTbPqzqTwVVd6v1G6jnmZFFpL65aqP+uC32f6lsbnXqVj4SJ8Ho4fkTj
xorYgncobKs9CVZYlLxRqmhO2MbQz2Ial2A8twWc9YinkS+kCfLeyItNOXc1bGxYCaZyvYusl3nX
Jb6hJpZqiQPwmOGv39QoEhxsFT5SocZTk0nI+CNbBSvtjAPDQc1RBgcTyPJY7Apv9l5ZbWg3OjLK
vPzisUrnWZRfi6RMAr9Jg25XYuSiSqDCDMaBZUICa3Lb5WgelJm2guMj3iZ8DjmmbVDhIUmS62hM
jGd90JufE4mAixta4U9bFNZnbDA3VkMd8awIxldTogYWAR8ERx5iQ0E+4blt4SQKFg19yAFjysaO
qge2WkOuohUHZG0X1CkixNjr+gZubrhKTT7Fop7GW0nDEa/fgVTwOCXmalp2RAr21JOAp3hwOffu
9T4qHkkd5ycga82NABsE7DKLP0OhJRcJkPOBa39aD9JudhIPNY3VnBRss65wvy0oVR43J1eb+9pP
45rcCXkhe41JidA5Hiv9h50YCA0iK4wfE2s3Coz0/i0JguiAqzQ4yVzHiawmV9u0WFkPotbo77QU
9nK/7LtqbROLWAWNReUsbTP0JePrynA21da2pGiBXPoQn7qBK0SWpn4oNM+9mTCEbevB1VEIw+y6
m+CycVxkQWCk4Uo4E2WMVmS/Dq0BtUmoFAI/N/tE6E2rDnlIdUI2WBYOhjinqYaTobnDOpaj/uUt
/5mhLYvTdmFFmAs1Iid0/kPp0Ponj4c9bAIbwARABGAT1sKdGEObOkkrku0L77v6Vf9GVBBXA1ch
C0lHjzYtGAvbRvTxWyG0J8rScmzOsXEXGq/CHuKzQ63RobOJlEapM3+xks5/1KLSH7oFncFJCYrG
NGTAsgNO+TZkgRfuOsEGNiqdk2YuFA5znAidL2iOTtHS5kND1R9x6MDuSBeMB6JT/y6TOGA9K1OP
746eWAqs6nbrmap85sulZxUV+b2eO9kdqGMDPhZsLVuWwXs5ivwhZ7Xhq1FXm2CBi4hkGtGVv5kj
cTPL/byASJxeled4gZNEGaQ5pE+QJVrV9DSXLRyTKadKeR1SeEsbJolIajD7VFzXsxh/2HY+b8N+
6h/kNx/FC0IwafRs5l+BotPCnChO8UmmQXer83bnLqyVEglRYUCPtG33DWMp5yS+l0ZCUwbqA8mg
rIlPFSM0/q5cn2916lqd1eQQxGoNbX6LF1rNztEEENPFUvCuwrTkuUO1QpOaVJIGgTqVQh83E4M3
VNeSjrGGPfYjO1ydMSWoQ6D5HXcwzJ7qaPXgjNnmtRHtTl5PQ9pSZZZ/15pNSw0anP5Ee8CUWl1G
jton+hpYZfb9cDsu/Wh5EhTXzdKZ1tVOt7WJApz//nz875kz9qyFmsRs+6+n6P9os//6Txzdn/9E
1/rtD/4+SuM6YRgmsLAASxiXkdd+H6XtX4TDdaA7izEKR8pfbNjknNHkEMMYdVHt/jFKG/ovgmcD
d5XN3Av/829N0r9Oyn/xnSBl4UTjBWlQn+mIZdL+0yQtY1A4qvOSjTXCOvFl7TQhO0aH+p807dt9
o0ZM/R09bhsR4ElocFvcZ4B1tsPQcHJdbhoeYFCI0ZXV2XZUxRSjMDvoSU0rTzq8MdPF29jGnWh4
lKJT2zuvmgnJwwm9HxgKnzTTpm/dK9/TLPhgYSPXejlFew8QEr7uBvY+HbvRkRcw6zCO41fBEFLI
M2KZoeMak2c9Bua5CRSITPK213SEEzjqK8DiHPhXiSoIbAD4W3f8Ng4xFWBXCY5MesD6qqAbknq+
3ZCIcGMSZ6IgiXrezFVm4o8qRnEINr3db/qGTR9PZWez8A9WoAKL23xU6TEbCn7kynqLR+Zoh1No
WKc09gwV0eMwd1bYZmZfTGbrx4ZFehojpG8niXGVduNDJq3ojp+kvhThZB7jcCJTbeZkMQtwP6rX
KXnTXwrDodS2hogTJ01Gl6j51Cr7rYm9YN+YzD0CBAztb8ZbJCpgQ7kujjnG17Vt1ywx5XSYkuTW
q0fnTMDj3Q3bQxvrMA2bccMmaSJRiYZFXXS+rg2n29gc41nV9RSNo5ax9+vHHYPCh7ts35yGWAlt
PHQ2TJi0c80uNgHsn1Vt9kiCuroYQxztoFbTrmnKsT0Zeg8cK6zq6A7KSnRg4U5XB+Dxx8bICSZF
8Y/EpKvcKMadjKY9vUyAz5P5S07ZG9aBagPB6t2djejItF2sJW5C+GK0TzUha0reffWV1mavXd5m
O2DYz25rOKg/bnRJ9JRpc+h/oEq94i1hKoPUTY4uwT8BuLJH61lnqj9oUntlYLlpqDbx7SKjSZhf
8WXxz/q9mN6QCinQ6Y2OLHDG9pLQ3Ywn3Qh2sVH0Z2FkA3HpIv4hSXpu27r1UBFdlptmbSW/5hH+
rRcTv5kS/tfNxH9QEVQW783/YGbgz/1hZjDZISzuWQvoCd6EPx6p1i8w/EB6ENNgGfHndmD9F/gr
pEAX1IduUczwp/WEZv0iTBp7vWV7waMYI8TfsTM4crHQ/fFQRYLnCzg0GKPrYWgAYPjXh2pD70yS
B3G61hU7zTjnlCSvoH3FWX5baJXMFo0kr1ROb5Mtc0Lb9kjCoDBveNGXb5HtxT9SoVGHNJrlC2mr
PsZ4Vc35yqBcnMx+6ix1Am71VLotFfNTVabbfJbtNtAadZmBEx2D3iA5J+KMDGij0psewADrddhK
t3mHlSlNppniUo43/oSD6dRjEz66esTJghPruGVmaSnIbmV+b4YjTVqunKMNaCjKYImsxLsgEHB6
pKZfsy5Id8oeuw7iqaHflJWyblwzt96rMHDZ9moiuScg4TyIBIRr2TkgT1RpcqSvzZzKLU77G8ee
xEdDX27ph/2Y3rXR7KKCtwJynTNL8LRFuONQmOi+kZXeLvD6aNNxvqvx5gX2J+Z2Ig9BXZic62bn
WnmyvnWTsVFQrtDNk8YBq+b2ZsT9O2XvWmY28Tqzy+6RqoTiFTJRd7Tqub4YnbTHNfg8GkhVMLWP
iJn9hf3I9JXaDXqK1AvtyoIUcmxw3nN40vL4WC2NQ1VuBJuxXb6ICZUah8FiBFhVmoYA03Xecz1O
w5OhwuK96AiJMrrq9qYbJmvapEyVE893O9vpo0BVs4NS7rRUDNcMjB0UDb354qeiNq0YlPFgRdZA
VLfX4lcn7YLPOe/LXdvOxlXRz4re49K9K5Oi63wds+SyREKSWKbkTvcV98lXXtMGwt9cbODEAdpQ
pbN1DTd+yWi5QHcY5uqo23q0nR3hffRVGJ8mjAuCSsDcRXIbrYdAC8Ue7990wEYas2GgAPSNSjTK
KvCuUZ81D/FLl5rjlTsXZABUT2AA7GHPgR+u9XQTEB64dWov3KD7KyBwjtplqezxw6B0FT6bMk3D
ml6beC3oDNjnWBI2GNrVve6o6CmAMnUdkqddq9ypMVtX+C682Um2lVbr43VCwvfLMJrklcKYaB1K
XAO+5Ld0sFOFOYHSMVoThA3yux2z+gLxPLiG3pbskEPdkw0W8qCNbfReI7NAUQvL8BwXRJ1SvWgu
gVPlhKzy7q7l0z3lcxn9aCbEJuGG5ZuqpuqxS2lHabuAS1PLPloUwK3jde7ayTAXgaqgI9cW8xpr
6MLf9YrrMHFawRs+1W5iPEBYTjrXWEfUtu6qUUwv5EyS+zJ342PaTOM+57M5u8xLD+nsTA8DtlpG
LIcto+8a9GXsKg5wxra3IqAsNqgOZ9l4qPOgghJTQWGR3hlCkHMrG/tqvra+OS/Yvvrb2ltMG2Ze
6pIj0UKGibveooOMjDTdiHnwOs1TrK8U2TOQJOCcp52n1wrSDNsuj87HhUADiDmg0zyJqBKB7Axu
NqG7Wy+mM3of+pXNUXk/adl4Yd7trzAQ22eed5n3aNIg0vrpsARDo++QqL7kRQeynVyoS5bU5JzT
g11rw6MImuzWELF1jYOMb2H4DqPSwNzeNl1tke2vzEEDa1cxSHhIYn7lMCuuNS0J3zAYE3gt557E
mt472JdA3wKlaJr21Zozzr75d2rW/E7QekuYto+gXiVNzCgEM5C0Lc8zSs9Yg2ePzncet+rY57ZV
4d7H33ndZInuIk3CjIuXQG9WGeZja6KwlkE6/yhdJ/vZpJXF17Xr7NzzZGY0ImJm8ADr56dgBF5u
6xUms0Mp3ewuq2PzdSJ5BeKiVd2HUc95uppZEz9SEm28ZXOZ7CJzrIpVWmX9Iw0oDlXWo9rXuSbX
RWbAXyTu8d6klLhDVjQPeimbS1902Qmrug5IOkYKNavEZisjY40uUW9uRrLL0nwCFaPvuEKyV87X
MPBDS6UkpED48E3QX/MMkZDHSMuGpFi3pQuvgpcz0xSO+uEpGOpmw2gLStFMeaYEoYe5qKys+UXZ
ifYRa25xT+A9+Qmy2NixORxPHiHBV70wsLdopYNDJysL4WcsEL5sY8DHkGsmLB6zki+xsIO95TYG
WblBrEf6J5kTR5ZEeKUw3gyyqDc8D8tzSa9x45cFLz0fHnz+KKm7A+M3J91pcGbx3EEVpXnOzM6S
GXJHo3AAJzCoJ+iqhruHQOgd89jJt3GeiCfY/fMu0sn9+nU4a9f0qrvcg0P06SVcthEFfjAY9BbI
aGphgFcAxXtR4Wyipukdu62FEzvMw+c+yAhlijTW97M9tPkaxTjU/RqXM0GmOnYewsSuHb+VavCo
r8+nddnZ3KNziu8rjsETZK1+EMmYX9Vpr46OTZDM73RiWW7TaEds6RoHNMM6agT0M9+EX3GJQ62w
180EPgVhACv8SudM9MzSvfBJq6q9Aue9hxHonkPOtMv/Ce0JSnlibN0Icn80Ff1hUD0+hzQVCW0U
08QVwzOt35cmKuCaC7qg9oi7kulfFZeMr7stwiUPONUYvVHuW3EL6CK/EpR1X1FTU90UWRj+pOdm
fkEPqHdT30C86LCpYekEYGrDCU6gO96NSoH0KE2z3HcwQQEdeiP4Udet33RANB+iKwFScvkHvunm
MOGRbb1q5zJXPNhRb942zDJwPvvgkvZmvc5lAKImC6tLllP2LJRHA3nkifEZV/5ypxrFHZz44soG
KsVGu/UOFqjZJ+q06K+d7dTGwNEZn3rUaSe6JftmN5qj/JAsrt5py52v0D74rJB951MDC+eiWaN1
wFPErTyOuvNFX5Y4eU2gn5NBU2cdb+fBDbho/ZhtmVjxsNAh5TTuUl3e0sUbeOFb0Tk5iHq8QS9O
AsAW9kNBbhQzjX5lMYIfQg6mwo+ZwT7HZFAHW5rjhjNYdUHw93aNkHKtQV5mwMBIfjKzedh7oJQK
f8gBBZWwiyo/TAYeqXnshaBvRUeOkG22hwiydUN3cXrHy8s2KtnpAp1or4cIJOhox95VYNbFoVOm
9LHXJh/hNEc3zWSVG1AL6ZrWrpHwMwm88wR+4zKRV4aL25i5yT7My3W8eW7A08Lu+gNAElhHUz5t
tADr2Yo8argr+Iav4nEy3nKQTIJ6xtpgQS8l4lpUSutBMq5sxDDTYAuyuHt3jTSd/AQu7NIwGG7Y
FXYkSGf4VkHU0/xuNGBjwygqyLrKeCPHyMo2RmN5Wy9TEnGv02PsNTK6F6nVbCV2DYxeOtcDrrGM
SGYseQ5DXzfVerBRIJTXVnvXbWC0DF2Vb4EVR1eh1+Y3FksUcz0lmAUIQILCqHMqDbwchs56bM1h
7/SYoHlCCXmZMcbtbZy+7aoUEFl4HOjVgWyvTmdLkZyn3MvvsqhXJ50z+NnGzMNjMjHFDaSb6ouO
KCFRB4f53MpejLytcTDjLawfqdqwj264VJizjDfRSB1W47WSzs8Aiwf3fF6En0rkeHA71JV+FfY5
oKvS4aUjO3E3ht74QC2cekmxDGzh5Gg4A5KSwC930QbRsX9yYjt4aNy5dPwxy61nvZXhMcDw8jpJ
jjgF6e6bQdA04HtNl3zoZTudE2QBfdVw1NvBqZvfCtFzeLLRKNjPlMKIieLq5iWpzL6Mdg2S2dCt
nCZi8D2g+EyPnsBi5RfSzD+hjE8HWVm0+aII2NcB0e1zRRiKijPd0T4Vtg1rPce1YjLqsjL0Z5Eh
b7hWFoL/DhXmtABN76WrS2guhrTqZGd58IwpxSHOsak11+s31DkYbEbqum5PtAmXn6Lv6v+PncC/
5zL2183Bgk3919vYX1Eabfl/Vu9V3L5n/32DsPz535ey5i+EF+gSsH/1Ivx1g/DdBACZQnLRskL4
h7/B+sUFe2p7rul+9yRIVhK/5SFMlrwuG1z+A25r/qu/VXlAfOIv+wNiUji3kchZRZj4OXiJ/HV/
gFWGIg0OYWt2lWAVwcn3luy3Dvawtc1OFf91gxfZUStWCpbPy/cElLD3jcF0/b7ToC1bMG3r+TJh
yyYLMb0SRTraVL143nDsW/PWs4AFcrfsU6Rilgv9RsngOfFsulKT+qwrFx5T5T61ExIud/JjqANC
UwzSdNnZK85WuDDdoV9LzTnSIVVtLC+fCTpoS70NNemo8uY1C8XbKCDty7h0zMg+rT0vv1VDxP5D
pcCGI5a9IMSyR51NwWEaiROUYW1QUpnwQCeejdaCAB9QujZb+Y+cPu5VyYLtFC2rvK4fLlFa1etp
1sd1WdHoN+rzOhPqyiJy4KuGI/wQ1hAdxsb3mEr3Y9eUfh1kQBltuOVBFN0abQHKfKZsNsZvqeXl
hV8L6TtaAXMLYm9l2v4wmw8Oz1Lc7B5trbq3wXrl+HGRxWs+63yHSNetLdE+0XOLgRnie5oBcxeC
yvuON/U6srC8SQ8cfzl4FtorsnwC82QrbL5T3cDPmpvmQIJS3M8tZMsGz7uItJ0VTKco7W4nUgNM
NsExqYn8zch6ojL3HPr1tRUyB4yQwcQYrCbFnkPSrMiQy/ltAuLhoyTg3TW0J8JtRyroqRrOzOc0
n5Njp+r3WQBlrA3VrLPB01Z57L62oYbDOp6NzWQQWJS9QyNRqGsbz04+IY0563hUNygXxSqyjU0H
S4GwWfGVgRGgNCjvKaicOnbltBTqU3HflNDl86o6Epbgko7DlyHLFYox/N0GUdQvqJvkmzXSgxfp
5p1dGBG1zXGJF5SH7Fj1N15vfM6hdzAJ4qyMNuzJzaExyFhswohfX2I7t/idrzi7EtlwkQRLhNOz
7kbDQbfok6ooLxu1Od5QxJH5sJweuyF9qrz4kR5tY2MyPZi68uCQED9C2aYrIinnVW7TPz2W813M
QYgCMJk92oSKrphfnHXbkSaoxGdkaWvDbdKtjrd4w9qPrx5MazTbiouMoR5GHz9QoG44n5kronIN
OJXuzVwKGpi+hK859pnq1WgVhcGHlnTP4D4g4Pfqc7bST4ZiEopBdkKmfpYq/4rbod9Q4DruMkZR
v3DZ7hljfCyr4RHZHwNJdsw7yDgy7tvN3LNVivTd4Bk438srbAq3eVD0K8rhspU7xLcswj54Hm0B
rq+zQgYrHlOXuUr2LYiZKGy2Yk4ufZ+e2jq6moGQUWV7XeMErqrifkrsY0JhmM9Pv9F1usc7Ye4C
aiECT/yk1ueTBOCDdLkyhYbBmtTqKm6L65ozPoUczU9Y5w1eJZpiYaASB50eSCI+t41gb1JkR6PF
bWwZyZ0lTLCBef5aMvPz++0/zAjCDMUjN2ObnlIx3lVJizbd0lLaNia4wTD9iIX7MLTNl2VBGw0y
hAsZX9lajxqPyCzLq3B2T71m33ZR5pHxQX4JXSob3WK6dqlDWCWR8TLPEp+RJ4kWF9x/WnmX1ulR
b903FTsfTP23dNO3FC+oO6kkA0z/WQt5y6B5wQZzFcAuHXOLR0B3Naupuwna8t4uqFvQ53lvshi9
smIoWpnRHKdeJ+NJwZga6Mts2e3V6rRwtCj9xG8dA0oCy7di1ihVcYdmfNQxdfv5KIhjwPJsDF/H
57XqkuCrRc7pWSj4KQ1leaXxG9hq66auj4Bil10YLQy5bb5RJNKsNbIEAOjrQzETG8Dud5QuS0Iv
Bp3nFRZsjxkcWEpXwwo1/EcaB2LFHe6sxqS6TQwv3rOUIMBexTlG4OX0qFX2SnnRkU4S9l0pw6Jh
57d9QQVrig2J7q2LnGZtLebmvXZigmROcE8H7sGgHo1J1Bk2AUHctScbl6Ccc5d1CuMxZmlJorXN
5lcCco88BJntbHuVxuPg16NGPZYwUshzbbulN4vmiECqHbDOox27cm1gBMx6HNRlSJkbKO5zPpEl
RCedz1EEiqg05kcBesYXXEn+lPGxNSpql3BfeoNf5yLTZly5aZ+uvD7TEfyJJiYSIwxlKLeB1ONj
k2AaIAEI4aSQtt9BBdV48fjM7pSpqRLH+xBR8UGc2hRmsWqH7CtT7Vm2EDSr3rauzTl5Csh0QBrd
RTg+WD3UPImD+XoG3NnEmPe0Uu7ZSR/JSTyPBrlDG1ihhXsRVwY3oe3lj2ECT6qeiOnTi3Pm00oo
GeNjwbP7OiydfYbhvKW4wf1uwCxfxba1ceDyrSst2PIy2XzPZX9Lu/p3nlMNFPR/Pac+vXfVf/3f
/0ng4o/9IXDRLuSY4ChY02EZYND83TMgftFNKDj4BpZSrG/t6x+NXLqrL//jYrHoFhd/kCo04xch
lj/jsStgsy+cv2UakOKv8yn6lkBFM/jrvv9a117+/Z9MAw5xIavvGrnimNu/2lQP8awEi0A3yyId
sTlERWqpHPzqiA4wUfLKvnbHwjjWcdu/DN9SVAZM9kbUymXOW6QqzRFLKU2Ysnb0+mqTijjcsWZt
7ozS7p+GtuxZV8lqTRjTJY6ftjuHNN2uwS27RgzrfJKEZ6Oqv+BuMiRA9Odsug6FYDU1WeIa3dA4
ENVJ+McUH8cC5wCuTKA3FUYeUFKAwxTs7wilYsPRk07RnH5mmsEo46CsewfAn9bNrjX3WMICColm
wKyVZV5pStKH3A8wdseCCbkCwL6OjR6YUOroxzlsTIz4OGlHLcaIQ9/oAsTI9CMgu3Y/OIS3ZIZJ
NDEc7TaecUZVwtDWlGXXG9pM01WRl9bWLAHlAe9gDghtexNR97kuG0dfWXkNsbrn5Wo4WH4zMcQX
16G3r3E6VsgKZC4KFEtLsrjragqH1QDf3M+VqEn8DeZNGKpsO1gU1TR52m1aG7KE0Q7WCUhftCef
Vu4HbWguodS0ryx2dJqSG/NVX94dmifCL4fyiQ3tm8Uzn4LYaCi319nEy9vMY9XBjzSB21FGf+TX
622LSBWrfOJhPhqZ2M+GXtkMMJb104a0sGHyQrRL3JDhT2cLwhvbsfjIyphDiB6+eMgua0OV4amI
KL0CnafX45PO8SJ4mUJsVOeAeIJ4Z4vZHnoKNE8EEjh5KNE+oGmle2doO+KyWgMAvyMjJ/rvfxE+
janJ2gy7sFzxCbPCBVpUEX2pnPxnR0G3xqUySs4PElnIYO46NIqusl4yqnsF4K/J6OWWkwALtTyV
D1gNiw6vK7EYmriC16Lt06NdB3znAZS9lIrP6xh45k+Hs9N9NnrGhR5Gdna8weA6G0mzpTzRuA6o
G7pAl543KTa1RxI30VutLDx3ZRt+lbpGRlBzhnhLBXa1xdKG0Ndpkremkeu72g7aA4aT7obWTUl9
aIBBOaFF/Iya0P8ww4o9HHs1e2eZ8HG3hVmTWSSL5twuGsajGTfVlmYz51QUSXuH73cBDVOecdVH
s7wVWencGVqMSMW0v3EgmKAxCQjklMdGd9yi3K14aii8L/UUQaB0MF9ipMUm6XUAwNCCTNy0w7Bx
ekhjIVL7vQ4mE/O6UyvcpqUEQ4J8laYedLc+GdLrxpDa+9BGwUc3qQhkhMSrGEUevnjMQeysQl1o
b+Msm+1IbvDO7FL0ADTox8gqJLo7gLcbY3Sa60TSIg96OCyZ0cm7MUKUwROhF3ubhvwmEfOCZASN
asbWeOSTnt4inUr5laQOLuKs28CdA+cWb+dca2sfVRJdV6mi+CSebn4NAwgqAL2uYF+atzcNNvw9
6BbOyWMXqBWAX+cqrO2BCleLWiSuOcFd62jBrNMubOGvQlwkuh542iICc6isv9PTdvH/2DuTJcmN
bbv+ikxz0NA6gIHeIBB9k30/gWVlA0cPOHp8vRaSpHjvla7MKDMNnkwzklXJyoqMgB8/e++1X+Oy
RsGtcDY3SldApxZT+xK89qrEPJX9TBcvUaBdvQS0Pc1zduVcPck40V5ny6xWoztHQUyBak9p7g6r
KHy1ytHWlJxtcyNdZnQi4b0owsBcYuK0sCv4nFQXF4PINgLxeetEDjtgHP+8FITNa3xua8ssw527
RNEtt5r3vLlZbabSgog7zNu0IH+viGEEs3SqQ5ECtoxnN99O/JErljb+TiM4uRMsvbHQg/oWelzs
QqSQtyqVPXtbqd2pLEXd8Nr4Peu8fI/lYuJJ4DvMuE4DDpiYZG5B3jeWYD4R5SjgCYK92bBmOp0d
68Ohs2CV0F8fQO8uA29J+y8G5K2Wmf0mX1gA1kIFAEvj4ru14kOS8WFb4AHlD0ZgAQpwgfG2sUd9
VeZWJXAKfz6pBUEgFhgBFXjVpmHYX+v97KxJgVvvcInB/i74gmQBGVCJiqNALniDxAOOQMyDrSXr
aVbjkd08DUlOOQT09TW0Q8pa+9qGeIhP2+51NgZmWG44XqCmLoiFoW4JFo+O2KV5Sh1bO3E5L3ww
fB1RuLZ7qsxSW0c0n626LCTYjk7wZOqCuiZRlWqP92oiG6ImnY9px8Jlpc2hdtGpINtVP1yIqJrs
ZQnNfcL4IUeMqL+P/Q9PIiWXEnMvUPlR2KF66hf0xKi1hMpYCiS40kTebpuG2C6PG5AVcjDTQ1Tl
rx0UczsY+eRc+ZhnruJSsSAKm686zeVWLTwMarpCdGUYGdFCy+AmnsMqgqAxLSyNrpn9Y58zzLKz
ivYpd4RVYUaIXKIKX+eO0qleq0lwJzYUU4UdhPRJf7EWhgd9wDHbmbjYzgvhA6USxTZv2uukExJC
Kj9HZHrxq7MjL3D6wTr3xBX5AcBCXoOebG7rxrFIibv5jo4FhyAPmJFE6T64N9AjOBa9l7bt29u6
9RHK5yGdvVU2a1Jn6RGRKOXRbePkzsVZF1Xzall1s41qG9G1xJqJA0AIi/5fJxn8R1Z21aFf+jpg
CKXcbbL5zg511HOukCuRhc5VsdR8QL5Tp3ip/uBdFMEz1D0DVqY9d7xGP00hpjbPjzVvj43rVcW1
8qfw7HgoMZRtmsbNYMjsxLpcu0vD6GPiBdmObiduwyHUn0hyzDhCsvADf9H8CNI5fWYCM69L3g53
45zYp8zNqgf+1dgXgzU8JhAXblKJAXKVdJVC+JyKg96oehOOTr1POSo31lKvon5vWvlpXdHcGF2P
Dox1Q3sjACezvimXohZqHeyzG9IotiodsuxgvAleJqNPtClb6l5Gm+KXzI+tj9ZfiCO9kpspTbV9
TFLtCPghCRr2vDulV+SGCDO717icStaTWYlTZ+TNNTvOuSZs8gL6UnuGn6NucI9DctKILd466NxP
8qe0ZpL0YC1FNrAoLNAPCdOYXXrOXZMZ00P2Y9CAW7EvFtMG+Z/03i/T+SVeLB2EwDk3f3weKHLh
lQZnwVz5dgbkNCKa8OAsZpERXXg7WxWtOYudpJBa9RgaU/GmFrMJOr/8dOy4uRA+7u4sv5APHir8
AyVe02FeLCvVj3slXIws9mJpgf3lXRhxmGm1MTx3i/Ulycul+H4xxNg/3hi7TSChKIeAjW7Zck0/
d/La28r8Ln+8NYwBKYCoVh4Kf1J4bxYbjrYYcjzHlk+Ugqr7bLHr1D/OHQpMrV2a+fh57N+9PT8+
nwG8xTqcPAwFUSI3/mIIwkI/Xbn8Y7eJnaKsNh0kz28z84p93Ys+2ZJkSPfEG6q3pQXwLYllfI9z
zNyrLLMfrMWfFJO8Jty2uJbqZBmQ+jysD5jc2EpozVR99nM8f5SDV19S1fM8wzQ0vjK5VyW0XLpT
Vqj/yPRq8VERV1W77sdbxSN0R8UD5SJwW+9jGizGTeHXuLL0xaA1wYGkBQPTlj9SG5nw1OxwKmfO
qbFc3Artj9droDJvo6D4kF33xvxdLbaw3tDSC4H08CKSnvkcygJdDaWhyHNEtLD7lj7s6yVXBk2D
/3VT0bZuzCw7Z76hQG+N9jn5Maili1ctXlxrEFZLpH1DGvcGyTZtrRm6dhYRXrewS+MnA6TMM8IW
S79Wj/J3d7GuCdcmS4ReGG5TQl9qhZ43XbjOpFcYr5ydPieS4YEo4gc5NAx4wqfpd5wEe6NoTpGH
0z7ESx4OcDaaxcendTj6vIrn5qo2pfULvstirW49/MaLD5DwctVvshEr7aqaNPFAjCK5pxMTb0va
GPZ7sVgKh8VcWP/4DH19Snf5Yj5Eupj3uWZbwIv72NlP4BRe/v7K4j8bR/4P0YzVwb9fRgSEqOPi
nbfXP+eB//ravwQzjH5IwbopwKCjUv+1kUAW85ekMP8RUuZPwOGPjYSzCGYsHbDUCsPxwZT/k2C2
sCexdJElgClv/R3DLcSZfyeY2S6FZsL7F37YiMG7ghuFGmVzyluOam7nsegfWjnWh870pqe+rQnM
Zzn4OtRbYFtrWTisvjNEtefYjHQsEU73Po/h8MHttdmDrwZ4pYe643CDY0Mo7cZhhomjS9Qbbb3t
68lbfEmIvGmZXyJW+neJjMaNHZbcNuXiCPKG+l6Gs7yQmJ5IK1e2VzL6xlh4rMGwm/UonORgFRC6
tZKmIUyv8wW0upq4F9T6GZcUFuHafo25qF58gUeGF1/uYvjeV1Nn+Jj5WPE23CtXoWlWdyWQlx1u
Y2/dLFFKa3JhvNS2gH0kzfu8b4ctO6fwnfNQg9NpjNxg42kz4pOkG2madhV9FevQR7rACVDuZhFR
kqv3CqEjZb5d8hQV+KCjz8PxhBnNujJmaRyjIZFrs9DkRzwP7a6qdHBILmmqxejjvHSNAyhaM0t5
O06OHQyMTVSBtwLoo8f5NgyYOjFAPRsxReGRTUVFEFMByv22lg8QReBGJf1IztZKBQk/F0eAiIx6
08hquHCm99sq7vEWc/XDEUAr1Xm2igxhLCo2hqKyR5smVK9aN/JfCZuYC7NEjgdwnKfPKG5tY+1x
Lz9HZpttSqDy1/Rvk9Fmi55dO/akiAco+4z+GV3zqoE9txxrOEdTxnbLhUSCitHUIWplgcs2sBBL
KZxp2ulmrpMrEVrpetRjgA08B7maU2+5JTGhHuqItITFQVGzhbVhodmUVyuyOJ3xVc0m1pcs1GNM
vnGFmRZH+QUMo9p4SZ0Yi3dYPiqj6ACiTDZp4bxY9NM6TPxHUTI5rxKzN24YDps7WEGER1O9nYn0
pbIiEt7r41c+OxEPateK67Umw3zeTMVo+SgLc6/A+EDSuxKeO1DrzCLIILMauNK5WKW5YEOpyXGv
dayZ1auW6239XEndOepjbd1I6EXZBlZGDnOj7F+yliaItQTwsIMVaV2BHdIIhOq1bzIPuuJDWV11
y1qtOmsxZKskZ9OBd88VNx76Ih7reNLeSFXENPLE0G/qoR9OHMGDG5R1SB0u3vp9a7rxc1GG6l4l
RUKJbEhUtJghfXdZtRjdY88U1A7lDQhqX4Y+YrnQAqdCYR+mLrry5zjd+qhf130Rcqx4kX9uiaoG
jcBkyvQ/Gi9hFBunVGvZthR98ZlGJmMcbqqcgU11d86kF+thljbfoxGX7yFN3IcB+9G2wDxLfnz0
WSwM+hFHafGQtWN+leCoPU++Um+mTKxmZWmq3LJo0nazbNo3G+jAm/RCP1l3nI2wSoo0wO3elZvM
oMKubyPzKrZC/S2ZW3Ul4klczFwv3ozBc34N3ghwMOy1h0GI5JEUE2ngHq12IF2e2jvuEhjCO/Lw
L5KFyBZaB8NmEad0+uZp9DAgnwZ9R9K+KgadyH7NnWLm91f84Pz0F/uN6QXbfvUgIo/Lw5wWxo20
Fhi9jTOR3AAWSEg7OYZmMDNi0zahwBg/mtjvkeX72xTI+oQddS4ZdMP86IZVjCZs1NdTappbZRP2
6dgi7a1F3GH5kt6YFoZX8EQ0bjjIO9uqLwtUriJ682qtC1oKJDZ09HHXYctKahkI1tPgWu1tXgDY
C5u8eeaOiLyjGYMBTqlx7yTxuLcZ+i24rs7FvyMz9xX3eASkwEfvUp3VcYkEZ+xlBu+oZHAljUJT
8jjRcrmJzLo7W4bWQQFGsIJ113WfXWrbPSwZ0TEeUa2yE3qkX0fQ66garmJ1Wsp5npfmL2vPbbpZ
J2MiamQbLyQPUbS7uTTdN8qhAYbbZZ5hcJroyslB2XB39eOTaxFxXtHVRB5b00g6WaYqfnXDUDxE
kz9d8sxP33D5YeEIE2DOPJc/QwvuQFHZkhxVbFrXsC8oUJO1fypFRZi/UtpLhY28ZrtgFCyQdO4z
dWX2LwALMrUKfa88u5XuXdu8Do9U2BKGz8n+bvkjm7ecWNcTRIraXtl5iWOKlTSnR5uFT54WyuOA
eXFdldQ5Wl09nDgtihM9VN2O43eiJWN2rvm26i/oAuJdazqDXup204r61gpn80VqUX0mNRDfIobh
VZDCVABpRdZuMiB3N12WzvQbhPOpzTPtppR6ZCNlUwxwUGqxYQCRvrYlKF6VduW1pdpz05Wc0n1Z
soEFMQV5E4qzx2J/xBvoCMgVsbUfRzXey8oenuI2Km9B/GYXrPUc3HKus3vKk5z/b+j6g+j+x3z5
vxfK4g/5/vlPmJq/vuxPocz9DZz74tKiyehHKvtrLDV+0xktGSyXHK3+o6H9MZYKODUL493VGWVt
cl8Mi3/4uMzf3OW/Ebp1+bRzfrp/ayz9yXn9lQNzHI9vitYgwgIEZvk2lrH1H3QyaYUjVSApz7nY
pXaBLRi+QrO3rycSYPsc2/x19oMpFJxDtKuG+aVYKIZ1WxJ8IFxw0dCBVoXws0vXT/FFoUYfoh8Y
IhbudJ+RDyP/rgS6LcyaQCSGw52QZEoeXs+zsYbjYVubzonZH7GXtm8UxZ7s1ngNOPctI+7oP7SF
xlZNy+ZAj1tu96YjDu3Epmul4Sx9qEZRb0Mvd4+4bxTYjVY726njv3jWgFLiAmu7eOlU70NZR8+6
pxnrSLerXY2x81iVzbTNk2jagcZKn4HMxNuxTo0bm2jqUeAv/YIqZR7gR6aMID1wJ2jsN26S6Xse
sVB+mxxfSReK+VZ0ibjAThzfhT6M33YW60cswH5M5ZPRPZaRG2krh86cB4vj4libtH2Esk0SWgK9
9rlpKySOkPG0G83pxDgvj3pioXjEWtPu/bHBAgxAkh1UT9NKEMdDecPDfNi5VWw92JxGxzQsrLsc
v7wWZJHWnOLaNrCDGaZJRXAzvLa9xE6TuF656RPHvGgubnXdxKId1mX4C99LtrPrqPlFTqlIgeAq
akmYBONb1WjN2UmFf7YGDmsrU2qfKminzOEFANxQ6l9ehUd9XeQdhRbtzDmOAVa+EeaSQdn2lNdg
tTfY0Glo/NSmTM+lL4c30eb5rTN0uAOyBVCMCzt7t4py/lWGI7gyfTQeRyQ69hS2Hp7jucAIprX5
fDBLIiwe2eZgILR3gD2hgqjzx3gNPNLAs6W5/gX2Ox3tEbjMk8/O59yjl3wqBXs8cGQWP1QoeQsr
yKXLq7KRE2oJEbATY7atQEjc+W5kPc9RJ3cAerInFXnipFUF5pbC6u0mqHl6/7JUqD32LRudZgnr
7DttApzpd+zOq95PT8gcrGHYnJ4NHgP4Y0J4ryVy0WUYzPyb1W3GpSlhHxHqVn+22J5vzDzBezUU
mbdWnlt8D6GWYu01ZEN2umTtgcsN07zn9fkDGChK6yI1o4tYWCr73it2fYKXsKir5kFyRUDmdtzu
06eI4Kqf8+ymK6hWWGHJ4+eU9BlsDRUZt1zOZqxM43ix3dyh+EUX7lrmAkZ1DwuiB2yy4U2D4WS2
Z0ShzHLElsdZ+kWJKkY2ZldikJpOKg61bzum1J8qRvx0PcWTfkrcLnum3FuhH452942tO1yn8aye
ByfW2Yp7Vefj7OnpfaKBPi2CyUrRZRO9uRb4a96hfI49EYfW3WSxEmzQ0+ix8hYkB7T2Dc+rdj8l
s/xUBLBBHDvZUVQdWSGygflaixrpbCKWridBzOPItVWd5qyiBjmL+7eYmPRdUrjA+ZNa4Z1stDD/
6PXOrm67VDeNA94Byo4pBq33Q9EUdB6QsmWIFI5119d6eAXMkd2S0DH38wDTpqu4QtzhB+5o+7Rt
24/GJXm+MnuBjaaER/TKkrS87XMdXHZo2vYbXEO2e9oALJPKCxfFF1nLtzb+jCt4Q7bUFSwDcemt
UOLbIehqow4D1HLuFhhnvvzCKYiTclWhIKHvEPe4jREmMstnXnftiaZgwh9GEfWvRh1RmjnrZkNQ
aMC+izfJ0R+zkRQTreWu+K5ZuZDzxyb4JWwNv6vblMaz29K4vKWYXZeEifwuRG0c+M4pGwVGGHuY
v6RnFp+00vWPVcGOci2cVB5YQfJLetlxP441rfjUrBDAmBh0cTuIyQyDjuz0sWkGE7Fr8P04qLBL
wurqrI9yLp0FbGDhF9DRbQZUr5K4ZqFxY1u1rDGc6578aLsePXAMyq8NON2DhqlDRl/sOgBjdTwH
CFrY0vJ2jshHxuqayJfpFlw28YI0mKQ63rvsSNQVFz1Aj2E+pjcaFqk3qhrGGSOJSg78/Gt2GPRv
VCv4Pd135ncF1lmDJygnVtV8NqPlPaS1PVPsM+TRWzf6GoXBRRMFyK7yLcqhc+I6Uzf6MOc7ripG
DerBk5ekMyyCVIU16IjRRn0flrGkElnarty0pjEJ0MLEkQJMr9WB2K4S5O6a4ewIVszMv475SrA2
Cg8eTjCxboB1QIBwSlaSVQNjLQgx3n1xWnlfw9SY4UovZTyeimkicDRjOz9VFjwGXqwF1wQCy3qQ
HQUYVN6ZX1XdTOZRn3yJ2VVyrriT5xAl0fTiETCoKbjml+69ya12iXJOk36s4UnrOBYnisvdpHHO
YHI8jTyGRT8Hn+k3GUbpa+VUakPtbnWZrIT84VyVoR+MC75zxf4Iu2Vo+aG+oVGjSo4ReeeaTLKe
7BtO6WsR0f1FrrVD4ptsSGNbuAw4CVtdyeqIhF46zTUNISr2121UeQiIRuK/2iq3H9oftLHhlYLa
pSnJbnWtcfdJipzlG3w/jS7inUnilftLR1LajfOvwTHVk/9DVG5tVh4iNQiaN16z8VDW4HfBX878
ons3DC+H8BDPQVX12h7znHlb4J1/g3NH+qz1ADrT520lCN3weWzqBj+5wo7/B9P6f84dsU264N/v
iO+7j/9VucTyRX8uh+3fHLLueMvYvOoUJcF9/NOuBkiSLCh5CPwaOmgGQAh/TOFwbKBAsvnl00Ll
EOb3/zGFe79hVlu+gE4k3AIuTJq/US7BevpflsMu3esMYKQLKHGyf+b9f5zCay51jYu1ZJ0PwNUh
n+VB4llyl42tvnFn22DpiblBpw5yL30YgayTr4vZ8g8xFu+Aw+pVmRDSUXLswMKwvabgrlpPeG+w
2eoTU7Lx3dJlu6oHg/TUNByQjzhPCAFuoromxqExE2vVXL/j9UX1HXOTTZ/G4ZYO11ODIYD+FIkr
WfjbZpyf+xkIf6kl10jwCvtTmO0ZDJdFUachDtqKPoAfhEOfrK22HHZe6d8MNOeta2nR0tAyd8xV
ExHihwi80l3/jRmU4qRiT3j9rGaWXkuK4gxQ9irpnXJlaCx2WY4dOsoGCdb5c5AWJCd1JNajH7r+
ivUC5gwi7lR9wmGNe9aOhgZs1k18nP0toTxdtBe4Nk95BFh/mnKw+/RFbOyMI2HGGffpmFgpFFbW
TTWPe2zr7zlP/zWbd+jOoIGwOEcEwxoesphWCdmKhqJN1hFDc90LwFs+wuS6szJc3IiN2yphIQQt
3Kfur8JUr0rIPZKfUs627qpNOlx2lRbduX003k/o4GsxFsCH0MVXbWtPw2oijEqRpj2clmlwR4qm
C7JQPXYL2pHzgH4RQrD7buC1BKFYfUHSFCvdL0fm/14GNofcukeWWoIDYBKJECTzcOGqEwZDoT/a
A1SjMgs3yNTfeTubMHCXvUI6Aj/jrab1brTSUHFJmAzfwP/xFajpXebZ9TBkD4XlzXtTE956mrSI
xlIFvJyqUHTqNvtgsXMvDaddZZR2bMaGVstwJNGYVvgUy967sdLJRrYcfXLp0Esp+Z7PWet924su
PrtE9/uZB/VEiaWpd2Q7IRYEScEp5aCO7mrlTHvyPf3acu3+mFTKXxvY1djjOuSXXXve83wt1vDS
WP735ZVjQrcHKf5Eham4AJB/dkACHbRKS0BOjGKF2vFBUdhz1DbdRsL6Dojj0LZJAIJlb1ZtB89t
6BZwy1Ov9AvPDzBQk/fIj+XYc8OmBH0BpRC8W8ULS7m05FWFq3tfJJYdeBldTvi+7COgOOKpcLO3
DvrnYQ65cbC2oQlwrO7qXieoxJGA1cxDI2js5xZnxgZI31XJ4jLQkqnGkpOghEo95d6M/aoLXZbS
vthIBY0O+xZ/I3v0cCXVd97k3qc5HwUbexKSznRs/flo0uy1yWv0pmTgqlMxr7LK2JmtlFv8ClWA
hJLAgciTVW9nd44vGWjb2l+TZX2nI9zYVO78QXJHYgkLH4zSxoivyxT+UvzK27rfllX7hRMN6mVn
UgVvJLchogmzldERb2QwQuK9HkZ9wHiYu2vTHqedWAR7sBrpfdmm19HoHSTB8pXo0KbnyX6KZ243
kRZTUy6sYmfp1XkOdXDcOONL2RZB3ETJbtJa+xbvrxbMAFk2ttabO/wUPhlcrXmACo++MFHXy5aX
0AGx+gP2yXg/awOtwhwGbN+nS0pPAxRLc1rzmLthgZ8FOUaFLy6lIuCtrra6PwxBKoZmBbKeF7xW
pIxwj4GqlnhvVLWx3JgB0S66e1KiBzN0b8WYXDDmlh+AOPhYNenSilO2b0NkXLM2eCLO1B51nYKp
WbPOxUiFgmll7Hen/IJLvlsTgKYiok9vy3Eod/lEtE1G5KN6Slv3s53xSEi4B7ZuGhHvFMO2F+D8
zZ5J2Yo9VumEYgIutbeU4bgBTzMA9E1rrTDdABXFCb3K0gRy1Vjb6VVhQjLddk3ccBVxlmvMtMEq
pvMy03G0SrkNHPPIwrvrdVDoHSvZC+lMtLO09Y4I68CUp0dnkuR4G9y52g26F3GHyasjNyCxXbKK
28bz4JnMbsdyxLJ2GemIwJi1ZpflXhUQPvYPo2fre8IY7Z1M9YazTb3C49FO0qzbtQ5iIPAVrM3M
pR+AO96agi4cAFwrjiWa8IoCDkX2QJ92QMTjc6XMIvCnRm7oIsvWvRmHG6kjjw1GBI6s6sN3jmSY
L/AbDhAjx2/gGPUTmj7vgdD0icZZXmie55Lr0ioyovlcYdPaOTH9Nz0KCD69SzNbamsQzdjwED+B
vGGhRQyFp7b7JZdqN9vT7U0TavKbz3J0TlPuxFFj3MR59VUjWK/9pRrOTcGxAdKfNxqGybUxgmgj
EaF2lQjFrmwQaSvT5ugZybXT+mvxUWZ9T9cJd3fw7AR+5vY4woM7zVW8mIdCKiA6OWzLKfmVWZQS
9FO1q6bwERYzRbpOMweJsL/6JnuGBoJ+WIJxgDH95rAH8w1BLYMqKdzAtrKi0q4MBpMMJtk+c51J
/R4HDURigINrwxIPUub3VLE0C5RH4ows66B2m24dJ2Scw6VHLxuy58q1cZj1ZCqr2r8kfj9wBBkU
z8X1o+elX5pVXw1tkyJVQlGZbfq8WV0CMCjKYObmsapEcdP1FdB3jXTVSB3HBn0dUNykc9rFHk1U
ooLSGZmXuDDOUzVxZ0phnEZqSteqy6y1UuozG8Mu6KbuKSZ8tHIky0A96iZABFO5jox+vKJZvVjV
vX/dmN2dLegSpOr6O4Wfvx6m9q0t549M0knAhwf4RKZh8XGUf9fHaVDGqbFqekoLuWg3QQWPceOZ
JV0VrCdgVrvprq3gic7DFdI2OxyA0tspZUHHywPeNGMw5FXJthiSEZkFtq6hN6aDzM23ZiyfZcb3
PLXeLbyjGDph+4tN269UqXkVdUtHY+rBPSIUFkBbB+rS1hsvlt6x1KziWPCXfcSQ9honlnwNE21r
QOLYMD5HIO+sj0wr9DU/uRxz0YwruHPfWFW7Oxq2ZEBvMX+fpvEPXo3PjZsfVGiPOocSeAR1FxwR
o2qodlqkFq2Jr920EzfoSiw45sI74EOVQbYYT0HX8fKaw1Mpy5fZs/uDm/d20ON6elGKYihdG01u
3BVXMWC6HHT9tO+62Nq5tewD4KOcNgJ8dBvHO9cExa1+2ihhIPBllfZpMEVvkBubV5dQwDMJ4eRu
rKIXthP6qqJ27E44dfE9isz4csqBZxyOxOQt1F0sWniTbrphLk9uSf8Vc5EpN+S+9LVaWjJR4G4H
c8APbdLibbD2g2Utl2HK30a6410PZcbdm5V3IGL1oFnwtg3nkmDECGD6zjyU83Az5Nab3cxP0Tzw
moYxp/bIDF/mXKd7DZPGVNIzpcU4bnXq00O2XidhSpgKvjiEVGEv8cObLPaeNNU+64V+x70yD+Jp
oiDB8WQwJazWCtqdTrHL2xNgJhOADVeGcWH1941J/y9nqRbu/7+/mgZfzbv6n4P+yxf9eTU1f/NY
jmA/Mlii8Kn7J1QgKW5PZ3Fou55DzOofr6YE/AU3WsO22Staf11N3d/4BeYY4aMgWfyuvwUKtGz9
X6+mLgF/yo2BETDI4cf8Z4HIKxWt5Zmw1sin3q+Zh+KZg770ER4r+1tYWvpUcK3qAyesyh34cjo7
sbBo74LitesOn9Cjg41x14ZOwgQhUj68Br2AZ92PsZvExH0hpOPoYaVDnqLUPeAuUd9Ujxndfsz6
9AURVsi6dIsmEm3jVDbUxPWCkXBCB9p1A9udLnKnO0rv5C9PghDgEeGCgPWms9EJfZOljfZMdsX6
6pNafsjKy0/w6/Tn2a67tS9i1ttD1VwXqE1wmxUXpskRxhPtNcm5HbVxS/JovhKFke9y/u7Mc7hN
ny1ZekBlyfmckGvDxyF3aexr2pTbONHQ+5G+lP00hAbs72I8kjZlNHbHCEMx1/znFAjHoweA/8az
bPPZsEi/IhV2J3+ko4TPPKCg5ckx7DPD7l8cBGp4872jbWffsW4iP2u+YfN3wOU9HMKpOTEMh6Z3
v0yzyP3WnN2EyM5736X+cdVz4XjisTdeSdjs10uFI5mW1tKfY/Bpe73qQvqqalM7RqKHzSo1Ushi
UIyaoW26zx1G8GbFBss7WaZZnMN25EHt6Fa+wUhtfErbnn45o8IMxFKS1gOcbWqdaM1Aj2BkbiYU
q5uG0mvsPZlv7yh9i1Ht/bR4cI3I7vdN3xsGfJTBe2yHJGzgNhTVkyKPtS1qc34oJzO7Nuo235dZ
V+0wnoGNmmfT5jDItJ0YEvXLLuqMH0ZWHQd6JD+TCVcMMfqx2Dst9q86GeM3XrGFxoJZ4uwxwt1q
XYRFGXhc6KwaB1gN3VkdRMnZ48HbuONNbxWLLhZSBpnoituNI3X6AhMDfSmro/5OyxSWjikZWcUT
isFrFnbq2wSh1i2ULu8rCl3zvjDj/JdvtqwbVAtD0mCDenJab+lQa1N1Ko2qu3AIlBDnSMLsQtta
svEt7YpoUTJ9kgQ2NhVtB1ujtwfMakPrb6s0J9wLvi0+1sgQB9otltbc2mNRX1Ka/VF7jfk1qD7/
ylIV3qrFvxM0BRkYmHrFkTK0mX0SDEcgsy61d2sRyYLEMacQfmFt+rRtn01B35qwZwz3MdPteD07
E16DOgm3fZOSSqQeodxjNW8eHbtMbryefB+F3OGuQ1e6IiAIR5Fj9+RqjKjE4JyzlqekAZh4yk00
doTvXLy0xO7Z1W5UMZowgAolX3iyMD9gEmwehWnNH9GU62ezo4xoHEN/oczh+J3Mc9VND2WfrbGZ
IVDLNZf69FqryUlHLhiOJqMFue/NV1p7vChQTt7SKOpwQ0AjjXYOwImNOTrNZSqYoTam6LxtSXdi
tWr8TuzLKYJ6wBKYQd1L4sMUaT2Xr46BIPfKeNjwdnVeDHKL2hb3tm6veJ8Tn6PkLulXYOckdg08
AHqQxeX4UIbgoliEdMWhz5nKqUOMz4qVB+0oSLZltpcC+0oAzT597i3SI8TN+3ab5PbwUkBcfA1T
Po5cqgtmGsymCZzDvmPTRgbCwafpO2/czr0TrvZwEwH8c9YEYv1DRPP8pXYNsCKF8OZbWcg2PLhW
SNmDSqhIkIa/iSaRnDRU4kuesylhgvPqNWtS81HluvNuzpXzapMjc/d9nswfs2az/HcxrJOTqxgw
V6MOZ4+lW2XfJo4SfKrIzz/LpodKIQe0fQbPxIR2H8oHraqMtyqZhAt8KNReYsfo7xns1WvH6/9c
q3lU/EqHy9TOmxJ7kTs6N0rA0Kx1N7wZhr67xbKoXwxYafWqn8butYtK9CGeFEzQNgZ1X+9DuHKc
QDBpMcCSY/NE98J6rLz1xjC5mqUHDLNM/Bu6tWbvAH260VekJrpv/Ev5qWqExUSchy/YauOnvz8i
/d/ay/+ReV+/t+8bSPDtdNt9qenuq4Gs1/y5sqasMvv8+eX4q/k7v+Hf/w/+y9fPn3b4/G//1fmL
NPTzBz1M1dfvf/Tvv2f59/94/8zj4ndC0kf7U3/1D7/4Zx3WP375f6fuanbjhIHwq6C8wQZF1UZK
pS2qmkMTbZsq9wlYiSvWblxYdR+nxx72UOUReLGOFwwYvCbqOCtxRWg8f/5mxgzjRrAx606ezMNr
zhS2kj/tDtLuGi5vYcOuzhLIM7B+e7+40AOUOkauziw2e4mfj+5Xjjmgpm1IaaWcY0KHHyGotL9J
vKrFIhzHeE5KJ3wPec6ijOU4rWpwFVesG9jpK9xKVegVojsQBYiMWXnyEsEQU4cAy4Di1d/BBQjY
rxBjnkvV/g08ZpAzYRkAOccvOAH8JqleVCYfBsSxj2yJyT6V9ZFV20vZqJTxCvNqv7WrHl2K4MAH
OttTN1ocQEcDyv9t1Ynh7kTq67IoN7CzfLFuGFwEUI1/bAeR9QSeS1ZUv40FNYQ1rOMfM1SX+VTC
loPrG+4iANBclzy3NlHTpBkAAJBxLqq9i/qCrpYvJRdZtXf4i552QlV6M4UwMkHXUOxMexhHSHSc
G1a4tBMgQr3izzAi7/fe/l4i8QR+gnD6vJ6KQzXuSg2jduP0AfbTB7mD1AUFIUJq8iTT6sUooPNF
fcBFVgqaTD6X3OGQcYBMw5nH1GqPA+C7r8uF6oueU0oi6c8QIUh+58qhdCwMyDZFpUcrkSkcWBVh
EhmtldzyjInUZWU9BMrvRK6qor2Nd1xr1HXU5AttobXGDS+Kj1qnRyqto2+YCsbxQiNTt1nOEV7b
M+nDanal0wdlf7LUW82Q0Mtoy+ECZqDaMak8PBvNpb8uH5nsLWP0MhYKYdEn1BBQ5yMYYrJPMBvL
ZyOWjgY+sQZhZD5yYajwybUaRpn5SIZRyifZKMDNRrIGr2qwcQDiOErNQDTs/lpOWGy1qf4onsLh
IOeuVHb4SyW6qsCA1DN7D4n7gI99se/q/XwizO8WPGo0W5gfOQhWS3IiFqecKpHYw/TQ5SG1S6Wy
FIU+gcXRgOIVim+NfCKp2qMaHxIMz3jedrdMSY7plX4lzRmo9/8AAAD//w==</cx:binary>
              </cx:geoCache>
            </cx:geography>
          </cx:layoutPr>
          <cx:valueColors>
            <cx:minColor>
              <a:srgbClr val="FFFF00"/>
            </cx:minColor>
            <cx:midColor>
              <a:srgbClr val="FF9933"/>
            </cx:midColor>
            <cx:maxColor>
              <a:srgbClr val="FF0000"/>
            </cx:maxColor>
          </cx:valueColors>
          <cx:valueColorPositions count="3">
            <cx:minPosition>
              <cx:number val="1"/>
            </cx:minPosition>
            <cx:midPosition>
              <cx:number val="250"/>
            </cx:midPosition>
            <cx:maxPosition>
              <cx:number val="1593"/>
            </cx:maxPosition>
          </cx:valueColorPositions>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5" Type="http://schemas.openxmlformats.org/officeDocument/2006/relationships/image" Target="../media/image1.png"/><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1358153</xdr:colOff>
      <xdr:row>48</xdr:row>
      <xdr:rowOff>62752</xdr:rowOff>
    </xdr:from>
    <xdr:to>
      <xdr:col>7</xdr:col>
      <xdr:colOff>282388</xdr:colOff>
      <xdr:row>63</xdr:row>
      <xdr:rowOff>71717</xdr:rowOff>
    </xdr:to>
    <mc:AlternateContent xmlns:mc="http://schemas.openxmlformats.org/markup-compatibility/2006">
      <mc:Choice xmlns:cx6="http://schemas.microsoft.com/office/drawing/2016/5/12/chartex" Requires="cx6">
        <xdr:graphicFrame macro="">
          <xdr:nvGraphicFramePr>
            <xdr:cNvPr id="2" name="Gráfico 1">
              <a:extLst>
                <a:ext uri="{FF2B5EF4-FFF2-40B4-BE49-F238E27FC236}">
                  <a16:creationId xmlns:a16="http://schemas.microsoft.com/office/drawing/2014/main" id="{6A24CE40-7FCA-4D08-8F7D-9A94C6E94C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06303" y="9702052"/>
              <a:ext cx="4420160" cy="293314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4</xdr:col>
      <xdr:colOff>1251921</xdr:colOff>
      <xdr:row>64</xdr:row>
      <xdr:rowOff>152400</xdr:rowOff>
    </xdr:from>
    <xdr:to>
      <xdr:col>7</xdr:col>
      <xdr:colOff>304800</xdr:colOff>
      <xdr:row>83</xdr:row>
      <xdr:rowOff>30480</xdr:rowOff>
    </xdr:to>
    <mc:AlternateContent xmlns:mc="http://schemas.openxmlformats.org/markup-compatibility/2006">
      <mc:Choice xmlns:cx6="http://schemas.microsoft.com/office/drawing/2016/5/12/chartex" Requires="cx6">
        <xdr:graphicFrame macro="">
          <xdr:nvGraphicFramePr>
            <xdr:cNvPr id="3" name="Gráfico 2">
              <a:extLst>
                <a:ext uri="{FF2B5EF4-FFF2-40B4-BE49-F238E27FC236}">
                  <a16:creationId xmlns:a16="http://schemas.microsoft.com/office/drawing/2014/main" id="{A8CD012F-0C19-45E2-8058-11223424B0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00071" y="12906375"/>
              <a:ext cx="4548804" cy="359283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0</xdr:col>
      <xdr:colOff>0</xdr:colOff>
      <xdr:row>48</xdr:row>
      <xdr:rowOff>62752</xdr:rowOff>
    </xdr:from>
    <xdr:to>
      <xdr:col>4</xdr:col>
      <xdr:colOff>1342757</xdr:colOff>
      <xdr:row>63</xdr:row>
      <xdr:rowOff>71717</xdr:rowOff>
    </xdr:to>
    <mc:AlternateContent xmlns:mc="http://schemas.openxmlformats.org/markup-compatibility/2006">
      <mc:Choice xmlns:cx6="http://schemas.microsoft.com/office/drawing/2016/5/12/chartex" Requires="cx6">
        <xdr:graphicFrame macro="">
          <xdr:nvGraphicFramePr>
            <xdr:cNvPr id="4" name="Gráfico 3">
              <a:extLst>
                <a:ext uri="{FF2B5EF4-FFF2-40B4-BE49-F238E27FC236}">
                  <a16:creationId xmlns:a16="http://schemas.microsoft.com/office/drawing/2014/main" id="{BA0E4976-96C8-437C-BD9F-F526DB98F9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9702052"/>
              <a:ext cx="5590907" cy="293314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0</xdr:col>
      <xdr:colOff>0</xdr:colOff>
      <xdr:row>64</xdr:row>
      <xdr:rowOff>152400</xdr:rowOff>
    </xdr:from>
    <xdr:to>
      <xdr:col>4</xdr:col>
      <xdr:colOff>1299883</xdr:colOff>
      <xdr:row>83</xdr:row>
      <xdr:rowOff>30480</xdr:rowOff>
    </xdr:to>
    <mc:AlternateContent xmlns:mc="http://schemas.openxmlformats.org/markup-compatibility/2006">
      <mc:Choice xmlns:cx6="http://schemas.microsoft.com/office/drawing/2016/5/12/chartex" Requires="cx6">
        <xdr:graphicFrame macro="">
          <xdr:nvGraphicFramePr>
            <xdr:cNvPr id="5" name="Gráfico 4">
              <a:extLst>
                <a:ext uri="{FF2B5EF4-FFF2-40B4-BE49-F238E27FC236}">
                  <a16:creationId xmlns:a16="http://schemas.microsoft.com/office/drawing/2014/main" id="{60D8B0BB-4BB3-41AA-A635-A6F9AC5870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12906375"/>
              <a:ext cx="5548033" cy="359283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editAs="oneCell">
    <xdr:from>
      <xdr:col>2</xdr:col>
      <xdr:colOff>481855</xdr:colOff>
      <xdr:row>22</xdr:row>
      <xdr:rowOff>103711</xdr:rowOff>
    </xdr:from>
    <xdr:to>
      <xdr:col>6</xdr:col>
      <xdr:colOff>1165413</xdr:colOff>
      <xdr:row>43</xdr:row>
      <xdr:rowOff>5997</xdr:rowOff>
    </xdr:to>
    <xdr:pic>
      <xdr:nvPicPr>
        <xdr:cNvPr id="6" name="Picture 1">
          <a:extLst>
            <a:ext uri="{FF2B5EF4-FFF2-40B4-BE49-F238E27FC236}">
              <a16:creationId xmlns:a16="http://schemas.microsoft.com/office/drawing/2014/main" id="{D45D27AE-B40B-4DFA-842A-49C0DDFDE421}"/>
            </a:ext>
          </a:extLst>
        </xdr:cNvPr>
        <xdr:cNvPicPr>
          <a:picLocks noChangeAspect="1"/>
        </xdr:cNvPicPr>
      </xdr:nvPicPr>
      <xdr:blipFill>
        <a:blip xmlns:r="http://schemas.openxmlformats.org/officeDocument/2006/relationships" r:embed="rId5"/>
        <a:stretch>
          <a:fillRect/>
        </a:stretch>
      </xdr:blipFill>
      <xdr:spPr>
        <a:xfrm>
          <a:off x="2005855" y="4675711"/>
          <a:ext cx="6857999" cy="40148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914399</xdr:colOff>
      <xdr:row>2</xdr:row>
      <xdr:rowOff>57149</xdr:rowOff>
    </xdr:from>
    <xdr:to>
      <xdr:col>13</xdr:col>
      <xdr:colOff>492565</xdr:colOff>
      <xdr:row>6</xdr:row>
      <xdr:rowOff>19049</xdr:rowOff>
    </xdr:to>
    <xdr:pic>
      <xdr:nvPicPr>
        <xdr:cNvPr id="2" name="Imagen 1">
          <a:extLst>
            <a:ext uri="{FF2B5EF4-FFF2-40B4-BE49-F238E27FC236}">
              <a16:creationId xmlns:a16="http://schemas.microsoft.com/office/drawing/2014/main" id="{3D8F34B4-C7D1-2CF8-296B-D696AC703D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20124" y="447674"/>
          <a:ext cx="7617266" cy="733425"/>
        </a:xfrm>
        <a:prstGeom prst="rect">
          <a:avLst/>
        </a:prstGeom>
        <a:noFill/>
      </xdr:spPr>
    </xdr:pic>
    <xdr:clientData/>
  </xdr:twoCellAnchor>
  <xdr:twoCellAnchor editAs="oneCell">
    <xdr:from>
      <xdr:col>2</xdr:col>
      <xdr:colOff>560294</xdr:colOff>
      <xdr:row>34</xdr:row>
      <xdr:rowOff>56029</xdr:rowOff>
    </xdr:from>
    <xdr:to>
      <xdr:col>7</xdr:col>
      <xdr:colOff>705488</xdr:colOff>
      <xdr:row>59</xdr:row>
      <xdr:rowOff>190062</xdr:rowOff>
    </xdr:to>
    <xdr:pic>
      <xdr:nvPicPr>
        <xdr:cNvPr id="3" name="Imagen 2">
          <a:extLst>
            <a:ext uri="{FF2B5EF4-FFF2-40B4-BE49-F238E27FC236}">
              <a16:creationId xmlns:a16="http://schemas.microsoft.com/office/drawing/2014/main" id="{FB1E7055-FB6B-7115-8EF0-CC7DF7AE840F}"/>
            </a:ext>
          </a:extLst>
        </xdr:cNvPr>
        <xdr:cNvPicPr>
          <a:picLocks noChangeAspect="1"/>
        </xdr:cNvPicPr>
      </xdr:nvPicPr>
      <xdr:blipFill>
        <a:blip xmlns:r="http://schemas.openxmlformats.org/officeDocument/2006/relationships" r:embed="rId2"/>
        <a:stretch>
          <a:fillRect/>
        </a:stretch>
      </xdr:blipFill>
      <xdr:spPr>
        <a:xfrm>
          <a:off x="2084294" y="6757147"/>
          <a:ext cx="8583223" cy="48965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24</xdr:col>
      <xdr:colOff>545929</xdr:colOff>
      <xdr:row>113</xdr:row>
      <xdr:rowOff>77407</xdr:rowOff>
    </xdr:to>
    <xdr:pic>
      <xdr:nvPicPr>
        <xdr:cNvPr id="2" name="Imagen 1">
          <a:extLst>
            <a:ext uri="{FF2B5EF4-FFF2-40B4-BE49-F238E27FC236}">
              <a16:creationId xmlns:a16="http://schemas.microsoft.com/office/drawing/2014/main" id="{E22B5589-3120-4DF2-A417-108B6511E719}"/>
            </a:ext>
          </a:extLst>
        </xdr:cNvPr>
        <xdr:cNvPicPr>
          <a:picLocks noChangeAspect="1"/>
        </xdr:cNvPicPr>
      </xdr:nvPicPr>
      <xdr:blipFill>
        <a:blip xmlns:r="http://schemas.openxmlformats.org/officeDocument/2006/relationships" r:embed="rId1"/>
        <a:stretch>
          <a:fillRect/>
        </a:stretch>
      </xdr:blipFill>
      <xdr:spPr>
        <a:xfrm>
          <a:off x="5295900" y="12954000"/>
          <a:ext cx="15596257" cy="86499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24</xdr:col>
      <xdr:colOff>546757</xdr:colOff>
      <xdr:row>113</xdr:row>
      <xdr:rowOff>77407</xdr:rowOff>
    </xdr:to>
    <xdr:pic>
      <xdr:nvPicPr>
        <xdr:cNvPr id="2" name="Imagen 1">
          <a:extLst>
            <a:ext uri="{FF2B5EF4-FFF2-40B4-BE49-F238E27FC236}">
              <a16:creationId xmlns:a16="http://schemas.microsoft.com/office/drawing/2014/main" id="{7DCCCA6D-395E-40F0-B449-30F499596F00}"/>
            </a:ext>
          </a:extLst>
        </xdr:cNvPr>
        <xdr:cNvPicPr>
          <a:picLocks noChangeAspect="1"/>
        </xdr:cNvPicPr>
      </xdr:nvPicPr>
      <xdr:blipFill>
        <a:blip xmlns:r="http://schemas.openxmlformats.org/officeDocument/2006/relationships" r:embed="rId1"/>
        <a:stretch>
          <a:fillRect/>
        </a:stretch>
      </xdr:blipFill>
      <xdr:spPr>
        <a:xfrm>
          <a:off x="5295900" y="12954000"/>
          <a:ext cx="15594601" cy="86499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23</xdr:col>
      <xdr:colOff>232018</xdr:colOff>
      <xdr:row>113</xdr:row>
      <xdr:rowOff>77407</xdr:rowOff>
    </xdr:to>
    <xdr:pic>
      <xdr:nvPicPr>
        <xdr:cNvPr id="5" name="Imagen 4">
          <a:extLst>
            <a:ext uri="{FF2B5EF4-FFF2-40B4-BE49-F238E27FC236}">
              <a16:creationId xmlns:a16="http://schemas.microsoft.com/office/drawing/2014/main" id="{109EBC49-73F0-F3C7-3D0F-7C24A5901655}"/>
            </a:ext>
          </a:extLst>
        </xdr:cNvPr>
        <xdr:cNvPicPr>
          <a:picLocks noChangeAspect="1"/>
        </xdr:cNvPicPr>
      </xdr:nvPicPr>
      <xdr:blipFill>
        <a:blip xmlns:r="http://schemas.openxmlformats.org/officeDocument/2006/relationships" r:embed="rId1"/>
        <a:stretch>
          <a:fillRect/>
        </a:stretch>
      </xdr:blipFill>
      <xdr:spPr>
        <a:xfrm>
          <a:off x="5162550" y="12954000"/>
          <a:ext cx="15594601" cy="864990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ULIAN CAICEDO" id="{8B4C904F-D39B-41A2-976E-9CF6D3CCE00C}" userId="JULIAN CAICEDO" providerId="None"/>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6606CCEC-CD5E-4C43-9C29-F94441C86EED}"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c7e7183a8049fcd4476666d530c02af4&amp;qlt=95" TargetMode="External"/><Relationship Id="rId2" Type="http://schemas.openxmlformats.org/officeDocument/2006/relationships/hyperlink" Target="https://www.bing.com/images/search?form=xlimg&amp;q=bol%c3%advar+department+colombia" TargetMode="External"/><Relationship Id="rId1" Type="http://schemas.openxmlformats.org/officeDocument/2006/relationships/hyperlink" Target="https://www.bing.com/th?id=AMMS_0e8011aa83ff1393ab0287f9fd067d1c&amp;qlt=95" TargetMode="External"/><Relationship Id="rId6" Type="http://schemas.openxmlformats.org/officeDocument/2006/relationships/hyperlink" Target="https://www.bing.com/images/search?form=xlimg&amp;q=putumayo+department+colombia" TargetMode="External"/><Relationship Id="rId5" Type="http://schemas.openxmlformats.org/officeDocument/2006/relationships/hyperlink" Target="https://www.bing.com/th?id=AMMS_bd5df3a48eceaba2bf9c4ff931b54459&amp;qlt=95" TargetMode="External"/><Relationship Id="rId4" Type="http://schemas.openxmlformats.org/officeDocument/2006/relationships/hyperlink" Target="https://www.bing.com/images/search?form=xlimg&amp;q=casanare+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2">
  <a r="1">
    <v t="s">Marcela Amaya (Governor)</v>
  </a>
  <a r="1">
    <v t="s">UTC−05:00</v>
  </a>
  <a r="1">
    <v t="s">Didier Alberto Tavera Amado (Governor)</v>
  </a>
  <a r="1">
    <v t="s">Ricardo Alvarado Bestene (Governor)</v>
  </a>
  <a r="1">
    <v t="s">Vicente blel (Governor)</v>
  </a>
  <a r="1">
    <v t="r">39</v>
  </a>
  <a r="1">
    <v t="s">Carlos Andrés Amaya (Governor)</v>
  </a>
  <a r="1">
    <v t="s">Salomon Andres Sanabria (Governor)</v>
  </a>
  <a r="1">
    <v t="s">Oneida Rayeth Pinto Perez (Governor)</v>
  </a>
  <a r="1">
    <v t="s">Luis Enrique Dussan López (Governor)</v>
  </a>
  <a r="1">
    <v t="s">William Villamizar Laguado (Governor)</v>
  </a>
  <a r="1">
    <v t="s">Sorrel Parisa Aroca Rodriguez (Governor)</v>
  </a>
</arrayData>
</file>

<file path=xl/richData/rdrichvalue.xml><?xml version="1.0" encoding="utf-8"?>
<rvData xmlns="http://schemas.microsoft.com/office/spreadsheetml/2017/richdata" count="96">
  <rv s="0">
    <v>536870912</v>
    <v>Meta Department</v>
    <v>30c3c263-a281-f2d2-6787-511d37d41ddf</v>
    <v>en-US</v>
    <v>Map</v>
  </rv>
  <rv s="1">
    <fb>85635</fb>
    <v>11</v>
  </rv>
  <rv s="0">
    <v>536870912</v>
    <v>Villavicencio</v>
    <v>061f744c-689b-fc4e-336d-58ff74f02bb7</v>
    <v>en-US</v>
    <v>Map</v>
  </rv>
  <rv s="0">
    <v>536870912</v>
    <v>Colombia</v>
    <v>c396e3d8-2a85-d230-f691-7850536d840e</v>
    <v>en-US</v>
    <v>Map</v>
  </rv>
  <rv s="1">
    <fb>179624</fb>
    <v>11</v>
  </rv>
  <rv s="2">
    <v>0</v>
  </rv>
  <rv s="3">
    <v>https://www.bing.com/search?q=meta+department+colombia&amp;form=skydnc</v>
    <v>Learn more on Bing</v>
  </rv>
  <rv s="1">
    <fb>1039722</fb>
    <v>11</v>
  </rv>
  <rv s="2">
    <v>1</v>
  </rv>
  <rv s="4">
    <v>#VALUE!</v>
    <v>en-US</v>
    <v>30c3c263-a281-f2d2-6787-511d37d41ddf</v>
    <v>536870912</v>
    <v>1</v>
    <v>3</v>
    <v>4</v>
    <v>Meta Department</v>
    <v>7</v>
    <v>8</v>
    <v>Map</v>
    <v>9</v>
    <v>10</v>
    <v>CO-MET</v>
    <v>1</v>
    <v>2</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4</v>
    <v>2</v>
    <v>5</v>
    <v>6</v>
    <v>Meta Department</v>
    <v>7</v>
    <v>8</v>
    <v>Meta Department</v>
    <v>mdp/vdpid/10106924</v>
  </rv>
  <rv s="0">
    <v>536870912</v>
    <v>Santander Department</v>
    <v>98fbfaa3-063d-4261-a806-2b84a0339e05</v>
    <v>en-US</v>
    <v>Map</v>
  </rv>
  <rv s="1">
    <fb>30537</fb>
    <v>11</v>
  </rv>
  <rv s="0">
    <v>536870912</v>
    <v>Bucaramanga</v>
    <v>b2b7d5d4-6e24-8927-87fe-0c327b2b2c86</v>
    <v>en-US</v>
    <v>Map</v>
  </rv>
  <rv s="1">
    <fb>495179</fb>
    <v>11</v>
  </rv>
  <rv s="2">
    <v>2</v>
  </rv>
  <rv s="3">
    <v>https://www.bing.com/search?q=santander+department+colombia&amp;form=skydnc</v>
    <v>Learn more on Bing</v>
  </rv>
  <rv s="1">
    <fb>2184837</fb>
    <v>11</v>
  </rv>
  <rv s="4">
    <v>#VALUE!</v>
    <v>en-US</v>
    <v>98fbfaa3-063d-4261-a806-2b84a0339e05</v>
    <v>536870912</v>
    <v>1</v>
    <v>14</v>
    <v>4</v>
    <v>Santander Department</v>
    <v>7</v>
    <v>8</v>
    <v>Map</v>
    <v>9</v>
    <v>10</v>
    <v>CO-SAN</v>
    <v>11</v>
    <v>12</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13</v>
    <v>12</v>
    <v>14</v>
    <v>15</v>
    <v>Santander Department</v>
    <v>16</v>
    <v>8</v>
    <v>Santander Department</v>
    <v>mdp/vdpid/10106936</v>
  </rv>
  <rv s="0">
    <v>536870912</v>
    <v>Arauca Department</v>
    <v>39038b52-0399-9385-24de-5d0c69b46eba</v>
    <v>en-US</v>
    <v>Map</v>
  </rv>
  <rv s="1">
    <fb>23818</fb>
    <v>11</v>
  </rv>
  <rv s="0">
    <v>536870912</v>
    <v>Arauca</v>
    <v>64f5d309-32e5-4ff7-24bc-d973ce26e70a</v>
    <v>en-US</v>
    <v>Map</v>
  </rv>
  <rv s="1">
    <fb>35636</fb>
    <v>11</v>
  </rv>
  <rv s="2">
    <v>3</v>
  </rv>
  <rv s="3">
    <v>https://www.bing.com/search?q=arauca+department+colombia&amp;form=skydnc</v>
    <v>Learn more on Bing</v>
  </rv>
  <rv s="1">
    <fb>262174</fb>
    <v>11</v>
  </rv>
  <rv s="4">
    <v>#VALUE!</v>
    <v>en-US</v>
    <v>39038b52-0399-9385-24de-5d0c69b46eba</v>
    <v>536870912</v>
    <v>1</v>
    <v>17</v>
    <v>4</v>
    <v>Arauca Department</v>
    <v>7</v>
    <v>8</v>
    <v>Map</v>
    <v>9</v>
    <v>10</v>
    <v>CO-ARA</v>
    <v>19</v>
    <v>20</v>
    <v>3</v>
    <v>Arauca is a department of Eastern Colombia located in the extreme north of the Orinoco Basin of Colombia, bordering Venezuela. The southern boundary of Arauca is formed by the Casanare and Meta Rivers, separating Arauca from the departments of Casanare and Vichada. To the west, Arauca borders the department of Boyacá. The Caño Limón oil fields located within Arauca account for almost a third of the Colombian oil output. Its capital is the town of Arauca.</v>
    <v>21</v>
    <v>20</v>
    <v>22</v>
    <v>23</v>
    <v>Arauca Department</v>
    <v>24</v>
    <v>8</v>
    <v>Arauca Department</v>
    <v>mdp/vdpid/10106929</v>
  </rv>
  <rv s="0">
    <v>536870912</v>
    <v>Bolívar Department</v>
    <v>38fa99f2-3e47-af72-2f25-81f620fe1128</v>
    <v>en-US</v>
    <v>Map</v>
  </rv>
  <rv s="1">
    <fb>25978</fb>
    <v>11</v>
  </rv>
  <rv s="0">
    <v>536870912</v>
    <v>Cartagena</v>
    <v>722cd66d-65f4-7a40-33a0-17719bf6238a</v>
    <v>en-US</v>
    <v>Map</v>
  </rv>
  <rv s="1">
    <fb>391055</fb>
    <v>11</v>
  </rv>
  <rv s="5">
    <v>0</v>
    <v>9</v>
    <v>25</v>
    <v>0</v>
    <v>Image of Bolívar Department</v>
  </rv>
  <rv s="2">
    <v>4</v>
  </rv>
  <rv s="3">
    <v>https://www.bing.com/search?q=bol%c3%advar+department+colombia&amp;form=skydnc</v>
    <v>Learn more on Bing</v>
  </rv>
  <rv s="1">
    <fb>2070110</fb>
    <v>11</v>
  </rv>
  <rv s="6">
    <v>#VALUE!</v>
    <v>en-US</v>
    <v>38fa99f2-3e47-af72-2f25-81f620fe1128</v>
    <v>536870912</v>
    <v>1</v>
    <v>22</v>
    <v>23</v>
    <v>Bolívar Department</v>
    <v>7</v>
    <v>24</v>
    <v>Map</v>
    <v>9</v>
    <v>10</v>
    <v>CO-BOL</v>
    <v>27</v>
    <v>28</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29</v>
    <v>30</v>
    <v>28</v>
    <v>31</v>
    <v>32</v>
    <v>Bolívar Department</v>
    <v>33</v>
    <v>8</v>
    <v>Bolívar Department</v>
    <v>mdp/vdpid/9421486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5</v>
  </rv>
  <rv s="3">
    <v>https://www.bing.com/search?q=antioquia+department&amp;form=skydnc</v>
    <v>Learn more on Bing</v>
  </rv>
  <rv s="1">
    <fb>6407102</fb>
    <v>11</v>
  </rv>
  <rv s="4">
    <v>#VALUE!</v>
    <v>en-US</v>
    <v>d3614470-a93c-5d64-a636-9da2dff33c3d</v>
    <v>536870912</v>
    <v>1</v>
    <v>28</v>
    <v>4</v>
    <v>Antioquia Department</v>
    <v>7</v>
    <v>8</v>
    <v>Map</v>
    <v>9</v>
    <v>10</v>
    <v>CO-ANT</v>
    <v>36</v>
    <v>37</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38</v>
    <v>37</v>
    <v>40</v>
    <v>41</v>
    <v>Antioquia Department</v>
    <v>42</v>
    <v>8</v>
    <v>Antioquia Department</v>
    <v>mdp/vdpid/10106933</v>
  </rv>
  <rv s="0">
    <v>536870912</v>
    <v>Boyacá Department</v>
    <v>951b3076-f33d-486b-9b35-d6d83aad8b98</v>
    <v>en-US</v>
    <v>Map</v>
  </rv>
  <rv s="1">
    <fb>23189</fb>
    <v>11</v>
  </rv>
  <rv s="0">
    <v>536870912</v>
    <v>Tunja</v>
    <v>27d685ee-2724-70fe-3ed2-724fbc283d31</v>
    <v>en-US</v>
    <v>Map</v>
  </rv>
  <rv s="1">
    <fb>336296</fb>
    <v>11</v>
  </rv>
  <rv s="2">
    <v>6</v>
  </rv>
  <rv s="3">
    <v>https://www.bing.com/search?q=boyac%c3%a1+department&amp;form=skydnc</v>
    <v>Learn more on Bing</v>
  </rv>
  <rv s="1">
    <fb>1217376</fb>
    <v>11</v>
  </rv>
  <rv s="4">
    <v>#VALUE!</v>
    <v>en-US</v>
    <v>951b3076-f33d-486b-9b35-d6d83aad8b98</v>
    <v>536870912</v>
    <v>1</v>
    <v>31</v>
    <v>4</v>
    <v>Boyacá Department</v>
    <v>7</v>
    <v>8</v>
    <v>Map</v>
    <v>9</v>
    <v>10</v>
    <v>CO-BOY</v>
    <v>45</v>
    <v>46</v>
    <v>3</v>
    <v>Boyacá is one of the thirty-two departments of Colombia, and the remnant of Boyacá State, one of the original nine states of the "United States of Colombia". Boyacá is centrally located within Colombia, almost entirely within the mountains of the Eastern Cordillera to the border with Venezuela, although the western end of the department extends to the Magdalena River at the town of Puerto Boyacá. Boyacá borders to the north with the Department of Santander, to the northeast with the Bolivarian Republic of Venezuela and Norte de Santander, to the east with the departments of Arauca and Casanare. To the south, Boyacá borders the department of Cundinamarca and to the west with the Department of Antioquia covering a total area of 23,189 square kilometres. The capital of Boyacá is the city of Tunja.</v>
    <v>47</v>
    <v>46</v>
    <v>48</v>
    <v>49</v>
    <v>Boyacá Department</v>
    <v>50</v>
    <v>8</v>
    <v>Boyacá Department</v>
    <v>mdp/vdpid/10106930</v>
  </rv>
  <rv s="0">
    <v>536870912</v>
    <v>Casanare Department</v>
    <v>e7b3ed4f-03e8-7516-f976-b525e8a0b565</v>
    <v>en-US</v>
    <v>Map</v>
  </rv>
  <rv s="1">
    <fb>44640</fb>
    <v>11</v>
  </rv>
  <rv s="0">
    <v>536870912</v>
    <v>Yopal</v>
    <v>b5d1013d-669c-c464-2466-3c8409cb17e0</v>
    <v>en-US</v>
    <v>Map</v>
  </rv>
  <rv s="1">
    <fb>73701</fb>
    <v>11</v>
  </rv>
  <rv s="5">
    <v>1</v>
    <v>9</v>
    <v>37</v>
    <v>0</v>
    <v>Image of Casanare Department</v>
  </rv>
  <rv s="2">
    <v>7</v>
  </rv>
  <rv s="3">
    <v>https://www.bing.com/search?q=casanare+department+colombia&amp;form=skydnc</v>
    <v>Learn more on Bing</v>
  </rv>
  <rv s="1">
    <fb>420504</fb>
    <v>11</v>
  </rv>
  <rv s="6">
    <v>#VALUE!</v>
    <v>en-US</v>
    <v>e7b3ed4f-03e8-7516-f976-b525e8a0b565</v>
    <v>536870912</v>
    <v>1</v>
    <v>34</v>
    <v>23</v>
    <v>Casanare Department</v>
    <v>35</v>
    <v>36</v>
    <v>Map</v>
    <v>9</v>
    <v>10</v>
    <v>CO-CAS</v>
    <v>53</v>
    <v>54</v>
    <v>3</v>
    <v>Casanare Department is a department in the central eastern region of Colombia. Its capital is Yopal, which is also the episcopal seat of the Roman Catholic Diocese of Yopal.</v>
    <v>55</v>
    <v>56</v>
    <v>54</v>
    <v>57</v>
    <v>58</v>
    <v>Casanare Department</v>
    <v>59</v>
    <v>8</v>
    <v>Casanare Department</v>
    <v>mdp/vdpid/10106928</v>
  </rv>
  <rv s="0">
    <v>536870912</v>
    <v>La Guajira Department</v>
    <v>5dadb66e-c4f1-8556-c08f-671a606edf84</v>
    <v>en-US</v>
    <v>Map</v>
  </rv>
  <rv s="1">
    <fb>20848</fb>
    <v>11</v>
  </rv>
  <rv s="0">
    <v>536870912</v>
    <v>Riohacha</v>
    <v>f49d0eea-63a6-74bd-7610-26e440494dda</v>
    <v>en-US</v>
    <v>Map</v>
  </rv>
  <rv s="1">
    <fb>123078</fb>
    <v>11</v>
  </rv>
  <rv s="0">
    <v>536870912</v>
    <v>Uribia</v>
    <v>079ebe16-eeaa-f321-420d-7a8c4b2a599d</v>
    <v>en-US</v>
    <v>Map</v>
  </rv>
  <rv s="2">
    <v>8</v>
  </rv>
  <rv s="3">
    <v>https://www.bing.com/search?q=la+guajira+department+colombia&amp;form=skydnc</v>
    <v>Learn more on Bing</v>
  </rv>
  <rv s="1">
    <fb>880560</fb>
    <v>11</v>
  </rv>
  <rv s="4">
    <v>#VALUE!</v>
    <v>en-US</v>
    <v>5dadb66e-c4f1-8556-c08f-671a606edf84</v>
    <v>536870912</v>
    <v>1</v>
    <v>40</v>
    <v>4</v>
    <v>La Guajira Department</v>
    <v>7</v>
    <v>8</v>
    <v>Map</v>
    <v>9</v>
    <v>10</v>
    <v>CO-LAG</v>
    <v>62</v>
    <v>63</v>
    <v>3</v>
    <v>La Guajira is a department of Colombia. It occupies most of the Guajira Peninsula in the northeast region of the country, on the Caribbean Sea and bordering Venezuela, at the northernmost tip of South America. The capital city of the department is Riohacha.</v>
    <v>64</v>
    <v>65</v>
    <v>66</v>
    <v>67</v>
    <v>La Guajira Department</v>
    <v>68</v>
    <v>8</v>
    <v>La Guajira Department</v>
    <v>mdp/vdpid/10106951</v>
  </rv>
  <rv s="0">
    <v>536870912</v>
    <v>Huila Department</v>
    <v>2752ef70-1772-e264-2348-e4146224c108</v>
    <v>en-US</v>
    <v>Map</v>
  </rv>
  <rv s="1">
    <fb>19890</fb>
    <v>45</v>
  </rv>
  <rv s="0">
    <v>536870912</v>
    <v>Neiva</v>
    <v>1ba988f0-6907-b536-88ad-b89bb1269fc5</v>
    <v>en-US</v>
    <v>Map</v>
  </rv>
  <rv s="1">
    <fb>253348</fb>
    <v>45</v>
  </rv>
  <rv s="2">
    <v>9</v>
  </rv>
  <rv s="3">
    <v>https://www.bing.com/search?q=huila+department+colombia&amp;form=skydnc</v>
    <v>Learn more on Bing</v>
  </rv>
  <rv s="1">
    <fb>1200386</fb>
    <v>45</v>
  </rv>
  <rv s="4">
    <v>#VALUE!</v>
    <v>en-US</v>
    <v>2752ef70-1772-e264-2348-e4146224c108</v>
    <v>536870912</v>
    <v>1</v>
    <v>43</v>
    <v>4</v>
    <v>Huila Department</v>
    <v>35</v>
    <v>44</v>
    <v>Map</v>
    <v>9</v>
    <v>10</v>
    <v>CO-HUI</v>
    <v>71</v>
    <v>72</v>
    <v>3</v>
    <v>Huila is one of the departments of Colombia. It is located in the southwest of the country, and its capital is Neiva.</v>
    <v>73</v>
    <v>72</v>
    <v>74</v>
    <v>75</v>
    <v>Huila Department</v>
    <v>76</v>
    <v>8</v>
    <v>Huila Department</v>
    <v>mdp/vdpid/10106920</v>
  </rv>
  <rv s="0">
    <v>536870912</v>
    <v>Norte de Santander Department</v>
    <v>d44c8def-e6be-c3f1-ab4e-e27af99a2e0b</v>
    <v>en-US</v>
    <v>Map</v>
  </rv>
  <rv s="1">
    <fb>21658</fb>
    <v>45</v>
  </rv>
  <rv s="0">
    <v>536870912</v>
    <v>Cúcuta</v>
    <v>5a90774d-aeea-6f03-17a8-2126ffdffef3</v>
    <v>en-US</v>
    <v>Map</v>
  </rv>
  <rv s="1">
    <fb>295605</fb>
    <v>45</v>
  </rv>
  <rv s="2">
    <v>10</v>
  </rv>
  <rv s="3">
    <v>https://www.bing.com/search?q=norte+de+santander+department+colombia&amp;form=skydnc</v>
    <v>Learn more on Bing</v>
  </rv>
  <rv s="1">
    <fb>1491689</fb>
    <v>45</v>
  </rv>
  <rv s="4">
    <v>#VALUE!</v>
    <v>en-US</v>
    <v>d44c8def-e6be-c3f1-ab4e-e27af99a2e0b</v>
    <v>536870912</v>
    <v>1</v>
    <v>50</v>
    <v>4</v>
    <v>Norte de Santander Department</v>
    <v>35</v>
    <v>44</v>
    <v>Map</v>
    <v>9</v>
    <v>10</v>
    <v>CO-NSA</v>
    <v>79</v>
    <v>80</v>
    <v>3</v>
    <v>North Santander is a department of Northeastern Colombia. It is in the north of the country, bordering Venezuela. Its capital is Cúcuta, one of the country's major cities.</v>
    <v>81</v>
    <v>80</v>
    <v>82</v>
    <v>83</v>
    <v>Norte de Santander Department</v>
    <v>84</v>
    <v>8</v>
    <v>Norte de Santander Department</v>
    <v>mdp/vdpid/9406503</v>
  </rv>
  <rv s="0">
    <v>536870912</v>
    <v>Putumayo Department</v>
    <v>45f7bd51-6a99-6e2e-3095-604393add4b0</v>
    <v>en-US</v>
    <v>Map</v>
  </rv>
  <rv s="1">
    <fb>24885</fb>
    <v>45</v>
  </rv>
  <rv s="0">
    <v>536870912</v>
    <v>Mocoa</v>
    <v>fb0d0b7c-d2b3-307d-2e00-ace8205ad474</v>
    <v>en-US</v>
    <v>Map</v>
  </rv>
  <rv s="1">
    <fb>69570</fb>
    <v>45</v>
  </rv>
  <rv s="7">
    <v>2</v>
    <v>9</v>
    <v>55</v>
    <v>6</v>
    <v>0</v>
    <v>Image of Putumayo Department</v>
  </rv>
  <rv s="0">
    <v>536870912</v>
    <v>Orito</v>
    <v>0b32c096-7333-77fb-af4e-abf896aec920</v>
    <v>en-US</v>
    <v>Map</v>
  </rv>
  <rv s="2">
    <v>11</v>
  </rv>
  <rv s="3">
    <v>https://www.bing.com/search?q=putumayo+department+colombia&amp;form=skydnc</v>
    <v>Learn more on Bing</v>
  </rv>
  <rv s="1">
    <fb>348182</fb>
    <v>45</v>
  </rv>
  <rv s="6">
    <v>#VALUE!</v>
    <v>en-US</v>
    <v>45f7bd51-6a99-6e2e-3095-604393add4b0</v>
    <v>536870912</v>
    <v>1</v>
    <v>54</v>
    <v>23</v>
    <v>Putumayo Department</v>
    <v>7</v>
    <v>24</v>
    <v>Map</v>
    <v>9</v>
    <v>10</v>
    <v>CO-PUT</v>
    <v>87</v>
    <v>88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89</v>
    <v>90</v>
    <v>91</v>
    <v>92</v>
    <v>93</v>
    <v>Putumayo Department</v>
    <v>94</v>
    <v>8</v>
    <v>Putumayo Department</v>
    <v>mdp/vdpid/10106916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6">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
      <v>12</v>
      <v>13</v>
      <v>12</v>
      <v>13</v>
      <v>12</v>
      <v>12</v>
      <v>12</v>
      <v>2</v>
      <v>13</v>
      <v>12</v>
    </spb>
    <spb s="0">
      <v xml:space="preserve">Wikipedia	</v>
      <v xml:space="preserve">CC-BY-SA	</v>
      <v xml:space="preserve">http://en.wikipedia.org/wiki/Arauca_Department	</v>
      <v xml:space="preserve">http://creativecommons.org/licenses/by-sa/3.0/	</v>
    </spb>
    <spb s="0">
      <v xml:space="preserve">Wikipedia	dane.gov.co	</v>
      <v xml:space="preserve">CC-BY-SA		</v>
      <v xml:space="preserve">http://en.wikipedia.org/wiki/Arauca_Department	http://www.dane.gov.co/censo/files/cuadros%20censo%202005.xls#Cuadro4.9	</v>
      <v xml:space="preserve">http://creativecommons.org/licenses/by-sa/3.0/		</v>
    </spb>
    <spb s="1">
      <v>15</v>
      <v>16</v>
      <v>15</v>
      <v>16</v>
      <v>15</v>
      <v>15</v>
      <v>15</v>
      <v>2</v>
      <v>16</v>
      <v>15</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
      <v>18</v>
      <v>19</v>
      <v>20</v>
      <v>19</v>
      <v>20</v>
      <v>20</v>
      <v>21</v>
      <v>2</v>
      <v>19</v>
      <v>21</v>
    </spb>
    <spb s="2">
      <v>1</v>
      <v>Name</v>
      <v>LearnMoreOnLink</v>
    </spb>
    <spb s="10">
      <v>1</v>
      <v>4</v>
      <v>2</v>
    </spb>
    <spb s="0">
      <v xml:space="preserve">Wikipedia	</v>
      <v xml:space="preserve">CC BY 2.0	</v>
      <v xml:space="preserve">http://es.wikipedia.org/wiki/Bolívar_(Colombia)	</v>
      <v xml:space="preserve">https://creativecommons.org/licenses/by/2.0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
      <v>26</v>
      <v>27</v>
      <v>26</v>
      <v>27</v>
      <v>26</v>
      <v>26</v>
      <v>26</v>
      <v>2</v>
      <v>27</v>
      <v>26</v>
    </spb>
    <spb s="0">
      <v xml:space="preserve">Wikipedia	</v>
      <v xml:space="preserve">CC-BY-SA	</v>
      <v xml:space="preserve">http://en.wikipedia.org/wiki/Boyacá_Department	</v>
      <v xml:space="preserve">http://creativecommons.org/licenses/by-sa/3.0/	</v>
    </spb>
    <spb s="0">
      <v xml:space="preserve">Wikipedia	dane.gov.co	</v>
      <v xml:space="preserve">CC-BY-SA		</v>
      <v xml:space="preserve">http://en.wikipedia.org/wiki/Boyacá_Department	http://www.dane.gov.co/censo/files/cuadros%20censo%202005.xls#Cuadro4.9	</v>
      <v xml:space="preserve">http://creativecommons.org/licenses/by-sa/3.0/		</v>
    </spb>
    <spb s="1">
      <v>29</v>
      <v>30</v>
      <v>29</v>
      <v>30</v>
      <v>29</v>
      <v>29</v>
      <v>29</v>
      <v>2</v>
      <v>30</v>
      <v>29</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
      <v>32</v>
      <v>33</v>
      <v>32</v>
      <v>33</v>
      <v>32</v>
      <v>32</v>
      <v>32</v>
      <v>2</v>
      <v>33</v>
      <v>32</v>
    </spb>
    <spb s="11">
      <v>5</v>
      <v>5</v>
      <v>5</v>
    </spb>
    <spb s="12">
      <v>1</v>
      <v>4</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13">
      <v>38</v>
      <v>39</v>
      <v>38</v>
      <v>39</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
      <v>41</v>
      <v>42</v>
      <v>41</v>
      <v>42</v>
      <v>41</v>
      <v>41</v>
      <v>41</v>
      <v>2</v>
      <v>42</v>
      <v>41</v>
    </spb>
    <spb s="14">
      <v>1</v>
    </spb>
    <spb s="9">
      <v>5</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
      <v>46</v>
      <v>47</v>
      <v>46</v>
      <v>47</v>
      <v>46</v>
      <v>46</v>
      <v>48</v>
      <v>2</v>
      <v>49</v>
      <v>48</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3">
      <v>51</v>
      <v>52</v>
      <v>53</v>
      <v>52</v>
      <v>53</v>
      <v>53</v>
      <v>2</v>
      <v>52</v>
      <v>53</v>
    </spb>
    <spb s="0">
      <v xml:space="preserve">Wikipedia	</v>
      <v xml:space="preserve">CC BY-SA 3.0	</v>
      <v xml:space="preserve">http://ko.wikipedia.org/wiki/푸투마요주	</v>
      <v xml:space="preserve">https://creativecommons.org/licenses/by-sa/3.0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Largest city"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Name" t="i"/>
    <k n="Image" t="i"/>
    <k n="Description" t="i"/>
  </s>
  <s>
    <k n="UniqueName" t="spb"/>
    <k n="VDPID/VSID" t="spb"/>
    <k n="LearnMoreOnLink" t="spb"/>
  </s>
  <s>
    <k n="Name" t="i"/>
    <k n="Image" t="i"/>
  </s>
  <s>
    <k n="Area" t="spb"/>
    <k n="Name" t="spb"/>
    <k n="Population" t="spb"/>
    <k n="UniqueName" t="spb"/>
    <k n="Description" t="spb"/>
    <k n="Abbreviation" t="spb"/>
    <k n="Housing units" t="spb"/>
    <k n="Country/region" t="spb"/>
    <k n="Capital/Major City" t="spb"/>
  </s>
  <s>
    <k n="Na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IsHeroField" t="b"/>
    <rPr n="NumberFormat" t="s"/>
  </richProperties>
  <richStyles>
    <rSty>
      <rpv i="0">1</rpv>
    </rSty>
    <rSty>
      <rpv i="1">1</rpv>
    </rSty>
    <rSty dxfid="0"/>
    <rSty>
      <rpv i="2">1</rpv>
    </rSty>
    <rSty dxfid="0">
      <rpv i="3">#,##0</rpv>
    </rSty>
  </richStyles>
</richStyleSheet>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138E86-E026-4314-8A64-DBAE113B1FF1}" name="Akacias_" displayName="Akacias_" ref="A1:B14" tableType="queryTable" totalsRowShown="0">
  <autoFilter ref="A1:B14" xr:uid="{72138E86-E026-4314-8A64-DBAE113B1FF1}"/>
  <tableColumns count="2">
    <tableColumn id="1" xr3:uid="{D6783835-F803-4062-9AAE-FDB4D242F7A0}" uniqueName="1" name="Column1" queryTableFieldId="1"/>
    <tableColumn id="2" xr3:uid="{D45F7CAE-B685-429A-A18D-D59E536071E4}" uniqueName="2" name="Column2"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P3" dT="2022-08-11T05:06:44.42" personId="{8B4C904F-D39B-41A2-976E-9CF6D3CCE00C}" id="{B5DC5291-6A6D-48C7-A6C7-D48CFE382A60}">
    <text>BP is Beam Pump, PCP is Progressive Cavity Pump, ESP is Electrical Submersible Pump</text>
  </threadedComment>
  <threadedComment ref="Q3" dT="2022-08-11T05:08:53.00" personId="{8B4C904F-D39B-41A2-976E-9CF6D3CCE00C}" id="{554B21F3-EFB7-49C5-962B-7A8B26EF7170}">
    <text>WI is Water Injection; GI is Gas Injection</text>
  </threadedComment>
  <threadedComment ref="R3" dT="2022-08-11T05:10:01.24" personId="{8B4C904F-D39B-41A2-976E-9CF6D3CCE00C}" id="{8A7D8302-9A73-4C71-B1C6-4B3DCE14D226}">
    <text>SI is Steam Injection; AI is Air Injection; CHI is Chemical Inyection (includes Polymer and/or surfractant injection); nnI is Nanofluids Inections; NI is Nitrogen Injection; SAG is surfractang alternative gas</text>
  </threadedComment>
  <threadedComment ref="Q43" dT="2022-08-10T01:54:57.66" personId="{8B4C904F-D39B-41A2-976E-9CF6D3CCE00C}" id="{EC31951F-36DB-4BB9-889B-66C815AE699D}">
    <text>Using ANH (https://www.anh.gov.co/documents/4172/Cuencas_Sedimentarias_de_Colombia_PDF.pdf)</text>
  </threadedComment>
  <threadedComment ref="Q66" dT="2022-08-10T01:54:02.42" personId="{8B4C904F-D39B-41A2-976E-9CF6D3CCE00C}" id="{0366A16D-EEAC-403F-96A9-4310780EA050}">
    <text>Using Upstream Characterization UPME (2021)</text>
  </threadedComment>
  <threadedComment ref="T72" dT="2022-08-08T22:10:25.19" personId="{8B4C904F-D39B-41A2-976E-9CF6D3CCE00C}" id="{4262ED9D-7D4D-4979-A886-69ABD815975C}">
    <text>ANH use to report de fiscalized gas that includes:  Gas lift + Reinjected gas + Gas to plant + transformed gas + gas to gaseoduct.
In 2018 the fiscalized gas production was 2253 Mscf/d, but the commercialized gas production was 1050 Mscf/d.
in 2010 the commercialized gas was 1040 Mscf/d.</text>
  </threadedComment>
  <threadedComment ref="T72" dT="2022-08-08T22:12:13.01" personId="{8B4C904F-D39B-41A2-976E-9CF6D3CCE00C}" id="{278CA538-86F0-4BE7-AC98-3FBEBFDAE74A}" parentId="{4262ED9D-7D4D-4979-A886-69ABD815975C}">
    <text>https://www.valoraanalitik.com/2019/01/16/colombia-cerro-el-2018-con-record-en-produccion-de-gas-y-petroleo/</text>
  </threadedComment>
  <threadedComment ref="R76" dT="2022-08-10T02:26:10.91" personId="{8B4C904F-D39B-41A2-976E-9CF6D3CCE00C}" id="{D776B7B1-62B5-4346-9580-94152522D5BD}">
    <text>Data from ANH report: Reserves 2018</text>
  </threadedComment>
  <threadedComment ref="T77" dT="2022-08-10T02:18:04.53" personId="{8B4C904F-D39B-41A2-976E-9CF6D3CCE00C}" id="{BA761599-396A-49D5-AA6D-4BC19FBDF2BD}">
    <text>Chichimene + Apiay + 10 oilfields</text>
  </threadedComment>
  <threadedComment ref="R78" dT="2022-08-10T02:11:03.45" personId="{8B4C904F-D39B-41A2-976E-9CF6D3CCE00C}" id="{E320C1C6-DE32-49A6-870A-0918B7BE0E85}">
    <text>Infantas + la Cira + Lisama + LLanito + Yarigui-Cantagallo</text>
  </threadedComment>
  <threadedComment ref="T78" dT="2022-08-10T02:16:29.46" personId="{8B4C904F-D39B-41A2-976E-9CF6D3CCE00C}" id="{21204627-F6DC-4143-9567-33068CB8C7FA}">
    <text>Cira + Infantas + Yarigui-Cantagallo +12 oilfields</text>
  </threadedComment>
  <threadedComment ref="R79" dT="2022-08-10T02:04:44.28" personId="{8B4C904F-D39B-41A2-976E-9CF6D3CCE00C}" id="{9873AE17-3FF6-4804-B27E-E3E701DD8B0C}">
    <text>Caño limon + 24 campos</text>
  </threadedComment>
  <threadedComment ref="T79" dT="2022-08-10T02:14:05.47" personId="{8B4C904F-D39B-41A2-976E-9CF6D3CCE00C}" id="{56DB3520-C5F7-4FA4-B4D9-82B6B2808C68}">
    <text>Andina + Capachos</text>
  </threadedComment>
  <threadedComment ref="R80" dT="2022-08-10T02:07:49.33" personId="{8B4C904F-D39B-41A2-976E-9CF6D3CCE00C}" id="{91993813-061C-47E7-A3AB-2463BC6DB191}">
    <text>Boquete + cicuco (Yarigui-Cantagallo is not considered as part of Bolivar Department but Santander)</text>
  </threadedComment>
  <threadedComment ref="R81" dT="2022-08-10T02:03:42.76" personId="{8B4C904F-D39B-41A2-976E-9CF6D3CCE00C}" id="{10EC9C8E-F434-45E3-B814-D8578688DD09}">
    <text>Casabe + Nare + Peñas Blancas + Teca-Corcona</text>
  </threadedComment>
  <threadedComment ref="T81" dT="2022-08-10T02:13:35.79" personId="{8B4C904F-D39B-41A2-976E-9CF6D3CCE00C}" id="{2E6F47D5-070C-44D3-BAB1-67ADAE18466B}">
    <text>Casabe + Peñas Blancas</text>
  </threadedComment>
  <threadedComment ref="R82" dT="2022-08-10T02:09:10.23" personId="{8B4C904F-D39B-41A2-976E-9CF6D3CCE00C}" id="{0023FFC6-039A-46E8-8E63-6F287132D253}">
    <text>Gibraltar + Girasol + Moriche + Velasquez + 8 oilfields</text>
  </threadedComment>
  <threadedComment ref="T82" dT="2022-08-10T02:17:12.43" personId="{8B4C904F-D39B-41A2-976E-9CF6D3CCE00C}" id="{70A75F81-4CAB-4384-A689-206C8CFA0516}">
    <text>Gibraltar + 5 gasfields</text>
  </threadedComment>
  <threadedComment ref="T83" dT="2022-08-10T02:14:57.33" personId="{8B4C904F-D39B-41A2-976E-9CF6D3CCE00C}" id="{99DC78EC-4683-44A1-AD26-041BE706B124}">
    <text>Cupiagua + Cusiana + Pauto + 9 gasfields</text>
  </threadedComment>
  <threadedComment ref="T84" dT="2022-08-10T02:15:35.17" personId="{8B4C904F-D39B-41A2-976E-9CF6D3CCE00C}" id="{CD64E6C6-5474-4A71-9BAB-A199E58F34DC}">
    <text>Ballena + Chuchupa</text>
  </threadedComment>
  <threadedComment ref="R87" dT="2022-08-10T02:20:44.65" personId="{8B4C904F-D39B-41A2-976E-9CF6D3CCE00C}" id="{D2921E57-2D44-4B35-989E-5AA00252E3C8}">
    <text>https://nuevoportal.ecopetrol.com.co/wps/portal/ecopetrol-web/nuestra-empresa/sala-de-prensa/boletines-de-prensa/boletines-2019/boletines-2018/Grupo%20Ecopetrol%20incremento%20sus%20reservas%20probadas%20de%20hidrocarburos%20al%20cierre%20de%202018</text>
  </threadedComment>
  <threadedComment ref="T87" dT="2022-08-10T02:24:15.91" personId="{8B4C904F-D39B-41A2-976E-9CF6D3CCE00C}" id="{1371A6D2-3AC0-4404-BBF4-3F45CF4B722B}">
    <text>1 Equivalent oil barrel is about 5800 scf</text>
  </threadedComment>
  <threadedComment ref="R97" dT="2022-08-11T14:45:12.33" personId="{8B4C904F-D39B-41A2-976E-9CF6D3CCE00C}" id="{7AF6FB8E-74D6-4C88-BA41-503CE35E7727}">
    <text>https://nuevoportal.ecopetrol.com.co/wps/portal/ecopetrol-web/nuestra-empresa/sala-de-prensa/boletines-de-prensa/boletines-2019/boletines-2018/Grupo%20Ecopetrol%20incremento%20sus%20reservas%20probadas%20de%20hidrocarburos%20al%20cierre%20de%202018</text>
  </threadedComment>
  <threadedComment ref="Q104" dT="2022-08-11T15:22:25.65" personId="{8B4C904F-D39B-41A2-976E-9CF6D3CCE00C}" id="{4D46370C-7FFD-4489-9A9B-2DC1439F982E}">
    <text>Boletin Estadistico UPME 2016-2020</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FR@%20Primary=%2013%25%20(CASA%207)"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EA207-A31D-4333-AF3C-69874402C6D2}">
  <sheetPr>
    <pageSetUpPr autoPageBreaks="0"/>
  </sheetPr>
  <dimension ref="A2:AH27"/>
  <sheetViews>
    <sheetView zoomScaleNormal="100" workbookViewId="0">
      <selection activeCell="L24" sqref="L24:L25"/>
    </sheetView>
  </sheetViews>
  <sheetFormatPr baseColWidth="10" defaultColWidth="11.42578125" defaultRowHeight="15" x14ac:dyDescent="0.25"/>
  <cols>
    <col min="1" max="1" width="3.28515625" style="1" customWidth="1"/>
    <col min="2" max="2" width="14.140625" style="1" customWidth="1"/>
    <col min="3" max="4" width="12.42578125" style="1" customWidth="1"/>
    <col min="5" max="5" width="24.140625" style="1" customWidth="1"/>
    <col min="6" max="6" width="12.28515625" style="1" customWidth="1"/>
    <col min="7" max="7" width="16.42578125" style="1" customWidth="1"/>
    <col min="8" max="8" width="17" style="1" customWidth="1"/>
    <col min="9" max="9" width="16.140625" style="1" customWidth="1"/>
    <col min="10" max="10" width="28.7109375" style="1" customWidth="1"/>
    <col min="11" max="12" width="43.140625" style="1" customWidth="1"/>
    <col min="13" max="13" width="34" style="1" customWidth="1"/>
    <col min="14" max="14" width="11.42578125" style="1"/>
    <col min="15" max="15" width="34.85546875" style="1" customWidth="1"/>
    <col min="16" max="16" width="18.5703125" style="1" customWidth="1"/>
    <col min="17" max="17" width="27.5703125" style="1" customWidth="1"/>
    <col min="18" max="18" width="46.85546875" style="1" customWidth="1"/>
    <col min="19" max="19" width="40.28515625" style="1" customWidth="1"/>
    <col min="20" max="20" width="22.28515625" style="1" customWidth="1"/>
    <col min="21" max="21" width="34.85546875" style="1" customWidth="1"/>
    <col min="22" max="22" width="32.28515625" style="1" customWidth="1"/>
    <col min="23" max="23" width="27.85546875" style="1" customWidth="1"/>
    <col min="24" max="24" width="33.140625" style="1" customWidth="1"/>
    <col min="25" max="25" width="28.28515625" style="1" customWidth="1"/>
    <col min="26" max="26" width="89.85546875" style="1" customWidth="1"/>
    <col min="27" max="28" width="11.42578125" style="1"/>
    <col min="29" max="29" width="6.7109375" style="1" customWidth="1"/>
    <col min="30" max="34" width="11.42578125" style="1"/>
  </cols>
  <sheetData>
    <row r="2" spans="2:29" s="1" customFormat="1" x14ac:dyDescent="0.25">
      <c r="B2" s="1" t="s">
        <v>0</v>
      </c>
    </row>
    <row r="3" spans="2:29" s="1" customFormat="1" x14ac:dyDescent="0.25">
      <c r="M3" s="1" t="s">
        <v>1</v>
      </c>
    </row>
    <row r="4" spans="2:29" s="1" customFormat="1" ht="25.15" customHeight="1" x14ac:dyDescent="0.25">
      <c r="B4" s="2" t="s">
        <v>251</v>
      </c>
      <c r="C4" s="3" t="s">
        <v>3</v>
      </c>
      <c r="D4" s="3" t="s">
        <v>4</v>
      </c>
      <c r="E4" s="3" t="s">
        <v>6</v>
      </c>
      <c r="F4" s="3" t="s">
        <v>7</v>
      </c>
      <c r="G4" s="3" t="s">
        <v>8</v>
      </c>
      <c r="H4" s="3" t="s">
        <v>9</v>
      </c>
      <c r="I4" s="3" t="s">
        <v>252</v>
      </c>
      <c r="J4" s="3" t="s">
        <v>11</v>
      </c>
      <c r="K4" s="3" t="s">
        <v>253</v>
      </c>
      <c r="L4" s="3" t="s">
        <v>254</v>
      </c>
      <c r="M4" s="3" t="s">
        <v>13</v>
      </c>
      <c r="N4" s="3" t="s">
        <v>5</v>
      </c>
      <c r="O4" s="3" t="s">
        <v>14</v>
      </c>
      <c r="P4" s="3" t="s">
        <v>15</v>
      </c>
      <c r="Q4" s="3" t="s">
        <v>16</v>
      </c>
      <c r="R4" s="3" t="s">
        <v>17</v>
      </c>
      <c r="S4" s="3" t="s">
        <v>18</v>
      </c>
      <c r="T4" s="3" t="s">
        <v>19</v>
      </c>
      <c r="U4" s="3" t="s">
        <v>20</v>
      </c>
      <c r="V4" s="3" t="s">
        <v>21</v>
      </c>
      <c r="W4" s="3" t="s">
        <v>22</v>
      </c>
      <c r="X4" s="3" t="s">
        <v>23</v>
      </c>
      <c r="Y4" s="4" t="s">
        <v>24</v>
      </c>
      <c r="Z4" s="5" t="s">
        <v>25</v>
      </c>
    </row>
    <row r="5" spans="2:29" s="1" customFormat="1" ht="25.5" x14ac:dyDescent="0.25">
      <c r="B5" s="6">
        <v>1</v>
      </c>
      <c r="C5" s="7" t="s">
        <v>166</v>
      </c>
      <c r="D5" s="7" t="s">
        <v>255</v>
      </c>
      <c r="E5" s="7" t="s">
        <v>256</v>
      </c>
      <c r="F5" s="7" t="s">
        <v>30</v>
      </c>
      <c r="G5" s="8">
        <v>11342</v>
      </c>
      <c r="H5" s="7">
        <v>152.77000000000001</v>
      </c>
      <c r="I5" s="69">
        <v>754.35</v>
      </c>
      <c r="J5" s="7" t="s">
        <v>257</v>
      </c>
      <c r="K5" s="7">
        <v>0.68</v>
      </c>
      <c r="L5" s="7" t="s">
        <v>258</v>
      </c>
      <c r="M5" s="7" t="s">
        <v>259</v>
      </c>
      <c r="N5" s="7" t="s">
        <v>28</v>
      </c>
      <c r="O5" s="7" t="s">
        <v>260</v>
      </c>
      <c r="P5" s="7">
        <v>0.05</v>
      </c>
      <c r="Q5" s="7" t="s">
        <v>261</v>
      </c>
      <c r="R5" s="7" t="s">
        <v>262</v>
      </c>
      <c r="S5" s="7" t="s">
        <v>263</v>
      </c>
      <c r="T5" s="7" t="s">
        <v>264</v>
      </c>
      <c r="U5" s="7"/>
      <c r="V5" s="7">
        <v>0</v>
      </c>
      <c r="W5" s="7" t="s">
        <v>265</v>
      </c>
      <c r="X5" s="7" t="s">
        <v>266</v>
      </c>
      <c r="Y5" s="11" t="s">
        <v>267</v>
      </c>
      <c r="Z5" s="12" t="s">
        <v>268</v>
      </c>
    </row>
    <row r="6" spans="2:29" s="1" customFormat="1" ht="25.5" x14ac:dyDescent="0.25">
      <c r="B6" s="6">
        <v>3</v>
      </c>
      <c r="C6" s="7" t="s">
        <v>166</v>
      </c>
      <c r="D6" s="7" t="s">
        <v>269</v>
      </c>
      <c r="E6" s="7" t="s">
        <v>270</v>
      </c>
      <c r="F6" s="7" t="s">
        <v>30</v>
      </c>
      <c r="G6" s="8">
        <v>4514</v>
      </c>
      <c r="H6" s="7">
        <v>182.15</v>
      </c>
      <c r="I6" s="69">
        <v>306.27</v>
      </c>
      <c r="J6" s="7">
        <v>52</v>
      </c>
      <c r="K6" s="7">
        <v>0.68</v>
      </c>
      <c r="L6" s="14" t="s">
        <v>258</v>
      </c>
      <c r="M6" s="7" t="s">
        <v>271</v>
      </c>
      <c r="N6" s="7" t="s">
        <v>28</v>
      </c>
      <c r="O6" s="7" t="s">
        <v>260</v>
      </c>
      <c r="P6" s="7">
        <v>0.05</v>
      </c>
      <c r="Q6" s="7" t="s">
        <v>261</v>
      </c>
      <c r="R6" s="7" t="s">
        <v>272</v>
      </c>
      <c r="S6" s="7" t="s">
        <v>273</v>
      </c>
      <c r="T6" s="7" t="s">
        <v>264</v>
      </c>
      <c r="U6" s="7"/>
      <c r="V6" s="7"/>
      <c r="W6" s="7"/>
      <c r="X6" s="7" t="s">
        <v>274</v>
      </c>
      <c r="Y6" s="11" t="s">
        <v>275</v>
      </c>
      <c r="Z6" s="12"/>
    </row>
    <row r="7" spans="2:29" s="1" customFormat="1" ht="38.25" x14ac:dyDescent="0.25">
      <c r="B7" s="6">
        <v>2</v>
      </c>
      <c r="C7" s="7" t="s">
        <v>166</v>
      </c>
      <c r="D7" s="7" t="s">
        <v>276</v>
      </c>
      <c r="E7" s="7" t="s">
        <v>277</v>
      </c>
      <c r="F7" s="7" t="s">
        <v>278</v>
      </c>
      <c r="G7" s="8">
        <v>31197</v>
      </c>
      <c r="H7" s="7">
        <v>218.46</v>
      </c>
      <c r="I7" s="69">
        <v>459.81099999999998</v>
      </c>
      <c r="J7" s="7">
        <v>46</v>
      </c>
      <c r="K7" s="7">
        <v>0.72</v>
      </c>
      <c r="L7" s="7" t="s">
        <v>279</v>
      </c>
      <c r="M7" s="7" t="s">
        <v>280</v>
      </c>
      <c r="N7" s="7" t="s">
        <v>281</v>
      </c>
      <c r="O7" s="7" t="s">
        <v>260</v>
      </c>
      <c r="P7" s="7" t="s">
        <v>282</v>
      </c>
      <c r="Q7" s="10" t="s">
        <v>283</v>
      </c>
      <c r="R7" s="7" t="s">
        <v>284</v>
      </c>
      <c r="S7" s="7" t="s">
        <v>285</v>
      </c>
      <c r="T7" s="7" t="s">
        <v>286</v>
      </c>
      <c r="U7" s="7"/>
      <c r="V7" s="7"/>
      <c r="W7" s="7" t="s">
        <v>287</v>
      </c>
      <c r="X7" s="7"/>
      <c r="Y7" s="11" t="s">
        <v>288</v>
      </c>
      <c r="Z7" s="12" t="s">
        <v>289</v>
      </c>
    </row>
    <row r="8" spans="2:29" s="1" customFormat="1" ht="25.5" x14ac:dyDescent="0.25">
      <c r="B8" s="6">
        <v>5</v>
      </c>
      <c r="C8" s="7" t="s">
        <v>166</v>
      </c>
      <c r="D8" s="7" t="s">
        <v>276</v>
      </c>
      <c r="E8" s="7" t="s">
        <v>290</v>
      </c>
      <c r="F8" s="7" t="s">
        <v>278</v>
      </c>
      <c r="G8" s="8">
        <v>8374</v>
      </c>
      <c r="H8" s="7" t="s">
        <v>31</v>
      </c>
      <c r="I8" s="69">
        <v>153.01</v>
      </c>
      <c r="J8" s="7" t="s">
        <v>291</v>
      </c>
      <c r="K8" s="7">
        <v>0.74</v>
      </c>
      <c r="L8" s="7" t="s">
        <v>292</v>
      </c>
      <c r="M8" s="7" t="s">
        <v>280</v>
      </c>
      <c r="N8" s="7" t="s">
        <v>28</v>
      </c>
      <c r="O8" s="7" t="s">
        <v>260</v>
      </c>
      <c r="P8" s="7" t="s">
        <v>282</v>
      </c>
      <c r="Q8" s="7" t="s">
        <v>283</v>
      </c>
      <c r="R8" s="7" t="s">
        <v>293</v>
      </c>
      <c r="S8" s="7" t="s">
        <v>294</v>
      </c>
      <c r="T8" s="7" t="s">
        <v>286</v>
      </c>
      <c r="U8" s="7"/>
      <c r="V8" s="15" t="s">
        <v>295</v>
      </c>
      <c r="W8" s="7" t="s">
        <v>296</v>
      </c>
      <c r="X8" s="7" t="s">
        <v>297</v>
      </c>
      <c r="Y8" s="11" t="s">
        <v>275</v>
      </c>
      <c r="Z8" s="12" t="s">
        <v>298</v>
      </c>
    </row>
    <row r="9" spans="2:29" s="1" customFormat="1" ht="25.5" x14ac:dyDescent="0.25">
      <c r="B9" s="6">
        <v>4</v>
      </c>
      <c r="C9" s="7" t="s">
        <v>299</v>
      </c>
      <c r="D9" s="7" t="s">
        <v>300</v>
      </c>
      <c r="E9" s="7" t="s">
        <v>301</v>
      </c>
      <c r="F9" s="7" t="s">
        <v>302</v>
      </c>
      <c r="G9" s="8">
        <v>0</v>
      </c>
      <c r="H9" s="7">
        <v>207.5</v>
      </c>
      <c r="I9" s="69">
        <v>214.703</v>
      </c>
      <c r="J9" s="7" t="s">
        <v>31</v>
      </c>
      <c r="K9" s="7">
        <v>0.56000000000000005</v>
      </c>
      <c r="L9" s="7" t="s">
        <v>303</v>
      </c>
      <c r="M9" s="7" t="s">
        <v>304</v>
      </c>
      <c r="N9" s="7" t="s">
        <v>299</v>
      </c>
      <c r="O9" s="7" t="s">
        <v>305</v>
      </c>
      <c r="P9" s="7" t="s">
        <v>306</v>
      </c>
      <c r="Q9" s="7" t="s">
        <v>307</v>
      </c>
      <c r="R9" s="7" t="s">
        <v>308</v>
      </c>
      <c r="S9" s="13" t="s">
        <v>309</v>
      </c>
      <c r="T9" s="7"/>
      <c r="U9" s="7"/>
      <c r="V9" s="7" t="s">
        <v>310</v>
      </c>
      <c r="W9" s="7"/>
      <c r="X9" s="7"/>
      <c r="Y9" s="11"/>
      <c r="Z9" s="12"/>
    </row>
    <row r="10" spans="2:29" s="1" customFormat="1" x14ac:dyDescent="0.25">
      <c r="B10" s="6">
        <v>6</v>
      </c>
      <c r="C10" s="7" t="s">
        <v>299</v>
      </c>
      <c r="D10" s="7" t="s">
        <v>300</v>
      </c>
      <c r="E10" s="7" t="s">
        <v>311</v>
      </c>
      <c r="F10" s="7" t="s">
        <v>302</v>
      </c>
      <c r="G10" s="8">
        <v>0</v>
      </c>
      <c r="H10" s="7">
        <v>30.6</v>
      </c>
      <c r="I10" s="69">
        <v>31.34</v>
      </c>
      <c r="J10" s="7"/>
      <c r="K10" s="7"/>
      <c r="L10" s="7"/>
      <c r="M10" s="7"/>
      <c r="N10" s="7" t="s">
        <v>299</v>
      </c>
      <c r="O10" s="7"/>
      <c r="P10" s="7"/>
      <c r="Q10" s="7"/>
      <c r="R10" s="7" t="s">
        <v>312</v>
      </c>
      <c r="S10" s="7" t="s">
        <v>313</v>
      </c>
      <c r="T10" s="7"/>
      <c r="U10" s="7"/>
      <c r="V10" s="7"/>
      <c r="W10" s="7"/>
      <c r="X10" s="7"/>
      <c r="Y10" s="11"/>
      <c r="Z10" s="12"/>
    </row>
    <row r="11" spans="2:29" s="1" customFormat="1" ht="51" x14ac:dyDescent="0.25">
      <c r="B11" s="70">
        <v>6</v>
      </c>
      <c r="C11" s="71" t="s">
        <v>314</v>
      </c>
      <c r="D11" s="71"/>
      <c r="E11" s="71" t="s">
        <v>315</v>
      </c>
      <c r="F11" s="71" t="s">
        <v>316</v>
      </c>
      <c r="G11" s="72">
        <v>1</v>
      </c>
      <c r="H11" s="71"/>
      <c r="I11" s="73">
        <v>53.6</v>
      </c>
      <c r="J11" s="7"/>
      <c r="K11" s="7"/>
      <c r="L11" s="7"/>
      <c r="M11" s="7"/>
      <c r="N11" s="7"/>
      <c r="O11" s="7"/>
      <c r="P11" s="7"/>
      <c r="Q11" s="7"/>
      <c r="R11" s="7"/>
      <c r="S11" s="7"/>
      <c r="T11" s="7"/>
      <c r="U11" s="7"/>
      <c r="V11" s="7"/>
      <c r="W11" s="7"/>
      <c r="X11" s="7"/>
      <c r="Y11" s="11"/>
      <c r="Z11" s="12"/>
    </row>
    <row r="12" spans="2:29" s="1" customFormat="1" ht="25.5" x14ac:dyDescent="0.25">
      <c r="B12" s="70">
        <v>7</v>
      </c>
      <c r="C12" s="71" t="s">
        <v>317</v>
      </c>
      <c r="D12" s="71"/>
      <c r="E12" s="71" t="s">
        <v>318</v>
      </c>
      <c r="F12" s="71" t="s">
        <v>30</v>
      </c>
      <c r="G12" s="72">
        <v>0</v>
      </c>
      <c r="H12" s="71"/>
      <c r="I12" s="73">
        <v>39.1</v>
      </c>
      <c r="J12" s="7"/>
      <c r="K12" s="7"/>
      <c r="L12" s="7"/>
      <c r="M12" s="7"/>
      <c r="N12" s="7"/>
      <c r="O12" s="7"/>
      <c r="P12" s="7"/>
      <c r="Q12" s="7"/>
      <c r="R12" s="7"/>
      <c r="S12" s="7"/>
      <c r="T12" s="7"/>
      <c r="U12" s="7"/>
      <c r="V12" s="7"/>
      <c r="W12" s="7"/>
      <c r="X12" s="7"/>
      <c r="Y12" s="11"/>
      <c r="Z12" s="12"/>
    </row>
    <row r="13" spans="2:29" s="1" customFormat="1" ht="11.45" customHeight="1" x14ac:dyDescent="0.25">
      <c r="B13" s="27"/>
      <c r="C13" s="28"/>
      <c r="D13" s="28"/>
      <c r="E13" s="28"/>
      <c r="F13" s="28"/>
      <c r="G13" s="28"/>
      <c r="H13" s="30"/>
      <c r="I13" s="30"/>
      <c r="J13" s="29" t="s">
        <v>319</v>
      </c>
      <c r="K13" s="29" t="s">
        <v>319</v>
      </c>
      <c r="L13" s="29" t="s">
        <v>319</v>
      </c>
      <c r="M13" s="29" t="s">
        <v>320</v>
      </c>
      <c r="N13" s="29"/>
      <c r="O13" s="29" t="s">
        <v>320</v>
      </c>
      <c r="P13" s="29" t="s">
        <v>320</v>
      </c>
      <c r="Q13" s="29" t="s">
        <v>320</v>
      </c>
      <c r="R13" s="29" t="s">
        <v>321</v>
      </c>
      <c r="S13" s="29" t="s">
        <v>320</v>
      </c>
      <c r="T13" s="29" t="s">
        <v>320</v>
      </c>
      <c r="U13" s="29"/>
      <c r="V13" s="29" t="s">
        <v>321</v>
      </c>
      <c r="W13" s="29" t="s">
        <v>321</v>
      </c>
      <c r="X13" s="29"/>
      <c r="Y13" s="31" t="s">
        <v>322</v>
      </c>
      <c r="Z13" s="32"/>
    </row>
    <row r="14" spans="2:29" s="1" customFormat="1" ht="10.15" customHeight="1" x14ac:dyDescent="0.25">
      <c r="B14" s="33"/>
      <c r="H14" s="35"/>
      <c r="I14" s="35"/>
      <c r="J14" s="34" t="s">
        <v>323</v>
      </c>
      <c r="K14" s="34" t="s">
        <v>324</v>
      </c>
      <c r="L14" s="34" t="s">
        <v>324</v>
      </c>
      <c r="M14" s="34" t="s">
        <v>323</v>
      </c>
      <c r="N14" s="34"/>
      <c r="O14" s="34" t="s">
        <v>323</v>
      </c>
      <c r="P14" s="34" t="s">
        <v>325</v>
      </c>
      <c r="Q14" s="34" t="s">
        <v>323</v>
      </c>
      <c r="R14" s="34"/>
      <c r="S14" s="34" t="s">
        <v>326</v>
      </c>
      <c r="T14" s="34" t="s">
        <v>327</v>
      </c>
      <c r="U14" s="34"/>
      <c r="V14" s="34" t="s">
        <v>328</v>
      </c>
      <c r="W14" s="34" t="s">
        <v>329</v>
      </c>
      <c r="X14" s="34" t="s">
        <v>330</v>
      </c>
      <c r="Y14" s="36"/>
      <c r="Z14" s="32"/>
      <c r="AB14" s="35"/>
      <c r="AC14" s="35"/>
    </row>
    <row r="15" spans="2:29" s="1" customFormat="1" ht="10.15" customHeight="1" x14ac:dyDescent="0.25">
      <c r="B15" s="33"/>
      <c r="H15" s="35"/>
      <c r="I15" s="35"/>
      <c r="J15" s="34"/>
      <c r="K15" s="34" t="s">
        <v>331</v>
      </c>
      <c r="L15" s="34" t="s">
        <v>332</v>
      </c>
      <c r="M15" s="34" t="s">
        <v>331</v>
      </c>
      <c r="N15" s="34" t="s">
        <v>331</v>
      </c>
      <c r="O15" s="34" t="s">
        <v>331</v>
      </c>
      <c r="P15" s="34" t="s">
        <v>331</v>
      </c>
      <c r="Q15" s="34" t="s">
        <v>333</v>
      </c>
      <c r="R15" s="34" t="s">
        <v>331</v>
      </c>
      <c r="S15" s="34" t="s">
        <v>334</v>
      </c>
      <c r="T15" s="34"/>
      <c r="U15" s="34"/>
      <c r="V15" s="34" t="s">
        <v>333</v>
      </c>
      <c r="W15" s="34"/>
      <c r="X15" s="34"/>
      <c r="Y15" s="36"/>
      <c r="Z15" s="32"/>
      <c r="AA15" s="35"/>
      <c r="AB15" s="35"/>
      <c r="AC15" s="35"/>
    </row>
    <row r="16" spans="2:29" s="1" customFormat="1" ht="10.15" customHeight="1" x14ac:dyDescent="0.25">
      <c r="B16" s="33"/>
      <c r="H16" s="35"/>
      <c r="I16" s="35"/>
      <c r="J16" s="34" t="s">
        <v>335</v>
      </c>
      <c r="K16" s="34" t="s">
        <v>324</v>
      </c>
      <c r="L16" s="34" t="s">
        <v>324</v>
      </c>
      <c r="M16" s="34" t="s">
        <v>323</v>
      </c>
      <c r="N16" s="34"/>
      <c r="O16" s="34" t="s">
        <v>323</v>
      </c>
      <c r="P16" s="34"/>
      <c r="Q16" s="34"/>
      <c r="R16" s="34" t="s">
        <v>336</v>
      </c>
      <c r="S16" s="34"/>
      <c r="T16" s="34" t="s">
        <v>327</v>
      </c>
      <c r="U16" s="34"/>
      <c r="V16" s="34"/>
      <c r="W16" s="34"/>
      <c r="X16" s="34" t="s">
        <v>337</v>
      </c>
      <c r="Y16" s="36" t="s">
        <v>338</v>
      </c>
      <c r="Z16" s="32"/>
      <c r="AA16" s="35"/>
      <c r="AB16" s="35"/>
      <c r="AC16" s="35"/>
    </row>
    <row r="17" spans="2:29" s="1" customFormat="1" ht="10.15" customHeight="1" x14ac:dyDescent="0.25">
      <c r="B17" s="33"/>
      <c r="H17" s="35"/>
      <c r="I17" s="35"/>
      <c r="J17" s="34" t="s">
        <v>319</v>
      </c>
      <c r="K17" s="34" t="s">
        <v>319</v>
      </c>
      <c r="L17" s="34" t="s">
        <v>319</v>
      </c>
      <c r="M17" s="34" t="s">
        <v>320</v>
      </c>
      <c r="N17" s="34"/>
      <c r="O17" s="34" t="s">
        <v>320</v>
      </c>
      <c r="P17" s="34" t="s">
        <v>320</v>
      </c>
      <c r="Q17" s="34" t="s">
        <v>320</v>
      </c>
      <c r="R17" s="34"/>
      <c r="S17" s="34"/>
      <c r="T17" s="34" t="s">
        <v>320</v>
      </c>
      <c r="U17" s="34"/>
      <c r="V17" s="34" t="s">
        <v>339</v>
      </c>
      <c r="W17" s="34" t="s">
        <v>339</v>
      </c>
      <c r="X17" s="34" t="s">
        <v>340</v>
      </c>
      <c r="Y17" s="36"/>
      <c r="Z17" s="32"/>
      <c r="AA17" s="35"/>
      <c r="AB17" s="35"/>
      <c r="AC17" s="35"/>
    </row>
    <row r="18" spans="2:29" s="1" customFormat="1" ht="10.15" customHeight="1" x14ac:dyDescent="0.25">
      <c r="B18" s="33"/>
      <c r="H18" s="35"/>
      <c r="I18" s="35"/>
      <c r="J18" s="34"/>
      <c r="K18" s="34"/>
      <c r="L18" s="34"/>
      <c r="M18" s="34"/>
      <c r="N18" s="34"/>
      <c r="O18" s="34"/>
      <c r="P18" s="34"/>
      <c r="Q18" s="34"/>
      <c r="R18" s="34"/>
      <c r="S18" s="34"/>
      <c r="T18" s="34"/>
      <c r="U18" s="34"/>
      <c r="V18" s="34"/>
      <c r="W18" s="34"/>
      <c r="X18" s="34"/>
      <c r="Y18" s="36"/>
      <c r="Z18" s="32"/>
      <c r="AA18" s="35"/>
      <c r="AB18" s="35"/>
      <c r="AC18" s="35"/>
    </row>
    <row r="19" spans="2:29" s="1" customFormat="1" ht="10.15" customHeight="1" x14ac:dyDescent="0.25">
      <c r="B19" s="33"/>
      <c r="H19" s="35"/>
      <c r="I19" s="35"/>
      <c r="J19" s="34"/>
      <c r="K19" s="34"/>
      <c r="L19" s="34"/>
      <c r="M19" s="34"/>
      <c r="N19" s="34"/>
      <c r="O19" s="34"/>
      <c r="P19" s="34"/>
      <c r="Q19" s="34"/>
      <c r="R19" s="34"/>
      <c r="S19" s="34"/>
      <c r="T19" s="34"/>
      <c r="U19" s="34"/>
      <c r="V19" s="34"/>
      <c r="W19" s="34"/>
      <c r="X19" s="34"/>
      <c r="Y19" s="36"/>
      <c r="Z19" s="32"/>
      <c r="AA19" s="35"/>
      <c r="AB19" s="35"/>
      <c r="AC19" s="35"/>
    </row>
    <row r="20" spans="2:29" s="1" customFormat="1" ht="10.15" customHeight="1" x14ac:dyDescent="0.25">
      <c r="B20" s="33"/>
      <c r="H20" s="35"/>
      <c r="I20" s="35"/>
      <c r="J20" s="34"/>
      <c r="K20" s="34" t="s">
        <v>324</v>
      </c>
      <c r="L20" s="34" t="s">
        <v>324</v>
      </c>
      <c r="M20" s="34"/>
      <c r="N20" s="34"/>
      <c r="O20" s="34"/>
      <c r="P20" s="34"/>
      <c r="Q20" s="34"/>
      <c r="R20" s="34" t="s">
        <v>333</v>
      </c>
      <c r="S20" s="34" t="s">
        <v>333</v>
      </c>
      <c r="T20" s="34"/>
      <c r="U20" s="34"/>
      <c r="V20" s="34"/>
      <c r="W20" s="34"/>
      <c r="X20" s="34"/>
      <c r="Y20" s="36"/>
      <c r="Z20" s="32"/>
      <c r="AA20" s="35"/>
      <c r="AB20" s="35"/>
      <c r="AC20" s="35"/>
    </row>
    <row r="21" spans="2:29" s="1" customFormat="1" ht="10.15" customHeight="1" x14ac:dyDescent="0.25">
      <c r="B21" s="33"/>
      <c r="H21" s="35"/>
      <c r="I21" s="35"/>
      <c r="J21" s="34"/>
      <c r="K21" s="34"/>
      <c r="L21" s="34"/>
      <c r="M21" s="34"/>
      <c r="N21" s="34"/>
      <c r="O21" s="34"/>
      <c r="P21" s="34"/>
      <c r="Q21" s="34"/>
      <c r="R21" s="34"/>
      <c r="S21" s="34"/>
      <c r="T21" s="34"/>
      <c r="U21" s="34"/>
      <c r="V21" s="34"/>
      <c r="W21" s="34"/>
      <c r="X21" s="34"/>
      <c r="Y21" s="36"/>
      <c r="Z21" s="32"/>
      <c r="AA21" s="35"/>
      <c r="AB21" s="35"/>
      <c r="AC21" s="35"/>
    </row>
    <row r="22" spans="2:29" s="1" customFormat="1" ht="10.15" customHeight="1" x14ac:dyDescent="0.25">
      <c r="B22" s="39"/>
      <c r="C22" s="40"/>
      <c r="D22" s="40"/>
      <c r="E22" s="40"/>
      <c r="F22" s="40"/>
      <c r="G22" s="40"/>
      <c r="H22" s="41"/>
      <c r="I22" s="41"/>
      <c r="J22" s="41"/>
      <c r="K22" s="41"/>
      <c r="L22" s="41"/>
      <c r="M22" s="41"/>
      <c r="N22" s="41"/>
      <c r="O22" s="41"/>
      <c r="P22" s="41"/>
      <c r="Q22" s="41"/>
      <c r="R22" s="41"/>
      <c r="S22" s="41"/>
      <c r="T22" s="41"/>
      <c r="U22" s="41"/>
      <c r="V22" s="41"/>
      <c r="W22" s="41"/>
      <c r="X22" s="41"/>
      <c r="Y22" s="42"/>
      <c r="Z22" s="35"/>
      <c r="AA22" s="35"/>
      <c r="AB22" s="35"/>
      <c r="AC22" s="35"/>
    </row>
    <row r="23" spans="2:29" s="1" customFormat="1" ht="17.45" customHeight="1" x14ac:dyDescent="0.25">
      <c r="B23" s="43" t="s">
        <v>244</v>
      </c>
      <c r="C23" s="44"/>
      <c r="D23" s="44"/>
      <c r="E23" s="44"/>
      <c r="F23" s="44"/>
      <c r="G23" s="46"/>
      <c r="H23" s="257" t="s">
        <v>22</v>
      </c>
      <c r="I23" s="258"/>
      <c r="J23" s="258"/>
      <c r="K23" s="258"/>
      <c r="L23" s="259"/>
      <c r="N23" s="48"/>
      <c r="O23" s="48"/>
      <c r="P23" s="49"/>
      <c r="Q23" s="49"/>
      <c r="R23" s="49"/>
      <c r="S23" s="49"/>
      <c r="T23" s="49"/>
      <c r="U23" s="49"/>
      <c r="V23" s="49"/>
      <c r="W23" s="49"/>
      <c r="X23" s="49"/>
      <c r="Y23" s="35"/>
      <c r="Z23" s="35"/>
      <c r="AA23" s="35"/>
      <c r="AB23" s="35"/>
      <c r="AC23" s="35"/>
    </row>
    <row r="24" spans="2:29" s="1" customFormat="1" x14ac:dyDescent="0.25">
      <c r="B24" s="50" t="s">
        <v>245</v>
      </c>
      <c r="C24" s="51">
        <f>+SUM(G5:G10)</f>
        <v>55427</v>
      </c>
      <c r="D24" s="50" t="s">
        <v>246</v>
      </c>
      <c r="E24" s="55"/>
      <c r="F24" s="55"/>
      <c r="G24" s="56">
        <v>6.4063310875864407E-2</v>
      </c>
      <c r="H24" s="50" t="s">
        <v>247</v>
      </c>
      <c r="I24" s="57"/>
      <c r="J24" s="58">
        <f>+SUM(I5:I10)</f>
        <v>1919.4839999999997</v>
      </c>
      <c r="K24" s="50" t="s">
        <v>246</v>
      </c>
      <c r="L24" s="59">
        <v>0.81917906434844945</v>
      </c>
      <c r="N24" s="60"/>
      <c r="O24" s="60"/>
      <c r="P24" s="60"/>
      <c r="Q24" s="60"/>
      <c r="R24" s="61"/>
      <c r="S24" s="60"/>
      <c r="T24" s="60"/>
      <c r="V24" s="61"/>
      <c r="W24" s="61"/>
      <c r="X24" s="61"/>
    </row>
    <row r="25" spans="2:29" s="1" customFormat="1" x14ac:dyDescent="0.25">
      <c r="B25" s="62" t="s">
        <v>245</v>
      </c>
      <c r="C25" s="74">
        <f>+G5+G6+G12</f>
        <v>15856</v>
      </c>
      <c r="D25" s="62" t="s">
        <v>248</v>
      </c>
      <c r="E25" s="64"/>
      <c r="F25" s="64"/>
      <c r="G25" s="65">
        <v>3.3777925478091005E-2</v>
      </c>
      <c r="H25" s="62" t="s">
        <v>249</v>
      </c>
      <c r="I25" s="66"/>
      <c r="J25" s="67">
        <f>+I5+I6+I12</f>
        <v>1099.7199999999998</v>
      </c>
      <c r="K25" s="62" t="s">
        <v>248</v>
      </c>
      <c r="L25" s="68">
        <v>0.9155178155178153</v>
      </c>
      <c r="N25" s="60"/>
      <c r="O25" s="60"/>
      <c r="P25" s="60"/>
      <c r="Q25" s="60"/>
      <c r="R25" s="61"/>
      <c r="V25" s="61"/>
      <c r="W25" s="61"/>
      <c r="X25" s="61"/>
    </row>
    <row r="26" spans="2:29" s="1" customFormat="1" x14ac:dyDescent="0.25">
      <c r="B26" s="1" t="s">
        <v>250</v>
      </c>
    </row>
    <row r="27" spans="2:29" s="1" customFormat="1" x14ac:dyDescent="0.25"/>
  </sheetData>
  <mergeCells count="1">
    <mergeCell ref="H23:L23"/>
  </mergeCells>
  <conditionalFormatting sqref="J5:Z12">
    <cfRule type="containsBlanks" dxfId="45" priority="1">
      <formula>LEN(TRIM(J5))=0</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534C3-21DA-4236-BA92-E2A3AE38A22E}">
  <sheetPr>
    <pageSetUpPr autoPageBreaks="0"/>
  </sheetPr>
  <dimension ref="A2:AG31"/>
  <sheetViews>
    <sheetView zoomScale="55" zoomScaleNormal="55" workbookViewId="0">
      <selection activeCell="K29" sqref="K29:K30"/>
    </sheetView>
  </sheetViews>
  <sheetFormatPr baseColWidth="10" defaultColWidth="11.42578125" defaultRowHeight="15" x14ac:dyDescent="0.25"/>
  <cols>
    <col min="1" max="1" width="3.28515625" style="1" customWidth="1"/>
    <col min="2" max="2" width="14.140625" style="1" customWidth="1"/>
    <col min="3" max="4" width="12.42578125" style="1" customWidth="1"/>
    <col min="5" max="5" width="11.42578125" style="1"/>
    <col min="6" max="6" width="24.140625" style="1" customWidth="1"/>
    <col min="7" max="7" width="12.28515625" style="1" customWidth="1"/>
    <col min="8" max="8" width="16.5703125" style="1" customWidth="1"/>
    <col min="9" max="9" width="11.42578125" style="1"/>
    <col min="10" max="10" width="15.5703125" style="1" customWidth="1"/>
    <col min="11" max="11" width="28.7109375" style="1" customWidth="1"/>
    <col min="12" max="12" width="43.140625" style="1" customWidth="1"/>
    <col min="13" max="13" width="34" style="1" customWidth="1"/>
    <col min="14" max="14" width="34.85546875" style="1" customWidth="1"/>
    <col min="15" max="15" width="18.5703125" style="1" customWidth="1"/>
    <col min="16" max="16" width="27.5703125" style="1" customWidth="1"/>
    <col min="17" max="17" width="25.85546875" style="1" customWidth="1"/>
    <col min="18" max="18" width="40.28515625" style="1" customWidth="1"/>
    <col min="19" max="19" width="22.28515625" style="1" customWidth="1"/>
    <col min="20" max="20" width="34.85546875" style="1" customWidth="1"/>
    <col min="21" max="21" width="32.28515625" style="1" customWidth="1"/>
    <col min="22" max="22" width="27.85546875" style="1" customWidth="1"/>
    <col min="23" max="23" width="33.140625" style="1" customWidth="1"/>
    <col min="24" max="24" width="28.28515625" style="1" customWidth="1"/>
    <col min="25" max="25" width="89.85546875" style="1" customWidth="1"/>
    <col min="26" max="27" width="11.42578125" style="1"/>
    <col min="28" max="28" width="6.7109375" style="1" customWidth="1"/>
    <col min="29" max="33" width="11.42578125" style="1"/>
  </cols>
  <sheetData>
    <row r="2" spans="2:25" s="1" customFormat="1" x14ac:dyDescent="0.25">
      <c r="B2" s="1" t="s">
        <v>0</v>
      </c>
    </row>
    <row r="3" spans="2:25" s="1" customFormat="1" x14ac:dyDescent="0.25">
      <c r="M3" s="1" t="s">
        <v>1</v>
      </c>
    </row>
    <row r="4" spans="2:25" s="1" customFormat="1" ht="25.15" customHeight="1" x14ac:dyDescent="0.25">
      <c r="B4" s="2" t="s">
        <v>2</v>
      </c>
      <c r="C4" s="3" t="s">
        <v>3</v>
      </c>
      <c r="D4" s="3" t="s">
        <v>4</v>
      </c>
      <c r="E4" s="3" t="s">
        <v>5</v>
      </c>
      <c r="F4" s="3" t="s">
        <v>6</v>
      </c>
      <c r="G4" s="3" t="s">
        <v>7</v>
      </c>
      <c r="H4" s="3" t="s">
        <v>8</v>
      </c>
      <c r="I4" s="3" t="s">
        <v>9</v>
      </c>
      <c r="J4" s="3" t="s">
        <v>10</v>
      </c>
      <c r="K4" s="3" t="s">
        <v>11</v>
      </c>
      <c r="L4" s="3" t="s">
        <v>12</v>
      </c>
      <c r="M4" s="3" t="s">
        <v>13</v>
      </c>
      <c r="N4" s="3" t="s">
        <v>14</v>
      </c>
      <c r="O4" s="3" t="s">
        <v>15</v>
      </c>
      <c r="P4" s="3" t="s">
        <v>16</v>
      </c>
      <c r="Q4" s="3" t="s">
        <v>17</v>
      </c>
      <c r="R4" s="3" t="s">
        <v>18</v>
      </c>
      <c r="S4" s="3" t="s">
        <v>19</v>
      </c>
      <c r="T4" s="3" t="s">
        <v>20</v>
      </c>
      <c r="U4" s="3" t="s">
        <v>21</v>
      </c>
      <c r="V4" s="3" t="s">
        <v>22</v>
      </c>
      <c r="W4" s="3" t="s">
        <v>23</v>
      </c>
      <c r="X4" s="4" t="s">
        <v>24</v>
      </c>
      <c r="Y4" s="5" t="s">
        <v>25</v>
      </c>
    </row>
    <row r="5" spans="2:25" s="1" customFormat="1" ht="25.5" x14ac:dyDescent="0.25">
      <c r="B5" s="6">
        <v>1</v>
      </c>
      <c r="C5" s="7" t="s">
        <v>26</v>
      </c>
      <c r="D5" s="7" t="s">
        <v>27</v>
      </c>
      <c r="E5" s="7" t="s">
        <v>28</v>
      </c>
      <c r="F5" s="7" t="s">
        <v>29</v>
      </c>
      <c r="G5" s="7" t="s">
        <v>30</v>
      </c>
      <c r="H5" s="8">
        <v>119468</v>
      </c>
      <c r="I5" s="7" t="s">
        <v>31</v>
      </c>
      <c r="J5" s="9">
        <v>0</v>
      </c>
      <c r="K5" s="7" t="s">
        <v>32</v>
      </c>
      <c r="L5" s="7" t="s">
        <v>33</v>
      </c>
      <c r="M5" s="7" t="s">
        <v>34</v>
      </c>
      <c r="N5" s="7" t="s">
        <v>35</v>
      </c>
      <c r="O5" s="7" t="s">
        <v>36</v>
      </c>
      <c r="P5" s="10" t="s">
        <v>37</v>
      </c>
      <c r="Q5" s="7" t="s">
        <v>38</v>
      </c>
      <c r="R5" s="7" t="s">
        <v>39</v>
      </c>
      <c r="S5" s="7" t="s">
        <v>40</v>
      </c>
      <c r="T5" s="7" t="s">
        <v>41</v>
      </c>
      <c r="U5" s="7" t="s">
        <v>42</v>
      </c>
      <c r="V5" s="7" t="s">
        <v>43</v>
      </c>
      <c r="W5" s="7" t="s">
        <v>31</v>
      </c>
      <c r="X5" s="11" t="s">
        <v>31</v>
      </c>
      <c r="Y5" s="12" t="s">
        <v>44</v>
      </c>
    </row>
    <row r="6" spans="2:25" s="1" customFormat="1" ht="25.5" x14ac:dyDescent="0.25">
      <c r="B6" s="6">
        <v>2</v>
      </c>
      <c r="C6" s="7" t="s">
        <v>26</v>
      </c>
      <c r="D6" s="7" t="s">
        <v>45</v>
      </c>
      <c r="E6" s="7" t="s">
        <v>28</v>
      </c>
      <c r="F6" s="7" t="s">
        <v>46</v>
      </c>
      <c r="G6" s="7" t="s">
        <v>30</v>
      </c>
      <c r="H6" s="8">
        <f>70863+311+42175+463</f>
        <v>113812</v>
      </c>
      <c r="I6" s="7" t="s">
        <v>31</v>
      </c>
      <c r="J6" s="9">
        <v>0</v>
      </c>
      <c r="K6" s="7">
        <v>13.7</v>
      </c>
      <c r="L6" s="7" t="s">
        <v>47</v>
      </c>
      <c r="M6" s="7" t="s">
        <v>48</v>
      </c>
      <c r="N6" s="7" t="s">
        <v>49</v>
      </c>
      <c r="O6" s="7" t="s">
        <v>50</v>
      </c>
      <c r="P6" s="7" t="s">
        <v>51</v>
      </c>
      <c r="Q6" s="7" t="s">
        <v>52</v>
      </c>
      <c r="R6" s="7" t="s">
        <v>53</v>
      </c>
      <c r="S6" s="7" t="s">
        <v>54</v>
      </c>
      <c r="T6" s="7" t="s">
        <v>55</v>
      </c>
      <c r="U6" s="7" t="s">
        <v>56</v>
      </c>
      <c r="V6" s="7" t="s">
        <v>31</v>
      </c>
      <c r="W6" s="7" t="s">
        <v>57</v>
      </c>
      <c r="X6" s="11" t="s">
        <v>58</v>
      </c>
      <c r="Y6" s="12" t="s">
        <v>59</v>
      </c>
    </row>
    <row r="7" spans="2:25" s="1" customFormat="1" ht="38.25" x14ac:dyDescent="0.25">
      <c r="B7" s="6">
        <v>3</v>
      </c>
      <c r="C7" s="7" t="s">
        <v>26</v>
      </c>
      <c r="D7" s="7" t="s">
        <v>60</v>
      </c>
      <c r="E7" s="7" t="s">
        <v>28</v>
      </c>
      <c r="F7" s="7" t="s">
        <v>61</v>
      </c>
      <c r="G7" s="7" t="s">
        <v>30</v>
      </c>
      <c r="H7" s="8">
        <f>48029+1218+17954+419</f>
        <v>67620</v>
      </c>
      <c r="I7" s="7">
        <v>0</v>
      </c>
      <c r="J7" s="9">
        <v>8</v>
      </c>
      <c r="K7" s="7" t="s">
        <v>62</v>
      </c>
      <c r="L7" s="7" t="s">
        <v>63</v>
      </c>
      <c r="M7" s="7" t="s">
        <v>64</v>
      </c>
      <c r="N7" s="7" t="s">
        <v>65</v>
      </c>
      <c r="O7" s="7" t="s">
        <v>66</v>
      </c>
      <c r="P7" s="7" t="s">
        <v>67</v>
      </c>
      <c r="Q7" s="7" t="s">
        <v>68</v>
      </c>
      <c r="R7" s="13" t="s">
        <v>69</v>
      </c>
      <c r="S7" s="7" t="s">
        <v>70</v>
      </c>
      <c r="T7" s="7" t="s">
        <v>71</v>
      </c>
      <c r="U7" s="7" t="s">
        <v>72</v>
      </c>
      <c r="V7" s="7" t="s">
        <v>73</v>
      </c>
      <c r="W7" s="7" t="s">
        <v>74</v>
      </c>
      <c r="X7" s="11" t="s">
        <v>75</v>
      </c>
      <c r="Y7" s="12" t="s">
        <v>76</v>
      </c>
    </row>
    <row r="8" spans="2:25" s="1" customFormat="1" ht="38.25" x14ac:dyDescent="0.25">
      <c r="B8" s="6">
        <v>4</v>
      </c>
      <c r="C8" s="7" t="s">
        <v>77</v>
      </c>
      <c r="D8" s="7" t="s">
        <v>78</v>
      </c>
      <c r="E8" s="7" t="s">
        <v>79</v>
      </c>
      <c r="F8" s="7" t="s">
        <v>80</v>
      </c>
      <c r="G8" s="7" t="s">
        <v>30</v>
      </c>
      <c r="H8" s="8">
        <f>31772+13429</f>
        <v>45201</v>
      </c>
      <c r="I8" s="7">
        <v>3.6509999999999998</v>
      </c>
      <c r="J8" s="9">
        <v>6.44</v>
      </c>
      <c r="K8" s="7" t="s">
        <v>81</v>
      </c>
      <c r="L8" s="7" t="s">
        <v>82</v>
      </c>
      <c r="M8" s="7" t="s">
        <v>83</v>
      </c>
      <c r="N8" s="7" t="s">
        <v>84</v>
      </c>
      <c r="O8" s="7" t="s">
        <v>85</v>
      </c>
      <c r="P8" s="7" t="s">
        <v>86</v>
      </c>
      <c r="Q8" s="7" t="s">
        <v>87</v>
      </c>
      <c r="R8" s="7" t="s">
        <v>88</v>
      </c>
      <c r="S8" s="7"/>
      <c r="T8" s="7" t="s">
        <v>89</v>
      </c>
      <c r="U8" s="7" t="s">
        <v>90</v>
      </c>
      <c r="V8" s="7" t="s">
        <v>91</v>
      </c>
      <c r="W8" s="7" t="s">
        <v>92</v>
      </c>
      <c r="X8" s="11" t="s">
        <v>31</v>
      </c>
      <c r="Y8" s="12" t="s">
        <v>93</v>
      </c>
    </row>
    <row r="9" spans="2:25" s="1" customFormat="1" ht="25.5" x14ac:dyDescent="0.25">
      <c r="B9" s="6">
        <v>5</v>
      </c>
      <c r="C9" s="7" t="s">
        <v>26</v>
      </c>
      <c r="D9" s="7" t="s">
        <v>27</v>
      </c>
      <c r="E9" s="7" t="s">
        <v>28</v>
      </c>
      <c r="F9" s="7" t="s">
        <v>94</v>
      </c>
      <c r="G9" s="7" t="s">
        <v>95</v>
      </c>
      <c r="H9" s="8">
        <v>43882</v>
      </c>
      <c r="I9" s="7"/>
      <c r="J9" s="9">
        <v>0</v>
      </c>
      <c r="K9" s="7" t="s">
        <v>96</v>
      </c>
      <c r="L9" s="14" t="s">
        <v>97</v>
      </c>
      <c r="M9" s="7" t="s">
        <v>98</v>
      </c>
      <c r="N9" s="7" t="s">
        <v>35</v>
      </c>
      <c r="O9" s="7" t="s">
        <v>99</v>
      </c>
      <c r="P9" s="7" t="s">
        <v>100</v>
      </c>
      <c r="Q9" s="7" t="s">
        <v>101</v>
      </c>
      <c r="R9" s="7" t="s">
        <v>102</v>
      </c>
      <c r="S9" s="7" t="s">
        <v>40</v>
      </c>
      <c r="T9" s="7" t="s">
        <v>103</v>
      </c>
      <c r="U9" s="7" t="s">
        <v>104</v>
      </c>
      <c r="V9" s="7" t="s">
        <v>105</v>
      </c>
      <c r="W9" s="7" t="s">
        <v>31</v>
      </c>
      <c r="X9" s="11" t="s">
        <v>106</v>
      </c>
      <c r="Y9" s="12" t="s">
        <v>107</v>
      </c>
    </row>
    <row r="10" spans="2:25" s="1" customFormat="1" ht="38.25" x14ac:dyDescent="0.25">
      <c r="B10" s="6">
        <v>7</v>
      </c>
      <c r="C10" s="7" t="s">
        <v>108</v>
      </c>
      <c r="D10" s="7" t="s">
        <v>108</v>
      </c>
      <c r="E10" s="7" t="s">
        <v>109</v>
      </c>
      <c r="F10" s="7" t="s">
        <v>110</v>
      </c>
      <c r="G10" s="7" t="s">
        <v>111</v>
      </c>
      <c r="H10" s="8">
        <f>21083+52</f>
        <v>21135</v>
      </c>
      <c r="I10" s="7">
        <v>0</v>
      </c>
      <c r="J10" s="9">
        <v>1.21</v>
      </c>
      <c r="K10" s="7">
        <v>29</v>
      </c>
      <c r="L10" s="7">
        <v>4</v>
      </c>
      <c r="M10" s="7" t="s">
        <v>112</v>
      </c>
      <c r="N10" s="7" t="s">
        <v>113</v>
      </c>
      <c r="O10" s="7">
        <v>24</v>
      </c>
      <c r="P10" s="7" t="s">
        <v>114</v>
      </c>
      <c r="Q10" s="7" t="s">
        <v>115</v>
      </c>
      <c r="R10" s="7" t="s">
        <v>116</v>
      </c>
      <c r="S10" s="7" t="s">
        <v>117</v>
      </c>
      <c r="T10" s="7" t="s">
        <v>118</v>
      </c>
      <c r="U10" s="15" t="s">
        <v>119</v>
      </c>
      <c r="V10" s="7" t="s">
        <v>120</v>
      </c>
      <c r="W10" s="7" t="s">
        <v>121</v>
      </c>
      <c r="X10" s="11" t="s">
        <v>31</v>
      </c>
      <c r="Y10" s="12" t="s">
        <v>122</v>
      </c>
    </row>
    <row r="11" spans="2:25" s="1" customFormat="1" ht="38.25" x14ac:dyDescent="0.25">
      <c r="B11" s="6">
        <v>9</v>
      </c>
      <c r="C11" s="7" t="s">
        <v>123</v>
      </c>
      <c r="D11" s="7" t="s">
        <v>124</v>
      </c>
      <c r="E11" s="7" t="s">
        <v>79</v>
      </c>
      <c r="F11" s="7" t="s">
        <v>125</v>
      </c>
      <c r="G11" s="7" t="s">
        <v>30</v>
      </c>
      <c r="H11" s="8">
        <f>10126+4661</f>
        <v>14787</v>
      </c>
      <c r="I11" s="7">
        <v>1.68</v>
      </c>
      <c r="J11" s="9">
        <v>4.13</v>
      </c>
      <c r="K11" s="7">
        <v>21</v>
      </c>
      <c r="L11" s="7" t="s">
        <v>126</v>
      </c>
      <c r="M11" s="7" t="s">
        <v>127</v>
      </c>
      <c r="N11" s="7" t="s">
        <v>128</v>
      </c>
      <c r="O11" s="7" t="s">
        <v>129</v>
      </c>
      <c r="P11" s="7" t="s">
        <v>130</v>
      </c>
      <c r="Q11" s="7" t="s">
        <v>131</v>
      </c>
      <c r="R11" s="7" t="s">
        <v>132</v>
      </c>
      <c r="S11" s="7" t="s">
        <v>133</v>
      </c>
      <c r="T11" s="7" t="s">
        <v>55</v>
      </c>
      <c r="U11" s="7" t="s">
        <v>134</v>
      </c>
      <c r="V11" s="7"/>
      <c r="W11" s="7" t="s">
        <v>135</v>
      </c>
      <c r="X11" s="11" t="s">
        <v>136</v>
      </c>
      <c r="Y11" s="12" t="s">
        <v>137</v>
      </c>
    </row>
    <row r="12" spans="2:25" s="1" customFormat="1" ht="51" x14ac:dyDescent="0.25">
      <c r="B12" s="6">
        <v>10</v>
      </c>
      <c r="C12" s="7" t="s">
        <v>138</v>
      </c>
      <c r="D12" s="7" t="s">
        <v>139</v>
      </c>
      <c r="E12" s="7" t="s">
        <v>79</v>
      </c>
      <c r="F12" s="14" t="s">
        <v>140</v>
      </c>
      <c r="G12" s="7" t="s">
        <v>30</v>
      </c>
      <c r="H12" s="8">
        <f>10799+2063</f>
        <v>12862</v>
      </c>
      <c r="I12" s="7">
        <v>0</v>
      </c>
      <c r="J12" s="9">
        <v>1.48</v>
      </c>
      <c r="K12" s="7">
        <v>21</v>
      </c>
      <c r="L12" s="7">
        <v>39</v>
      </c>
      <c r="M12" s="7" t="s">
        <v>141</v>
      </c>
      <c r="N12" s="7" t="s">
        <v>142</v>
      </c>
      <c r="O12" s="7">
        <v>0.2</v>
      </c>
      <c r="P12" s="7" t="s">
        <v>143</v>
      </c>
      <c r="Q12" s="7" t="s">
        <v>144</v>
      </c>
      <c r="R12" s="16" t="s">
        <v>145</v>
      </c>
      <c r="S12" s="7" t="s">
        <v>146</v>
      </c>
      <c r="T12" s="7" t="s">
        <v>147</v>
      </c>
      <c r="U12" s="7" t="s">
        <v>148</v>
      </c>
      <c r="V12" s="7"/>
      <c r="W12" s="7" t="s">
        <v>149</v>
      </c>
      <c r="X12" s="11" t="s">
        <v>136</v>
      </c>
      <c r="Y12" s="12" t="s">
        <v>150</v>
      </c>
    </row>
    <row r="13" spans="2:25" s="1" customFormat="1" ht="38.25" x14ac:dyDescent="0.25">
      <c r="B13" s="17">
        <v>11</v>
      </c>
      <c r="C13" s="18" t="s">
        <v>151</v>
      </c>
      <c r="D13" s="18" t="s">
        <v>152</v>
      </c>
      <c r="E13" s="18" t="s">
        <v>79</v>
      </c>
      <c r="F13" s="18" t="s">
        <v>153</v>
      </c>
      <c r="G13" s="18" t="s">
        <v>154</v>
      </c>
      <c r="H13" s="19">
        <v>11114</v>
      </c>
      <c r="I13" s="18">
        <v>0</v>
      </c>
      <c r="J13" s="20">
        <v>0.9</v>
      </c>
      <c r="K13" s="18">
        <v>13</v>
      </c>
      <c r="L13" s="18" t="s">
        <v>155</v>
      </c>
      <c r="M13" s="18" t="s">
        <v>156</v>
      </c>
      <c r="N13" s="18" t="s">
        <v>157</v>
      </c>
      <c r="O13" s="18" t="s">
        <v>158</v>
      </c>
      <c r="P13" s="18" t="s">
        <v>159</v>
      </c>
      <c r="Q13" s="18" t="s">
        <v>160</v>
      </c>
      <c r="R13" s="18" t="s">
        <v>161</v>
      </c>
      <c r="S13" s="18" t="s">
        <v>162</v>
      </c>
      <c r="T13" s="18" t="s">
        <v>163</v>
      </c>
      <c r="U13" s="18" t="s">
        <v>31</v>
      </c>
      <c r="V13" s="18" t="s">
        <v>31</v>
      </c>
      <c r="W13" s="18" t="s">
        <v>31</v>
      </c>
      <c r="X13" s="21" t="s">
        <v>164</v>
      </c>
      <c r="Y13" s="22" t="s">
        <v>165</v>
      </c>
    </row>
    <row r="14" spans="2:25" s="1" customFormat="1" ht="25.5" x14ac:dyDescent="0.25">
      <c r="B14" s="23">
        <v>6</v>
      </c>
      <c r="C14" s="24" t="s">
        <v>166</v>
      </c>
      <c r="D14" s="24"/>
      <c r="E14" s="24" t="s">
        <v>28</v>
      </c>
      <c r="F14" s="24" t="s">
        <v>167</v>
      </c>
      <c r="G14" s="24" t="s">
        <v>168</v>
      </c>
      <c r="H14" s="25">
        <f>20741+20082</f>
        <v>40823</v>
      </c>
      <c r="I14" s="24">
        <v>0</v>
      </c>
      <c r="J14" s="24">
        <v>0</v>
      </c>
      <c r="K14" s="24" t="s">
        <v>169</v>
      </c>
      <c r="L14" s="24"/>
      <c r="M14" s="24" t="s">
        <v>170</v>
      </c>
      <c r="N14" s="24"/>
      <c r="O14" s="24"/>
      <c r="P14" s="24"/>
      <c r="Q14" s="24"/>
      <c r="R14" s="24"/>
      <c r="S14" s="24"/>
      <c r="T14" s="24"/>
      <c r="U14" s="24"/>
      <c r="V14" s="24"/>
      <c r="W14" s="24"/>
      <c r="X14" s="26"/>
      <c r="Y14" s="12" t="s">
        <v>31</v>
      </c>
    </row>
    <row r="15" spans="2:25" s="1" customFormat="1" x14ac:dyDescent="0.25">
      <c r="B15" s="23">
        <v>8</v>
      </c>
      <c r="C15" s="24" t="s">
        <v>171</v>
      </c>
      <c r="D15" s="24"/>
      <c r="E15" s="24" t="s">
        <v>79</v>
      </c>
      <c r="F15" s="24" t="s">
        <v>172</v>
      </c>
      <c r="G15" s="24" t="s">
        <v>173</v>
      </c>
      <c r="H15" s="25">
        <f>18735+4</f>
        <v>18739</v>
      </c>
      <c r="I15" s="24">
        <v>0</v>
      </c>
      <c r="J15" s="24">
        <v>4.4800000000000004</v>
      </c>
      <c r="K15" s="24">
        <v>16.600000000000001</v>
      </c>
      <c r="L15" s="24" t="s">
        <v>174</v>
      </c>
      <c r="M15" s="24" t="s">
        <v>175</v>
      </c>
      <c r="N15" s="24" t="s">
        <v>176</v>
      </c>
      <c r="O15" s="24" t="s">
        <v>177</v>
      </c>
      <c r="P15" s="24" t="s">
        <v>178</v>
      </c>
      <c r="Q15" s="24"/>
      <c r="R15" s="24"/>
      <c r="S15" s="24"/>
      <c r="T15" s="24" t="s">
        <v>55</v>
      </c>
      <c r="U15" s="24"/>
      <c r="V15" s="24"/>
      <c r="W15" s="24" t="s">
        <v>179</v>
      </c>
      <c r="X15" s="26" t="s">
        <v>31</v>
      </c>
      <c r="Y15" s="12" t="s">
        <v>180</v>
      </c>
    </row>
    <row r="16" spans="2:25" s="1" customFormat="1" ht="11.45" customHeight="1" x14ac:dyDescent="0.25">
      <c r="B16" s="27" t="s">
        <v>181</v>
      </c>
      <c r="C16" s="28"/>
      <c r="D16" s="28"/>
      <c r="E16" s="29"/>
      <c r="F16" s="28"/>
      <c r="G16" s="28"/>
      <c r="H16" s="28"/>
      <c r="I16" s="30"/>
      <c r="J16" s="30"/>
      <c r="K16" s="29" t="s">
        <v>182</v>
      </c>
      <c r="L16" s="29" t="s">
        <v>182</v>
      </c>
      <c r="M16" s="29" t="s">
        <v>183</v>
      </c>
      <c r="N16" s="29" t="s">
        <v>182</v>
      </c>
      <c r="O16" s="29" t="s">
        <v>184</v>
      </c>
      <c r="P16" s="29" t="s">
        <v>184</v>
      </c>
      <c r="Q16" s="29" t="s">
        <v>182</v>
      </c>
      <c r="R16" s="29" t="s">
        <v>182</v>
      </c>
      <c r="S16" s="29" t="s">
        <v>182</v>
      </c>
      <c r="T16" s="29" t="s">
        <v>185</v>
      </c>
      <c r="U16" s="29" t="s">
        <v>184</v>
      </c>
      <c r="V16" s="29" t="s">
        <v>186</v>
      </c>
      <c r="W16" s="29"/>
      <c r="X16" s="31"/>
      <c r="Y16" s="32"/>
    </row>
    <row r="17" spans="2:28" s="1" customFormat="1" ht="10.15" customHeight="1" x14ac:dyDescent="0.25">
      <c r="B17" s="33" t="s">
        <v>187</v>
      </c>
      <c r="E17" s="34"/>
      <c r="I17" s="35"/>
      <c r="J17" s="35"/>
      <c r="K17" s="34" t="s">
        <v>188</v>
      </c>
      <c r="L17" s="34" t="s">
        <v>189</v>
      </c>
      <c r="M17" s="34" t="s">
        <v>188</v>
      </c>
      <c r="N17" s="34" t="s">
        <v>188</v>
      </c>
      <c r="O17" s="34" t="s">
        <v>188</v>
      </c>
      <c r="P17" s="34" t="s">
        <v>190</v>
      </c>
      <c r="Q17" s="34" t="s">
        <v>188</v>
      </c>
      <c r="R17" s="34" t="s">
        <v>188</v>
      </c>
      <c r="S17" s="34" t="s">
        <v>188</v>
      </c>
      <c r="T17" s="34" t="s">
        <v>191</v>
      </c>
      <c r="U17" s="34" t="s">
        <v>188</v>
      </c>
      <c r="V17" s="34"/>
      <c r="W17" s="34" t="s">
        <v>192</v>
      </c>
      <c r="X17" s="36" t="s">
        <v>31</v>
      </c>
      <c r="Y17" s="32"/>
      <c r="AA17" s="35"/>
      <c r="AB17" s="35"/>
    </row>
    <row r="18" spans="2:28" s="1" customFormat="1" ht="10.15" customHeight="1" x14ac:dyDescent="0.25">
      <c r="B18" s="33" t="s">
        <v>193</v>
      </c>
      <c r="E18" s="34"/>
      <c r="I18" s="35"/>
      <c r="J18" s="35"/>
      <c r="K18" s="34" t="s">
        <v>194</v>
      </c>
      <c r="L18" s="34" t="s">
        <v>195</v>
      </c>
      <c r="M18" s="34" t="s">
        <v>194</v>
      </c>
      <c r="N18" s="34" t="s">
        <v>194</v>
      </c>
      <c r="O18" s="34" t="s">
        <v>196</v>
      </c>
      <c r="P18" s="34" t="s">
        <v>196</v>
      </c>
      <c r="Q18" s="34" t="s">
        <v>197</v>
      </c>
      <c r="R18" s="34" t="s">
        <v>197</v>
      </c>
      <c r="S18" s="34" t="s">
        <v>198</v>
      </c>
      <c r="T18" s="34" t="s">
        <v>199</v>
      </c>
      <c r="U18" s="34" t="s">
        <v>197</v>
      </c>
      <c r="V18" s="34" t="s">
        <v>197</v>
      </c>
      <c r="W18" s="34" t="s">
        <v>200</v>
      </c>
      <c r="X18" s="36" t="s">
        <v>201</v>
      </c>
      <c r="Y18" s="32"/>
      <c r="Z18" s="35"/>
      <c r="AA18" s="35"/>
      <c r="AB18" s="35"/>
    </row>
    <row r="19" spans="2:28" s="1" customFormat="1" ht="10.15" customHeight="1" x14ac:dyDescent="0.25">
      <c r="B19" s="33" t="s">
        <v>202</v>
      </c>
      <c r="E19" s="34"/>
      <c r="I19" s="35"/>
      <c r="J19" s="35"/>
      <c r="K19" s="34" t="s">
        <v>203</v>
      </c>
      <c r="L19" s="34" t="s">
        <v>203</v>
      </c>
      <c r="M19" s="34" t="s">
        <v>204</v>
      </c>
      <c r="N19" s="34" t="s">
        <v>203</v>
      </c>
      <c r="O19" s="34" t="s">
        <v>203</v>
      </c>
      <c r="P19" s="34" t="s">
        <v>203</v>
      </c>
      <c r="Q19" s="34" t="s">
        <v>205</v>
      </c>
      <c r="R19" s="34" t="s">
        <v>206</v>
      </c>
      <c r="S19" s="34"/>
      <c r="T19" s="34" t="s">
        <v>204</v>
      </c>
      <c r="U19" s="34" t="s">
        <v>207</v>
      </c>
      <c r="V19" s="34" t="s">
        <v>203</v>
      </c>
      <c r="W19" s="34" t="s">
        <v>208</v>
      </c>
      <c r="X19" s="36"/>
      <c r="Y19" s="32"/>
      <c r="Z19" s="35"/>
      <c r="AA19" s="35"/>
      <c r="AB19" s="35"/>
    </row>
    <row r="20" spans="2:28" s="1" customFormat="1" ht="10.15" customHeight="1" x14ac:dyDescent="0.25">
      <c r="B20" s="33" t="s">
        <v>209</v>
      </c>
      <c r="E20" s="34"/>
      <c r="I20" s="35"/>
      <c r="J20" s="35"/>
      <c r="K20" s="34" t="s">
        <v>210</v>
      </c>
      <c r="L20" s="34" t="s">
        <v>211</v>
      </c>
      <c r="M20" s="34" t="s">
        <v>211</v>
      </c>
      <c r="N20" s="34" t="s">
        <v>210</v>
      </c>
      <c r="O20" s="34" t="s">
        <v>210</v>
      </c>
      <c r="P20" s="34" t="s">
        <v>210</v>
      </c>
      <c r="Q20" s="34" t="s">
        <v>210</v>
      </c>
      <c r="R20" s="34" t="s">
        <v>212</v>
      </c>
      <c r="S20" s="34" t="s">
        <v>211</v>
      </c>
      <c r="T20" s="34" t="s">
        <v>213</v>
      </c>
      <c r="U20" s="34" t="s">
        <v>214</v>
      </c>
      <c r="V20" s="34" t="s">
        <v>215</v>
      </c>
      <c r="W20" s="34" t="s">
        <v>31</v>
      </c>
      <c r="X20" s="36" t="s">
        <v>215</v>
      </c>
      <c r="Y20" s="32"/>
      <c r="Z20" s="35"/>
      <c r="AA20" s="35"/>
      <c r="AB20" s="35"/>
    </row>
    <row r="21" spans="2:28" s="1" customFormat="1" ht="10.15" customHeight="1" x14ac:dyDescent="0.25">
      <c r="B21" s="33" t="s">
        <v>216</v>
      </c>
      <c r="E21" s="34" t="s">
        <v>217</v>
      </c>
      <c r="I21" s="35"/>
      <c r="J21" s="35"/>
      <c r="K21" s="34" t="s">
        <v>217</v>
      </c>
      <c r="L21" s="34" t="s">
        <v>217</v>
      </c>
      <c r="M21" s="34" t="s">
        <v>217</v>
      </c>
      <c r="N21" s="34" t="s">
        <v>218</v>
      </c>
      <c r="O21" s="34" t="s">
        <v>217</v>
      </c>
      <c r="P21" s="34" t="s">
        <v>217</v>
      </c>
      <c r="Q21" s="34" t="s">
        <v>217</v>
      </c>
      <c r="R21" s="34" t="s">
        <v>217</v>
      </c>
      <c r="S21" s="34" t="s">
        <v>217</v>
      </c>
      <c r="T21" s="34" t="s">
        <v>218</v>
      </c>
      <c r="U21" s="34" t="s">
        <v>219</v>
      </c>
      <c r="V21" s="34" t="s">
        <v>217</v>
      </c>
      <c r="W21" s="34" t="s">
        <v>220</v>
      </c>
      <c r="X21" s="36"/>
      <c r="Y21" s="32"/>
      <c r="Z21" s="35"/>
      <c r="AA21" s="35"/>
      <c r="AB21" s="35"/>
    </row>
    <row r="22" spans="2:28" s="1" customFormat="1" ht="10.15" customHeight="1" x14ac:dyDescent="0.25">
      <c r="B22" s="33" t="s">
        <v>221</v>
      </c>
      <c r="E22" s="34"/>
      <c r="I22" s="35"/>
      <c r="J22" s="35"/>
      <c r="K22" s="34">
        <v>7</v>
      </c>
      <c r="L22" s="34"/>
      <c r="M22" s="34" t="s">
        <v>222</v>
      </c>
      <c r="N22" s="34"/>
      <c r="O22" s="34"/>
      <c r="P22" s="34"/>
      <c r="Q22" s="34"/>
      <c r="R22" s="34"/>
      <c r="S22" s="34"/>
      <c r="T22" s="34"/>
      <c r="U22" s="34"/>
      <c r="V22" s="34"/>
      <c r="W22" s="34"/>
      <c r="X22" s="36"/>
      <c r="Y22" s="32"/>
      <c r="Z22" s="35"/>
      <c r="AA22" s="35"/>
      <c r="AB22" s="35"/>
    </row>
    <row r="23" spans="2:28" s="1" customFormat="1" ht="10.15" customHeight="1" x14ac:dyDescent="0.25">
      <c r="B23" s="33"/>
      <c r="E23" s="34"/>
      <c r="I23" s="35"/>
      <c r="J23" s="35"/>
      <c r="K23" s="34" t="s">
        <v>223</v>
      </c>
      <c r="L23" s="34" t="s">
        <v>224</v>
      </c>
      <c r="M23" s="34" t="s">
        <v>225</v>
      </c>
      <c r="N23" s="34" t="s">
        <v>226</v>
      </c>
      <c r="O23" s="34" t="s">
        <v>226</v>
      </c>
      <c r="P23" s="34" t="s">
        <v>226</v>
      </c>
      <c r="Q23" s="34"/>
      <c r="R23" s="34"/>
      <c r="S23" s="34"/>
      <c r="T23" s="34" t="s">
        <v>225</v>
      </c>
      <c r="U23" s="34"/>
      <c r="V23" s="34" t="s">
        <v>225</v>
      </c>
      <c r="W23" s="34" t="s">
        <v>224</v>
      </c>
      <c r="X23" s="36"/>
      <c r="Y23" s="32"/>
      <c r="Z23" s="35"/>
      <c r="AA23" s="35"/>
      <c r="AB23" s="35"/>
    </row>
    <row r="24" spans="2:28" s="1" customFormat="1" ht="10.15" customHeight="1" x14ac:dyDescent="0.25">
      <c r="B24" s="33" t="s">
        <v>227</v>
      </c>
      <c r="E24" s="34"/>
      <c r="I24" s="35"/>
      <c r="J24" s="35"/>
      <c r="K24" s="34" t="s">
        <v>228</v>
      </c>
      <c r="L24" s="34" t="s">
        <v>228</v>
      </c>
      <c r="M24" s="34" t="s">
        <v>229</v>
      </c>
      <c r="N24" s="34" t="s">
        <v>229</v>
      </c>
      <c r="O24" s="34" t="s">
        <v>228</v>
      </c>
      <c r="P24" s="34" t="s">
        <v>228</v>
      </c>
      <c r="Q24" s="34" t="s">
        <v>230</v>
      </c>
      <c r="R24" s="34" t="s">
        <v>231</v>
      </c>
      <c r="S24" s="34" t="s">
        <v>232</v>
      </c>
      <c r="T24" s="34" t="s">
        <v>231</v>
      </c>
      <c r="U24" s="34"/>
      <c r="V24" s="34"/>
      <c r="W24" s="34" t="s">
        <v>232</v>
      </c>
      <c r="X24" s="36" t="s">
        <v>233</v>
      </c>
      <c r="Y24" s="32"/>
      <c r="Z24" s="35"/>
      <c r="AA24" s="35"/>
      <c r="AB24" s="35"/>
    </row>
    <row r="25" spans="2:28" s="1" customFormat="1" ht="10.15" customHeight="1" x14ac:dyDescent="0.25">
      <c r="B25" s="33"/>
      <c r="E25" s="34"/>
      <c r="I25" s="35"/>
      <c r="J25" s="35"/>
      <c r="K25" s="34" t="s">
        <v>234</v>
      </c>
      <c r="L25" s="34" t="s">
        <v>234</v>
      </c>
      <c r="M25" s="37" t="s">
        <v>234</v>
      </c>
      <c r="N25" s="34" t="s">
        <v>235</v>
      </c>
      <c r="O25" s="34" t="s">
        <v>236</v>
      </c>
      <c r="P25" s="34" t="s">
        <v>234</v>
      </c>
      <c r="Q25" s="34" t="s">
        <v>237</v>
      </c>
      <c r="R25" s="34" t="s">
        <v>238</v>
      </c>
      <c r="S25" s="34" t="s">
        <v>235</v>
      </c>
      <c r="T25" s="34" t="s">
        <v>238</v>
      </c>
      <c r="U25" s="34" t="s">
        <v>239</v>
      </c>
      <c r="V25" s="34"/>
      <c r="W25" s="34" t="s">
        <v>240</v>
      </c>
      <c r="X25" s="36" t="s">
        <v>234</v>
      </c>
      <c r="Y25" s="32"/>
      <c r="Z25" s="35"/>
      <c r="AA25" s="35"/>
      <c r="AB25" s="35"/>
    </row>
    <row r="26" spans="2:28" s="1" customFormat="1" ht="10.15" customHeight="1" x14ac:dyDescent="0.25">
      <c r="B26" s="33"/>
      <c r="E26" s="37"/>
      <c r="I26" s="35"/>
      <c r="J26" s="35"/>
      <c r="K26" s="37" t="s">
        <v>241</v>
      </c>
      <c r="L26" s="37" t="s">
        <v>241</v>
      </c>
      <c r="M26" s="37" t="s">
        <v>241</v>
      </c>
      <c r="N26" s="37"/>
      <c r="O26" s="37" t="s">
        <v>241</v>
      </c>
      <c r="P26" s="37" t="s">
        <v>241</v>
      </c>
      <c r="Q26" s="37" t="s">
        <v>241</v>
      </c>
      <c r="R26" s="37" t="s">
        <v>241</v>
      </c>
      <c r="S26" s="37" t="s">
        <v>242</v>
      </c>
      <c r="T26" s="37" t="s">
        <v>243</v>
      </c>
      <c r="U26" s="37"/>
      <c r="V26" s="37"/>
      <c r="W26" s="37"/>
      <c r="X26" s="38" t="s">
        <v>241</v>
      </c>
      <c r="Y26" s="35"/>
      <c r="Z26" s="35"/>
      <c r="AA26" s="35"/>
      <c r="AB26" s="35"/>
    </row>
    <row r="27" spans="2:28" s="1" customFormat="1" ht="10.15" customHeight="1" x14ac:dyDescent="0.25">
      <c r="B27" s="39"/>
      <c r="C27" s="40"/>
      <c r="D27" s="40"/>
      <c r="E27" s="41"/>
      <c r="F27" s="40"/>
      <c r="G27" s="40"/>
      <c r="H27" s="40"/>
      <c r="I27" s="41"/>
      <c r="J27" s="41"/>
      <c r="K27" s="41"/>
      <c r="L27" s="41"/>
      <c r="M27" s="41"/>
      <c r="N27" s="41"/>
      <c r="O27" s="41"/>
      <c r="P27" s="41"/>
      <c r="Q27" s="41"/>
      <c r="R27" s="41"/>
      <c r="S27" s="41"/>
      <c r="T27" s="41"/>
      <c r="U27" s="41"/>
      <c r="V27" s="41"/>
      <c r="W27" s="41"/>
      <c r="X27" s="42"/>
      <c r="Y27" s="35"/>
      <c r="Z27" s="35"/>
      <c r="AA27" s="35"/>
      <c r="AB27" s="35"/>
    </row>
    <row r="28" spans="2:28" s="1" customFormat="1" ht="17.45" customHeight="1" x14ac:dyDescent="0.25">
      <c r="B28" s="43" t="s">
        <v>244</v>
      </c>
      <c r="C28" s="44"/>
      <c r="D28" s="260"/>
      <c r="E28" s="260"/>
      <c r="F28" s="45"/>
      <c r="G28" s="44"/>
      <c r="H28" s="46"/>
      <c r="I28" s="47"/>
      <c r="J28" s="258" t="s">
        <v>22</v>
      </c>
      <c r="K28" s="258"/>
      <c r="L28" s="258"/>
      <c r="M28" s="259"/>
      <c r="N28" s="48"/>
      <c r="O28" s="49"/>
      <c r="P28" s="49"/>
      <c r="Q28" s="49"/>
      <c r="R28" s="49"/>
      <c r="S28" s="49"/>
      <c r="T28" s="49"/>
      <c r="U28" s="49"/>
      <c r="V28" s="49"/>
      <c r="W28" s="49"/>
      <c r="X28" s="35"/>
      <c r="Y28" s="35"/>
      <c r="Z28" s="35"/>
      <c r="AA28" s="35"/>
      <c r="AB28" s="35"/>
    </row>
    <row r="29" spans="2:28" s="1" customFormat="1" x14ac:dyDescent="0.25">
      <c r="B29" s="50" t="s">
        <v>245</v>
      </c>
      <c r="C29" s="51">
        <f>+SUM(H5:H10)+H11+H12+H13</f>
        <v>449881</v>
      </c>
      <c r="D29" s="52" t="s">
        <v>246</v>
      </c>
      <c r="E29" s="53"/>
      <c r="F29" s="54"/>
      <c r="G29" s="55"/>
      <c r="H29" s="56">
        <v>0.51997882548477736</v>
      </c>
      <c r="I29" s="50" t="s">
        <v>247</v>
      </c>
      <c r="J29" s="57"/>
      <c r="K29" s="58">
        <v>22.16</v>
      </c>
      <c r="L29" s="50" t="s">
        <v>246</v>
      </c>
      <c r="M29" s="59">
        <v>9.4572333324797926E-3</v>
      </c>
      <c r="N29" s="60"/>
      <c r="O29" s="60"/>
      <c r="P29" s="60"/>
      <c r="Q29" s="61"/>
      <c r="R29" s="60"/>
      <c r="S29" s="60"/>
      <c r="U29" s="61"/>
      <c r="V29" s="61"/>
      <c r="W29" s="61"/>
    </row>
    <row r="30" spans="2:28" s="1" customFormat="1" x14ac:dyDescent="0.25">
      <c r="B30" s="62" t="s">
        <v>245</v>
      </c>
      <c r="C30" s="63">
        <f>+H5+H6+H7+H8+H11+H12</f>
        <v>373750</v>
      </c>
      <c r="D30" s="261" t="s">
        <v>248</v>
      </c>
      <c r="E30" s="262"/>
      <c r="F30" s="262"/>
      <c r="G30" s="64"/>
      <c r="H30" s="65">
        <v>0.79619700097354384</v>
      </c>
      <c r="I30" s="62" t="s">
        <v>249</v>
      </c>
      <c r="J30" s="66"/>
      <c r="K30" s="67">
        <v>9.48</v>
      </c>
      <c r="L30" s="62" t="s">
        <v>248</v>
      </c>
      <c r="M30" s="68">
        <v>7.8921078921078917E-3</v>
      </c>
      <c r="N30" s="60"/>
      <c r="O30" s="60"/>
      <c r="P30" s="60"/>
      <c r="Q30" s="61"/>
      <c r="U30" s="61"/>
      <c r="V30" s="61"/>
      <c r="W30" s="61"/>
    </row>
    <row r="31" spans="2:28" x14ac:dyDescent="0.25">
      <c r="B31" s="1" t="s">
        <v>250</v>
      </c>
    </row>
  </sheetData>
  <mergeCells count="3">
    <mergeCell ref="D28:E28"/>
    <mergeCell ref="J28:M28"/>
    <mergeCell ref="D30:F30"/>
  </mergeCells>
  <conditionalFormatting sqref="K5:Y15 E5:E15">
    <cfRule type="containsBlanks" dxfId="44" priority="1">
      <formula>LEN(TRIM(E5))=0</formula>
    </cfRule>
  </conditionalFormatting>
  <hyperlinks>
    <hyperlink ref="R12" r:id="rId1" display="FR@ Primary= 13% (CASA 7)" xr:uid="{CB0B97B2-A9D8-438B-A37E-7926A239D6C3}"/>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A4CFF-27EF-43F9-B3E0-BD13E3172136}">
  <dimension ref="B1:X219"/>
  <sheetViews>
    <sheetView topLeftCell="F1" zoomScaleNormal="100" workbookViewId="0">
      <selection activeCell="M19" sqref="M19"/>
    </sheetView>
  </sheetViews>
  <sheetFormatPr baseColWidth="10" defaultColWidth="11.42578125" defaultRowHeight="15" x14ac:dyDescent="0.25"/>
  <cols>
    <col min="3" max="3" width="23.85546875" customWidth="1"/>
    <col min="4" max="4" width="17" customWidth="1"/>
    <col min="5" max="5" width="24.5703125" customWidth="1"/>
    <col min="6" max="6" width="27.28515625" customWidth="1"/>
    <col min="7" max="7" width="30.5703125" customWidth="1"/>
    <col min="8" max="8" width="10.28515625" customWidth="1"/>
    <col min="9" max="9" width="14.5703125" customWidth="1"/>
    <col min="10" max="10" width="10.7109375" customWidth="1"/>
    <col min="11" max="11" width="22.85546875" customWidth="1"/>
    <col min="12" max="12" width="23.42578125" customWidth="1"/>
    <col min="13" max="13" width="18.5703125" customWidth="1"/>
    <col min="14" max="14" width="18.7109375" customWidth="1"/>
    <col min="15" max="15" width="17.28515625" customWidth="1"/>
    <col min="16" max="16" width="22.140625" customWidth="1"/>
    <col min="17" max="17" width="25.7109375" customWidth="1"/>
    <col min="18" max="18" width="21.140625" customWidth="1"/>
    <col min="19" max="19" width="28.7109375" customWidth="1"/>
    <col min="20" max="20" width="23.42578125" customWidth="1"/>
    <col min="23" max="23" width="15.5703125" customWidth="1"/>
    <col min="24" max="24" width="14.7109375" customWidth="1"/>
    <col min="25" max="25" width="40" customWidth="1"/>
    <col min="26" max="26" width="47.85546875" customWidth="1"/>
  </cols>
  <sheetData>
    <row r="1" spans="2:24" s="1" customFormat="1" x14ac:dyDescent="0.25">
      <c r="E1" s="82" t="s">
        <v>366</v>
      </c>
      <c r="F1" s="83" t="s">
        <v>367</v>
      </c>
      <c r="G1" s="83" t="s">
        <v>368</v>
      </c>
      <c r="H1" s="83"/>
      <c r="I1" s="83"/>
      <c r="J1" s="83"/>
      <c r="P1" s="84"/>
      <c r="Q1" s="85"/>
      <c r="R1" s="84"/>
      <c r="S1" s="85"/>
    </row>
    <row r="2" spans="2:24" s="1" customFormat="1" x14ac:dyDescent="0.25">
      <c r="T2" s="86"/>
      <c r="V2" s="86"/>
      <c r="W2" s="86"/>
      <c r="X2" s="86"/>
    </row>
    <row r="3" spans="2:24" s="1" customFormat="1" ht="45" x14ac:dyDescent="0.25">
      <c r="H3" s="87" t="s">
        <v>244</v>
      </c>
      <c r="I3" s="87" t="s">
        <v>369</v>
      </c>
      <c r="J3" s="87" t="s">
        <v>22</v>
      </c>
      <c r="K3" s="75" t="s">
        <v>370</v>
      </c>
      <c r="L3" s="75" t="s">
        <v>371</v>
      </c>
      <c r="M3" s="5" t="s">
        <v>372</v>
      </c>
      <c r="N3" s="5" t="s">
        <v>11</v>
      </c>
      <c r="O3" s="5" t="s">
        <v>348</v>
      </c>
      <c r="P3" s="5" t="s">
        <v>349</v>
      </c>
      <c r="Q3" s="77" t="s">
        <v>350</v>
      </c>
      <c r="R3" s="77" t="s">
        <v>351</v>
      </c>
      <c r="S3" s="5" t="s">
        <v>373</v>
      </c>
      <c r="T3" s="5" t="s">
        <v>374</v>
      </c>
      <c r="U3" s="268"/>
      <c r="V3" s="268"/>
      <c r="W3" s="268"/>
      <c r="X3" s="86"/>
    </row>
    <row r="4" spans="2:24" s="1" customFormat="1" x14ac:dyDescent="0.25">
      <c r="C4" s="75" t="s">
        <v>341</v>
      </c>
      <c r="D4" s="75" t="s">
        <v>7</v>
      </c>
      <c r="E4" s="75" t="s">
        <v>4</v>
      </c>
      <c r="F4" s="75" t="s">
        <v>5</v>
      </c>
      <c r="G4" s="75" t="s">
        <v>6</v>
      </c>
      <c r="H4" s="87" t="s">
        <v>375</v>
      </c>
      <c r="I4" s="87" t="s">
        <v>376</v>
      </c>
      <c r="J4" s="87" t="s">
        <v>376</v>
      </c>
      <c r="K4" s="88">
        <v>4000</v>
      </c>
      <c r="L4" s="89">
        <f>+SUM(J5:J19)/100</f>
        <v>19.416439999999998</v>
      </c>
      <c r="P4" s="77"/>
      <c r="Q4" s="78"/>
      <c r="R4" s="78"/>
      <c r="S4" s="77">
        <v>6.2</v>
      </c>
      <c r="T4" s="77">
        <v>9.8000000000000007</v>
      </c>
      <c r="U4" s="90"/>
      <c r="V4" s="90"/>
      <c r="W4" s="90"/>
      <c r="X4" s="90"/>
    </row>
    <row r="5" spans="2:24" s="1" customFormat="1" x14ac:dyDescent="0.25">
      <c r="B5" s="91"/>
      <c r="C5" s="76" t="e" vm="1">
        <v>#VALUE!</v>
      </c>
      <c r="D5" s="18" t="s">
        <v>30</v>
      </c>
      <c r="E5" s="18" t="s">
        <v>27</v>
      </c>
      <c r="F5" s="18" t="s">
        <v>28</v>
      </c>
      <c r="G5" s="18" t="s">
        <v>29</v>
      </c>
      <c r="H5" s="92">
        <v>119468</v>
      </c>
      <c r="I5" s="92">
        <v>0</v>
      </c>
      <c r="J5" s="92">
        <v>0</v>
      </c>
      <c r="K5" s="81" t="str" cm="1">
        <f t="array" ref="K5:K13">IF(H5:H13&gt;K4,"Sí","No")</f>
        <v>Sí</v>
      </c>
      <c r="L5" s="81" t="str" cm="1">
        <f t="array" ref="L5:L13">+IF(J5:J13&gt;L4,"Sí","No")</f>
        <v>No</v>
      </c>
      <c r="M5" s="79" t="str">
        <f>+IF(AND(K5="Sí",L5="Sí"),"Oil and Gas",IF(K5="Sí","Oil",IF(L5="Sí","Gas")))</f>
        <v>Oil</v>
      </c>
      <c r="N5" s="79">
        <f>11.3+(14.4-11.3)/2</f>
        <v>12.850000000000001</v>
      </c>
      <c r="O5" s="79" t="str">
        <f t="shared" ref="O5:O18" si="0">+IF(M5="Gas","Doesn't Apply",IF(N5&lt;$M$30,$K$30,IF(N5&lt;$M$31,$K$31,IF(N5&lt;$M$32,$K$32,IF(N5&gt;$L$33,$K$33,"Doesn't Apply")))))</f>
        <v>Heavy Oil</v>
      </c>
      <c r="P5" s="79" t="s">
        <v>41</v>
      </c>
      <c r="Q5" s="80" t="s">
        <v>31</v>
      </c>
      <c r="R5" s="80" t="s">
        <v>31</v>
      </c>
      <c r="S5" s="93">
        <f t="shared" ref="S5:S19" si="1">+(H5*365*$S$4)/1000000</f>
        <v>270.35608400000001</v>
      </c>
      <c r="T5" s="93">
        <f t="shared" ref="T5:T19" si="2">+I5*$T$4*365/1000</f>
        <v>0</v>
      </c>
      <c r="U5" s="86"/>
      <c r="V5" s="86"/>
      <c r="W5" s="86"/>
      <c r="X5" s="86"/>
    </row>
    <row r="6" spans="2:24" s="1" customFormat="1" x14ac:dyDescent="0.25">
      <c r="B6" s="91"/>
      <c r="C6" s="76" t="e" vm="1">
        <v>#VALUE!</v>
      </c>
      <c r="D6" s="18" t="s">
        <v>30</v>
      </c>
      <c r="E6" s="18" t="s">
        <v>45</v>
      </c>
      <c r="F6" s="18" t="s">
        <v>28</v>
      </c>
      <c r="G6" s="18" t="s">
        <v>46</v>
      </c>
      <c r="H6" s="92">
        <v>113812</v>
      </c>
      <c r="I6" s="92">
        <v>0</v>
      </c>
      <c r="J6" s="92">
        <v>0</v>
      </c>
      <c r="K6" s="81" t="str">
        <v>Sí</v>
      </c>
      <c r="L6" s="81" t="str">
        <v>No</v>
      </c>
      <c r="M6" s="79" t="str">
        <f t="shared" ref="M6:M19" si="3">+IF(AND(K6="Sí",L6="Sí"),"Oil and Gas",IF(K6="Sí","Oil",IF(L6="Sí","Gas")))</f>
        <v>Oil</v>
      </c>
      <c r="N6" s="79">
        <v>13.7</v>
      </c>
      <c r="O6" s="79" t="str">
        <f t="shared" si="0"/>
        <v>Heavy Oil</v>
      </c>
      <c r="P6" s="79" t="s">
        <v>55</v>
      </c>
      <c r="Q6" s="80" t="s">
        <v>352</v>
      </c>
      <c r="R6" s="80" t="s">
        <v>353</v>
      </c>
      <c r="S6" s="93">
        <f t="shared" si="1"/>
        <v>257.556556</v>
      </c>
      <c r="T6" s="93">
        <f t="shared" si="2"/>
        <v>0</v>
      </c>
      <c r="U6" s="86"/>
      <c r="V6" s="86"/>
      <c r="W6" s="86"/>
      <c r="X6" s="86"/>
    </row>
    <row r="7" spans="2:24" s="1" customFormat="1" x14ac:dyDescent="0.25">
      <c r="B7" s="91"/>
      <c r="C7" s="76" t="e" vm="1">
        <v>#VALUE!</v>
      </c>
      <c r="D7" s="18" t="s">
        <v>30</v>
      </c>
      <c r="E7" s="18" t="s">
        <v>60</v>
      </c>
      <c r="F7" s="18" t="s">
        <v>28</v>
      </c>
      <c r="G7" s="18" t="s">
        <v>61</v>
      </c>
      <c r="H7" s="92">
        <v>67620</v>
      </c>
      <c r="I7" s="92">
        <v>0</v>
      </c>
      <c r="J7" s="92">
        <v>8</v>
      </c>
      <c r="K7" s="81" t="str">
        <v>Sí</v>
      </c>
      <c r="L7" s="81" t="str">
        <v>No</v>
      </c>
      <c r="M7" s="79" t="str">
        <f t="shared" si="3"/>
        <v>Oil</v>
      </c>
      <c r="N7" s="79">
        <f>7+(20-7)/2</f>
        <v>13.5</v>
      </c>
      <c r="O7" s="79" t="str">
        <f t="shared" si="0"/>
        <v>Heavy Oil</v>
      </c>
      <c r="P7" s="79" t="s">
        <v>55</v>
      </c>
      <c r="Q7" s="80" t="s">
        <v>352</v>
      </c>
      <c r="R7" s="80" t="s">
        <v>354</v>
      </c>
      <c r="S7" s="93">
        <f t="shared" si="1"/>
        <v>153.02405999999999</v>
      </c>
      <c r="T7" s="93">
        <f t="shared" si="2"/>
        <v>0</v>
      </c>
      <c r="U7" s="86"/>
      <c r="V7" s="86"/>
      <c r="W7" s="86"/>
      <c r="X7" s="86"/>
    </row>
    <row r="8" spans="2:24" s="1" customFormat="1" x14ac:dyDescent="0.25">
      <c r="B8" s="91"/>
      <c r="C8" s="76" t="e" vm="1">
        <v>#VALUE!</v>
      </c>
      <c r="D8" s="18" t="s">
        <v>95</v>
      </c>
      <c r="E8" s="18" t="s">
        <v>27</v>
      </c>
      <c r="F8" s="18" t="s">
        <v>28</v>
      </c>
      <c r="G8" s="18" t="s">
        <v>94</v>
      </c>
      <c r="H8" s="92">
        <v>43882</v>
      </c>
      <c r="I8" s="92">
        <v>0</v>
      </c>
      <c r="J8" s="92">
        <v>0</v>
      </c>
      <c r="K8" s="81" t="str">
        <v>Sí</v>
      </c>
      <c r="L8" s="81" t="str">
        <v>No</v>
      </c>
      <c r="M8" s="79" t="str">
        <f t="shared" si="3"/>
        <v>Oil</v>
      </c>
      <c r="N8" s="79">
        <f>13+(14-13)/2</f>
        <v>13.5</v>
      </c>
      <c r="O8" s="79" t="str">
        <f t="shared" si="0"/>
        <v>Heavy Oil</v>
      </c>
      <c r="P8" s="79" t="s">
        <v>355</v>
      </c>
      <c r="Q8" s="80" t="s">
        <v>31</v>
      </c>
      <c r="R8" s="80" t="s">
        <v>356</v>
      </c>
      <c r="S8" s="93">
        <f>+(H8*365*$S$4)/1000000</f>
        <v>99.304965999999993</v>
      </c>
      <c r="T8" s="93">
        <f>+I8*$T$4*365/1000</f>
        <v>0</v>
      </c>
      <c r="U8" s="86"/>
      <c r="V8" s="86"/>
      <c r="W8" s="86"/>
      <c r="X8" s="86"/>
    </row>
    <row r="9" spans="2:24" s="1" customFormat="1" x14ac:dyDescent="0.25">
      <c r="B9" s="91"/>
      <c r="C9" s="76" t="e" vm="2">
        <v>#VALUE!</v>
      </c>
      <c r="D9" s="18" t="s">
        <v>30</v>
      </c>
      <c r="E9" s="18" t="s">
        <v>78</v>
      </c>
      <c r="F9" s="18" t="s">
        <v>79</v>
      </c>
      <c r="G9" s="18" t="s">
        <v>80</v>
      </c>
      <c r="H9" s="92">
        <v>45201</v>
      </c>
      <c r="I9" s="92">
        <v>3.6509999999999998</v>
      </c>
      <c r="J9" s="92">
        <v>6.44</v>
      </c>
      <c r="K9" s="81" t="str">
        <v>Sí</v>
      </c>
      <c r="L9" s="81" t="str">
        <v>No</v>
      </c>
      <c r="M9" s="79" t="str">
        <f t="shared" si="3"/>
        <v>Oil</v>
      </c>
      <c r="N9" s="79">
        <f>20+(25-20)/2</f>
        <v>22.5</v>
      </c>
      <c r="O9" s="79" t="str">
        <f t="shared" si="0"/>
        <v>Medium Oil</v>
      </c>
      <c r="P9" s="79" t="s">
        <v>357</v>
      </c>
      <c r="Q9" s="80" t="s">
        <v>358</v>
      </c>
      <c r="R9" s="80" t="s">
        <v>31</v>
      </c>
      <c r="S9" s="93">
        <f t="shared" si="1"/>
        <v>102.289863</v>
      </c>
      <c r="T9" s="93">
        <f t="shared" si="2"/>
        <v>13.059627000000001</v>
      </c>
      <c r="U9" s="86"/>
      <c r="V9" s="86"/>
      <c r="W9" s="86"/>
      <c r="X9" s="86"/>
    </row>
    <row r="10" spans="2:24" s="1" customFormat="1" x14ac:dyDescent="0.25">
      <c r="B10" s="91"/>
      <c r="C10" s="76" t="e" vm="3">
        <v>#VALUE!</v>
      </c>
      <c r="D10" s="18" t="s">
        <v>111</v>
      </c>
      <c r="E10" s="18" t="s">
        <v>108</v>
      </c>
      <c r="F10" s="18" t="s">
        <v>28</v>
      </c>
      <c r="G10" s="18" t="s">
        <v>110</v>
      </c>
      <c r="H10" s="92">
        <v>21135</v>
      </c>
      <c r="I10" s="92">
        <v>0</v>
      </c>
      <c r="J10" s="92">
        <v>1.21</v>
      </c>
      <c r="K10" s="81" t="str">
        <v>Sí</v>
      </c>
      <c r="L10" s="81" t="str">
        <v>No</v>
      </c>
      <c r="M10" s="79" t="str">
        <f t="shared" si="3"/>
        <v>Oil</v>
      </c>
      <c r="N10" s="79">
        <v>29</v>
      </c>
      <c r="O10" s="79" t="str">
        <f t="shared" si="0"/>
        <v>Medium Oil</v>
      </c>
      <c r="P10" s="79" t="s">
        <v>55</v>
      </c>
      <c r="Q10" s="80" t="s">
        <v>352</v>
      </c>
      <c r="R10" s="80" t="s">
        <v>31</v>
      </c>
      <c r="S10" s="93">
        <f t="shared" si="1"/>
        <v>47.828505</v>
      </c>
      <c r="T10" s="93">
        <f t="shared" si="2"/>
        <v>0</v>
      </c>
      <c r="U10" s="86"/>
      <c r="V10" s="86"/>
      <c r="W10" s="86"/>
      <c r="X10" s="86"/>
    </row>
    <row r="11" spans="2:24" s="1" customFormat="1" x14ac:dyDescent="0.25">
      <c r="B11" s="91"/>
      <c r="C11" s="76" t="e" vm="4">
        <v>#VALUE!</v>
      </c>
      <c r="D11" s="18" t="s">
        <v>30</v>
      </c>
      <c r="E11" s="18" t="s">
        <v>124</v>
      </c>
      <c r="F11" s="18" t="s">
        <v>79</v>
      </c>
      <c r="G11" s="18" t="s">
        <v>125</v>
      </c>
      <c r="H11" s="92">
        <v>14787</v>
      </c>
      <c r="I11" s="92">
        <v>1.68</v>
      </c>
      <c r="J11" s="92">
        <v>4.13</v>
      </c>
      <c r="K11" s="81" t="str">
        <v>Sí</v>
      </c>
      <c r="L11" s="81" t="str">
        <v>No</v>
      </c>
      <c r="M11" s="79" t="str">
        <f t="shared" si="3"/>
        <v>Oil</v>
      </c>
      <c r="N11" s="79">
        <v>21</v>
      </c>
      <c r="O11" s="79" t="str">
        <f t="shared" si="0"/>
        <v>Heavy Oil</v>
      </c>
      <c r="P11" s="79" t="s">
        <v>55</v>
      </c>
      <c r="Q11" s="80" t="s">
        <v>352</v>
      </c>
      <c r="R11" s="80" t="s">
        <v>359</v>
      </c>
      <c r="S11" s="93">
        <f t="shared" si="1"/>
        <v>33.462980999999999</v>
      </c>
      <c r="T11" s="93">
        <f t="shared" si="2"/>
        <v>6.0093600000000009</v>
      </c>
    </row>
    <row r="12" spans="2:24" s="1" customFormat="1" x14ac:dyDescent="0.25">
      <c r="B12" s="91"/>
      <c r="C12" s="76" t="e" vm="5">
        <v>#VALUE!</v>
      </c>
      <c r="D12" s="18" t="s">
        <v>30</v>
      </c>
      <c r="E12" s="18" t="s">
        <v>139</v>
      </c>
      <c r="F12" s="18" t="s">
        <v>79</v>
      </c>
      <c r="G12" s="18" t="s">
        <v>140</v>
      </c>
      <c r="H12" s="92">
        <v>12862</v>
      </c>
      <c r="I12" s="92">
        <v>0</v>
      </c>
      <c r="J12" s="92">
        <v>1.48</v>
      </c>
      <c r="K12" s="81" t="str">
        <v>Sí</v>
      </c>
      <c r="L12" s="81" t="str">
        <v>No</v>
      </c>
      <c r="M12" s="79" t="str">
        <f t="shared" si="3"/>
        <v>Oil</v>
      </c>
      <c r="N12" s="79">
        <v>21</v>
      </c>
      <c r="O12" s="79" t="str">
        <f t="shared" si="0"/>
        <v>Heavy Oil</v>
      </c>
      <c r="P12" s="79" t="s">
        <v>360</v>
      </c>
      <c r="Q12" s="80" t="s">
        <v>352</v>
      </c>
      <c r="R12" s="80" t="s">
        <v>359</v>
      </c>
      <c r="S12" s="93">
        <f t="shared" si="1"/>
        <v>29.106705999999999</v>
      </c>
      <c r="T12" s="93">
        <f t="shared" si="2"/>
        <v>0</v>
      </c>
    </row>
    <row r="13" spans="2:24" s="1" customFormat="1" x14ac:dyDescent="0.25">
      <c r="B13" s="91"/>
      <c r="C13" s="76" t="e" vm="6">
        <v>#VALUE!</v>
      </c>
      <c r="D13" s="18" t="s">
        <v>154</v>
      </c>
      <c r="E13" s="18" t="s">
        <v>152</v>
      </c>
      <c r="F13" s="18" t="s">
        <v>79</v>
      </c>
      <c r="G13" s="18" t="s">
        <v>153</v>
      </c>
      <c r="H13" s="92">
        <v>11114</v>
      </c>
      <c r="I13" s="92">
        <v>0</v>
      </c>
      <c r="J13" s="92">
        <v>0.9</v>
      </c>
      <c r="K13" s="81" t="str">
        <v>Sí</v>
      </c>
      <c r="L13" s="81" t="str">
        <v>No</v>
      </c>
      <c r="M13" s="79" t="str">
        <f t="shared" si="3"/>
        <v>Oil</v>
      </c>
      <c r="N13" s="79">
        <v>13</v>
      </c>
      <c r="O13" s="79" t="str">
        <f t="shared" si="0"/>
        <v>Heavy Oil</v>
      </c>
      <c r="P13" s="79" t="s">
        <v>163</v>
      </c>
      <c r="Q13" s="80" t="s">
        <v>31</v>
      </c>
      <c r="R13" s="80" t="s">
        <v>361</v>
      </c>
      <c r="S13" s="93">
        <f t="shared" si="1"/>
        <v>25.150981999999999</v>
      </c>
      <c r="T13" s="93">
        <f t="shared" si="2"/>
        <v>0</v>
      </c>
    </row>
    <row r="14" spans="2:24" s="1" customFormat="1" x14ac:dyDescent="0.25">
      <c r="B14" s="91"/>
      <c r="C14" s="76" t="e" vm="7">
        <v>#VALUE!</v>
      </c>
      <c r="D14" s="18" t="s">
        <v>30</v>
      </c>
      <c r="E14" s="18" t="s">
        <v>255</v>
      </c>
      <c r="F14" s="18" t="s">
        <v>28</v>
      </c>
      <c r="G14" s="18" t="s">
        <v>256</v>
      </c>
      <c r="H14" s="92">
        <v>11342</v>
      </c>
      <c r="I14" s="92">
        <v>152.77000000000001</v>
      </c>
      <c r="J14" s="92">
        <v>754.35</v>
      </c>
      <c r="K14" s="81" t="str" cm="1">
        <f t="array" ref="K14:K19">IF(H14:H19&gt;K4,"Sí","No")</f>
        <v>Sí</v>
      </c>
      <c r="L14" s="81" t="str" cm="1">
        <f t="array" ref="L14:L19">+IF(J14:J19&gt;L4,"Sí","No")</f>
        <v>Sí</v>
      </c>
      <c r="M14" s="79" t="str">
        <f t="shared" si="3"/>
        <v>Oil and Gas</v>
      </c>
      <c r="N14" s="79">
        <v>48</v>
      </c>
      <c r="O14" s="79" t="str">
        <f t="shared" si="0"/>
        <v>Light Oil</v>
      </c>
      <c r="P14" s="79" t="s">
        <v>31</v>
      </c>
      <c r="Q14" s="80" t="s">
        <v>362</v>
      </c>
      <c r="R14" s="80" t="s">
        <v>363</v>
      </c>
      <c r="S14" s="93">
        <f t="shared" si="1"/>
        <v>25.666945999999999</v>
      </c>
      <c r="T14" s="93">
        <f t="shared" si="2"/>
        <v>546.45829000000003</v>
      </c>
    </row>
    <row r="15" spans="2:24" s="1" customFormat="1" x14ac:dyDescent="0.25">
      <c r="B15" s="91"/>
      <c r="C15" s="76" t="e" vm="7">
        <v>#VALUE!</v>
      </c>
      <c r="D15" s="18" t="s">
        <v>30</v>
      </c>
      <c r="E15" s="18" t="s">
        <v>269</v>
      </c>
      <c r="F15" s="18" t="s">
        <v>28</v>
      </c>
      <c r="G15" s="18" t="s">
        <v>270</v>
      </c>
      <c r="H15" s="92">
        <v>4514</v>
      </c>
      <c r="I15" s="92">
        <v>182.15</v>
      </c>
      <c r="J15" s="92">
        <v>306.27</v>
      </c>
      <c r="K15" s="81" t="str">
        <v>Sí</v>
      </c>
      <c r="L15" s="81" t="str">
        <v>Sí</v>
      </c>
      <c r="M15" s="79" t="str">
        <f>+IF(AND(K15="Sí",L15="Sí"),"Oil and Gas",IF(K15="Sí","Oil",IF(L15="Sí","Gas")))</f>
        <v>Oil and Gas</v>
      </c>
      <c r="N15" s="79">
        <v>52</v>
      </c>
      <c r="O15" s="79" t="str">
        <f t="shared" si="0"/>
        <v>Light Oil</v>
      </c>
      <c r="P15" s="79" t="s">
        <v>31</v>
      </c>
      <c r="Q15" s="80" t="s">
        <v>364</v>
      </c>
      <c r="R15" s="80" t="s">
        <v>275</v>
      </c>
      <c r="S15" s="93">
        <f t="shared" si="1"/>
        <v>10.215182</v>
      </c>
      <c r="T15" s="93">
        <f t="shared" si="2"/>
        <v>651.55055000000004</v>
      </c>
    </row>
    <row r="16" spans="2:24" s="1" customFormat="1" x14ac:dyDescent="0.25">
      <c r="B16" s="91"/>
      <c r="C16" s="76" t="e" vm="7">
        <v>#VALUE!</v>
      </c>
      <c r="D16" s="18" t="s">
        <v>278</v>
      </c>
      <c r="E16" s="18" t="s">
        <v>276</v>
      </c>
      <c r="F16" s="18" t="s">
        <v>28</v>
      </c>
      <c r="G16" s="18" t="s">
        <v>277</v>
      </c>
      <c r="H16" s="92">
        <v>31197</v>
      </c>
      <c r="I16" s="92">
        <v>218.46</v>
      </c>
      <c r="J16" s="92">
        <v>459.81099999999998</v>
      </c>
      <c r="K16" s="81" t="str">
        <v>Sí</v>
      </c>
      <c r="L16" s="81" t="str">
        <v>Sí</v>
      </c>
      <c r="M16" s="79" t="str">
        <f t="shared" si="3"/>
        <v>Oil and Gas</v>
      </c>
      <c r="N16" s="79">
        <v>46</v>
      </c>
      <c r="O16" s="79" t="str">
        <f t="shared" si="0"/>
        <v>Light Oil</v>
      </c>
      <c r="P16" s="79" t="s">
        <v>31</v>
      </c>
      <c r="Q16" s="80" t="s">
        <v>31</v>
      </c>
      <c r="R16" s="80" t="s">
        <v>365</v>
      </c>
      <c r="S16" s="93">
        <f t="shared" si="1"/>
        <v>70.598810999999998</v>
      </c>
      <c r="T16" s="93">
        <f t="shared" si="2"/>
        <v>781.43142000000012</v>
      </c>
    </row>
    <row r="17" spans="2:20" s="1" customFormat="1" x14ac:dyDescent="0.25">
      <c r="B17" s="91"/>
      <c r="C17" s="76" t="e" vm="7">
        <v>#VALUE!</v>
      </c>
      <c r="D17" s="18" t="s">
        <v>278</v>
      </c>
      <c r="E17" s="18" t="s">
        <v>276</v>
      </c>
      <c r="F17" s="18" t="s">
        <v>28</v>
      </c>
      <c r="G17" s="18" t="s">
        <v>290</v>
      </c>
      <c r="H17" s="92">
        <v>8374</v>
      </c>
      <c r="I17" s="92">
        <v>0</v>
      </c>
      <c r="J17" s="92">
        <v>153.01</v>
      </c>
      <c r="K17" s="81" t="str">
        <v>Sí</v>
      </c>
      <c r="L17" s="81" t="str">
        <v>Sí</v>
      </c>
      <c r="M17" s="79" t="str">
        <f t="shared" si="3"/>
        <v>Oil and Gas</v>
      </c>
      <c r="N17" s="79">
        <f>44+((47-44)/2)</f>
        <v>45.5</v>
      </c>
      <c r="O17" s="79" t="str">
        <f t="shared" si="0"/>
        <v>Light Oil</v>
      </c>
      <c r="P17" s="79" t="s">
        <v>31</v>
      </c>
      <c r="Q17" s="80" t="s">
        <v>362</v>
      </c>
      <c r="R17" s="80" t="s">
        <v>31</v>
      </c>
      <c r="S17" s="93">
        <f t="shared" si="1"/>
        <v>18.950361999999998</v>
      </c>
      <c r="T17" s="93">
        <f t="shared" si="2"/>
        <v>0</v>
      </c>
    </row>
    <row r="18" spans="2:20" s="1" customFormat="1" x14ac:dyDescent="0.25">
      <c r="B18" s="91"/>
      <c r="C18" s="76" t="e" vm="8">
        <v>#VALUE!</v>
      </c>
      <c r="D18" s="18" t="s">
        <v>302</v>
      </c>
      <c r="E18" s="18" t="s">
        <v>300</v>
      </c>
      <c r="F18" s="18" t="s">
        <v>299</v>
      </c>
      <c r="G18" s="18" t="s">
        <v>301</v>
      </c>
      <c r="H18" s="92">
        <v>0</v>
      </c>
      <c r="I18" s="92">
        <v>207.5</v>
      </c>
      <c r="J18" s="92">
        <v>214.703</v>
      </c>
      <c r="K18" s="81" t="str">
        <v>No</v>
      </c>
      <c r="L18" s="81" t="str">
        <v>Sí</v>
      </c>
      <c r="M18" s="79" t="str">
        <f>+IF(AND(K18="Sí",L18="Sí"),"Oil and Gas",IF(K18="Sí","Oil",IF(L18="Sí","Gas")))</f>
        <v>Gas</v>
      </c>
      <c r="N18" s="79" t="s">
        <v>31</v>
      </c>
      <c r="O18" s="79" t="str">
        <f t="shared" si="0"/>
        <v>Doesn't Apply</v>
      </c>
      <c r="P18" s="79" t="s">
        <v>31</v>
      </c>
      <c r="Q18" s="80" t="s">
        <v>31</v>
      </c>
      <c r="R18" s="80" t="s">
        <v>31</v>
      </c>
      <c r="S18" s="93">
        <f t="shared" si="1"/>
        <v>0</v>
      </c>
      <c r="T18" s="93">
        <f t="shared" si="2"/>
        <v>742.22750000000008</v>
      </c>
    </row>
    <row r="19" spans="2:20" s="1" customFormat="1" x14ac:dyDescent="0.25">
      <c r="B19" s="91"/>
      <c r="C19" s="76" t="e" vm="8">
        <v>#VALUE!</v>
      </c>
      <c r="D19" s="18" t="s">
        <v>302</v>
      </c>
      <c r="E19" s="18" t="s">
        <v>300</v>
      </c>
      <c r="F19" s="18" t="s">
        <v>299</v>
      </c>
      <c r="G19" s="18" t="s">
        <v>311</v>
      </c>
      <c r="H19" s="92">
        <v>0</v>
      </c>
      <c r="I19" s="92">
        <v>30.6</v>
      </c>
      <c r="J19" s="92">
        <v>31.34</v>
      </c>
      <c r="K19" s="81" t="str">
        <v>No</v>
      </c>
      <c r="L19" s="81" t="str">
        <v>Sí</v>
      </c>
      <c r="M19" s="79" t="str">
        <f t="shared" si="3"/>
        <v>Gas</v>
      </c>
      <c r="N19" s="79" t="s">
        <v>31</v>
      </c>
      <c r="O19" s="79" t="str">
        <f>+IF(M18="Gas","Doesn't Apply",IF(N19&lt;$M$30,$K$30,IF(N19&lt;$M$31,$K$31,IF(N19&lt;$M$32,$K$32,IF(N19&gt;$L$33,$K$33,"Doesn't Apply")))))</f>
        <v>Doesn't Apply</v>
      </c>
      <c r="P19" s="79" t="s">
        <v>31</v>
      </c>
      <c r="Q19" s="80" t="s">
        <v>31</v>
      </c>
      <c r="R19" s="80" t="s">
        <v>31</v>
      </c>
      <c r="S19" s="93">
        <f t="shared" si="1"/>
        <v>0</v>
      </c>
      <c r="T19" s="93">
        <f t="shared" si="2"/>
        <v>109.45620000000002</v>
      </c>
    </row>
    <row r="20" spans="2:20" s="1" customFormat="1" x14ac:dyDescent="0.25">
      <c r="H20" s="94"/>
      <c r="I20" s="94"/>
      <c r="R20" s="95"/>
    </row>
    <row r="21" spans="2:20" s="1" customFormat="1" x14ac:dyDescent="0.25">
      <c r="I21" s="94"/>
      <c r="P21" s="96"/>
    </row>
    <row r="22" spans="2:20" s="1" customFormat="1" x14ac:dyDescent="0.25">
      <c r="K22" s="78" t="s">
        <v>377</v>
      </c>
      <c r="L22" s="78">
        <f>+COUNTIF(M5:M19,"Oil")</f>
        <v>9</v>
      </c>
    </row>
    <row r="23" spans="2:20" s="1" customFormat="1" x14ac:dyDescent="0.25">
      <c r="K23" s="78" t="s">
        <v>378</v>
      </c>
      <c r="L23" s="78">
        <f>COUNTIF(M5:M19,"Gas")</f>
        <v>2</v>
      </c>
    </row>
    <row r="24" spans="2:20" s="1" customFormat="1" ht="15.75" thickBot="1" x14ac:dyDescent="0.3">
      <c r="K24" s="97" t="s">
        <v>379</v>
      </c>
      <c r="L24" s="97">
        <f>COUNTIF(M5:M19,"Oil and Gas")</f>
        <v>4</v>
      </c>
    </row>
    <row r="25" spans="2:20" s="1" customFormat="1" ht="15.75" thickTop="1" x14ac:dyDescent="0.25">
      <c r="K25" s="77" t="s">
        <v>380</v>
      </c>
      <c r="L25" s="77">
        <f>+SUM(L22:L24)</f>
        <v>15</v>
      </c>
      <c r="O25" s="94"/>
    </row>
    <row r="26" spans="2:20" s="1" customFormat="1" x14ac:dyDescent="0.25"/>
    <row r="27" spans="2:20" s="1" customFormat="1" x14ac:dyDescent="0.25"/>
    <row r="28" spans="2:20" s="1" customFormat="1" ht="15.75" thickBot="1" x14ac:dyDescent="0.3">
      <c r="K28" s="269" t="s">
        <v>381</v>
      </c>
      <c r="L28" s="269"/>
      <c r="M28" s="269"/>
    </row>
    <row r="29" spans="2:20" s="1" customFormat="1" ht="15.75" thickTop="1" x14ac:dyDescent="0.25">
      <c r="K29" s="98"/>
      <c r="L29" s="98" t="s">
        <v>382</v>
      </c>
      <c r="M29" s="98" t="s">
        <v>383</v>
      </c>
    </row>
    <row r="30" spans="2:20" s="1" customFormat="1" x14ac:dyDescent="0.25">
      <c r="K30" s="78" t="s">
        <v>384</v>
      </c>
      <c r="L30" s="99">
        <v>0</v>
      </c>
      <c r="M30" s="98">
        <v>10</v>
      </c>
    </row>
    <row r="31" spans="2:20" s="1" customFormat="1" x14ac:dyDescent="0.25">
      <c r="K31" s="78" t="s">
        <v>385</v>
      </c>
      <c r="L31" s="98">
        <v>10</v>
      </c>
      <c r="M31" s="98">
        <v>22.3</v>
      </c>
    </row>
    <row r="32" spans="2:20" s="1" customFormat="1" x14ac:dyDescent="0.25">
      <c r="K32" s="78" t="s">
        <v>386</v>
      </c>
      <c r="L32" s="98">
        <v>22.3</v>
      </c>
      <c r="M32" s="98">
        <v>31.1</v>
      </c>
    </row>
    <row r="33" spans="11:20" s="1" customFormat="1" x14ac:dyDescent="0.25">
      <c r="K33" s="78" t="s">
        <v>387</v>
      </c>
      <c r="L33" s="98">
        <v>31.1</v>
      </c>
      <c r="M33" s="99">
        <v>100</v>
      </c>
      <c r="N33" s="91"/>
    </row>
    <row r="34" spans="11:20" s="1" customFormat="1" x14ac:dyDescent="0.25"/>
    <row r="35" spans="11:20" s="1" customFormat="1" x14ac:dyDescent="0.25"/>
    <row r="36" spans="11:20" s="1" customFormat="1" ht="15.75" thickBot="1" x14ac:dyDescent="0.3">
      <c r="K36" s="266" t="s">
        <v>388</v>
      </c>
      <c r="L36" s="266"/>
      <c r="M36" s="266"/>
      <c r="N36" s="266"/>
      <c r="R36" s="78"/>
      <c r="S36" s="78"/>
      <c r="T36" s="78"/>
    </row>
    <row r="37" spans="11:20" s="1" customFormat="1" ht="17.25" customHeight="1" thickTop="1" thickBot="1" x14ac:dyDescent="0.3">
      <c r="L37" s="100" t="s">
        <v>389</v>
      </c>
      <c r="M37" s="100" t="s">
        <v>390</v>
      </c>
      <c r="N37" s="100" t="s">
        <v>391</v>
      </c>
      <c r="Q37" s="270" t="s">
        <v>392</v>
      </c>
      <c r="R37" s="270"/>
      <c r="S37" s="270"/>
      <c r="T37" s="270"/>
    </row>
    <row r="38" spans="11:20" s="1" customFormat="1" ht="15.75" thickTop="1" x14ac:dyDescent="0.25">
      <c r="K38" s="1" t="s">
        <v>393</v>
      </c>
      <c r="L38" s="101">
        <v>865191</v>
      </c>
      <c r="M38" s="94">
        <v>505308</v>
      </c>
      <c r="N38" s="102">
        <v>0.58404213636064173</v>
      </c>
      <c r="R38" s="100" t="s">
        <v>30</v>
      </c>
      <c r="S38" s="103" t="s">
        <v>394</v>
      </c>
      <c r="T38" s="78" t="s">
        <v>395</v>
      </c>
    </row>
    <row r="39" spans="11:20" s="1" customFormat="1" x14ac:dyDescent="0.25">
      <c r="K39" s="1" t="s">
        <v>396</v>
      </c>
      <c r="L39" s="101">
        <v>2343.1799999999998</v>
      </c>
      <c r="M39" s="94">
        <v>1941.6439999999998</v>
      </c>
      <c r="N39" s="102">
        <v>0.82863629768092928</v>
      </c>
      <c r="Q39" s="1" t="s">
        <v>393</v>
      </c>
      <c r="R39" s="101">
        <v>469419</v>
      </c>
      <c r="S39" s="94">
        <v>389606</v>
      </c>
      <c r="T39" s="104">
        <v>0.82997492645163484</v>
      </c>
    </row>
    <row r="40" spans="11:20" s="1" customFormat="1" x14ac:dyDescent="0.25">
      <c r="K40" s="1" t="s">
        <v>369</v>
      </c>
      <c r="L40" s="105">
        <v>1060</v>
      </c>
      <c r="M40" s="105">
        <v>796.81100000000004</v>
      </c>
      <c r="N40" s="102">
        <v>0.75170849056603772</v>
      </c>
      <c r="Q40" s="1" t="s">
        <v>396</v>
      </c>
      <c r="R40" s="101">
        <v>1201.2</v>
      </c>
      <c r="S40" s="106">
        <v>1080.6699999999998</v>
      </c>
      <c r="T40" s="104">
        <v>0.89965867465867455</v>
      </c>
    </row>
    <row r="41" spans="11:20" s="1" customFormat="1" x14ac:dyDescent="0.25">
      <c r="L41" s="105"/>
      <c r="M41" s="94"/>
      <c r="N41" s="102"/>
      <c r="Q41" s="1" t="s">
        <v>397</v>
      </c>
      <c r="R41" s="107">
        <v>436.14</v>
      </c>
      <c r="S41" s="1">
        <v>340.25100000000003</v>
      </c>
      <c r="T41" s="108">
        <v>0.78014169762003038</v>
      </c>
    </row>
    <row r="42" spans="11:20" s="1" customFormat="1" x14ac:dyDescent="0.25"/>
    <row r="43" spans="11:20" s="1" customFormat="1" ht="15.75" thickBot="1" x14ac:dyDescent="0.3">
      <c r="K43" s="266" t="s">
        <v>398</v>
      </c>
      <c r="L43" s="266"/>
      <c r="M43" s="266"/>
      <c r="Q43" s="266" t="s">
        <v>399</v>
      </c>
      <c r="R43" s="266"/>
      <c r="S43" s="266"/>
    </row>
    <row r="44" spans="11:20" s="1" customFormat="1" ht="15.75" thickTop="1" x14ac:dyDescent="0.25">
      <c r="L44" s="1" t="s">
        <v>400</v>
      </c>
      <c r="R44" s="1" t="s">
        <v>400</v>
      </c>
    </row>
    <row r="45" spans="11:20" s="1" customFormat="1" x14ac:dyDescent="0.25">
      <c r="K45" s="78" t="s">
        <v>384</v>
      </c>
      <c r="L45" s="109">
        <f>+SUMIF($O$5:$O$19,K45,$H$5:$H$19)</f>
        <v>0</v>
      </c>
      <c r="M45" s="94">
        <f>+L45/L49</f>
        <v>0</v>
      </c>
      <c r="Q45" s="78" t="s">
        <v>384</v>
      </c>
      <c r="R45" s="109">
        <f>360439/(365)</f>
        <v>987.50410958904115</v>
      </c>
      <c r="S45" s="110">
        <f>+R45/R49</f>
        <v>1.2434485304680682E-3</v>
      </c>
    </row>
    <row r="46" spans="11:20" s="1" customFormat="1" x14ac:dyDescent="0.25">
      <c r="K46" s="78" t="s">
        <v>385</v>
      </c>
      <c r="L46" s="109">
        <f>+SUMIF($O$5:$O$19,K46,$H$5:$H$19)</f>
        <v>383545</v>
      </c>
      <c r="M46" s="111">
        <f>+L46/$L$49</f>
        <v>0.75903211506645452</v>
      </c>
      <c r="Q46" s="78" t="s">
        <v>385</v>
      </c>
      <c r="R46" s="109">
        <f>153830052/(365)</f>
        <v>421452.19726027397</v>
      </c>
      <c r="S46" s="111">
        <f>+R46/R49</f>
        <v>0.53068550323695973</v>
      </c>
    </row>
    <row r="47" spans="11:20" s="1" customFormat="1" x14ac:dyDescent="0.25">
      <c r="K47" s="78" t="s">
        <v>386</v>
      </c>
      <c r="L47" s="109">
        <f>+SUMIF($O$5:$O$19,K47,$H$5:$H$19)</f>
        <v>66336</v>
      </c>
      <c r="M47" s="111">
        <f t="shared" ref="M47:M48" si="4">+L47/$L$49</f>
        <v>0.13127834904652211</v>
      </c>
      <c r="Q47" s="78" t="s">
        <v>386</v>
      </c>
      <c r="R47" s="109">
        <f>78050096/(365)</f>
        <v>213835.8794520548</v>
      </c>
      <c r="S47" s="111">
        <f>+R47/R49</f>
        <v>0.26925853521425719</v>
      </c>
    </row>
    <row r="48" spans="11:20" s="1" customFormat="1" ht="15.75" thickBot="1" x14ac:dyDescent="0.3">
      <c r="K48" s="78" t="s">
        <v>387</v>
      </c>
      <c r="L48" s="112">
        <f>+SUMIF($O$5:$O$19,K48,$H$5:$H$19)</f>
        <v>55427</v>
      </c>
      <c r="M48" s="113">
        <f t="shared" si="4"/>
        <v>0.10968953588702336</v>
      </c>
      <c r="Q48" s="78" t="s">
        <v>387</v>
      </c>
      <c r="R48" s="112">
        <f>57629875/365</f>
        <v>157890.0684931507</v>
      </c>
      <c r="S48" s="113">
        <f>+R48/R49</f>
        <v>0.19881251301831507</v>
      </c>
    </row>
    <row r="49" spans="11:21" s="1" customFormat="1" ht="15.75" thickTop="1" x14ac:dyDescent="0.25">
      <c r="K49" s="114"/>
      <c r="L49" s="94">
        <f>+SUM(L45:L48)</f>
        <v>505308</v>
      </c>
      <c r="M49" s="115">
        <f>+SUM(M46:M48)</f>
        <v>1</v>
      </c>
      <c r="Q49" s="114"/>
      <c r="R49" s="94">
        <f>+SUM(R45:R48)</f>
        <v>794165.6493150685</v>
      </c>
      <c r="S49" s="115">
        <f>+SUM(S46:S48)</f>
        <v>0.99875655146953191</v>
      </c>
      <c r="T49" s="94"/>
    </row>
    <row r="50" spans="11:21" s="1" customFormat="1" x14ac:dyDescent="0.25">
      <c r="R50" s="94"/>
    </row>
    <row r="51" spans="11:21" s="1" customFormat="1" x14ac:dyDescent="0.25"/>
    <row r="52" spans="11:21" s="1" customFormat="1" ht="15.75" thickBot="1" x14ac:dyDescent="0.3">
      <c r="K52" s="266" t="s">
        <v>401</v>
      </c>
      <c r="L52" s="266"/>
      <c r="M52" s="266"/>
      <c r="N52" s="266"/>
      <c r="O52" s="266"/>
      <c r="Q52" s="266" t="s">
        <v>402</v>
      </c>
      <c r="R52" s="266"/>
      <c r="S52" s="266"/>
      <c r="T52" s="266"/>
      <c r="U52" s="266"/>
    </row>
    <row r="53" spans="11:21" s="1" customFormat="1" ht="15.75" thickTop="1" x14ac:dyDescent="0.25">
      <c r="K53" s="78"/>
      <c r="L53" s="78" t="s">
        <v>400</v>
      </c>
      <c r="M53" s="78" t="s">
        <v>403</v>
      </c>
      <c r="N53" s="116" t="s">
        <v>404</v>
      </c>
      <c r="O53" s="78" t="s">
        <v>403</v>
      </c>
      <c r="Q53" s="78"/>
      <c r="R53" s="78" t="s">
        <v>400</v>
      </c>
      <c r="S53" s="78" t="s">
        <v>403</v>
      </c>
      <c r="T53" s="116" t="s">
        <v>404</v>
      </c>
      <c r="U53" s="117" t="s">
        <v>403</v>
      </c>
    </row>
    <row r="54" spans="11:21" s="1" customFormat="1" x14ac:dyDescent="0.25">
      <c r="K54" s="78" t="e" vm="1">
        <v>#VALUE!</v>
      </c>
      <c r="L54" s="105">
        <f t="shared" ref="L54:L61" si="5">+SUMIF($C$5:$C$19,K54,$H$5:$H$19)</f>
        <v>344782</v>
      </c>
      <c r="M54" s="117">
        <f t="shared" ref="M54:M61" si="6">+L54/$L$62</f>
        <v>0.68232048572355875</v>
      </c>
      <c r="N54" s="118">
        <f t="shared" ref="N54:N61" si="7">+SUMIF($C$5:$C$19,K54,$J$5:$J$19)</f>
        <v>8</v>
      </c>
      <c r="O54" s="119">
        <f t="shared" ref="O54:O61" si="8">+N54/$N$62</f>
        <v>4.120219772522667E-3</v>
      </c>
      <c r="Q54" s="120" t="e" vm="1">
        <v>#VALUE!</v>
      </c>
      <c r="R54" s="105">
        <v>421474.3</v>
      </c>
      <c r="S54" s="117">
        <f t="shared" ref="S54:S62" si="9">+R54/$R$63</f>
        <v>0.48714595967826757</v>
      </c>
      <c r="T54" s="105">
        <v>17.7</v>
      </c>
      <c r="U54" s="117">
        <f>+T54/$T$63</f>
        <v>7.5538370931810617E-3</v>
      </c>
    </row>
    <row r="55" spans="11:21" s="1" customFormat="1" x14ac:dyDescent="0.25">
      <c r="K55" s="78" t="e" vm="2">
        <v>#VALUE!</v>
      </c>
      <c r="L55" s="105">
        <f t="shared" si="5"/>
        <v>45201</v>
      </c>
      <c r="M55" s="104">
        <f t="shared" si="6"/>
        <v>8.9452373601842841E-2</v>
      </c>
      <c r="N55" s="121">
        <f t="shared" si="7"/>
        <v>6.44</v>
      </c>
      <c r="O55" s="119">
        <f t="shared" si="8"/>
        <v>3.3167769168807471E-3</v>
      </c>
      <c r="Q55" s="120" t="e" vm="2">
        <v>#VALUE!</v>
      </c>
      <c r="R55" s="105">
        <v>63986.1</v>
      </c>
      <c r="S55" s="117">
        <f t="shared" si="9"/>
        <v>7.3956039764629999E-2</v>
      </c>
      <c r="T55" s="105">
        <v>46.2</v>
      </c>
      <c r="U55" s="117">
        <f t="shared" ref="U55:U61" si="10">+T55/$T$63</f>
        <v>1.9716795124574298E-2</v>
      </c>
    </row>
    <row r="56" spans="11:21" s="1" customFormat="1" x14ac:dyDescent="0.25">
      <c r="K56" s="78" t="e" vm="3">
        <v>#VALUE!</v>
      </c>
      <c r="L56" s="105">
        <f t="shared" si="5"/>
        <v>21135</v>
      </c>
      <c r="M56" s="117">
        <f t="shared" si="6"/>
        <v>4.1825975444679288E-2</v>
      </c>
      <c r="N56" s="121">
        <f t="shared" si="7"/>
        <v>1.21</v>
      </c>
      <c r="O56" s="119">
        <f t="shared" si="8"/>
        <v>6.2318324059405339E-4</v>
      </c>
      <c r="Q56" s="120" t="e" vm="3">
        <v>#VALUE!</v>
      </c>
      <c r="R56" s="105">
        <v>47801.1</v>
      </c>
      <c r="S56" s="117">
        <f t="shared" si="9"/>
        <v>5.5249187751606289E-2</v>
      </c>
      <c r="T56" s="105">
        <v>5.2</v>
      </c>
      <c r="U56" s="117">
        <f t="shared" si="10"/>
        <v>2.2192063776577133E-3</v>
      </c>
    </row>
    <row r="57" spans="11:21" s="1" customFormat="1" x14ac:dyDescent="0.25">
      <c r="K57" s="78" t="e" vm="4">
        <v>#VALUE!</v>
      </c>
      <c r="L57" s="105">
        <f t="shared" si="5"/>
        <v>14787</v>
      </c>
      <c r="M57" s="117">
        <f t="shared" si="6"/>
        <v>2.9263340378541405E-2</v>
      </c>
      <c r="N57" s="118">
        <f t="shared" si="7"/>
        <v>4.13</v>
      </c>
      <c r="O57" s="119">
        <f t="shared" si="8"/>
        <v>2.1270634575648265E-3</v>
      </c>
      <c r="Q57" s="120" t="e" vm="4">
        <v>#VALUE!</v>
      </c>
      <c r="R57" s="105">
        <v>10337.799999999999</v>
      </c>
      <c r="S57" s="117">
        <f t="shared" si="9"/>
        <v>1.1948575516851192E-2</v>
      </c>
      <c r="T57" s="105">
        <v>4.9000000000000004</v>
      </c>
      <c r="U57" s="117">
        <f t="shared" si="10"/>
        <v>2.0911752404851529E-3</v>
      </c>
    </row>
    <row r="58" spans="11:21" s="1" customFormat="1" x14ac:dyDescent="0.25">
      <c r="K58" s="78" t="e" vm="5">
        <v>#VALUE!</v>
      </c>
      <c r="L58" s="105">
        <f t="shared" si="5"/>
        <v>12862</v>
      </c>
      <c r="M58" s="104">
        <f t="shared" si="6"/>
        <v>2.545378264345706E-2</v>
      </c>
      <c r="N58" s="121">
        <f t="shared" si="7"/>
        <v>1.48</v>
      </c>
      <c r="O58" s="119">
        <f t="shared" si="8"/>
        <v>7.6224065791669331E-4</v>
      </c>
      <c r="Q58" s="120" t="e" vm="5">
        <v>#VALUE!</v>
      </c>
      <c r="R58" s="105">
        <v>16428.900000000001</v>
      </c>
      <c r="S58" s="117">
        <f t="shared" si="9"/>
        <v>1.8988755084137492E-2</v>
      </c>
      <c r="T58" s="105">
        <v>2.2000000000000002</v>
      </c>
      <c r="U58" s="117">
        <f t="shared" si="10"/>
        <v>9.3889500593210954E-4</v>
      </c>
    </row>
    <row r="59" spans="11:21" s="1" customFormat="1" x14ac:dyDescent="0.25">
      <c r="K59" s="78" t="e" vm="6">
        <v>#VALUE!</v>
      </c>
      <c r="L59" s="105">
        <f t="shared" si="5"/>
        <v>11114</v>
      </c>
      <c r="M59" s="104">
        <f t="shared" si="6"/>
        <v>2.1994506320897354E-2</v>
      </c>
      <c r="N59" s="121">
        <f t="shared" si="7"/>
        <v>0.9</v>
      </c>
      <c r="O59" s="119">
        <f t="shared" si="8"/>
        <v>4.6352472440880002E-4</v>
      </c>
      <c r="Q59" s="120" t="e" vm="6">
        <v>#VALUE!</v>
      </c>
      <c r="R59" s="105">
        <v>34033.25</v>
      </c>
      <c r="S59" s="117">
        <f t="shared" si="9"/>
        <v>3.9336111910549233E-2</v>
      </c>
      <c r="T59" s="105">
        <v>17.2</v>
      </c>
      <c r="U59" s="117">
        <f t="shared" si="10"/>
        <v>7.3404518645601279E-3</v>
      </c>
    </row>
    <row r="60" spans="11:21" s="1" customFormat="1" x14ac:dyDescent="0.25">
      <c r="K60" s="78" t="e" vm="7">
        <v>#VALUE!</v>
      </c>
      <c r="L60" s="105">
        <f t="shared" si="5"/>
        <v>55427</v>
      </c>
      <c r="M60" s="104">
        <f t="shared" si="6"/>
        <v>0.10968953588702336</v>
      </c>
      <c r="N60" s="121">
        <f t="shared" si="7"/>
        <v>1673.4409999999998</v>
      </c>
      <c r="O60" s="119">
        <f t="shared" si="8"/>
        <v>0.86186808704376294</v>
      </c>
      <c r="Q60" s="120" t="e" vm="7">
        <v>#VALUE!</v>
      </c>
      <c r="R60" s="105">
        <v>170107.4</v>
      </c>
      <c r="S60" s="117">
        <f t="shared" si="9"/>
        <v>0.19661253989003583</v>
      </c>
      <c r="T60" s="105">
        <v>1628.7</v>
      </c>
      <c r="U60" s="117">
        <f t="shared" si="10"/>
        <v>0.69508104370983026</v>
      </c>
    </row>
    <row r="61" spans="11:21" s="1" customFormat="1" ht="15.75" thickBot="1" x14ac:dyDescent="0.3">
      <c r="K61" s="122" t="e" vm="8">
        <v>#VALUE!</v>
      </c>
      <c r="L61" s="122">
        <f t="shared" si="5"/>
        <v>0</v>
      </c>
      <c r="M61" s="123">
        <f t="shared" si="6"/>
        <v>0</v>
      </c>
      <c r="N61" s="124">
        <f t="shared" si="7"/>
        <v>246.04300000000001</v>
      </c>
      <c r="O61" s="125">
        <f t="shared" si="8"/>
        <v>0.12671890418634932</v>
      </c>
      <c r="Q61" s="120" t="e" vm="8">
        <v>#VALUE!</v>
      </c>
      <c r="R61" s="105">
        <v>0</v>
      </c>
      <c r="S61" s="117">
        <f t="shared" si="9"/>
        <v>0</v>
      </c>
      <c r="T61" s="105">
        <v>238.3</v>
      </c>
      <c r="U61" s="117">
        <f t="shared" si="10"/>
        <v>0.10169939996073712</v>
      </c>
    </row>
    <row r="62" spans="11:21" s="1" customFormat="1" ht="16.5" thickTop="1" thickBot="1" x14ac:dyDescent="0.3">
      <c r="L62" s="94">
        <f>+SUM(L54:L61)</f>
        <v>505308</v>
      </c>
      <c r="M62" s="126">
        <f>+SUM(M54:M61)</f>
        <v>1.0000000000000002</v>
      </c>
      <c r="N62" s="127">
        <f>+SUM(N54:N61)</f>
        <v>1941.6439999999998</v>
      </c>
      <c r="O62" s="102">
        <f>+SUM(O54:O61)</f>
        <v>1</v>
      </c>
      <c r="Q62" s="128" t="s">
        <v>405</v>
      </c>
      <c r="R62" s="129">
        <f>+L38-SUM(R54:R61)</f>
        <v>101022.14999999991</v>
      </c>
      <c r="S62" s="130">
        <f t="shared" si="9"/>
        <v>0.11676283040392227</v>
      </c>
      <c r="T62" s="129">
        <f>+L39-SUM(T54:T61)</f>
        <v>382.77999999999975</v>
      </c>
      <c r="U62" s="130">
        <f>+T62/$T$63</f>
        <v>0.1633591956230421</v>
      </c>
    </row>
    <row r="63" spans="11:21" s="1" customFormat="1" ht="15.75" thickTop="1" x14ac:dyDescent="0.25">
      <c r="R63" s="94">
        <f>+SUM(R54:R62)</f>
        <v>865191</v>
      </c>
      <c r="S63" s="117">
        <f>+SUM(S54:S62)</f>
        <v>0.99999999999999978</v>
      </c>
      <c r="T63" s="94">
        <f>+SUM(T54:T62)</f>
        <v>2343.1799999999998</v>
      </c>
      <c r="U63" s="117">
        <f>+SUM(U54:U62)</f>
        <v>0.99999999999999989</v>
      </c>
    </row>
    <row r="64" spans="11:21" s="1" customFormat="1" x14ac:dyDescent="0.25"/>
    <row r="65" spans="11:22" s="1" customFormat="1" x14ac:dyDescent="0.25"/>
    <row r="66" spans="11:22" s="1" customFormat="1" ht="15.75" thickBot="1" x14ac:dyDescent="0.3">
      <c r="K66" s="266" t="s">
        <v>406</v>
      </c>
      <c r="L66" s="266"/>
      <c r="M66" s="266"/>
      <c r="N66" s="266"/>
      <c r="O66" s="266"/>
      <c r="Q66" s="266" t="s">
        <v>407</v>
      </c>
      <c r="R66" s="266"/>
      <c r="S66" s="266"/>
      <c r="T66" s="266"/>
      <c r="U66" s="266"/>
    </row>
    <row r="67" spans="11:22" s="1" customFormat="1" ht="15.75" thickTop="1" x14ac:dyDescent="0.25">
      <c r="L67" s="78" t="s">
        <v>400</v>
      </c>
      <c r="M67" s="131" t="s">
        <v>403</v>
      </c>
      <c r="N67" s="78" t="s">
        <v>404</v>
      </c>
      <c r="O67" s="78" t="s">
        <v>403</v>
      </c>
      <c r="R67" s="78" t="s">
        <v>400</v>
      </c>
      <c r="S67" s="131" t="s">
        <v>403</v>
      </c>
      <c r="T67" s="78" t="s">
        <v>404</v>
      </c>
      <c r="U67" s="78" t="s">
        <v>403</v>
      </c>
    </row>
    <row r="68" spans="11:22" s="1" customFormat="1" x14ac:dyDescent="0.25">
      <c r="K68" s="1" t="s">
        <v>79</v>
      </c>
      <c r="L68" s="109">
        <f>+SUMIF($F$5:$F$19,K68,$H$5:$H$19)</f>
        <v>83964</v>
      </c>
      <c r="M68" s="132">
        <f>+L68/$L$71</f>
        <v>0.16616400294473865</v>
      </c>
      <c r="N68" s="109">
        <f>+SUMIF($F$5:$F$19,K68,$J$5:$J$19)</f>
        <v>12.950000000000001</v>
      </c>
      <c r="O68" s="133">
        <f>+N68/$N$71</f>
        <v>6.6696057567710671E-3</v>
      </c>
      <c r="Q68" s="1" t="s">
        <v>79</v>
      </c>
      <c r="R68" s="134">
        <v>116160</v>
      </c>
      <c r="S68" s="132">
        <f>+R68/$R$72</f>
        <v>0.14617664269399927</v>
      </c>
      <c r="T68" s="134">
        <f>12.9*1000/365</f>
        <v>35.342465753424655</v>
      </c>
      <c r="U68" s="135">
        <f>+T68/T72</f>
        <v>3.3974065877791386E-2</v>
      </c>
    </row>
    <row r="69" spans="11:22" s="1" customFormat="1" x14ac:dyDescent="0.25">
      <c r="K69" s="1" t="s">
        <v>299</v>
      </c>
      <c r="L69" s="109">
        <f>+SUMIF($F$5:$F$19,K69,$H$5:$H$19)</f>
        <v>0</v>
      </c>
      <c r="M69" s="132">
        <f t="shared" ref="M69:M70" si="11">+L69/$L$71</f>
        <v>0</v>
      </c>
      <c r="N69" s="109">
        <f>+SUMIF($F$5:$F$19,K69,$J$5:$J$19)</f>
        <v>246.04300000000001</v>
      </c>
      <c r="O69" s="133">
        <f t="shared" ref="O69:O70" si="12">+N69/$N$71</f>
        <v>0.12671890418634932</v>
      </c>
      <c r="Q69" s="1" t="s">
        <v>299</v>
      </c>
      <c r="R69" s="134">
        <v>0</v>
      </c>
      <c r="S69" s="132">
        <f>+R69/$R$72</f>
        <v>0</v>
      </c>
      <c r="T69" s="134">
        <f>248*1000/365</f>
        <v>679.45205479452056</v>
      </c>
      <c r="U69" s="135">
        <f>+T69/T72</f>
        <v>0.65314483237924537</v>
      </c>
      <c r="V69" s="102"/>
    </row>
    <row r="70" spans="11:22" s="1" customFormat="1" ht="15.75" thickBot="1" x14ac:dyDescent="0.3">
      <c r="K70" s="136" t="s">
        <v>28</v>
      </c>
      <c r="L70" s="112">
        <f>+SUMIF($F$5:$F$19,K70,$H$5:$H$19)</f>
        <v>421344</v>
      </c>
      <c r="M70" s="137">
        <f t="shared" si="11"/>
        <v>0.83383599705526135</v>
      </c>
      <c r="N70" s="112">
        <f>+SUMIF($F$5:$F$19,K70,$J$5:$J$19)</f>
        <v>1682.6509999999998</v>
      </c>
      <c r="O70" s="138">
        <f t="shared" si="12"/>
        <v>0.86661149005687965</v>
      </c>
      <c r="Q70" s="1" t="s">
        <v>28</v>
      </c>
      <c r="R70" s="139">
        <v>537311</v>
      </c>
      <c r="S70" s="132">
        <f t="shared" ref="S70" si="13">+R70/$R$72</f>
        <v>0.67615631940905174</v>
      </c>
      <c r="T70" s="140">
        <f>76*1000/365</f>
        <v>208.21917808219177</v>
      </c>
      <c r="U70" s="102">
        <f>+T70/T72</f>
        <v>0.20015728734202679</v>
      </c>
    </row>
    <row r="71" spans="11:22" s="1" customFormat="1" ht="16.5" thickTop="1" thickBot="1" x14ac:dyDescent="0.3">
      <c r="L71" s="141">
        <f>+SUM(L68:L70)</f>
        <v>505308</v>
      </c>
      <c r="M71" s="132">
        <f t="shared" ref="M71:O71" si="14">+SUM(M68:M70)</f>
        <v>1</v>
      </c>
      <c r="N71" s="141">
        <f t="shared" si="14"/>
        <v>1941.6439999999998</v>
      </c>
      <c r="O71" s="141">
        <f t="shared" si="14"/>
        <v>1</v>
      </c>
      <c r="Q71" s="142" t="s">
        <v>408</v>
      </c>
      <c r="R71" s="143">
        <f>794655-(R70+R68+R69)</f>
        <v>141184</v>
      </c>
      <c r="S71" s="144">
        <f>+R71/R72</f>
        <v>0.17766703789694899</v>
      </c>
      <c r="T71" s="143">
        <f>+T72-(T68+T69+T70)</f>
        <v>117.26407914764081</v>
      </c>
      <c r="U71" s="145">
        <f>+T71/T72</f>
        <v>0.11272381440093643</v>
      </c>
    </row>
    <row r="72" spans="11:22" s="1" customFormat="1" ht="15.75" thickTop="1" x14ac:dyDescent="0.25">
      <c r="R72" s="146">
        <f>+SUM(R68:R71)</f>
        <v>794655</v>
      </c>
      <c r="S72" s="147">
        <f>+SUM(S68:S71)</f>
        <v>1</v>
      </c>
      <c r="T72" s="148">
        <f>(248+126.5)*1000/12/30</f>
        <v>1040.2777777777778</v>
      </c>
      <c r="U72" s="102">
        <f>+SUM(U68:U71)</f>
        <v>1</v>
      </c>
    </row>
    <row r="73" spans="11:22" s="1" customFormat="1" x14ac:dyDescent="0.25">
      <c r="T73" s="106"/>
    </row>
    <row r="74" spans="11:22" s="1" customFormat="1" x14ac:dyDescent="0.25"/>
    <row r="75" spans="11:22" s="1" customFormat="1" ht="15.75" thickBot="1" x14ac:dyDescent="0.3">
      <c r="K75" s="267" t="s">
        <v>409</v>
      </c>
      <c r="L75" s="267"/>
      <c r="M75" s="267"/>
      <c r="N75" s="267"/>
      <c r="O75" s="267"/>
      <c r="Q75" s="266" t="s">
        <v>410</v>
      </c>
      <c r="R75" s="266"/>
      <c r="S75" s="266"/>
      <c r="T75" s="266"/>
      <c r="U75" s="266"/>
    </row>
    <row r="76" spans="11:22" s="1" customFormat="1" ht="16.5" thickTop="1" thickBot="1" x14ac:dyDescent="0.3">
      <c r="L76" s="77" t="s">
        <v>411</v>
      </c>
      <c r="M76" s="78" t="s">
        <v>403</v>
      </c>
      <c r="N76" s="77" t="s">
        <v>412</v>
      </c>
      <c r="O76" s="78" t="s">
        <v>403</v>
      </c>
      <c r="Q76" s="149"/>
      <c r="R76" s="150" t="s">
        <v>411</v>
      </c>
      <c r="S76" s="151" t="s">
        <v>403</v>
      </c>
      <c r="T76" s="150" t="s">
        <v>412</v>
      </c>
      <c r="U76" s="151"/>
    </row>
    <row r="77" spans="11:22" s="1" customFormat="1" ht="15.75" thickTop="1" x14ac:dyDescent="0.25">
      <c r="K77" s="120" t="e" vm="1">
        <v>#VALUE!</v>
      </c>
      <c r="L77" s="152">
        <f t="shared" ref="L77:L84" si="15">+SUMIF($C$5:$C$19,K77,$S$5:$S$19)</f>
        <v>780.24166600000001</v>
      </c>
      <c r="M77" s="153">
        <f t="shared" ref="M77:M84" si="16">+L77/$L$86</f>
        <v>0.68232048572355875</v>
      </c>
      <c r="N77" s="154">
        <f t="shared" ref="N77:N84" si="17">+SUMIF($C$5:$C$19,K77,$T$5:$T$19)</f>
        <v>0</v>
      </c>
      <c r="O77" s="119">
        <f>+N77/$N$86</f>
        <v>0</v>
      </c>
      <c r="Q77" s="120" t="e" vm="1">
        <v>#VALUE!</v>
      </c>
      <c r="R77" s="155">
        <f>888415605/1000000</f>
        <v>888.41560500000003</v>
      </c>
      <c r="S77" s="153">
        <f t="shared" ref="S77:S85" si="18">+R77/$R$86</f>
        <v>0.45367392396496903</v>
      </c>
      <c r="T77" s="156">
        <f>17022745/1000000</f>
        <v>17.022745</v>
      </c>
      <c r="U77" s="119">
        <f t="shared" ref="U77:U85" si="19">+T77/$T$86</f>
        <v>4.5011767109696139E-3</v>
      </c>
    </row>
    <row r="78" spans="11:22" s="1" customFormat="1" x14ac:dyDescent="0.25">
      <c r="K78" s="120" t="e" vm="2">
        <v>#VALUE!</v>
      </c>
      <c r="L78" s="152">
        <f t="shared" si="15"/>
        <v>102.289863</v>
      </c>
      <c r="M78" s="153">
        <f t="shared" si="16"/>
        <v>8.9452373601842841E-2</v>
      </c>
      <c r="N78" s="154">
        <f t="shared" si="17"/>
        <v>13.059627000000001</v>
      </c>
      <c r="O78" s="119">
        <f t="shared" ref="O78:O84" si="20">+N78/$T$86</f>
        <v>3.4532438162205898E-3</v>
      </c>
      <c r="Q78" s="120" t="e" vm="2">
        <v>#VALUE!</v>
      </c>
      <c r="R78" s="155">
        <f>254681686/1000000</f>
        <v>254.68168600000001</v>
      </c>
      <c r="S78" s="153">
        <f t="shared" si="18"/>
        <v>0.1300544916133414</v>
      </c>
      <c r="T78" s="156">
        <f>200646510/1000000</f>
        <v>200.64651000000001</v>
      </c>
      <c r="U78" s="119">
        <f t="shared" si="19"/>
        <v>5.3055215122433642E-2</v>
      </c>
    </row>
    <row r="79" spans="11:22" s="1" customFormat="1" x14ac:dyDescent="0.25">
      <c r="K79" s="120" t="e" vm="3">
        <v>#VALUE!</v>
      </c>
      <c r="L79" s="152">
        <f t="shared" si="15"/>
        <v>47.828505</v>
      </c>
      <c r="M79" s="153">
        <f t="shared" si="16"/>
        <v>4.1825975444679288E-2</v>
      </c>
      <c r="N79" s="154">
        <f t="shared" si="17"/>
        <v>0</v>
      </c>
      <c r="O79" s="119">
        <f t="shared" si="20"/>
        <v>0</v>
      </c>
      <c r="Q79" s="120" t="e" vm="3">
        <v>#VALUE!</v>
      </c>
      <c r="R79" s="155">
        <f>67847887/1000000</f>
        <v>67.847887</v>
      </c>
      <c r="S79" s="153">
        <f t="shared" si="18"/>
        <v>3.4646866798362701E-2</v>
      </c>
      <c r="T79" s="156">
        <f>4989606/1000000</f>
        <v>4.9896060000000002</v>
      </c>
      <c r="U79" s="119">
        <f t="shared" si="19"/>
        <v>1.3193582071583784E-3</v>
      </c>
    </row>
    <row r="80" spans="11:22" s="1" customFormat="1" x14ac:dyDescent="0.25">
      <c r="K80" s="120" t="e" vm="4">
        <v>#VALUE!</v>
      </c>
      <c r="L80" s="152">
        <f t="shared" si="15"/>
        <v>33.462980999999999</v>
      </c>
      <c r="M80" s="153">
        <f t="shared" si="16"/>
        <v>2.9263340378541405E-2</v>
      </c>
      <c r="N80" s="154">
        <f t="shared" si="17"/>
        <v>6.0093600000000009</v>
      </c>
      <c r="O80" s="119">
        <f t="shared" si="20"/>
        <v>1.5890029063956701E-3</v>
      </c>
      <c r="Q80" s="120" t="e" vm="4">
        <v>#VALUE!</v>
      </c>
      <c r="R80" s="155">
        <f>8033760/1000000</f>
        <v>8.0337599999999991</v>
      </c>
      <c r="S80" s="153">
        <f t="shared" si="18"/>
        <v>4.1024801938196586E-3</v>
      </c>
      <c r="T80" s="156">
        <v>0</v>
      </c>
      <c r="U80" s="119">
        <f t="shared" si="19"/>
        <v>0</v>
      </c>
    </row>
    <row r="81" spans="11:21" s="1" customFormat="1" x14ac:dyDescent="0.25">
      <c r="K81" s="120" t="e" vm="5">
        <v>#VALUE!</v>
      </c>
      <c r="L81" s="152">
        <f t="shared" si="15"/>
        <v>29.106705999999999</v>
      </c>
      <c r="M81" s="153">
        <f t="shared" si="16"/>
        <v>2.545378264345706E-2</v>
      </c>
      <c r="N81" s="154">
        <f t="shared" si="17"/>
        <v>0</v>
      </c>
      <c r="O81" s="119">
        <f t="shared" si="20"/>
        <v>0</v>
      </c>
      <c r="Q81" s="120" t="e" vm="5">
        <v>#VALUE!</v>
      </c>
      <c r="R81" s="155">
        <f>59611739/1000000</f>
        <v>59.611739</v>
      </c>
      <c r="S81" s="153">
        <f t="shared" si="18"/>
        <v>3.0441036148285101E-2</v>
      </c>
      <c r="T81" s="156">
        <f>1702956/1000000</f>
        <v>1.7029559999999999</v>
      </c>
      <c r="U81" s="119">
        <f t="shared" si="19"/>
        <v>4.5029787422686348E-4</v>
      </c>
    </row>
    <row r="82" spans="11:21" s="1" customFormat="1" x14ac:dyDescent="0.25">
      <c r="K82" s="120" t="e" vm="6">
        <v>#VALUE!</v>
      </c>
      <c r="L82" s="152">
        <f t="shared" si="15"/>
        <v>25.150981999999999</v>
      </c>
      <c r="M82" s="153">
        <f t="shared" si="16"/>
        <v>2.1994506320897354E-2</v>
      </c>
      <c r="N82" s="154">
        <f t="shared" si="17"/>
        <v>0</v>
      </c>
      <c r="O82" s="119">
        <f t="shared" si="20"/>
        <v>0</v>
      </c>
      <c r="Q82" s="120" t="e" vm="6">
        <v>#VALUE!</v>
      </c>
      <c r="R82" s="155">
        <f>61421419/1000000</f>
        <v>61.421419</v>
      </c>
      <c r="S82" s="153">
        <f t="shared" si="18"/>
        <v>3.1365158397039301E-2</v>
      </c>
      <c r="T82" s="156">
        <f>176382695/1000000</f>
        <v>176.38269500000001</v>
      </c>
      <c r="U82" s="119">
        <f t="shared" si="19"/>
        <v>4.6639345120428964E-2</v>
      </c>
    </row>
    <row r="83" spans="11:21" s="1" customFormat="1" x14ac:dyDescent="0.25">
      <c r="K83" s="120" t="e" vm="7">
        <v>#VALUE!</v>
      </c>
      <c r="L83" s="152">
        <f t="shared" si="15"/>
        <v>125.431301</v>
      </c>
      <c r="M83" s="153">
        <f t="shared" si="16"/>
        <v>0.10968953588702338</v>
      </c>
      <c r="N83" s="154">
        <f t="shared" si="17"/>
        <v>1979.4402600000001</v>
      </c>
      <c r="O83" s="119">
        <f t="shared" si="20"/>
        <v>0.52340620734597365</v>
      </c>
      <c r="Q83" s="120" t="e" vm="7">
        <v>#VALUE!</v>
      </c>
      <c r="R83" s="155">
        <f>380888372/1000000</f>
        <v>380.888372</v>
      </c>
      <c r="S83" s="153">
        <f t="shared" si="18"/>
        <v>0.19450257440926969</v>
      </c>
      <c r="T83" s="156">
        <f>2216125271/1000000</f>
        <v>2216.1252709999999</v>
      </c>
      <c r="U83" s="119">
        <f t="shared" si="19"/>
        <v>0.58599077049068304</v>
      </c>
    </row>
    <row r="84" spans="11:21" s="1" customFormat="1" ht="15.75" thickBot="1" x14ac:dyDescent="0.3">
      <c r="K84" s="157" t="e" vm="8">
        <v>#VALUE!</v>
      </c>
      <c r="L84" s="158">
        <f t="shared" si="15"/>
        <v>0</v>
      </c>
      <c r="M84" s="159">
        <f t="shared" si="16"/>
        <v>0</v>
      </c>
      <c r="N84" s="160">
        <f t="shared" si="17"/>
        <v>851.68370000000004</v>
      </c>
      <c r="O84" s="161">
        <f t="shared" si="20"/>
        <v>0.22520332857905298</v>
      </c>
      <c r="Q84" s="120" t="e" vm="8">
        <v>#VALUE!</v>
      </c>
      <c r="R84" s="155">
        <v>0</v>
      </c>
      <c r="S84" s="153">
        <f t="shared" si="18"/>
        <v>0</v>
      </c>
      <c r="T84" s="156">
        <f>583846226/1000000</f>
        <v>583.846226</v>
      </c>
      <c r="U84" s="119">
        <f t="shared" si="19"/>
        <v>0.1543813900319074</v>
      </c>
    </row>
    <row r="85" spans="11:21" s="1" customFormat="1" ht="16.5" thickTop="1" thickBot="1" x14ac:dyDescent="0.3">
      <c r="M85" s="60" t="s">
        <v>413</v>
      </c>
      <c r="N85" s="60"/>
      <c r="O85" s="60" t="s">
        <v>413</v>
      </c>
      <c r="Q85" s="128" t="s">
        <v>405</v>
      </c>
      <c r="R85" s="162">
        <f>+R86-SUM(R77:R84)</f>
        <v>237.36858400000028</v>
      </c>
      <c r="S85" s="163">
        <f t="shared" si="18"/>
        <v>0.12121346847491325</v>
      </c>
      <c r="T85" s="164">
        <f>+T86-SUM(T77:T84)</f>
        <v>581.12729399999989</v>
      </c>
      <c r="U85" s="165">
        <f t="shared" si="19"/>
        <v>0.15366244644219196</v>
      </c>
    </row>
    <row r="86" spans="11:21" s="1" customFormat="1" ht="15.75" thickTop="1" x14ac:dyDescent="0.25">
      <c r="K86" s="28" t="s">
        <v>390</v>
      </c>
      <c r="L86" s="166">
        <f>+SUM(S5:S19)</f>
        <v>1143.5120039999999</v>
      </c>
      <c r="M86" s="167">
        <f>+L86/R86</f>
        <v>0.58394019087015625</v>
      </c>
      <c r="N86" s="166">
        <f>+SUM(T5:T19)</f>
        <v>2850.1929470000005</v>
      </c>
      <c r="O86" s="167">
        <f>+N86/T86</f>
        <v>0.75365178264764299</v>
      </c>
      <c r="Q86" s="28" t="s">
        <v>414</v>
      </c>
      <c r="R86" s="168">
        <f>1958269052/1000000</f>
        <v>1958.2690520000001</v>
      </c>
      <c r="S86" s="167">
        <v>1</v>
      </c>
      <c r="T86" s="169">
        <f>3781843303/1000000</f>
        <v>3781.8433030000001</v>
      </c>
      <c r="U86" s="167">
        <v>1</v>
      </c>
    </row>
    <row r="87" spans="11:21" s="1" customFormat="1" ht="15.75" thickBot="1" x14ac:dyDescent="0.3">
      <c r="K87" s="170" t="s">
        <v>415</v>
      </c>
      <c r="L87" s="171">
        <f>+SUMIF($D$5:$D$19,"ECP",S5:S19)</f>
        <v>881.67837800000007</v>
      </c>
      <c r="M87" s="172">
        <f>+L87/R87</f>
        <v>0.72932283729009861</v>
      </c>
      <c r="N87" s="171">
        <f>+SUMIF($D$5:$D$19,"ECP",T5:T19)</f>
        <v>1217.0778270000001</v>
      </c>
      <c r="O87" s="172">
        <f>+N87/T87</f>
        <v>0.40502027534293078</v>
      </c>
      <c r="Q87" s="170" t="s">
        <v>30</v>
      </c>
      <c r="R87" s="173">
        <f>1727*0.7</f>
        <v>1208.8999999999999</v>
      </c>
      <c r="S87" s="172">
        <f>+R87/R86</f>
        <v>0.6173309018826284</v>
      </c>
      <c r="T87" s="174">
        <f>1727*0.3*5800*(1/1000)</f>
        <v>3004.98</v>
      </c>
      <c r="U87" s="172">
        <f>+T87/T86</f>
        <v>0.79458077959397677</v>
      </c>
    </row>
    <row r="88" spans="11:21" s="1" customFormat="1" ht="15.75" thickTop="1" x14ac:dyDescent="0.25">
      <c r="K88" s="1" t="s">
        <v>416</v>
      </c>
      <c r="L88" s="154">
        <f>+SUMIF($D$5:$D$19,"ECP",S5:S19)+SUMIF($D$5:$D$19,"EQUION*",S5:S19)</f>
        <v>971.22755100000006</v>
      </c>
      <c r="M88" s="111">
        <f>+L88/R87</f>
        <v>0.80339775911986122</v>
      </c>
      <c r="N88" s="154">
        <f>+SUMIF($D$5:$D$19,"ECP",T5:T19)++SUMIF($D$5:$D$19,"EQUION*",T5:T19)</f>
        <v>1998.5092470000002</v>
      </c>
      <c r="O88" s="147">
        <f>+N88/T87</f>
        <v>0.66506573987181283</v>
      </c>
    </row>
    <row r="89" spans="11:21" s="1" customFormat="1" x14ac:dyDescent="0.25"/>
    <row r="90" spans="11:21" s="1" customFormat="1" x14ac:dyDescent="0.25">
      <c r="L90" s="95"/>
    </row>
    <row r="91" spans="11:21" s="1" customFormat="1" ht="15.75" x14ac:dyDescent="0.25">
      <c r="Q91" s="263" t="s">
        <v>417</v>
      </c>
      <c r="R91" s="263"/>
      <c r="S91" s="263"/>
      <c r="T91" s="263"/>
      <c r="U91" s="263"/>
    </row>
    <row r="92" spans="11:21" s="1" customFormat="1" ht="15.75" thickBot="1" x14ac:dyDescent="0.3">
      <c r="Q92" s="170"/>
      <c r="R92" s="170" t="s">
        <v>418</v>
      </c>
      <c r="S92" s="170"/>
      <c r="T92" s="170" t="s">
        <v>419</v>
      </c>
      <c r="U92" s="170"/>
    </row>
    <row r="93" spans="11:21" s="1" customFormat="1" ht="15.75" thickTop="1" x14ac:dyDescent="0.25">
      <c r="Q93" s="84" t="s">
        <v>414</v>
      </c>
      <c r="R93" s="1">
        <v>492</v>
      </c>
    </row>
    <row r="94" spans="11:21" s="1" customFormat="1" x14ac:dyDescent="0.25">
      <c r="Q94" s="84" t="s">
        <v>420</v>
      </c>
      <c r="R94" s="1">
        <v>42</v>
      </c>
    </row>
    <row r="95" spans="11:21" s="1" customFormat="1" x14ac:dyDescent="0.25">
      <c r="Q95" s="84" t="s">
        <v>421</v>
      </c>
      <c r="R95" s="1">
        <v>450</v>
      </c>
    </row>
    <row r="96" spans="11:21" s="1" customFormat="1" ht="15.75" thickBot="1" x14ac:dyDescent="0.3">
      <c r="Q96" s="175" t="s">
        <v>422</v>
      </c>
      <c r="R96" s="136"/>
      <c r="S96" s="136"/>
      <c r="T96" s="136"/>
      <c r="U96" s="136"/>
    </row>
    <row r="97" spans="17:22" s="1" customFormat="1" ht="15.75" thickTop="1" x14ac:dyDescent="0.25">
      <c r="Q97" s="84" t="s">
        <v>30</v>
      </c>
    </row>
    <row r="98" spans="17:22" s="1" customFormat="1" x14ac:dyDescent="0.25">
      <c r="Q98" s="84" t="s">
        <v>420</v>
      </c>
    </row>
    <row r="99" spans="17:22" s="1" customFormat="1" x14ac:dyDescent="0.25">
      <c r="Q99" s="84" t="s">
        <v>421</v>
      </c>
    </row>
    <row r="100" spans="17:22" s="1" customFormat="1" ht="15.75" thickBot="1" x14ac:dyDescent="0.3">
      <c r="Q100" s="175" t="s">
        <v>422</v>
      </c>
      <c r="R100" s="136"/>
      <c r="S100" s="136"/>
      <c r="T100" s="136"/>
      <c r="U100" s="136"/>
    </row>
    <row r="101" spans="17:22" s="1" customFormat="1" ht="15.75" thickTop="1" x14ac:dyDescent="0.25"/>
    <row r="102" spans="17:22" s="1" customFormat="1" x14ac:dyDescent="0.25"/>
    <row r="103" spans="17:22" s="1" customFormat="1" x14ac:dyDescent="0.25"/>
    <row r="104" spans="17:22" s="1" customFormat="1" ht="15.75" x14ac:dyDescent="0.25">
      <c r="Q104" s="264" t="s">
        <v>423</v>
      </c>
      <c r="R104" s="264"/>
      <c r="S104" s="264"/>
      <c r="T104" s="264"/>
      <c r="U104" s="264"/>
      <c r="V104" s="264"/>
    </row>
    <row r="105" spans="17:22" s="1" customFormat="1" ht="16.5" thickBot="1" x14ac:dyDescent="0.3">
      <c r="Q105" s="265" t="s">
        <v>424</v>
      </c>
      <c r="R105" s="265"/>
      <c r="S105" s="265"/>
      <c r="T105" s="265"/>
      <c r="U105" s="265"/>
      <c r="V105" s="265"/>
    </row>
    <row r="106" spans="17:22" s="1" customFormat="1" ht="15.75" thickTop="1" x14ac:dyDescent="0.25">
      <c r="Q106" s="78"/>
      <c r="R106" s="78" t="s">
        <v>425</v>
      </c>
      <c r="S106" s="78" t="s">
        <v>426</v>
      </c>
      <c r="T106" s="78" t="s">
        <v>427</v>
      </c>
      <c r="U106" s="78" t="s">
        <v>428</v>
      </c>
      <c r="V106" s="98" t="s">
        <v>429</v>
      </c>
    </row>
    <row r="107" spans="17:22" s="1" customFormat="1" x14ac:dyDescent="0.25">
      <c r="Q107" s="78"/>
      <c r="R107" s="78" t="s">
        <v>430</v>
      </c>
      <c r="S107" s="78" t="s">
        <v>431</v>
      </c>
      <c r="T107" s="78" t="s">
        <v>432</v>
      </c>
      <c r="U107" s="78" t="s">
        <v>433</v>
      </c>
      <c r="V107" s="98" t="s">
        <v>429</v>
      </c>
    </row>
    <row r="108" spans="17:22" s="1" customFormat="1" x14ac:dyDescent="0.25">
      <c r="Q108" s="78">
        <v>2014</v>
      </c>
      <c r="R108" s="78">
        <v>2308</v>
      </c>
      <c r="S108" s="78">
        <v>361</v>
      </c>
      <c r="T108" s="78">
        <v>206</v>
      </c>
      <c r="U108" s="176">
        <f>+T108/S108</f>
        <v>0.5706371191135734</v>
      </c>
      <c r="V108" s="155">
        <f>+R108/S108</f>
        <v>6.3933518005540169</v>
      </c>
    </row>
    <row r="109" spans="17:22" s="1" customFormat="1" x14ac:dyDescent="0.25">
      <c r="Q109" s="78">
        <v>2015</v>
      </c>
      <c r="R109" s="78">
        <v>2002</v>
      </c>
      <c r="S109" s="78">
        <v>367</v>
      </c>
      <c r="T109" s="78">
        <v>48</v>
      </c>
      <c r="U109" s="176">
        <f t="shared" ref="U109:U113" si="21">+T109/S109</f>
        <v>0.13079019073569481</v>
      </c>
      <c r="V109" s="155">
        <f t="shared" ref="V109:V113" si="22">+R109/S109</f>
        <v>5.4550408719346049</v>
      </c>
    </row>
    <row r="110" spans="17:22" s="1" customFormat="1" x14ac:dyDescent="0.25">
      <c r="Q110" s="78">
        <v>2016</v>
      </c>
      <c r="R110" s="78">
        <v>1665</v>
      </c>
      <c r="S110" s="78">
        <v>324</v>
      </c>
      <c r="T110" s="78">
        <v>-20</v>
      </c>
      <c r="U110" s="176">
        <f t="shared" si="21"/>
        <v>-6.1728395061728392E-2</v>
      </c>
      <c r="V110" s="155">
        <f t="shared" si="22"/>
        <v>5.1388888888888893</v>
      </c>
    </row>
    <row r="111" spans="17:22" s="1" customFormat="1" x14ac:dyDescent="0.25">
      <c r="Q111" s="78">
        <v>2017</v>
      </c>
      <c r="R111" s="78">
        <v>1782</v>
      </c>
      <c r="S111" s="78">
        <v>312</v>
      </c>
      <c r="T111" s="78">
        <v>429</v>
      </c>
      <c r="U111" s="176">
        <f t="shared" si="21"/>
        <v>1.375</v>
      </c>
      <c r="V111" s="155">
        <f t="shared" si="22"/>
        <v>5.7115384615384617</v>
      </c>
    </row>
    <row r="112" spans="17:22" s="1" customFormat="1" x14ac:dyDescent="0.25">
      <c r="Q112" s="78">
        <v>2018</v>
      </c>
      <c r="R112" s="78">
        <v>1958</v>
      </c>
      <c r="S112" s="78">
        <v>316</v>
      </c>
      <c r="T112" s="78">
        <v>492</v>
      </c>
      <c r="U112" s="176">
        <f t="shared" si="21"/>
        <v>1.5569620253164558</v>
      </c>
      <c r="V112" s="155">
        <f t="shared" si="22"/>
        <v>6.1962025316455698</v>
      </c>
    </row>
    <row r="113" spans="17:22" s="1" customFormat="1" x14ac:dyDescent="0.25">
      <c r="Q113" s="78">
        <v>2019</v>
      </c>
      <c r="R113" s="78">
        <v>2041</v>
      </c>
      <c r="S113" s="78">
        <v>323</v>
      </c>
      <c r="T113" s="78">
        <v>406</v>
      </c>
      <c r="U113" s="176">
        <f t="shared" si="21"/>
        <v>1.2569659442724459</v>
      </c>
      <c r="V113" s="155">
        <f t="shared" si="22"/>
        <v>6.3188854489164088</v>
      </c>
    </row>
    <row r="114" spans="17:22" s="1" customFormat="1" ht="16.5" thickBot="1" x14ac:dyDescent="0.3">
      <c r="Q114" s="265" t="s">
        <v>434</v>
      </c>
      <c r="R114" s="265"/>
      <c r="S114" s="265"/>
      <c r="T114" s="265"/>
      <c r="U114" s="265"/>
      <c r="V114" s="265"/>
    </row>
    <row r="115" spans="17:22" s="1" customFormat="1" ht="15.75" thickTop="1" x14ac:dyDescent="0.25">
      <c r="Q115" s="78"/>
      <c r="R115" s="78" t="s">
        <v>425</v>
      </c>
      <c r="S115" s="78" t="s">
        <v>426</v>
      </c>
      <c r="T115" s="78" t="s">
        <v>427</v>
      </c>
      <c r="U115" s="78" t="s">
        <v>428</v>
      </c>
      <c r="V115" s="98" t="s">
        <v>429</v>
      </c>
    </row>
    <row r="116" spans="17:22" s="1" customFormat="1" x14ac:dyDescent="0.25">
      <c r="Q116" s="78"/>
      <c r="R116" s="78" t="s">
        <v>430</v>
      </c>
      <c r="S116" s="78" t="s">
        <v>431</v>
      </c>
      <c r="T116" s="78" t="s">
        <v>432</v>
      </c>
      <c r="U116" s="78" t="s">
        <v>433</v>
      </c>
      <c r="V116" s="98" t="s">
        <v>429</v>
      </c>
    </row>
    <row r="117" spans="17:22" s="1" customFormat="1" x14ac:dyDescent="0.25">
      <c r="Q117" s="78">
        <v>2014</v>
      </c>
      <c r="R117" s="78">
        <v>4758</v>
      </c>
      <c r="S117" s="78">
        <v>421</v>
      </c>
      <c r="T117" s="78">
        <v>-296</v>
      </c>
      <c r="U117" s="176">
        <f>+T117/S117</f>
        <v>-0.70308788598574823</v>
      </c>
      <c r="V117" s="155">
        <f>+R117/S117</f>
        <v>11.30166270783848</v>
      </c>
    </row>
    <row r="118" spans="17:22" s="1" customFormat="1" x14ac:dyDescent="0.25">
      <c r="Q118" s="78">
        <v>2015</v>
      </c>
      <c r="R118" s="78">
        <v>4361</v>
      </c>
      <c r="S118" s="78">
        <v>417</v>
      </c>
      <c r="T118" s="78">
        <v>35</v>
      </c>
      <c r="U118" s="176">
        <f t="shared" ref="U118:U122" si="23">+T118/S118</f>
        <v>8.3932853717026384E-2</v>
      </c>
      <c r="V118" s="155">
        <f t="shared" ref="V118:V122" si="24">+R118/S118</f>
        <v>10.458033573141487</v>
      </c>
    </row>
    <row r="119" spans="17:22" s="1" customFormat="1" x14ac:dyDescent="0.25">
      <c r="Q119" s="78">
        <v>2016</v>
      </c>
      <c r="R119" s="78">
        <v>4024</v>
      </c>
      <c r="S119" s="78">
        <v>389</v>
      </c>
      <c r="T119" s="78">
        <v>22</v>
      </c>
      <c r="U119" s="176">
        <f t="shared" si="23"/>
        <v>5.6555269922879174E-2</v>
      </c>
      <c r="V119" s="155">
        <f t="shared" si="24"/>
        <v>10.344473007712082</v>
      </c>
    </row>
    <row r="120" spans="17:22" s="1" customFormat="1" x14ac:dyDescent="0.25">
      <c r="Q120" s="78">
        <v>2017</v>
      </c>
      <c r="R120" s="78">
        <v>3896</v>
      </c>
      <c r="S120" s="78">
        <v>332</v>
      </c>
      <c r="T120" s="78">
        <v>204</v>
      </c>
      <c r="U120" s="176">
        <f t="shared" si="23"/>
        <v>0.61445783132530118</v>
      </c>
      <c r="V120" s="155">
        <f t="shared" si="24"/>
        <v>11.734939759036145</v>
      </c>
    </row>
    <row r="121" spans="17:22" s="1" customFormat="1" x14ac:dyDescent="0.25">
      <c r="Q121" s="78">
        <v>2018</v>
      </c>
      <c r="R121" s="78">
        <v>3782</v>
      </c>
      <c r="S121" s="78">
        <v>386</v>
      </c>
      <c r="T121" s="78">
        <v>272</v>
      </c>
      <c r="U121" s="176">
        <f t="shared" si="23"/>
        <v>0.70466321243523311</v>
      </c>
      <c r="V121" s="155">
        <f t="shared" si="24"/>
        <v>9.7979274611398957</v>
      </c>
    </row>
    <row r="122" spans="17:22" s="1" customFormat="1" ht="15.75" thickBot="1" x14ac:dyDescent="0.3">
      <c r="Q122" s="97">
        <v>2019</v>
      </c>
      <c r="R122" s="97">
        <v>3163</v>
      </c>
      <c r="S122" s="97">
        <v>391</v>
      </c>
      <c r="T122" s="97">
        <v>-228</v>
      </c>
      <c r="U122" s="177">
        <f t="shared" si="23"/>
        <v>-0.58312020460358061</v>
      </c>
      <c r="V122" s="178">
        <f t="shared" si="24"/>
        <v>8.0895140664961644</v>
      </c>
    </row>
    <row r="123" spans="17:22" s="1" customFormat="1" ht="15.75" thickTop="1" x14ac:dyDescent="0.25"/>
    <row r="124" spans="17:22" s="1" customFormat="1" x14ac:dyDescent="0.25"/>
    <row r="125" spans="17:22" s="1" customFormat="1" x14ac:dyDescent="0.25"/>
    <row r="126" spans="17:22" s="1" customFormat="1" x14ac:dyDescent="0.25"/>
    <row r="127" spans="17:22" s="1" customFormat="1" x14ac:dyDescent="0.25"/>
    <row r="128" spans="17:22"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sheetData>
  <mergeCells count="16">
    <mergeCell ref="U3:W3"/>
    <mergeCell ref="K28:M28"/>
    <mergeCell ref="K36:N36"/>
    <mergeCell ref="Q37:T37"/>
    <mergeCell ref="K43:M43"/>
    <mergeCell ref="Q43:S43"/>
    <mergeCell ref="Q91:U91"/>
    <mergeCell ref="Q104:V104"/>
    <mergeCell ref="Q105:V105"/>
    <mergeCell ref="Q114:V114"/>
    <mergeCell ref="K52:O52"/>
    <mergeCell ref="Q52:U52"/>
    <mergeCell ref="K66:O66"/>
    <mergeCell ref="Q66:U66"/>
    <mergeCell ref="K75:O75"/>
    <mergeCell ref="Q75:U75"/>
  </mergeCells>
  <conditionalFormatting sqref="F5">
    <cfRule type="containsBlanks" dxfId="43" priority="31">
      <formula>LEN(TRIM(F5))=0</formula>
    </cfRule>
  </conditionalFormatting>
  <conditionalFormatting sqref="M5:N5">
    <cfRule type="containsText" dxfId="42" priority="28" operator="containsText" text="Oil and Gas">
      <formula>NOT(ISERROR(SEARCH("Oil and Gas",M5)))</formula>
    </cfRule>
    <cfRule type="containsText" dxfId="41" priority="29" operator="containsText" text="Gas">
      <formula>NOT(ISERROR(SEARCH("Gas",M5)))</formula>
    </cfRule>
    <cfRule type="containsText" dxfId="40" priority="30" operator="containsText" text="Oil">
      <formula>NOT(ISERROR(SEARCH("Oil",M5)))</formula>
    </cfRule>
  </conditionalFormatting>
  <conditionalFormatting sqref="K22:K24">
    <cfRule type="containsText" dxfId="39" priority="25" operator="containsText" text="Oil and Gas">
      <formula>NOT(ISERROR(SEARCH("Oil and Gas",K22)))</formula>
    </cfRule>
    <cfRule type="containsText" dxfId="38" priority="26" operator="containsText" text="Gas">
      <formula>NOT(ISERROR(SEARCH("Gas",K22)))</formula>
    </cfRule>
    <cfRule type="containsText" dxfId="37" priority="27" operator="containsText" text="Oil">
      <formula>NOT(ISERROR(SEARCH("Oil",K22)))</formula>
    </cfRule>
  </conditionalFormatting>
  <conditionalFormatting sqref="F6:F19">
    <cfRule type="containsBlanks" dxfId="36" priority="8">
      <formula>LEN(TRIM(F6))=0</formula>
    </cfRule>
  </conditionalFormatting>
  <conditionalFormatting sqref="M6:N19">
    <cfRule type="containsText" dxfId="35" priority="5" operator="containsText" text="Oil and Gas">
      <formula>NOT(ISERROR(SEARCH("Oil and Gas",M6)))</formula>
    </cfRule>
    <cfRule type="containsText" dxfId="34" priority="6" operator="containsText" text="Gas">
      <formula>NOT(ISERROR(SEARCH("Gas",M6)))</formula>
    </cfRule>
    <cfRule type="containsText" dxfId="33" priority="7" operator="containsText" text="Oil">
      <formula>NOT(ISERROR(SEARCH("Oil",M6)))</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21" operator="containsText" id="{C797FD9D-5DC1-448A-B187-59DC661596FC}">
            <xm:f>NOT(ISERROR(SEARCH($K$33,O5)))</xm:f>
            <xm:f>$K$33</xm:f>
            <x14:dxf>
              <fill>
                <patternFill>
                  <bgColor theme="7" tint="0.79998168889431442"/>
                </patternFill>
              </fill>
            </x14:dxf>
          </x14:cfRule>
          <x14:cfRule type="containsText" priority="22" operator="containsText" id="{8EF5AE3E-F0D7-4314-8DBE-21B4A518D8F9}">
            <xm:f>NOT(ISERROR(SEARCH($K$32,O5)))</xm:f>
            <xm:f>$K$32</xm:f>
            <x14:dxf>
              <fill>
                <patternFill>
                  <bgColor theme="5" tint="0.79998168889431442"/>
                </patternFill>
              </fill>
            </x14:dxf>
          </x14:cfRule>
          <x14:cfRule type="containsText" priority="23" operator="containsText" id="{17DC543E-B68B-4484-8510-5F2DEF23A458}">
            <xm:f>NOT(ISERROR(SEARCH($K$31,O5)))</xm:f>
            <xm:f>$K$31</xm:f>
            <x14:dxf>
              <fill>
                <patternFill>
                  <bgColor theme="0" tint="-0.24994659260841701"/>
                </patternFill>
              </fill>
            </x14:dxf>
          </x14:cfRule>
          <x14:cfRule type="containsText" priority="24" operator="containsText" id="{6029F5FA-0A89-4B19-A4D9-52F6CFC437CE}">
            <xm:f>NOT(ISERROR(SEARCH($K$30,O5)))</xm:f>
            <xm:f>$K$30</xm:f>
            <x14:dxf>
              <fill>
                <patternFill>
                  <bgColor theme="0" tint="-0.34998626667073579"/>
                </patternFill>
              </fill>
            </x14:dxf>
          </x14:cfRule>
          <xm:sqref>O5</xm:sqref>
        </x14:conditionalFormatting>
        <x14:conditionalFormatting xmlns:xm="http://schemas.microsoft.com/office/excel/2006/main">
          <x14:cfRule type="containsText" priority="17" operator="containsText" id="{C8744857-6D46-406F-871B-0694ECBCAFFC}">
            <xm:f>NOT(ISERROR(SEARCH($K$33,K30)))</xm:f>
            <xm:f>$K$33</xm:f>
            <x14:dxf>
              <fill>
                <patternFill>
                  <bgColor theme="7" tint="0.79998168889431442"/>
                </patternFill>
              </fill>
            </x14:dxf>
          </x14:cfRule>
          <x14:cfRule type="containsText" priority="18" operator="containsText" id="{FE641021-A830-44EE-A7A0-1F6E3ADEFB7D}">
            <xm:f>NOT(ISERROR(SEARCH($K$32,K30)))</xm:f>
            <xm:f>$K$32</xm:f>
            <x14:dxf>
              <fill>
                <patternFill>
                  <bgColor theme="5" tint="0.79998168889431442"/>
                </patternFill>
              </fill>
            </x14:dxf>
          </x14:cfRule>
          <x14:cfRule type="containsText" priority="19" operator="containsText" id="{F15B28A0-31F3-42FC-89AE-6EAD61EDFD58}">
            <xm:f>NOT(ISERROR(SEARCH($K$31,K30)))</xm:f>
            <xm:f>$K$31</xm:f>
            <x14:dxf>
              <fill>
                <patternFill>
                  <bgColor theme="0" tint="-0.24994659260841701"/>
                </patternFill>
              </fill>
            </x14:dxf>
          </x14:cfRule>
          <x14:cfRule type="containsText" priority="20" operator="containsText" id="{A1A167A4-1E36-4C45-A213-3B4A9AC3423B}">
            <xm:f>NOT(ISERROR(SEARCH($K$30,K30)))</xm:f>
            <xm:f>$K$30</xm:f>
            <x14:dxf>
              <fill>
                <patternFill>
                  <bgColor theme="0" tint="-0.34998626667073579"/>
                </patternFill>
              </fill>
            </x14:dxf>
          </x14:cfRule>
          <xm:sqref>K30:K33</xm:sqref>
        </x14:conditionalFormatting>
        <x14:conditionalFormatting xmlns:xm="http://schemas.microsoft.com/office/excel/2006/main">
          <x14:cfRule type="containsText" priority="13" operator="containsText" id="{17E8EA9C-8DD4-451A-83AC-788FEDFDC490}">
            <xm:f>NOT(ISERROR(SEARCH($K$33,K45)))</xm:f>
            <xm:f>$K$33</xm:f>
            <x14:dxf>
              <fill>
                <patternFill>
                  <bgColor theme="7" tint="0.79998168889431442"/>
                </patternFill>
              </fill>
            </x14:dxf>
          </x14:cfRule>
          <x14:cfRule type="containsText" priority="14" operator="containsText" id="{24BF8B95-82B5-4872-B10D-B2D29AFF105E}">
            <xm:f>NOT(ISERROR(SEARCH($K$32,K45)))</xm:f>
            <xm:f>$K$32</xm:f>
            <x14:dxf>
              <fill>
                <patternFill>
                  <bgColor theme="5" tint="0.79998168889431442"/>
                </patternFill>
              </fill>
            </x14:dxf>
          </x14:cfRule>
          <x14:cfRule type="containsText" priority="15" operator="containsText" id="{D4FC85CE-674A-4E88-9E90-271FC992DE7A}">
            <xm:f>NOT(ISERROR(SEARCH($K$31,K45)))</xm:f>
            <xm:f>$K$31</xm:f>
            <x14:dxf>
              <fill>
                <patternFill>
                  <bgColor theme="0" tint="-0.24994659260841701"/>
                </patternFill>
              </fill>
            </x14:dxf>
          </x14:cfRule>
          <x14:cfRule type="containsText" priority="16" operator="containsText" id="{B4AA3EC0-4317-4B8C-9132-C35ED79A33A2}">
            <xm:f>NOT(ISERROR(SEARCH($K$30,K45)))</xm:f>
            <xm:f>$K$30</xm:f>
            <x14:dxf>
              <fill>
                <patternFill>
                  <bgColor theme="0" tint="-0.34998626667073579"/>
                </patternFill>
              </fill>
            </x14:dxf>
          </x14:cfRule>
          <xm:sqref>K45:K48</xm:sqref>
        </x14:conditionalFormatting>
        <x14:conditionalFormatting xmlns:xm="http://schemas.microsoft.com/office/excel/2006/main">
          <x14:cfRule type="containsText" priority="9" operator="containsText" id="{FD59FBDB-D632-44D5-9C87-23C74A1E45AE}">
            <xm:f>NOT(ISERROR(SEARCH($K$33,Q45)))</xm:f>
            <xm:f>$K$33</xm:f>
            <x14:dxf>
              <fill>
                <patternFill>
                  <bgColor theme="7" tint="0.79998168889431442"/>
                </patternFill>
              </fill>
            </x14:dxf>
          </x14:cfRule>
          <x14:cfRule type="containsText" priority="10" operator="containsText" id="{B6390874-67D4-489C-9EDC-7C6E20AE92A0}">
            <xm:f>NOT(ISERROR(SEARCH($K$32,Q45)))</xm:f>
            <xm:f>$K$32</xm:f>
            <x14:dxf>
              <fill>
                <patternFill>
                  <bgColor theme="5" tint="0.79998168889431442"/>
                </patternFill>
              </fill>
            </x14:dxf>
          </x14:cfRule>
          <x14:cfRule type="containsText" priority="11" operator="containsText" id="{60E5EF27-AD6F-47F8-BC02-C6E8A03C7062}">
            <xm:f>NOT(ISERROR(SEARCH($K$31,Q45)))</xm:f>
            <xm:f>$K$31</xm:f>
            <x14:dxf>
              <fill>
                <patternFill>
                  <bgColor theme="0" tint="-0.24994659260841701"/>
                </patternFill>
              </fill>
            </x14:dxf>
          </x14:cfRule>
          <x14:cfRule type="containsText" priority="12" operator="containsText" id="{0FF472B3-E22E-4F57-8CFF-1D840DCA51E8}">
            <xm:f>NOT(ISERROR(SEARCH($K$30,Q45)))</xm:f>
            <xm:f>$K$30</xm:f>
            <x14:dxf>
              <fill>
                <patternFill>
                  <bgColor theme="0" tint="-0.34998626667073579"/>
                </patternFill>
              </fill>
            </x14:dxf>
          </x14:cfRule>
          <xm:sqref>Q45:Q48</xm:sqref>
        </x14:conditionalFormatting>
        <x14:conditionalFormatting xmlns:xm="http://schemas.microsoft.com/office/excel/2006/main">
          <x14:cfRule type="containsText" priority="1" operator="containsText" id="{F7DB73E9-3BE5-437C-91FE-75DAAD2CF789}">
            <xm:f>NOT(ISERROR(SEARCH($K$33,O6)))</xm:f>
            <xm:f>$K$33</xm:f>
            <x14:dxf>
              <fill>
                <patternFill>
                  <bgColor theme="7" tint="0.79998168889431442"/>
                </patternFill>
              </fill>
            </x14:dxf>
          </x14:cfRule>
          <x14:cfRule type="containsText" priority="2" operator="containsText" id="{FF9134C8-E496-4A4F-B7F6-7EF982189D50}">
            <xm:f>NOT(ISERROR(SEARCH($K$32,O6)))</xm:f>
            <xm:f>$K$32</xm:f>
            <x14:dxf>
              <fill>
                <patternFill>
                  <bgColor theme="5" tint="0.79998168889431442"/>
                </patternFill>
              </fill>
            </x14:dxf>
          </x14:cfRule>
          <x14:cfRule type="containsText" priority="3" operator="containsText" id="{DC943C0F-438C-4EBA-B68C-3B87DFA7175B}">
            <xm:f>NOT(ISERROR(SEARCH($K$31,O6)))</xm:f>
            <xm:f>$K$31</xm:f>
            <x14:dxf>
              <fill>
                <patternFill>
                  <bgColor theme="0" tint="-0.24994659260841701"/>
                </patternFill>
              </fill>
            </x14:dxf>
          </x14:cfRule>
          <x14:cfRule type="containsText" priority="4" operator="containsText" id="{4EC6C3A9-C204-4A74-A7E9-E015AB49E1F7}">
            <xm:f>NOT(ISERROR(SEARCH($K$30,O6)))</xm:f>
            <xm:f>$K$30</xm:f>
            <x14:dxf>
              <fill>
                <patternFill>
                  <bgColor theme="0" tint="-0.34998626667073579"/>
                </patternFill>
              </fill>
            </x14:dxf>
          </x14:cfRule>
          <xm:sqref>O6:O19</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2BB43-6825-4DB9-BDA5-BAD8B9C7CF26}">
  <dimension ref="A2:W49"/>
  <sheetViews>
    <sheetView showGridLines="0" topLeftCell="D1" zoomScale="85" zoomScaleNormal="85" workbookViewId="0">
      <selection activeCell="G26" sqref="G26:K26"/>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8" max="10" width="18.85546875" customWidth="1"/>
    <col min="11" max="11" width="16.28515625" customWidth="1"/>
    <col min="12" max="12" width="6.5703125" customWidth="1"/>
    <col min="13" max="13" width="10.5703125" customWidth="1"/>
    <col min="14" max="14" width="12.28515625" customWidth="1"/>
    <col min="15" max="16" width="20.28515625" customWidth="1"/>
    <col min="17" max="17" width="14.7109375" customWidth="1"/>
    <col min="18" max="20" width="20.28515625" customWidth="1"/>
    <col min="22" max="22" width="5.28515625" customWidth="1"/>
    <col min="23" max="23" width="16.85546875" customWidth="1"/>
    <col min="25" max="25" width="17.7109375" customWidth="1"/>
  </cols>
  <sheetData>
    <row r="2" spans="1:23" ht="15.75" thickBot="1" x14ac:dyDescent="0.3">
      <c r="D2" s="269" t="s">
        <v>381</v>
      </c>
      <c r="E2" s="269"/>
      <c r="F2" s="269"/>
    </row>
    <row r="3" spans="1:23" ht="15.75" thickTop="1" x14ac:dyDescent="0.25">
      <c r="D3" s="98"/>
      <c r="E3" s="98" t="s">
        <v>382</v>
      </c>
      <c r="F3" s="98" t="s">
        <v>383</v>
      </c>
    </row>
    <row r="4" spans="1:23" x14ac:dyDescent="0.25">
      <c r="D4" s="78" t="s">
        <v>384</v>
      </c>
      <c r="E4" s="99">
        <v>0</v>
      </c>
      <c r="F4" s="98">
        <v>10</v>
      </c>
    </row>
    <row r="5" spans="1:23" x14ac:dyDescent="0.25">
      <c r="D5" s="78" t="s">
        <v>385</v>
      </c>
      <c r="E5" s="98">
        <v>10</v>
      </c>
      <c r="F5" s="98">
        <v>22.3</v>
      </c>
    </row>
    <row r="6" spans="1:23" x14ac:dyDescent="0.25">
      <c r="D6" s="78" t="s">
        <v>386</v>
      </c>
      <c r="E6" s="98">
        <v>22.3</v>
      </c>
      <c r="F6" s="98">
        <v>31.1</v>
      </c>
    </row>
    <row r="7" spans="1:23" x14ac:dyDescent="0.25">
      <c r="D7" s="78" t="s">
        <v>387</v>
      </c>
      <c r="E7" s="98">
        <v>31.1</v>
      </c>
      <c r="F7" s="99">
        <v>100</v>
      </c>
    </row>
    <row r="8" spans="1:23" ht="15.75" x14ac:dyDescent="0.25">
      <c r="K8" s="271" t="s">
        <v>448</v>
      </c>
      <c r="L8" s="271"/>
      <c r="M8" s="271"/>
      <c r="N8" s="271"/>
      <c r="O8" s="271"/>
      <c r="P8" s="271"/>
      <c r="Q8" s="271"/>
      <c r="R8" s="271"/>
      <c r="S8" s="183"/>
      <c r="T8" s="183"/>
    </row>
    <row r="9" spans="1:23" ht="30" x14ac:dyDescent="0.25">
      <c r="A9" t="s">
        <v>474</v>
      </c>
      <c r="C9" s="179" t="s">
        <v>341</v>
      </c>
      <c r="D9" s="179" t="s">
        <v>7</v>
      </c>
      <c r="E9" s="179" t="s">
        <v>4</v>
      </c>
      <c r="F9" s="179" t="s">
        <v>5</v>
      </c>
      <c r="G9" s="179" t="s">
        <v>6</v>
      </c>
      <c r="H9" s="181" t="s">
        <v>438</v>
      </c>
      <c r="I9" s="181" t="s">
        <v>436</v>
      </c>
      <c r="J9" s="181" t="s">
        <v>437</v>
      </c>
      <c r="K9" s="179" t="s">
        <v>442</v>
      </c>
      <c r="L9" s="179" t="s">
        <v>439</v>
      </c>
      <c r="M9" s="179" t="s">
        <v>440</v>
      </c>
      <c r="N9" s="179" t="s">
        <v>443</v>
      </c>
      <c r="O9" s="179" t="s">
        <v>444</v>
      </c>
      <c r="P9" s="179" t="s">
        <v>445</v>
      </c>
      <c r="Q9" s="179" t="s">
        <v>446</v>
      </c>
      <c r="R9" s="179" t="s">
        <v>447</v>
      </c>
      <c r="S9" s="179" t="s">
        <v>441</v>
      </c>
      <c r="T9" s="181" t="s">
        <v>450</v>
      </c>
      <c r="U9" s="5" t="s">
        <v>11</v>
      </c>
      <c r="V9" s="5"/>
      <c r="W9" s="5" t="s">
        <v>348</v>
      </c>
    </row>
    <row r="10" spans="1:23" x14ac:dyDescent="0.25">
      <c r="C10" s="76" t="e" vm="1">
        <v>#VALUE!</v>
      </c>
      <c r="D10" s="18" t="s">
        <v>30</v>
      </c>
      <c r="E10" s="18" t="s">
        <v>27</v>
      </c>
      <c r="F10" s="18" t="s">
        <v>28</v>
      </c>
      <c r="G10" s="81" t="s">
        <v>29</v>
      </c>
      <c r="H10" s="182"/>
      <c r="I10" s="182"/>
      <c r="J10" s="182"/>
      <c r="K10" s="185">
        <v>0</v>
      </c>
      <c r="L10" s="185">
        <v>0</v>
      </c>
      <c r="M10" s="185">
        <v>0</v>
      </c>
      <c r="N10" s="185">
        <v>0</v>
      </c>
      <c r="O10" s="185">
        <v>0</v>
      </c>
      <c r="P10" s="185">
        <v>0</v>
      </c>
      <c r="Q10" s="185">
        <v>0</v>
      </c>
      <c r="R10" s="185">
        <v>0</v>
      </c>
      <c r="S10" s="185">
        <v>119308.68268493151</v>
      </c>
      <c r="T10" s="184">
        <f>+M10</f>
        <v>0</v>
      </c>
      <c r="U10" s="76">
        <f>11.3+(14.4-11.3)/2</f>
        <v>12.850000000000001</v>
      </c>
      <c r="V10" s="79"/>
      <c r="W10" s="79" t="str">
        <f t="shared" ref="W10:W19" si="0">+IF(G10="Gas","Doesn't Apply",IF(U10&lt;$F$4,$D$4,IF(U10&lt;$F$5,$D$5,IF(U10&lt;$F$6,$D$6,IF(U10&gt;$E$7,$D$7,"Doesn't Apply")))))</f>
        <v>Heavy Oil</v>
      </c>
    </row>
    <row r="11" spans="1:23" x14ac:dyDescent="0.25">
      <c r="C11" s="76" t="e" vm="1">
        <v>#VALUE!</v>
      </c>
      <c r="D11" s="18" t="s">
        <v>30</v>
      </c>
      <c r="E11" s="18" t="s">
        <v>45</v>
      </c>
      <c r="F11" s="18" t="s">
        <v>28</v>
      </c>
      <c r="G11" s="81" t="s">
        <v>46</v>
      </c>
      <c r="H11" s="182"/>
      <c r="I11" s="182"/>
      <c r="J11" s="182"/>
      <c r="K11" s="185">
        <v>0</v>
      </c>
      <c r="L11" s="185">
        <v>0</v>
      </c>
      <c r="M11" s="185">
        <v>0</v>
      </c>
      <c r="N11" s="185">
        <v>0</v>
      </c>
      <c r="O11" s="185">
        <v>0</v>
      </c>
      <c r="P11" s="185">
        <v>0</v>
      </c>
      <c r="Q11" s="185">
        <v>0</v>
      </c>
      <c r="R11" s="185">
        <v>0</v>
      </c>
      <c r="S11" s="185">
        <v>114056.06200000001</v>
      </c>
      <c r="T11" s="184">
        <f t="shared" ref="T11:T29" si="1">+M11</f>
        <v>0</v>
      </c>
      <c r="U11" s="76">
        <v>13.7</v>
      </c>
      <c r="V11" s="79"/>
      <c r="W11" s="79" t="str">
        <f t="shared" si="0"/>
        <v>Heavy Oil</v>
      </c>
    </row>
    <row r="12" spans="1:23" x14ac:dyDescent="0.25">
      <c r="C12" s="76" t="e" vm="1">
        <v>#VALUE!</v>
      </c>
      <c r="D12" s="18" t="s">
        <v>30</v>
      </c>
      <c r="E12" s="18" t="s">
        <v>60</v>
      </c>
      <c r="F12" s="18" t="s">
        <v>28</v>
      </c>
      <c r="G12" s="81" t="s">
        <v>61</v>
      </c>
      <c r="H12" s="182"/>
      <c r="I12" s="182"/>
      <c r="J12" s="182"/>
      <c r="K12" s="185">
        <v>3.7935616438356163</v>
      </c>
      <c r="L12" s="185">
        <v>0</v>
      </c>
      <c r="M12" s="185">
        <v>0</v>
      </c>
      <c r="N12" s="185">
        <v>2.9221917808219184</v>
      </c>
      <c r="O12" s="185">
        <v>0.87139726027397268</v>
      </c>
      <c r="P12" s="185">
        <v>0</v>
      </c>
      <c r="Q12" s="185">
        <v>0</v>
      </c>
      <c r="R12" s="185">
        <v>0</v>
      </c>
      <c r="S12" s="185">
        <v>69090.784575342463</v>
      </c>
      <c r="T12" s="184">
        <f t="shared" si="1"/>
        <v>0</v>
      </c>
      <c r="U12" s="76">
        <f>7+(20-7)/2</f>
        <v>13.5</v>
      </c>
      <c r="V12" s="79"/>
      <c r="W12" s="79" t="str">
        <f t="shared" si="0"/>
        <v>Heavy Oil</v>
      </c>
    </row>
    <row r="13" spans="1:23" x14ac:dyDescent="0.25">
      <c r="C13" s="76" t="e" vm="2">
        <v>#VALUE!</v>
      </c>
      <c r="D13" s="18" t="s">
        <v>30</v>
      </c>
      <c r="E13" s="18" t="s">
        <v>78</v>
      </c>
      <c r="F13" s="18" t="s">
        <v>79</v>
      </c>
      <c r="G13" s="81" t="s">
        <v>80</v>
      </c>
      <c r="H13" s="182"/>
      <c r="I13" s="182"/>
      <c r="J13" s="182"/>
      <c r="K13" s="185">
        <v>6.7767123287671236</v>
      </c>
      <c r="L13" s="185">
        <v>0</v>
      </c>
      <c r="M13" s="185">
        <v>0</v>
      </c>
      <c r="N13" s="185">
        <v>1.6441095890410957</v>
      </c>
      <c r="O13" s="185">
        <v>1.396739726027397</v>
      </c>
      <c r="P13" s="185">
        <v>3.7358630136986304</v>
      </c>
      <c r="Q13" s="185">
        <v>0</v>
      </c>
      <c r="R13" s="185">
        <v>0</v>
      </c>
      <c r="S13" s="185">
        <v>42334.39687671233</v>
      </c>
      <c r="T13" s="184">
        <f t="shared" si="1"/>
        <v>0</v>
      </c>
      <c r="U13" s="76">
        <f>20+(25-20)/2</f>
        <v>22.5</v>
      </c>
      <c r="V13" s="79"/>
      <c r="W13" s="79" t="str">
        <f t="shared" si="0"/>
        <v>Medium Oil</v>
      </c>
    </row>
    <row r="14" spans="1:23" x14ac:dyDescent="0.25">
      <c r="C14" s="76" t="e" vm="4">
        <v>#VALUE!</v>
      </c>
      <c r="D14" s="18" t="s">
        <v>30</v>
      </c>
      <c r="E14" s="18" t="s">
        <v>124</v>
      </c>
      <c r="F14" s="18" t="s">
        <v>79</v>
      </c>
      <c r="G14" s="81" t="s">
        <v>125</v>
      </c>
      <c r="H14" s="182"/>
      <c r="I14" s="182"/>
      <c r="J14" s="182"/>
      <c r="K14" s="185">
        <v>5.0572054794520547</v>
      </c>
      <c r="L14" s="185">
        <v>0</v>
      </c>
      <c r="M14" s="185">
        <v>0</v>
      </c>
      <c r="N14" s="185">
        <v>0.21123287671232879</v>
      </c>
      <c r="O14" s="185">
        <v>2.4027123287671235</v>
      </c>
      <c r="P14" s="185">
        <v>0</v>
      </c>
      <c r="Q14" s="185">
        <v>0</v>
      </c>
      <c r="R14" s="185">
        <v>2.4430958904109596</v>
      </c>
      <c r="S14" s="185">
        <v>17849.99879452055</v>
      </c>
      <c r="T14" s="184">
        <f t="shared" si="1"/>
        <v>0</v>
      </c>
      <c r="U14" s="76">
        <v>21</v>
      </c>
      <c r="V14" s="79"/>
      <c r="W14" s="79" t="str">
        <f t="shared" si="0"/>
        <v>Heavy Oil</v>
      </c>
    </row>
    <row r="15" spans="1:23" x14ac:dyDescent="0.25">
      <c r="C15" s="76" t="e" vm="5">
        <v>#VALUE!</v>
      </c>
      <c r="D15" s="18" t="s">
        <v>30</v>
      </c>
      <c r="E15" s="18" t="s">
        <v>139</v>
      </c>
      <c r="F15" s="18" t="s">
        <v>79</v>
      </c>
      <c r="G15" s="81" t="s">
        <v>140</v>
      </c>
      <c r="H15" s="182"/>
      <c r="I15" s="182"/>
      <c r="J15" s="182"/>
      <c r="K15" s="185">
        <v>1.1894794520547947</v>
      </c>
      <c r="L15" s="185">
        <v>0</v>
      </c>
      <c r="M15" s="185">
        <v>0</v>
      </c>
      <c r="N15" s="185">
        <v>0.23397260273972598</v>
      </c>
      <c r="O15" s="185">
        <v>0.95542465753424666</v>
      </c>
      <c r="P15" s="185">
        <v>0</v>
      </c>
      <c r="Q15" s="185">
        <v>0</v>
      </c>
      <c r="R15" s="185">
        <v>0</v>
      </c>
      <c r="S15" s="185">
        <v>12119.396575342465</v>
      </c>
      <c r="T15" s="184">
        <f t="shared" si="1"/>
        <v>0</v>
      </c>
      <c r="U15" s="76">
        <v>21</v>
      </c>
      <c r="V15" s="79"/>
      <c r="W15" s="79" t="str">
        <f t="shared" si="0"/>
        <v>Heavy Oil</v>
      </c>
    </row>
    <row r="16" spans="1:23" x14ac:dyDescent="0.25">
      <c r="C16" s="76" t="e" vm="7">
        <v>#VALUE!</v>
      </c>
      <c r="D16" s="18" t="s">
        <v>30</v>
      </c>
      <c r="E16" s="18" t="s">
        <v>255</v>
      </c>
      <c r="F16" s="18" t="s">
        <v>28</v>
      </c>
      <c r="G16" s="81" t="s">
        <v>256</v>
      </c>
      <c r="H16" s="182"/>
      <c r="I16" s="182"/>
      <c r="J16" s="182"/>
      <c r="K16" s="185">
        <v>649.4862739726027</v>
      </c>
      <c r="L16" s="185">
        <v>0</v>
      </c>
      <c r="M16" s="185">
        <v>396.38389041095888</v>
      </c>
      <c r="N16" s="185">
        <v>2.2383835616438361</v>
      </c>
      <c r="O16" s="185">
        <v>38.275260273972606</v>
      </c>
      <c r="P16" s="185">
        <v>16.510794520547947</v>
      </c>
      <c r="Q16" s="185">
        <v>8.2636712328767121</v>
      </c>
      <c r="R16" s="185">
        <v>196.07800000000003</v>
      </c>
      <c r="S16" s="185">
        <v>10231.853999999999</v>
      </c>
      <c r="T16" s="184">
        <f t="shared" si="1"/>
        <v>396.38389041095888</v>
      </c>
      <c r="U16" s="76">
        <v>48</v>
      </c>
      <c r="V16" s="79"/>
      <c r="W16" s="79" t="str">
        <f t="shared" si="0"/>
        <v>Light Oil</v>
      </c>
    </row>
    <row r="17" spans="3:23" x14ac:dyDescent="0.25">
      <c r="C17" s="76" t="e" vm="7">
        <v>#VALUE!</v>
      </c>
      <c r="D17" s="18" t="s">
        <v>30</v>
      </c>
      <c r="E17" s="18" t="s">
        <v>269</v>
      </c>
      <c r="F17" s="18" t="s">
        <v>28</v>
      </c>
      <c r="G17" s="81" t="s">
        <v>270</v>
      </c>
      <c r="H17" s="182"/>
      <c r="I17" s="182"/>
      <c r="J17" s="182"/>
      <c r="K17" s="185">
        <v>277.37400000000002</v>
      </c>
      <c r="L17" s="185">
        <v>0</v>
      </c>
      <c r="M17" s="185">
        <v>50.500383561643829</v>
      </c>
      <c r="N17" s="185">
        <v>1.1420547945205479</v>
      </c>
      <c r="O17" s="185">
        <v>30.359369863013697</v>
      </c>
      <c r="P17" s="185">
        <v>30.377342465753429</v>
      </c>
      <c r="Q17" s="185">
        <v>30.352082191780823</v>
      </c>
      <c r="R17" s="185">
        <v>164.99443835616438</v>
      </c>
      <c r="S17" s="185">
        <v>3182.6220821917809</v>
      </c>
      <c r="T17" s="184">
        <f t="shared" si="1"/>
        <v>50.500383561643829</v>
      </c>
      <c r="U17" s="76">
        <v>52</v>
      </c>
      <c r="V17" s="79"/>
      <c r="W17" s="79" t="str">
        <f t="shared" si="0"/>
        <v>Light Oil</v>
      </c>
    </row>
    <row r="18" spans="3:23" x14ac:dyDescent="0.25">
      <c r="C18" s="76" t="e" vm="7">
        <v>#VALUE!</v>
      </c>
      <c r="D18" s="18" t="s">
        <v>30</v>
      </c>
      <c r="E18" s="18" t="s">
        <v>276</v>
      </c>
      <c r="F18" s="18" t="s">
        <v>28</v>
      </c>
      <c r="G18" s="81" t="s">
        <v>277</v>
      </c>
      <c r="H18" s="182"/>
      <c r="I18" s="182"/>
      <c r="J18" s="182"/>
      <c r="K18" s="185">
        <v>435.4008767123288</v>
      </c>
      <c r="L18" s="185">
        <v>0</v>
      </c>
      <c r="M18" s="185">
        <v>225.24104109589044</v>
      </c>
      <c r="N18" s="185">
        <v>1.2202465753424658</v>
      </c>
      <c r="O18" s="185">
        <v>9.0779452054794518</v>
      </c>
      <c r="P18" s="185">
        <v>142.09446575342469</v>
      </c>
      <c r="Q18" s="185">
        <v>0</v>
      </c>
      <c r="R18" s="185">
        <v>57.767424657534249</v>
      </c>
      <c r="S18" s="185">
        <v>27008.407917808221</v>
      </c>
      <c r="T18" s="184">
        <f t="shared" si="1"/>
        <v>225.24104109589044</v>
      </c>
      <c r="U18" s="76">
        <v>46</v>
      </c>
      <c r="V18" s="79"/>
      <c r="W18" s="79" t="str">
        <f t="shared" si="0"/>
        <v>Light Oil</v>
      </c>
    </row>
    <row r="19" spans="3:23" x14ac:dyDescent="0.25">
      <c r="C19" s="76" t="e" vm="7">
        <v>#VALUE!</v>
      </c>
      <c r="D19" s="18" t="s">
        <v>30</v>
      </c>
      <c r="E19" s="18" t="s">
        <v>276</v>
      </c>
      <c r="F19" s="18" t="s">
        <v>28</v>
      </c>
      <c r="G19" s="81" t="s">
        <v>290</v>
      </c>
      <c r="H19" s="182"/>
      <c r="I19" s="182"/>
      <c r="J19" s="182"/>
      <c r="K19" s="185">
        <v>114.48408219178081</v>
      </c>
      <c r="L19" s="185">
        <v>0</v>
      </c>
      <c r="M19" s="185">
        <v>111.18394520547945</v>
      </c>
      <c r="N19" s="185">
        <v>0.37649315068493155</v>
      </c>
      <c r="O19" s="185">
        <v>2.923643835616438</v>
      </c>
      <c r="P19" s="185">
        <v>0</v>
      </c>
      <c r="Q19" s="185">
        <v>0</v>
      </c>
      <c r="R19" s="185">
        <v>0</v>
      </c>
      <c r="S19" s="185">
        <v>4583.6177808219181</v>
      </c>
      <c r="T19" s="184">
        <f t="shared" si="1"/>
        <v>111.18394520547945</v>
      </c>
      <c r="U19" s="76">
        <f>44+((47-44)/2)</f>
        <v>45.5</v>
      </c>
      <c r="V19" s="79"/>
      <c r="W19" s="79" t="str">
        <f t="shared" si="0"/>
        <v>Light Oil</v>
      </c>
    </row>
    <row r="20" spans="3:23" x14ac:dyDescent="0.25">
      <c r="C20" s="76" t="e" vm="8">
        <v>#VALUE!</v>
      </c>
      <c r="D20" s="18" t="s">
        <v>30</v>
      </c>
      <c r="E20" s="18" t="s">
        <v>300</v>
      </c>
      <c r="F20" s="18" t="s">
        <v>299</v>
      </c>
      <c r="G20" s="81" t="s">
        <v>301</v>
      </c>
      <c r="H20" s="182"/>
      <c r="I20" s="182"/>
      <c r="J20" s="182"/>
      <c r="K20" s="185">
        <v>162.95279452054797</v>
      </c>
      <c r="L20" s="185">
        <v>0</v>
      </c>
      <c r="M20" s="185">
        <v>0</v>
      </c>
      <c r="N20" s="185">
        <v>0.22493150684931507</v>
      </c>
      <c r="O20" s="185">
        <v>6.5319452054794507</v>
      </c>
      <c r="P20" s="185">
        <v>13.287095890410958</v>
      </c>
      <c r="Q20" s="185">
        <v>0</v>
      </c>
      <c r="R20" s="185">
        <v>142.90884931506849</v>
      </c>
      <c r="S20" s="185">
        <v>0</v>
      </c>
      <c r="T20" s="184">
        <f t="shared" si="1"/>
        <v>0</v>
      </c>
      <c r="U20" s="76" t="s">
        <v>31</v>
      </c>
      <c r="V20" s="79" t="s">
        <v>435</v>
      </c>
      <c r="W20" s="79" t="str">
        <f>+IF(V20="Gas","Doesn't Apply",IF(U20&lt;$F$4,$D$4,IF(U20&lt;$F$5,$D$5,IF(U20&lt;$F$6,$D$6,IF(U20&gt;$E$7,$D$7,"Doesn't Apply")))))</f>
        <v>Doesn't Apply</v>
      </c>
    </row>
    <row r="21" spans="3:23" x14ac:dyDescent="0.25">
      <c r="C21" s="76" t="e" vm="8">
        <v>#VALUE!</v>
      </c>
      <c r="D21" s="18" t="s">
        <v>30</v>
      </c>
      <c r="E21" s="18" t="s">
        <v>300</v>
      </c>
      <c r="F21" s="18" t="s">
        <v>299</v>
      </c>
      <c r="G21" s="81" t="s">
        <v>311</v>
      </c>
      <c r="H21" s="182"/>
      <c r="I21" s="182"/>
      <c r="J21" s="182"/>
      <c r="K21" s="185">
        <v>23.174301369863016</v>
      </c>
      <c r="L21" s="185">
        <v>0</v>
      </c>
      <c r="M21" s="185">
        <v>0</v>
      </c>
      <c r="N21" s="185">
        <v>2.701369863013699E-2</v>
      </c>
      <c r="O21" s="185">
        <v>0.11695890410958903</v>
      </c>
      <c r="P21" s="185">
        <v>1.9608219178082194</v>
      </c>
      <c r="Q21" s="185">
        <v>0</v>
      </c>
      <c r="R21" s="185">
        <v>21.069616438356167</v>
      </c>
      <c r="S21" s="185">
        <v>0</v>
      </c>
      <c r="T21" s="184">
        <f t="shared" si="1"/>
        <v>0</v>
      </c>
      <c r="U21" s="76" t="s">
        <v>31</v>
      </c>
      <c r="V21" s="79" t="s">
        <v>435</v>
      </c>
      <c r="W21" s="79" t="str">
        <f>+IF(V21="Gas","Doesn't Apply",IF(U21&lt;$F$4,$D$4,IF(U21&lt;$F$5,$D$5,IF(U21&lt;$F$6,$D$6,IF(U21&gt;$E$7,$D$7,"Doesn't Apply")))))</f>
        <v>Doesn't Apply</v>
      </c>
    </row>
    <row r="22" spans="3:23" x14ac:dyDescent="0.25">
      <c r="C22" s="76" t="e" vm="1">
        <v>#VALUE!</v>
      </c>
      <c r="D22" s="18" t="s">
        <v>30</v>
      </c>
      <c r="E22" s="18" t="s">
        <v>60</v>
      </c>
      <c r="F22" s="18" t="s">
        <v>460</v>
      </c>
      <c r="G22" s="81" t="s">
        <v>342</v>
      </c>
      <c r="H22" s="182"/>
      <c r="I22" s="182"/>
      <c r="J22" s="182"/>
      <c r="K22" s="185">
        <v>0.58205479452054798</v>
      </c>
      <c r="L22" s="185">
        <v>0</v>
      </c>
      <c r="M22" s="185">
        <v>0</v>
      </c>
      <c r="N22" s="185">
        <v>0.58205479452054798</v>
      </c>
      <c r="O22" s="185">
        <v>0</v>
      </c>
      <c r="P22" s="185">
        <v>0</v>
      </c>
      <c r="Q22" s="185">
        <v>0</v>
      </c>
      <c r="R22" s="185">
        <v>0</v>
      </c>
      <c r="S22" s="185">
        <v>19756.607616438356</v>
      </c>
      <c r="T22" s="184">
        <f t="shared" si="1"/>
        <v>0</v>
      </c>
      <c r="U22" s="76">
        <v>8</v>
      </c>
      <c r="V22" s="79"/>
      <c r="W22" s="79" t="str">
        <f t="shared" ref="W22:W28" si="2">+IF(V22="Gas","Doesn't Apply",IF(U22&lt;$F$4,$D$4,IF(U22&lt;$F$5,$D$5,IF(U22&lt;$F$6,$D$6,IF(U22&gt;$E$7,$D$7,"Doesn't Apply")))))</f>
        <v>Extra Heavy Oil</v>
      </c>
    </row>
    <row r="23" spans="3:23" x14ac:dyDescent="0.25">
      <c r="C23" s="76" t="e" vm="9">
        <v>#VALUE!</v>
      </c>
      <c r="D23" s="18" t="s">
        <v>30</v>
      </c>
      <c r="E23" s="18" t="s">
        <v>452</v>
      </c>
      <c r="F23" s="18" t="s">
        <v>458</v>
      </c>
      <c r="G23" s="81" t="s">
        <v>343</v>
      </c>
      <c r="H23" s="182"/>
      <c r="I23" s="182"/>
      <c r="J23" s="182"/>
      <c r="K23" s="185">
        <v>1.9275342465753424</v>
      </c>
      <c r="L23" s="185">
        <v>0</v>
      </c>
      <c r="M23" s="185">
        <v>0</v>
      </c>
      <c r="N23" s="185">
        <v>0.22805479452054794</v>
      </c>
      <c r="O23" s="185">
        <v>0.10339726027397263</v>
      </c>
      <c r="P23" s="185">
        <v>1.5925479452054794</v>
      </c>
      <c r="Q23" s="185">
        <v>0.55931506849315071</v>
      </c>
      <c r="R23" s="185">
        <v>3.4794520547945205E-3</v>
      </c>
      <c r="S23" s="185">
        <v>4684.6815890410962</v>
      </c>
      <c r="T23" s="184">
        <f t="shared" si="1"/>
        <v>0</v>
      </c>
      <c r="U23" s="76">
        <v>23</v>
      </c>
      <c r="V23" s="79"/>
      <c r="W23" s="79" t="str">
        <f t="shared" si="2"/>
        <v>Medium Oil</v>
      </c>
    </row>
    <row r="24" spans="3:23" x14ac:dyDescent="0.25">
      <c r="C24" s="76" t="e" vm="9">
        <v>#VALUE!</v>
      </c>
      <c r="D24" s="18" t="s">
        <v>30</v>
      </c>
      <c r="E24" s="18" t="s">
        <v>453</v>
      </c>
      <c r="F24" s="18" t="s">
        <v>458</v>
      </c>
      <c r="G24" s="81" t="s">
        <v>344</v>
      </c>
      <c r="H24" s="182"/>
      <c r="I24" s="182"/>
      <c r="J24" s="182"/>
      <c r="K24" s="185">
        <v>0.86709589041095891</v>
      </c>
      <c r="L24" s="185">
        <v>0</v>
      </c>
      <c r="M24" s="185">
        <v>0</v>
      </c>
      <c r="N24" s="185">
        <v>0.41205479452054788</v>
      </c>
      <c r="O24" s="185">
        <v>0.45498630136986301</v>
      </c>
      <c r="P24" s="185">
        <v>0</v>
      </c>
      <c r="Q24" s="185">
        <v>0</v>
      </c>
      <c r="R24" s="185">
        <v>0</v>
      </c>
      <c r="S24" s="185">
        <v>4154.1152328767121</v>
      </c>
      <c r="T24" s="184">
        <f t="shared" si="1"/>
        <v>0</v>
      </c>
      <c r="U24" s="76">
        <v>25.5</v>
      </c>
      <c r="V24" s="79"/>
      <c r="W24" s="79" t="str">
        <f t="shared" si="2"/>
        <v>Medium Oil</v>
      </c>
    </row>
    <row r="25" spans="3:23" x14ac:dyDescent="0.25">
      <c r="C25" s="76" t="e" vm="9">
        <v>#VALUE!</v>
      </c>
      <c r="D25" s="18" t="s">
        <v>30</v>
      </c>
      <c r="E25" s="18" t="s">
        <v>454</v>
      </c>
      <c r="F25" s="18" t="s">
        <v>458</v>
      </c>
      <c r="G25" s="193" t="s">
        <v>345</v>
      </c>
      <c r="H25" s="182"/>
      <c r="I25" s="182"/>
      <c r="J25" s="182"/>
      <c r="K25" s="185">
        <v>1.1908493150684931</v>
      </c>
      <c r="L25" s="185">
        <v>0</v>
      </c>
      <c r="M25" s="185">
        <v>0</v>
      </c>
      <c r="N25" s="185">
        <v>1.5506849315068495E-2</v>
      </c>
      <c r="O25" s="185">
        <v>0</v>
      </c>
      <c r="P25" s="185">
        <v>1.1751506849315068</v>
      </c>
      <c r="Q25" s="185">
        <v>0.52964383561643835</v>
      </c>
      <c r="R25" s="185">
        <v>0</v>
      </c>
      <c r="S25" s="185">
        <v>3941.1335068493149</v>
      </c>
      <c r="T25" s="184">
        <f t="shared" si="1"/>
        <v>0</v>
      </c>
      <c r="U25" s="76">
        <v>21</v>
      </c>
      <c r="V25" s="79"/>
      <c r="W25" s="79" t="str">
        <f t="shared" si="2"/>
        <v>Heavy Oil</v>
      </c>
    </row>
    <row r="26" spans="3:23" x14ac:dyDescent="0.25">
      <c r="C26" s="76" t="e" vm="1">
        <v>#VALUE!</v>
      </c>
      <c r="D26" s="18" t="s">
        <v>30</v>
      </c>
      <c r="E26" s="18" t="s">
        <v>455</v>
      </c>
      <c r="F26" s="18" t="s">
        <v>460</v>
      </c>
      <c r="G26" s="81" t="s">
        <v>346</v>
      </c>
      <c r="H26" s="182"/>
      <c r="I26" s="182"/>
      <c r="J26" s="182"/>
      <c r="K26" s="185">
        <v>0.23827397260273972</v>
      </c>
      <c r="L26" s="185">
        <v>0</v>
      </c>
      <c r="M26" s="185">
        <v>0</v>
      </c>
      <c r="N26" s="185">
        <v>0.1378630136986301</v>
      </c>
      <c r="O26" s="185">
        <v>0.10038356164383562</v>
      </c>
      <c r="P26" s="185">
        <v>0</v>
      </c>
      <c r="Q26" s="185">
        <v>0</v>
      </c>
      <c r="R26" s="185">
        <v>0</v>
      </c>
      <c r="S26" s="185">
        <v>1476.5236986301368</v>
      </c>
      <c r="T26" s="184">
        <f t="shared" si="1"/>
        <v>0</v>
      </c>
      <c r="U26" s="76">
        <v>13.5</v>
      </c>
      <c r="V26" s="79"/>
      <c r="W26" s="79" t="str">
        <f t="shared" si="2"/>
        <v>Heavy Oil</v>
      </c>
    </row>
    <row r="27" spans="3:23" x14ac:dyDescent="0.25">
      <c r="C27" s="76" t="e" vm="5">
        <v>#VALUE!</v>
      </c>
      <c r="D27" s="18" t="s">
        <v>30</v>
      </c>
      <c r="E27" s="18" t="s">
        <v>456</v>
      </c>
      <c r="F27" s="18" t="s">
        <v>79</v>
      </c>
      <c r="G27" s="81" t="s">
        <v>347</v>
      </c>
      <c r="H27" s="182"/>
      <c r="I27" s="182"/>
      <c r="J27" s="182"/>
      <c r="K27" s="185">
        <v>0.23827397260273972</v>
      </c>
      <c r="L27" s="185">
        <v>0</v>
      </c>
      <c r="M27" s="185">
        <v>0</v>
      </c>
      <c r="N27" s="185">
        <v>0.1378630136986301</v>
      </c>
      <c r="O27" s="185">
        <v>0.10038356164383562</v>
      </c>
      <c r="P27" s="185">
        <v>0</v>
      </c>
      <c r="Q27" s="185">
        <v>0</v>
      </c>
      <c r="R27" s="185">
        <v>0</v>
      </c>
      <c r="S27" s="185">
        <v>1476.5236986301368</v>
      </c>
      <c r="T27" s="184">
        <f t="shared" si="1"/>
        <v>0</v>
      </c>
      <c r="U27" s="76">
        <v>12.5</v>
      </c>
      <c r="V27" s="79"/>
      <c r="W27" s="79" t="str">
        <f t="shared" si="2"/>
        <v>Heavy Oil</v>
      </c>
    </row>
    <row r="28" spans="3:23" x14ac:dyDescent="0.25">
      <c r="C28" s="76" t="e" vm="10">
        <v>#VALUE!</v>
      </c>
      <c r="D28" s="18" t="s">
        <v>30</v>
      </c>
      <c r="E28" s="18" t="s">
        <v>457</v>
      </c>
      <c r="F28" s="18" t="s">
        <v>459</v>
      </c>
      <c r="G28" s="81" t="s">
        <v>318</v>
      </c>
      <c r="H28" s="182"/>
      <c r="I28" s="182"/>
      <c r="J28" s="182"/>
      <c r="K28" s="185">
        <v>35.569315068493154</v>
      </c>
      <c r="L28" s="185">
        <v>0</v>
      </c>
      <c r="M28" s="185">
        <v>0</v>
      </c>
      <c r="N28" s="185">
        <v>0</v>
      </c>
      <c r="O28" s="185">
        <v>0</v>
      </c>
      <c r="P28" s="185">
        <v>35.569315068493154</v>
      </c>
      <c r="Q28" s="185">
        <v>3.5723835616438366</v>
      </c>
      <c r="R28" s="185">
        <v>0</v>
      </c>
      <c r="S28" s="185">
        <v>0</v>
      </c>
      <c r="T28" s="184">
        <f t="shared" si="1"/>
        <v>0</v>
      </c>
      <c r="U28" s="76" t="s">
        <v>31</v>
      </c>
      <c r="V28" s="79" t="s">
        <v>435</v>
      </c>
      <c r="W28" s="79" t="str">
        <f t="shared" si="2"/>
        <v>Doesn't Apply</v>
      </c>
    </row>
    <row r="29" spans="3:23" x14ac:dyDescent="0.25">
      <c r="C29" s="76" t="e" vm="11">
        <v>#VALUE!</v>
      </c>
      <c r="D29" s="18" t="s">
        <v>30</v>
      </c>
      <c r="E29" s="18" t="s">
        <v>449</v>
      </c>
      <c r="F29" s="18" t="s">
        <v>461</v>
      </c>
      <c r="G29" s="81" t="s">
        <v>449</v>
      </c>
      <c r="H29" s="182"/>
      <c r="I29" s="182"/>
      <c r="J29" s="182"/>
      <c r="K29" s="185">
        <v>3.4626301369863017</v>
      </c>
      <c r="L29" s="185">
        <v>0</v>
      </c>
      <c r="M29" s="185">
        <v>0</v>
      </c>
      <c r="N29" s="185">
        <v>3.4626301369863017</v>
      </c>
      <c r="O29" s="185">
        <v>0</v>
      </c>
      <c r="P29" s="185">
        <v>0</v>
      </c>
      <c r="Q29" s="185">
        <v>0</v>
      </c>
      <c r="R29" s="185">
        <v>0</v>
      </c>
      <c r="S29" s="185">
        <v>1962.0646849315069</v>
      </c>
      <c r="T29" s="184">
        <f t="shared" si="1"/>
        <v>0</v>
      </c>
      <c r="U29" s="76">
        <v>35</v>
      </c>
      <c r="V29" s="79"/>
      <c r="W29" s="79"/>
    </row>
    <row r="35" spans="5:12" x14ac:dyDescent="0.25">
      <c r="G35" t="s">
        <v>30</v>
      </c>
      <c r="I35" t="s">
        <v>473</v>
      </c>
    </row>
    <row r="36" spans="5:12" x14ac:dyDescent="0.25">
      <c r="E36" s="189" t="e" vm="5">
        <v>#VALUE!</v>
      </c>
      <c r="F36" s="180" t="s">
        <v>462</v>
      </c>
      <c r="G36" s="190">
        <v>14656.498438356164</v>
      </c>
      <c r="H36" s="191">
        <v>2.8564827826612956E-2</v>
      </c>
      <c r="I36" s="180">
        <f>+SUMIF($C$10:C29,E36,S$10:S$29)</f>
        <v>13595.920273972602</v>
      </c>
      <c r="J36" s="180"/>
      <c r="K36" s="192">
        <f>+G36-I36</f>
        <v>1060.5781643835617</v>
      </c>
      <c r="L36" s="191">
        <f>+K36/G36</f>
        <v>7.2362315517874365E-2</v>
      </c>
    </row>
    <row r="37" spans="5:12" x14ac:dyDescent="0.25">
      <c r="E37" s="189" t="e" vm="7">
        <v>#VALUE!</v>
      </c>
      <c r="F37" s="180" t="s">
        <v>463</v>
      </c>
      <c r="G37" s="190">
        <v>49873.263342465754</v>
      </c>
      <c r="H37" s="191">
        <v>9.7200650381855019E-2</v>
      </c>
      <c r="I37" s="180">
        <f ca="1">+SUMIF($C$10:C30,E37,S$10:S$29)</f>
        <v>45006.501780821927</v>
      </c>
      <c r="J37" s="180"/>
      <c r="K37" s="192">
        <f t="shared" ref="K37:K48" ca="1" si="3">+G37-I37</f>
        <v>4866.761561643827</v>
      </c>
      <c r="L37" s="191">
        <f t="shared" ref="L37:L48" ca="1" si="4">+K37/G37</f>
        <v>9.758257702579308E-2</v>
      </c>
    </row>
    <row r="38" spans="5:12" x14ac:dyDescent="0.25">
      <c r="F38" t="s">
        <v>464</v>
      </c>
      <c r="G38" s="187">
        <v>2877.3214794520545</v>
      </c>
      <c r="H38" s="186">
        <v>5.6077645699651466E-3</v>
      </c>
      <c r="I38">
        <f ca="1">+SUMIF($C$10:C31,E38,S$10:S$29)</f>
        <v>0</v>
      </c>
      <c r="K38" s="188">
        <f t="shared" ca="1" si="3"/>
        <v>2877.3214794520545</v>
      </c>
      <c r="L38" s="186">
        <f t="shared" ca="1" si="4"/>
        <v>1</v>
      </c>
    </row>
    <row r="39" spans="5:12" x14ac:dyDescent="0.25">
      <c r="F39" t="s">
        <v>465</v>
      </c>
      <c r="G39" s="187">
        <v>63.741945205479446</v>
      </c>
      <c r="H39" s="186">
        <v>1.2423006066462157E-4</v>
      </c>
      <c r="I39">
        <f ca="1">+SUMIF($C$10:C32,E39,S$10:S$29)</f>
        <v>0</v>
      </c>
      <c r="K39" s="188">
        <f t="shared" ca="1" si="3"/>
        <v>63.741945205479446</v>
      </c>
      <c r="L39" s="186">
        <f t="shared" ca="1" si="4"/>
        <v>1</v>
      </c>
    </row>
    <row r="40" spans="5:12" x14ac:dyDescent="0.25">
      <c r="E40" s="189" t="e" vm="9">
        <v>#VALUE!</v>
      </c>
      <c r="F40" s="180" t="s">
        <v>466</v>
      </c>
      <c r="G40" s="190">
        <v>23392.562712328774</v>
      </c>
      <c r="H40" s="191">
        <v>4.5591007232138166E-2</v>
      </c>
      <c r="I40" s="180">
        <f ca="1">+SUMIF($C$10:C33,E40,S$10:S$29)</f>
        <v>12779.930328767123</v>
      </c>
      <c r="J40" s="180"/>
      <c r="K40" s="192">
        <f t="shared" ca="1" si="3"/>
        <v>10612.632383561651</v>
      </c>
      <c r="L40" s="191">
        <f t="shared" ca="1" si="4"/>
        <v>0.45367549139745977</v>
      </c>
    </row>
    <row r="41" spans="5:12" x14ac:dyDescent="0.25">
      <c r="E41" s="189" t="e" vm="1">
        <v>#VALUE!</v>
      </c>
      <c r="F41" s="180" t="s">
        <v>467</v>
      </c>
      <c r="G41" s="190">
        <v>351063.42304109584</v>
      </c>
      <c r="H41" s="191">
        <v>0.68420614088469911</v>
      </c>
      <c r="I41" s="180">
        <f ca="1">+SUMIF($C$10:C34,E41,S$10:S$29)</f>
        <v>323688.66057534254</v>
      </c>
      <c r="J41" s="180"/>
      <c r="K41" s="192">
        <f t="shared" ca="1" si="3"/>
        <v>27374.762465753302</v>
      </c>
      <c r="L41" s="191">
        <f t="shared" ca="1" si="4"/>
        <v>7.7976686459155231E-2</v>
      </c>
    </row>
    <row r="42" spans="5:12" x14ac:dyDescent="0.25">
      <c r="E42" s="189" t="e" vm="10">
        <v>#VALUE!</v>
      </c>
      <c r="F42" s="180" t="s">
        <v>468</v>
      </c>
      <c r="G42" s="190">
        <v>1502.4393150684932</v>
      </c>
      <c r="H42" s="191">
        <v>2.9281837360656286E-3</v>
      </c>
      <c r="I42" s="180">
        <f ca="1">+SUMIF($C$10:C35,E42,S$10:S$29)</f>
        <v>0</v>
      </c>
      <c r="J42" s="180"/>
      <c r="K42" s="192">
        <f t="shared" ca="1" si="3"/>
        <v>1502.4393150684932</v>
      </c>
      <c r="L42" s="191">
        <f t="shared" ca="1" si="4"/>
        <v>1</v>
      </c>
    </row>
    <row r="43" spans="5:12" x14ac:dyDescent="0.25">
      <c r="E43" s="189" t="e" vm="11">
        <v>#VALUE!</v>
      </c>
      <c r="F43" s="180" t="s">
        <v>451</v>
      </c>
      <c r="G43" s="190">
        <v>5907.8353698630135</v>
      </c>
      <c r="H43" s="191">
        <v>1.1514093961656952E-2</v>
      </c>
      <c r="I43" s="180">
        <f ca="1">+SUMIF($C$10:C36,E43,S$10:S$29)</f>
        <v>1962.0646849315069</v>
      </c>
      <c r="J43" s="180"/>
      <c r="K43" s="192">
        <f t="shared" ca="1" si="3"/>
        <v>3945.7706849315064</v>
      </c>
      <c r="L43" s="191">
        <f t="shared" ca="1" si="4"/>
        <v>0.66788771824273063</v>
      </c>
    </row>
    <row r="44" spans="5:12" x14ac:dyDescent="0.25">
      <c r="F44" t="s">
        <v>464</v>
      </c>
      <c r="G44" s="187">
        <v>2877.3214794520545</v>
      </c>
      <c r="H44" s="186">
        <v>5.6077645699651466E-3</v>
      </c>
      <c r="I44">
        <f ca="1">+SUMIF($C$10:C37,E44,S$10:S$29)</f>
        <v>0</v>
      </c>
      <c r="K44" s="188">
        <f t="shared" ca="1" si="3"/>
        <v>2877.3214794520545</v>
      </c>
      <c r="L44" s="186">
        <f t="shared" ca="1" si="4"/>
        <v>1</v>
      </c>
    </row>
    <row r="45" spans="5:12" x14ac:dyDescent="0.25">
      <c r="E45" s="189" t="e" vm="2">
        <v>#VALUE!</v>
      </c>
      <c r="F45" s="180" t="s">
        <v>469</v>
      </c>
      <c r="G45" s="190">
        <v>56937.26830136987</v>
      </c>
      <c r="H45" s="191">
        <v>0.11096806462926974</v>
      </c>
      <c r="I45" s="180">
        <f ca="1">+SUMIF($C$10:C38,E45,S$10:S$29)</f>
        <v>42334.39687671233</v>
      </c>
      <c r="J45" s="180"/>
      <c r="K45" s="192">
        <f t="shared" ca="1" si="3"/>
        <v>14602.87142465754</v>
      </c>
      <c r="L45" s="191">
        <f t="shared" ca="1" si="4"/>
        <v>0.25647298966582499</v>
      </c>
    </row>
    <row r="46" spans="5:12" x14ac:dyDescent="0.25">
      <c r="F46" t="s">
        <v>470</v>
      </c>
      <c r="G46" s="187">
        <v>33.721452054794518</v>
      </c>
      <c r="H46" s="186">
        <v>6.5721527966581929E-5</v>
      </c>
      <c r="I46">
        <f ca="1">+SUMIF($C$10:C39,E46,S$10:S$29)</f>
        <v>0</v>
      </c>
      <c r="K46" s="188">
        <f t="shared" ca="1" si="3"/>
        <v>33.721452054794518</v>
      </c>
      <c r="L46" s="186">
        <f t="shared" ca="1" si="4"/>
        <v>1</v>
      </c>
    </row>
    <row r="47" spans="5:12" x14ac:dyDescent="0.25">
      <c r="F47" t="s">
        <v>471</v>
      </c>
      <c r="G47" s="187">
        <v>3910.58701369863</v>
      </c>
      <c r="H47" s="186">
        <v>7.6215506191408197E-3</v>
      </c>
      <c r="I47">
        <f ca="1">+SUMIF($C$10:C40,E47,S$10:S$29)</f>
        <v>0</v>
      </c>
      <c r="K47" s="188">
        <f t="shared" ca="1" si="3"/>
        <v>3910.58701369863</v>
      </c>
      <c r="L47" s="186">
        <f t="shared" ca="1" si="4"/>
        <v>1</v>
      </c>
    </row>
    <row r="48" spans="5:12" x14ac:dyDescent="0.25">
      <c r="E48" s="189" t="e" vm="4">
        <v>#VALUE!</v>
      </c>
      <c r="F48" s="180" t="s">
        <v>472</v>
      </c>
      <c r="G48" s="190">
        <v>14709.643945205482</v>
      </c>
      <c r="H48" s="191">
        <v>2.8668405926067869E-2</v>
      </c>
      <c r="I48" s="180">
        <f ca="1">+SUMIF($C$10:C41,E48,S$10:S$29)</f>
        <v>17849.99879452055</v>
      </c>
      <c r="J48" s="180"/>
      <c r="K48" s="192">
        <f t="shared" ca="1" si="3"/>
        <v>-3140.3548493150683</v>
      </c>
      <c r="L48" s="191">
        <f t="shared" ca="1" si="4"/>
        <v>-0.2134895216371738</v>
      </c>
    </row>
    <row r="49" spans="7:9" x14ac:dyDescent="0.25">
      <c r="G49">
        <v>513095.98389041098</v>
      </c>
      <c r="I49">
        <f ca="1">+SUM(I36:I48)</f>
        <v>457217.47331506858</v>
      </c>
    </row>
  </sheetData>
  <mergeCells count="2">
    <mergeCell ref="D2:F2"/>
    <mergeCell ref="K8:R8"/>
  </mergeCells>
  <conditionalFormatting sqref="F10:F29">
    <cfRule type="containsBlanks" dxfId="12" priority="32">
      <formula>LEN(TRIM(F10))=0</formula>
    </cfRule>
  </conditionalFormatting>
  <conditionalFormatting sqref="U10:V21">
    <cfRule type="containsText" dxfId="11" priority="28" operator="containsText" text="Oil and Gas">
      <formula>NOT(ISERROR(SEARCH("Oil and Gas",U10)))</formula>
    </cfRule>
    <cfRule type="containsText" dxfId="10" priority="29" operator="containsText" text="Gas">
      <formula>NOT(ISERROR(SEARCH("Gas",U10)))</formula>
    </cfRule>
    <cfRule type="containsText" dxfId="9" priority="30" operator="containsText" text="Oil">
      <formula>NOT(ISERROR(SEARCH("Oil",U10)))</formula>
    </cfRule>
  </conditionalFormatting>
  <conditionalFormatting sqref="U22:V29">
    <cfRule type="containsText" dxfId="8" priority="2" operator="containsText" text="Oil and Gas">
      <formula>NOT(ISERROR(SEARCH("Oil and Gas",U22)))</formula>
    </cfRule>
    <cfRule type="containsText" dxfId="7" priority="3" operator="containsText" text="Gas">
      <formula>NOT(ISERROR(SEARCH("Gas",U22)))</formula>
    </cfRule>
    <cfRule type="containsText" dxfId="6" priority="4" operator="containsText" text="Oil">
      <formula>NOT(ISERROR(SEARCH("Oil",U22)))</formula>
    </cfRule>
  </conditionalFormatting>
  <conditionalFormatting sqref="K10:S29">
    <cfRule type="cellIs" dxfId="5"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3" operator="containsText" id="{939931F9-62D2-434A-B365-7AB1DF16894F}">
            <xm:f>NOT(ISERROR(SEARCH($D$7,D4)))</xm:f>
            <xm:f>$D$7</xm:f>
            <x14:dxf>
              <fill>
                <patternFill>
                  <bgColor theme="7" tint="0.79998168889431442"/>
                </patternFill>
              </fill>
            </x14:dxf>
          </x14:cfRule>
          <x14:cfRule type="containsText" priority="14" operator="containsText" id="{A0E49F1A-959B-4CE7-BB28-97C1B2047DB9}">
            <xm:f>NOT(ISERROR(SEARCH($D$6,D4)))</xm:f>
            <xm:f>$D$6</xm:f>
            <x14:dxf>
              <fill>
                <patternFill>
                  <bgColor theme="5" tint="0.79998168889431442"/>
                </patternFill>
              </fill>
            </x14:dxf>
          </x14:cfRule>
          <x14:cfRule type="containsText" priority="15" operator="containsText" id="{F90B021F-32A0-4186-A3E2-6E1767715FD8}">
            <xm:f>NOT(ISERROR(SEARCH($D$5,D4)))</xm:f>
            <xm:f>$D$5</xm:f>
            <x14:dxf>
              <fill>
                <patternFill>
                  <bgColor theme="0" tint="-0.24994659260841701"/>
                </patternFill>
              </fill>
            </x14:dxf>
          </x14:cfRule>
          <x14:cfRule type="containsText" priority="16" operator="containsText" id="{7BFE0A8B-3899-4783-85DC-403086432AED}">
            <xm:f>NOT(ISERROR(SEARCH($D$4,D4)))</xm:f>
            <xm:f>$D$4</xm:f>
            <x14:dxf>
              <fill>
                <patternFill>
                  <bgColor theme="0" tint="-0.34998626667073579"/>
                </patternFill>
              </fill>
            </x14:dxf>
          </x14:cfRule>
          <xm:sqref>D4:D7 W10:W29</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AF11C-6D97-40EB-8508-BF37DEBC90BE}">
  <dimension ref="C1:AF61"/>
  <sheetViews>
    <sheetView showGridLines="0" zoomScale="115" zoomScaleNormal="115" workbookViewId="0">
      <selection activeCell="K21" sqref="K21"/>
    </sheetView>
  </sheetViews>
  <sheetFormatPr baseColWidth="10" defaultRowHeight="15" x14ac:dyDescent="0.25"/>
  <cols>
    <col min="3" max="4" width="17.5703125" customWidth="1"/>
    <col min="5" max="5" width="21.42578125" customWidth="1"/>
    <col min="6" max="6" width="13.42578125" customWidth="1"/>
    <col min="7" max="12" width="11.42578125" customWidth="1"/>
    <col min="19" max="19" width="15.28515625" customWidth="1"/>
    <col min="21" max="21" width="14.140625" customWidth="1"/>
    <col min="28" max="28" width="14.140625" customWidth="1"/>
    <col min="29" max="29" width="21.28515625" customWidth="1"/>
    <col min="30" max="30" width="18.85546875" customWidth="1"/>
    <col min="31" max="31" width="20.28515625" customWidth="1"/>
  </cols>
  <sheetData>
    <row r="1" spans="3:32" x14ac:dyDescent="0.25">
      <c r="F1" t="s">
        <v>507</v>
      </c>
      <c r="G1" s="229">
        <f>+F29*1000/E29</f>
        <v>5997.3958333333339</v>
      </c>
      <c r="H1" s="229" t="s">
        <v>525</v>
      </c>
      <c r="I1" s="229"/>
      <c r="J1" s="229"/>
      <c r="U1">
        <v>1</v>
      </c>
      <c r="V1" t="s">
        <v>484</v>
      </c>
      <c r="W1">
        <v>5800</v>
      </c>
      <c r="X1" t="s">
        <v>485</v>
      </c>
    </row>
    <row r="3" spans="3:32" x14ac:dyDescent="0.25">
      <c r="M3" s="238" t="s">
        <v>533</v>
      </c>
      <c r="N3" s="239"/>
      <c r="O3" s="239"/>
      <c r="P3" s="239"/>
      <c r="Q3" s="240"/>
      <c r="R3" s="239"/>
      <c r="S3" s="239"/>
      <c r="T3" s="207" t="s">
        <v>479</v>
      </c>
      <c r="U3" s="208"/>
      <c r="V3" s="208"/>
      <c r="W3" s="208"/>
      <c r="X3" s="208"/>
      <c r="Y3" s="208"/>
      <c r="Z3" s="209"/>
      <c r="AD3" s="272" t="s">
        <v>488</v>
      </c>
      <c r="AE3" s="272"/>
    </row>
    <row r="4" spans="3:32" x14ac:dyDescent="0.25">
      <c r="E4" s="216" t="s">
        <v>475</v>
      </c>
      <c r="F4" s="217" t="s">
        <v>478</v>
      </c>
      <c r="G4" s="218" t="s">
        <v>477</v>
      </c>
      <c r="H4" s="218" t="s">
        <v>476</v>
      </c>
      <c r="I4" s="218"/>
      <c r="J4" s="218"/>
      <c r="K4" s="219" t="s">
        <v>480</v>
      </c>
      <c r="L4" s="216" t="s">
        <v>481</v>
      </c>
      <c r="M4" s="241" t="s">
        <v>380</v>
      </c>
      <c r="N4" s="241" t="s">
        <v>535</v>
      </c>
      <c r="O4" s="241" t="s">
        <v>534</v>
      </c>
      <c r="P4" s="241" t="s">
        <v>536</v>
      </c>
      <c r="Q4" s="241" t="s">
        <v>537</v>
      </c>
      <c r="R4" s="241" t="s">
        <v>477</v>
      </c>
      <c r="S4" s="241" t="s">
        <v>538</v>
      </c>
      <c r="T4" s="216">
        <v>2020</v>
      </c>
      <c r="U4" s="217">
        <v>2025</v>
      </c>
      <c r="V4" s="217">
        <v>2030</v>
      </c>
      <c r="W4" s="217">
        <v>2035</v>
      </c>
      <c r="X4" s="217">
        <v>2040</v>
      </c>
      <c r="Y4" s="217">
        <v>2045</v>
      </c>
      <c r="Z4" s="218">
        <v>2050</v>
      </c>
      <c r="AA4" s="220" t="s">
        <v>483</v>
      </c>
      <c r="AB4" s="221" t="s">
        <v>482</v>
      </c>
      <c r="AC4" s="222" t="s">
        <v>486</v>
      </c>
      <c r="AD4" s="220" t="s">
        <v>487</v>
      </c>
      <c r="AE4" s="221" t="s">
        <v>489</v>
      </c>
      <c r="AF4" s="183" t="s">
        <v>490</v>
      </c>
    </row>
    <row r="5" spans="3:32" x14ac:dyDescent="0.25">
      <c r="C5" t="s">
        <v>301</v>
      </c>
      <c r="E5" s="197">
        <v>28.68</v>
      </c>
      <c r="F5" s="198">
        <v>172.07</v>
      </c>
      <c r="G5" s="199">
        <v>0</v>
      </c>
      <c r="H5">
        <f t="shared" ref="H5:H43" si="0">+E5-G5</f>
        <v>28.68</v>
      </c>
      <c r="I5" s="186">
        <f t="shared" ref="I5:I38" si="1">+G5/E5</f>
        <v>0</v>
      </c>
      <c r="J5" s="186">
        <f t="shared" ref="J5:J38" si="2">+H5/E5</f>
        <v>1</v>
      </c>
      <c r="K5" s="200">
        <v>0.96079999999999999</v>
      </c>
      <c r="L5" s="201">
        <v>2027</v>
      </c>
      <c r="Q5" s="244">
        <v>0</v>
      </c>
      <c r="R5" s="245">
        <f t="shared" ref="R5:R27" si="3">+Q5*E5</f>
        <v>0</v>
      </c>
      <c r="S5" t="s">
        <v>539</v>
      </c>
      <c r="T5" s="202">
        <v>20000</v>
      </c>
      <c r="U5" s="203">
        <v>12500</v>
      </c>
      <c r="V5" s="206"/>
      <c r="W5" s="206"/>
      <c r="X5" s="206"/>
      <c r="Y5" s="206"/>
      <c r="Z5" s="199"/>
      <c r="AA5" s="210">
        <f t="shared" ref="AA5:AA37" si="4">+SLOPE(T5:Z5,$T$4:$Z$4)</f>
        <v>-1500</v>
      </c>
      <c r="AB5" s="204">
        <f t="shared" ref="AB5:AB37" si="5">+INTERCEPT(T5:Z5,$T$4:$Z$4)</f>
        <v>3050000</v>
      </c>
      <c r="AC5" s="211">
        <f t="shared" ref="AC5:AC37" si="6">+AA5*L5+AB5</f>
        <v>9500</v>
      </c>
      <c r="AD5" s="224">
        <f t="shared" ref="AD5:AD37" si="7">+((L5-$T$4)*AC5+((L5-$T$4)*(T5-AC5))/2)*365/1000000</f>
        <v>37.686250000000001</v>
      </c>
      <c r="AE5" s="225">
        <f t="shared" ref="AE5:AE37" si="8">+((AA5*L5*L5/2)+(AB5*L5)-(AA5*$T$4*$T$4/2)-(AB5*$T$4))*365/1000000</f>
        <v>37.686250000000001</v>
      </c>
      <c r="AF5" s="186">
        <f t="shared" ref="AF5:AF37" si="9">+(AE5-E5)/E5</f>
        <v>0.31402545327754539</v>
      </c>
    </row>
    <row r="6" spans="3:32" x14ac:dyDescent="0.25">
      <c r="C6" t="s">
        <v>342</v>
      </c>
      <c r="E6" s="194">
        <v>89.87</v>
      </c>
      <c r="F6" s="194">
        <v>0</v>
      </c>
      <c r="G6" s="194">
        <f>+E6</f>
        <v>89.87</v>
      </c>
      <c r="H6">
        <f t="shared" si="0"/>
        <v>0</v>
      </c>
      <c r="I6" s="186">
        <f t="shared" si="1"/>
        <v>1</v>
      </c>
      <c r="J6" s="186">
        <f t="shared" si="2"/>
        <v>0</v>
      </c>
      <c r="K6" s="196">
        <v>0.24629999999999999</v>
      </c>
      <c r="L6" s="194">
        <v>2048</v>
      </c>
      <c r="M6" s="242">
        <f>+N6+P6</f>
        <v>19756.607616438356</v>
      </c>
      <c r="N6" s="242">
        <v>19756.607616438356</v>
      </c>
      <c r="O6" s="242">
        <v>0</v>
      </c>
      <c r="P6" s="242">
        <f>+(O6*1000000)/$W$1</f>
        <v>0</v>
      </c>
      <c r="Q6" s="243">
        <f>+N6/M6</f>
        <v>1</v>
      </c>
      <c r="R6" s="245">
        <f t="shared" si="3"/>
        <v>89.87</v>
      </c>
      <c r="S6" s="243">
        <f t="shared" ref="S6:S38" si="10">+G6/E6</f>
        <v>1</v>
      </c>
      <c r="T6" s="194">
        <v>10000</v>
      </c>
      <c r="U6" s="194">
        <v>16000</v>
      </c>
      <c r="V6" s="194">
        <v>11000</v>
      </c>
      <c r="W6" s="194">
        <v>7500</v>
      </c>
      <c r="X6" s="194">
        <v>5500</v>
      </c>
      <c r="Y6" s="194">
        <v>4000</v>
      </c>
      <c r="Z6" s="194"/>
      <c r="AA6" s="210">
        <f t="shared" si="4"/>
        <v>-371.42857142857144</v>
      </c>
      <c r="AB6" s="204">
        <f t="shared" si="5"/>
        <v>763928.57142857148</v>
      </c>
      <c r="AC6" s="211">
        <f t="shared" si="6"/>
        <v>3242.8571428571595</v>
      </c>
      <c r="AD6" s="226">
        <f t="shared" si="7"/>
        <v>67.671000000000092</v>
      </c>
      <c r="AE6" s="227">
        <f t="shared" si="8"/>
        <v>86.286000000000001</v>
      </c>
      <c r="AF6" s="186">
        <f t="shared" si="9"/>
        <v>-3.9879826415934162E-2</v>
      </c>
    </row>
    <row r="7" spans="3:32" x14ac:dyDescent="0.25">
      <c r="C7" t="s">
        <v>491</v>
      </c>
      <c r="E7" s="194">
        <v>1.37</v>
      </c>
      <c r="F7" s="230">
        <f>+E7*1.12%</f>
        <v>1.5344000000000003E-2</v>
      </c>
      <c r="G7" s="195">
        <f>+E7*98.88%</f>
        <v>1.3546559999999999</v>
      </c>
      <c r="H7">
        <f t="shared" si="0"/>
        <v>1.5344000000000246E-2</v>
      </c>
      <c r="I7" s="186">
        <f t="shared" si="1"/>
        <v>0.98879999999999979</v>
      </c>
      <c r="J7" s="186">
        <f t="shared" si="2"/>
        <v>1.1200000000000179E-2</v>
      </c>
      <c r="K7" s="196">
        <v>0.62780000000000002</v>
      </c>
      <c r="L7" s="194">
        <v>2041</v>
      </c>
      <c r="M7" s="242">
        <f t="shared" ref="M7:M38" si="11">+N7+P7</f>
        <v>285.28490222012289</v>
      </c>
      <c r="N7" s="242">
        <v>249.14413698630142</v>
      </c>
      <c r="O7" s="242">
        <v>0.20961643835616439</v>
      </c>
      <c r="P7" s="242">
        <f t="shared" ref="P7:P38" si="12">+(O7*1000000)/$W$1</f>
        <v>36.140765233821448</v>
      </c>
      <c r="Q7" s="243">
        <f t="shared" ref="Q7:Q38" si="13">+N7/M7</f>
        <v>0.8733169370248145</v>
      </c>
      <c r="R7" s="245">
        <f t="shared" si="3"/>
        <v>1.196444203723996</v>
      </c>
      <c r="S7" s="243">
        <f t="shared" si="10"/>
        <v>0.98879999999999979</v>
      </c>
      <c r="T7" s="194">
        <v>400</v>
      </c>
      <c r="U7" s="194">
        <v>280</v>
      </c>
      <c r="V7" s="194">
        <v>200</v>
      </c>
      <c r="W7" s="194">
        <v>120</v>
      </c>
      <c r="X7" s="194">
        <v>80</v>
      </c>
      <c r="Y7" s="194"/>
      <c r="Z7" s="194"/>
      <c r="AA7" s="210">
        <f t="shared" si="4"/>
        <v>-16</v>
      </c>
      <c r="AB7" s="204">
        <f t="shared" si="5"/>
        <v>32696</v>
      </c>
      <c r="AC7" s="211">
        <f t="shared" si="6"/>
        <v>40</v>
      </c>
      <c r="AD7" s="226">
        <f t="shared" si="7"/>
        <v>1.6862999999999999</v>
      </c>
      <c r="AE7" s="227">
        <f t="shared" si="8"/>
        <v>1.59432</v>
      </c>
      <c r="AF7" s="186">
        <f t="shared" si="9"/>
        <v>0.16373722627737214</v>
      </c>
    </row>
    <row r="8" spans="3:32" x14ac:dyDescent="0.25">
      <c r="C8" t="s">
        <v>346</v>
      </c>
      <c r="E8" s="194">
        <v>2.5</v>
      </c>
      <c r="F8" s="194">
        <v>7.0000000000000007E-2</v>
      </c>
      <c r="G8" s="194">
        <f>+E8*99.53%</f>
        <v>2.4882499999999999</v>
      </c>
      <c r="H8">
        <f t="shared" si="0"/>
        <v>1.1750000000000149E-2</v>
      </c>
      <c r="I8" s="186">
        <f t="shared" si="1"/>
        <v>0.99529999999999996</v>
      </c>
      <c r="J8" s="186">
        <f t="shared" si="2"/>
        <v>4.70000000000006E-3</v>
      </c>
      <c r="K8" s="196">
        <v>0.93179999999999996</v>
      </c>
      <c r="L8" s="194">
        <v>2029</v>
      </c>
      <c r="M8" s="242">
        <f t="shared" si="11"/>
        <v>3767.1428889938588</v>
      </c>
      <c r="N8" s="242">
        <v>3691.9893698630135</v>
      </c>
      <c r="O8" s="242">
        <v>0.43589041095890391</v>
      </c>
      <c r="P8" s="242">
        <f t="shared" si="12"/>
        <v>75.153519130845496</v>
      </c>
      <c r="Q8" s="243">
        <f t="shared" si="13"/>
        <v>0.98005026054349709</v>
      </c>
      <c r="R8" s="245">
        <f t="shared" si="3"/>
        <v>2.4501256513587428</v>
      </c>
      <c r="S8" s="243">
        <f t="shared" si="10"/>
        <v>0.99529999999999996</v>
      </c>
      <c r="T8" s="194">
        <v>2950</v>
      </c>
      <c r="U8" s="194">
        <v>750</v>
      </c>
      <c r="V8" s="194"/>
      <c r="W8" s="194"/>
      <c r="X8" s="194"/>
      <c r="Y8" s="194"/>
      <c r="Z8" s="194"/>
      <c r="AA8" s="210">
        <f t="shared" si="4"/>
        <v>-440</v>
      </c>
      <c r="AB8" s="204">
        <f t="shared" si="5"/>
        <v>891750</v>
      </c>
      <c r="AC8" s="211">
        <f t="shared" si="6"/>
        <v>-1010</v>
      </c>
      <c r="AD8" s="226">
        <f t="shared" si="7"/>
        <v>3.1864499999999998</v>
      </c>
      <c r="AE8" s="227">
        <f t="shared" si="8"/>
        <v>3.1864499999999998</v>
      </c>
      <c r="AF8" s="186">
        <f t="shared" si="9"/>
        <v>0.27457999999999994</v>
      </c>
    </row>
    <row r="9" spans="3:32" x14ac:dyDescent="0.25">
      <c r="C9" t="s">
        <v>311</v>
      </c>
      <c r="E9" s="194">
        <v>14.92</v>
      </c>
      <c r="F9" s="194">
        <v>89.54</v>
      </c>
      <c r="G9" s="194">
        <v>0</v>
      </c>
      <c r="H9">
        <f t="shared" si="0"/>
        <v>14.92</v>
      </c>
      <c r="I9" s="186">
        <f t="shared" si="1"/>
        <v>0</v>
      </c>
      <c r="J9" s="186">
        <f t="shared" si="2"/>
        <v>1</v>
      </c>
      <c r="K9" s="196">
        <v>0.69059999999999999</v>
      </c>
      <c r="L9" s="194">
        <v>2039</v>
      </c>
      <c r="M9" s="242">
        <f t="shared" si="11"/>
        <v>3970.7652338214457</v>
      </c>
      <c r="N9" s="242">
        <v>0</v>
      </c>
      <c r="O9" s="242">
        <v>23.030438356164385</v>
      </c>
      <c r="P9" s="242">
        <f t="shared" si="12"/>
        <v>3970.7652338214457</v>
      </c>
      <c r="Q9" s="243">
        <f t="shared" si="13"/>
        <v>0</v>
      </c>
      <c r="R9" s="245">
        <f t="shared" si="3"/>
        <v>0</v>
      </c>
      <c r="S9" s="243">
        <f t="shared" si="10"/>
        <v>0</v>
      </c>
      <c r="T9" s="194">
        <v>2500</v>
      </c>
      <c r="U9" s="213">
        <v>3000</v>
      </c>
      <c r="V9" s="194">
        <v>2100</v>
      </c>
      <c r="W9" s="194">
        <v>1800</v>
      </c>
      <c r="X9" s="194"/>
      <c r="Y9" s="194"/>
      <c r="Z9" s="194"/>
      <c r="AA9" s="210">
        <f t="shared" si="4"/>
        <v>-60</v>
      </c>
      <c r="AB9" s="204">
        <f t="shared" si="5"/>
        <v>124000</v>
      </c>
      <c r="AC9" s="211">
        <f t="shared" si="6"/>
        <v>1660</v>
      </c>
      <c r="AD9" s="226">
        <f t="shared" si="7"/>
        <v>14.424799999999999</v>
      </c>
      <c r="AE9" s="227">
        <f t="shared" si="8"/>
        <v>15.46505</v>
      </c>
      <c r="AF9" s="186">
        <f t="shared" si="9"/>
        <v>3.653150134048256E-2</v>
      </c>
    </row>
    <row r="10" spans="3:32" x14ac:dyDescent="0.25">
      <c r="C10" t="s">
        <v>492</v>
      </c>
      <c r="E10" s="194">
        <v>153.29</v>
      </c>
      <c r="F10" s="194">
        <v>0</v>
      </c>
      <c r="G10" s="194">
        <v>153.29</v>
      </c>
      <c r="H10">
        <f t="shared" si="0"/>
        <v>0</v>
      </c>
      <c r="I10" s="186">
        <f t="shared" si="1"/>
        <v>1</v>
      </c>
      <c r="J10" s="186">
        <f t="shared" si="2"/>
        <v>0</v>
      </c>
      <c r="K10" s="196">
        <v>0.70950000000000002</v>
      </c>
      <c r="L10" s="194">
        <v>2036</v>
      </c>
      <c r="M10" s="242">
        <f t="shared" si="11"/>
        <v>70553.994630136978</v>
      </c>
      <c r="N10" s="242">
        <v>70553.994630136978</v>
      </c>
      <c r="O10" s="242">
        <v>0</v>
      </c>
      <c r="P10" s="242">
        <f t="shared" si="12"/>
        <v>0</v>
      </c>
      <c r="Q10" s="243">
        <f t="shared" si="13"/>
        <v>1</v>
      </c>
      <c r="R10" s="245">
        <f t="shared" si="3"/>
        <v>153.29</v>
      </c>
      <c r="S10" s="243">
        <f t="shared" si="10"/>
        <v>1</v>
      </c>
      <c r="T10" s="194">
        <v>65000</v>
      </c>
      <c r="U10" s="213">
        <v>37500</v>
      </c>
      <c r="V10" s="194">
        <v>22500</v>
      </c>
      <c r="W10" s="194">
        <v>12500</v>
      </c>
      <c r="X10" s="194"/>
      <c r="Y10" s="194"/>
      <c r="Z10" s="194"/>
      <c r="AA10" s="232">
        <f t="shared" si="4"/>
        <v>-3450</v>
      </c>
      <c r="AB10" s="233">
        <f t="shared" si="5"/>
        <v>7029250</v>
      </c>
      <c r="AC10" s="234">
        <f t="shared" si="6"/>
        <v>5050</v>
      </c>
      <c r="AD10" s="224">
        <f t="shared" si="7"/>
        <v>204.54599999999999</v>
      </c>
      <c r="AE10" s="225">
        <f t="shared" si="8"/>
        <v>190.67599999999999</v>
      </c>
      <c r="AF10" s="186">
        <f t="shared" si="9"/>
        <v>0.24389066475308238</v>
      </c>
    </row>
    <row r="11" spans="3:32" x14ac:dyDescent="0.25">
      <c r="C11" t="s">
        <v>493</v>
      </c>
      <c r="E11" s="194">
        <v>0.88</v>
      </c>
      <c r="F11" s="194">
        <v>0</v>
      </c>
      <c r="G11" s="194">
        <v>0.88</v>
      </c>
      <c r="H11">
        <f t="shared" si="0"/>
        <v>0</v>
      </c>
      <c r="I11" s="186">
        <f t="shared" si="1"/>
        <v>1</v>
      </c>
      <c r="J11" s="186">
        <f t="shared" si="2"/>
        <v>0</v>
      </c>
      <c r="K11" s="196">
        <v>0.69830000000000003</v>
      </c>
      <c r="L11" s="194">
        <v>2042</v>
      </c>
      <c r="M11" s="242">
        <f t="shared" si="11"/>
        <v>226.03172602739721</v>
      </c>
      <c r="N11" s="242">
        <v>226.03172602739721</v>
      </c>
      <c r="O11" s="242">
        <v>0</v>
      </c>
      <c r="P11" s="242">
        <f t="shared" si="12"/>
        <v>0</v>
      </c>
      <c r="Q11" s="243">
        <f t="shared" si="13"/>
        <v>1</v>
      </c>
      <c r="R11" s="245">
        <f t="shared" si="3"/>
        <v>0.88</v>
      </c>
      <c r="S11" s="243">
        <f t="shared" si="10"/>
        <v>1</v>
      </c>
      <c r="T11" s="194">
        <v>150</v>
      </c>
      <c r="U11" s="231">
        <v>180</v>
      </c>
      <c r="V11" s="194">
        <v>105</v>
      </c>
      <c r="W11" s="194">
        <v>90</v>
      </c>
      <c r="X11" s="194">
        <v>60</v>
      </c>
      <c r="Y11" s="194"/>
      <c r="Z11" s="194"/>
      <c r="AA11" s="232">
        <f t="shared" si="4"/>
        <v>-5.4</v>
      </c>
      <c r="AB11" s="233">
        <f t="shared" si="5"/>
        <v>11079</v>
      </c>
      <c r="AC11" s="234">
        <f t="shared" si="6"/>
        <v>52.199999999998909</v>
      </c>
      <c r="AD11" s="224">
        <f t="shared" si="7"/>
        <v>0.81183299999999559</v>
      </c>
      <c r="AE11" s="225">
        <f t="shared" si="8"/>
        <v>0.89614799999972805</v>
      </c>
      <c r="AF11" s="186">
        <f t="shared" si="9"/>
        <v>1.8349999999690961E-2</v>
      </c>
    </row>
    <row r="12" spans="3:32" x14ac:dyDescent="0.25">
      <c r="C12" t="s">
        <v>494</v>
      </c>
      <c r="E12" s="194">
        <v>543.79</v>
      </c>
      <c r="F12" s="194">
        <v>0</v>
      </c>
      <c r="G12" s="194">
        <f>+E12</f>
        <v>543.79</v>
      </c>
      <c r="H12">
        <f t="shared" si="0"/>
        <v>0</v>
      </c>
      <c r="I12" s="186">
        <f t="shared" si="1"/>
        <v>1</v>
      </c>
      <c r="J12" s="186">
        <f t="shared" si="2"/>
        <v>0</v>
      </c>
      <c r="K12" s="196">
        <v>0.31709999999999999</v>
      </c>
      <c r="L12" s="194">
        <v>2099</v>
      </c>
      <c r="M12" s="242">
        <f t="shared" si="11"/>
        <v>43276.035643835618</v>
      </c>
      <c r="N12" s="242">
        <v>43276.035643835618</v>
      </c>
      <c r="O12" s="242">
        <v>0</v>
      </c>
      <c r="P12" s="242">
        <f t="shared" si="12"/>
        <v>0</v>
      </c>
      <c r="Q12" s="243">
        <f t="shared" si="13"/>
        <v>1</v>
      </c>
      <c r="R12" s="245">
        <f t="shared" si="3"/>
        <v>543.79</v>
      </c>
      <c r="S12" s="243">
        <f t="shared" si="10"/>
        <v>1</v>
      </c>
      <c r="T12" s="194">
        <v>40000</v>
      </c>
      <c r="U12" s="194"/>
      <c r="V12" s="194">
        <v>32500</v>
      </c>
      <c r="X12" s="194">
        <v>27500</v>
      </c>
      <c r="Y12" s="194"/>
      <c r="Z12" s="194">
        <v>22500</v>
      </c>
      <c r="AA12" s="232">
        <f t="shared" si="4"/>
        <v>-575</v>
      </c>
      <c r="AB12" s="233">
        <f t="shared" si="5"/>
        <v>1200750</v>
      </c>
      <c r="AC12" s="234">
        <f t="shared" si="6"/>
        <v>-6175</v>
      </c>
      <c r="AD12" s="224">
        <f t="shared" si="7"/>
        <v>487.67193750000001</v>
      </c>
      <c r="AE12" s="225">
        <f t="shared" si="8"/>
        <v>476.8588125</v>
      </c>
      <c r="AF12" s="186">
        <f t="shared" si="9"/>
        <v>-0.1230827847146876</v>
      </c>
    </row>
    <row r="13" spans="3:32" x14ac:dyDescent="0.25">
      <c r="C13" t="s">
        <v>29</v>
      </c>
      <c r="E13" s="194">
        <v>272.89999999999998</v>
      </c>
      <c r="F13" s="194">
        <v>0</v>
      </c>
      <c r="G13" s="194">
        <v>272.29000000000002</v>
      </c>
      <c r="H13">
        <f t="shared" si="0"/>
        <v>0.6099999999999568</v>
      </c>
      <c r="I13" s="186">
        <f t="shared" si="1"/>
        <v>0.99776474899230505</v>
      </c>
      <c r="J13" s="186">
        <f t="shared" si="2"/>
        <v>2.2352510076949681E-3</v>
      </c>
      <c r="K13" s="228">
        <v>0.71530000000000005</v>
      </c>
      <c r="L13" s="194">
        <v>2036</v>
      </c>
      <c r="M13" s="242">
        <f t="shared" si="11"/>
        <v>119308.68268493151</v>
      </c>
      <c r="N13" s="242">
        <v>119308.68268493151</v>
      </c>
      <c r="O13" s="242">
        <v>0</v>
      </c>
      <c r="P13" s="242">
        <f t="shared" si="12"/>
        <v>0</v>
      </c>
      <c r="Q13" s="243">
        <f t="shared" si="13"/>
        <v>1</v>
      </c>
      <c r="R13" s="245">
        <f t="shared" si="3"/>
        <v>272.89999999999998</v>
      </c>
      <c r="S13" s="243">
        <f t="shared" si="10"/>
        <v>0.99776474899230505</v>
      </c>
      <c r="T13" s="205">
        <v>105000</v>
      </c>
      <c r="U13" s="214">
        <v>75000</v>
      </c>
      <c r="V13" s="194">
        <v>40000</v>
      </c>
      <c r="W13" s="194">
        <v>25000</v>
      </c>
      <c r="AA13" s="232">
        <f t="shared" si="4"/>
        <v>-5500</v>
      </c>
      <c r="AB13" s="233">
        <f t="shared" si="5"/>
        <v>11212500</v>
      </c>
      <c r="AC13" s="234">
        <f t="shared" si="6"/>
        <v>14500</v>
      </c>
      <c r="AD13" s="224">
        <f t="shared" si="7"/>
        <v>348.94</v>
      </c>
      <c r="AE13" s="225">
        <f t="shared" si="8"/>
        <v>341.64</v>
      </c>
      <c r="AF13" s="186">
        <f t="shared" si="9"/>
        <v>0.25188713814584102</v>
      </c>
    </row>
    <row r="14" spans="3:32" x14ac:dyDescent="0.25">
      <c r="C14" t="s">
        <v>345</v>
      </c>
      <c r="E14" s="194">
        <v>16.52</v>
      </c>
      <c r="F14" s="194">
        <v>1.61</v>
      </c>
      <c r="G14">
        <f>+E14*98.07%</f>
        <v>16.201163999999999</v>
      </c>
      <c r="H14">
        <f t="shared" si="0"/>
        <v>0.31883600000000101</v>
      </c>
      <c r="I14" s="186">
        <f t="shared" si="1"/>
        <v>0.98069999999999991</v>
      </c>
      <c r="J14" s="186">
        <f t="shared" si="2"/>
        <v>1.930000000000006E-2</v>
      </c>
      <c r="K14" s="228">
        <v>0.73629999999999995</v>
      </c>
      <c r="L14" s="194">
        <v>2060</v>
      </c>
      <c r="M14" s="242">
        <f t="shared" si="11"/>
        <v>4154.1152328767121</v>
      </c>
      <c r="N14" s="242">
        <v>4154.1152328767121</v>
      </c>
      <c r="O14" s="242">
        <v>0</v>
      </c>
      <c r="P14" s="242">
        <f t="shared" si="12"/>
        <v>0</v>
      </c>
      <c r="Q14" s="243">
        <f t="shared" si="13"/>
        <v>1</v>
      </c>
      <c r="R14" s="245">
        <f t="shared" si="3"/>
        <v>16.52</v>
      </c>
      <c r="S14" s="243">
        <f t="shared" si="10"/>
        <v>0.98069999999999991</v>
      </c>
      <c r="T14" s="194">
        <v>4000</v>
      </c>
      <c r="U14" s="194">
        <v>3000</v>
      </c>
      <c r="V14" s="194">
        <v>1800</v>
      </c>
      <c r="W14" s="194">
        <v>1000</v>
      </c>
      <c r="X14" s="194">
        <v>900</v>
      </c>
      <c r="Y14" s="194">
        <v>700</v>
      </c>
      <c r="Z14" s="194">
        <v>500</v>
      </c>
      <c r="AA14" s="232">
        <f t="shared" si="4"/>
        <v>-114.28571428571429</v>
      </c>
      <c r="AB14" s="233">
        <f t="shared" si="5"/>
        <v>234271.42857142858</v>
      </c>
      <c r="AC14" s="234">
        <f t="shared" si="6"/>
        <v>-1157.1428571428696</v>
      </c>
      <c r="AD14" s="224">
        <f t="shared" si="7"/>
        <v>20.752857142857053</v>
      </c>
      <c r="AE14" s="225">
        <f t="shared" si="8"/>
        <v>16.47714285712421</v>
      </c>
      <c r="AF14" s="186">
        <f t="shared" si="9"/>
        <v>-2.5942580433286396E-3</v>
      </c>
    </row>
    <row r="15" spans="3:32" x14ac:dyDescent="0.25">
      <c r="C15" t="s">
        <v>140</v>
      </c>
      <c r="E15" s="194">
        <v>21.91</v>
      </c>
      <c r="F15" s="194">
        <v>0</v>
      </c>
      <c r="G15">
        <f>+E15</f>
        <v>21.91</v>
      </c>
      <c r="H15">
        <f t="shared" si="0"/>
        <v>0</v>
      </c>
      <c r="I15" s="186">
        <f t="shared" si="1"/>
        <v>1</v>
      </c>
      <c r="J15" s="186">
        <f t="shared" si="2"/>
        <v>0</v>
      </c>
      <c r="K15" s="228">
        <v>0.78649999999999998</v>
      </c>
      <c r="L15" s="194">
        <v>2035</v>
      </c>
      <c r="M15" s="242">
        <f t="shared" si="11"/>
        <v>10381.531479452055</v>
      </c>
      <c r="N15" s="242">
        <v>10381.531479452055</v>
      </c>
      <c r="O15" s="242">
        <v>0</v>
      </c>
      <c r="P15" s="242">
        <f t="shared" si="12"/>
        <v>0</v>
      </c>
      <c r="Q15" s="243">
        <f t="shared" si="13"/>
        <v>1</v>
      </c>
      <c r="R15" s="245">
        <f t="shared" si="3"/>
        <v>21.91</v>
      </c>
      <c r="S15" s="243">
        <f t="shared" si="10"/>
        <v>1</v>
      </c>
      <c r="T15" s="205">
        <v>10500</v>
      </c>
      <c r="U15" s="215">
        <v>6000</v>
      </c>
      <c r="V15" s="194">
        <v>2300</v>
      </c>
      <c r="W15" s="194">
        <v>1800</v>
      </c>
      <c r="AA15" s="232">
        <f t="shared" si="4"/>
        <v>-596</v>
      </c>
      <c r="AB15" s="233">
        <f t="shared" si="5"/>
        <v>1213540</v>
      </c>
      <c r="AC15" s="234">
        <f t="shared" si="6"/>
        <v>680</v>
      </c>
      <c r="AD15" s="224">
        <f t="shared" si="7"/>
        <v>30.605250000000002</v>
      </c>
      <c r="AE15" s="225">
        <f t="shared" si="8"/>
        <v>28.196249999999999</v>
      </c>
      <c r="AF15" s="186">
        <f t="shared" si="9"/>
        <v>0.28691236878137832</v>
      </c>
    </row>
    <row r="16" spans="3:32" x14ac:dyDescent="0.25">
      <c r="C16" t="s">
        <v>495</v>
      </c>
      <c r="E16" s="194">
        <v>8.85</v>
      </c>
      <c r="F16" s="194">
        <v>0</v>
      </c>
      <c r="G16">
        <f>+E16</f>
        <v>8.85</v>
      </c>
      <c r="H16">
        <f t="shared" si="0"/>
        <v>0</v>
      </c>
      <c r="I16" s="186">
        <f t="shared" si="1"/>
        <v>1</v>
      </c>
      <c r="J16" s="186">
        <f t="shared" si="2"/>
        <v>0</v>
      </c>
      <c r="K16" s="228">
        <v>0.55530000000000002</v>
      </c>
      <c r="L16" s="194">
        <v>2052</v>
      </c>
      <c r="M16" s="242">
        <f t="shared" si="11"/>
        <v>1737.8650958904109</v>
      </c>
      <c r="N16" s="242">
        <v>1737.8650958904109</v>
      </c>
      <c r="O16" s="242">
        <v>0</v>
      </c>
      <c r="P16" s="242">
        <f t="shared" si="12"/>
        <v>0</v>
      </c>
      <c r="Q16" s="243">
        <f t="shared" si="13"/>
        <v>1</v>
      </c>
      <c r="R16" s="245">
        <f t="shared" si="3"/>
        <v>8.85</v>
      </c>
      <c r="S16" s="243">
        <f t="shared" si="10"/>
        <v>1</v>
      </c>
      <c r="T16" s="205">
        <v>1600</v>
      </c>
      <c r="U16" s="205">
        <v>1500</v>
      </c>
      <c r="V16" s="194">
        <v>1100</v>
      </c>
      <c r="W16" s="194">
        <v>750</v>
      </c>
      <c r="X16" s="194">
        <v>500</v>
      </c>
      <c r="Y16" s="194">
        <v>250</v>
      </c>
      <c r="Z16" s="194">
        <v>200</v>
      </c>
      <c r="AA16" s="232">
        <f t="shared" si="4"/>
        <v>-52.142857142857146</v>
      </c>
      <c r="AB16" s="233">
        <f t="shared" si="5"/>
        <v>106953.57142857143</v>
      </c>
      <c r="AC16" s="234">
        <f t="shared" si="6"/>
        <v>-43.571428571434808</v>
      </c>
      <c r="AD16" s="224">
        <f t="shared" si="7"/>
        <v>9.0895428571428205</v>
      </c>
      <c r="AE16" s="225">
        <f t="shared" si="8"/>
        <v>9.2355428571459655</v>
      </c>
      <c r="AF16" s="186">
        <f t="shared" si="9"/>
        <v>4.3564164649261675E-2</v>
      </c>
    </row>
    <row r="17" spans="3:32" x14ac:dyDescent="0.25">
      <c r="C17" t="s">
        <v>61</v>
      </c>
      <c r="E17" s="194">
        <v>146.25</v>
      </c>
      <c r="F17" s="194">
        <v>0</v>
      </c>
      <c r="G17">
        <v>146.25</v>
      </c>
      <c r="H17">
        <f t="shared" si="0"/>
        <v>0</v>
      </c>
      <c r="I17" s="186">
        <f t="shared" si="1"/>
        <v>1</v>
      </c>
      <c r="J17" s="186">
        <f t="shared" si="2"/>
        <v>0</v>
      </c>
      <c r="K17" s="228">
        <v>0.58260000000000001</v>
      </c>
      <c r="L17" s="194">
        <v>2039</v>
      </c>
      <c r="M17" s="242">
        <f t="shared" si="11"/>
        <v>48971.756410958893</v>
      </c>
      <c r="N17" s="242">
        <v>48971.756410958893</v>
      </c>
      <c r="O17" s="242">
        <v>0</v>
      </c>
      <c r="P17" s="242">
        <f t="shared" si="12"/>
        <v>0</v>
      </c>
      <c r="Q17" s="243">
        <f t="shared" si="13"/>
        <v>1</v>
      </c>
      <c r="R17" s="245">
        <f t="shared" si="3"/>
        <v>146.25</v>
      </c>
      <c r="S17" s="243">
        <f t="shared" si="10"/>
        <v>1</v>
      </c>
      <c r="T17" s="205">
        <v>50000</v>
      </c>
      <c r="U17" s="205">
        <v>35000</v>
      </c>
      <c r="V17" s="194">
        <v>20000</v>
      </c>
      <c r="W17" s="194">
        <v>12500</v>
      </c>
      <c r="AA17" s="232">
        <f t="shared" si="4"/>
        <v>-2550</v>
      </c>
      <c r="AB17" s="233">
        <f t="shared" si="5"/>
        <v>5199500</v>
      </c>
      <c r="AC17" s="234">
        <f t="shared" si="6"/>
        <v>50</v>
      </c>
      <c r="AD17" s="224">
        <f t="shared" si="7"/>
        <v>173.54837499999999</v>
      </c>
      <c r="AE17" s="225">
        <f t="shared" si="8"/>
        <v>168.34712500000001</v>
      </c>
      <c r="AF17" s="186">
        <f t="shared" si="9"/>
        <v>0.15109145299145302</v>
      </c>
    </row>
    <row r="18" spans="3:32" x14ac:dyDescent="0.25">
      <c r="C18" t="s">
        <v>496</v>
      </c>
      <c r="E18" s="194">
        <v>89.99</v>
      </c>
      <c r="F18" s="194">
        <v>0</v>
      </c>
      <c r="G18">
        <f>+E18</f>
        <v>89.99</v>
      </c>
      <c r="H18">
        <f t="shared" si="0"/>
        <v>0</v>
      </c>
      <c r="I18" s="186">
        <f t="shared" si="1"/>
        <v>1</v>
      </c>
      <c r="J18" s="186">
        <f t="shared" si="2"/>
        <v>0</v>
      </c>
      <c r="K18" s="228">
        <v>0.42830000000000001</v>
      </c>
      <c r="L18" s="194">
        <v>2044</v>
      </c>
      <c r="M18" s="242">
        <f t="shared" si="11"/>
        <v>20119.028164383562</v>
      </c>
      <c r="N18" s="242">
        <v>20119.028164383562</v>
      </c>
      <c r="O18" s="242">
        <v>0</v>
      </c>
      <c r="P18" s="242">
        <f t="shared" si="12"/>
        <v>0</v>
      </c>
      <c r="Q18" s="243">
        <f t="shared" si="13"/>
        <v>1</v>
      </c>
      <c r="R18" s="245">
        <f t="shared" si="3"/>
        <v>89.99</v>
      </c>
      <c r="S18" s="243">
        <f t="shared" si="10"/>
        <v>1</v>
      </c>
      <c r="T18" s="205">
        <v>20000</v>
      </c>
      <c r="U18" s="205">
        <v>17500</v>
      </c>
      <c r="V18" s="194">
        <v>12500</v>
      </c>
      <c r="W18" s="194">
        <v>7600</v>
      </c>
      <c r="X18" s="194">
        <v>6000</v>
      </c>
      <c r="AA18" s="232">
        <f t="shared" si="4"/>
        <v>-758</v>
      </c>
      <c r="AB18" s="233">
        <f t="shared" si="5"/>
        <v>1551460</v>
      </c>
      <c r="AC18" s="234">
        <f t="shared" si="6"/>
        <v>2108</v>
      </c>
      <c r="AD18" s="224">
        <f t="shared" si="7"/>
        <v>96.833039999999997</v>
      </c>
      <c r="AE18" s="225">
        <f t="shared" si="8"/>
        <v>98.147040000000004</v>
      </c>
      <c r="AF18" s="186">
        <f t="shared" si="9"/>
        <v>9.0643849316590835E-2</v>
      </c>
    </row>
    <row r="19" spans="3:32" x14ac:dyDescent="0.25">
      <c r="C19" t="s">
        <v>497</v>
      </c>
      <c r="E19" s="194">
        <v>86.96</v>
      </c>
      <c r="F19" s="194">
        <v>357.74</v>
      </c>
      <c r="G19">
        <f>+E19*68.57%</f>
        <v>59.628471999999995</v>
      </c>
      <c r="H19">
        <f t="shared" si="0"/>
        <v>27.331527999999999</v>
      </c>
      <c r="I19" s="186">
        <f t="shared" si="1"/>
        <v>0.68569999999999998</v>
      </c>
      <c r="J19" s="186">
        <f t="shared" si="2"/>
        <v>0.31430000000000002</v>
      </c>
      <c r="K19" s="228">
        <v>0.87790000000000001</v>
      </c>
      <c r="L19" s="194">
        <v>2035</v>
      </c>
      <c r="M19" s="242">
        <f t="shared" si="11"/>
        <v>36739.649441662732</v>
      </c>
      <c r="N19" s="242">
        <v>5802.3135890410958</v>
      </c>
      <c r="O19" s="242">
        <v>179.43654794520549</v>
      </c>
      <c r="P19" s="242">
        <f t="shared" si="12"/>
        <v>30937.335852621636</v>
      </c>
      <c r="Q19" s="243">
        <f t="shared" si="13"/>
        <v>0.15793056485893622</v>
      </c>
      <c r="R19" s="245">
        <f t="shared" si="3"/>
        <v>13.733641920133094</v>
      </c>
      <c r="S19" s="243">
        <f t="shared" si="10"/>
        <v>0.68569999999999998</v>
      </c>
      <c r="T19" s="205">
        <v>42000</v>
      </c>
      <c r="U19" s="205">
        <v>22000</v>
      </c>
      <c r="V19" s="194">
        <v>16000</v>
      </c>
      <c r="W19" s="194">
        <v>8000</v>
      </c>
      <c r="AA19" s="232">
        <f t="shared" si="4"/>
        <v>-2160</v>
      </c>
      <c r="AB19" s="233">
        <f t="shared" si="5"/>
        <v>4401400</v>
      </c>
      <c r="AC19" s="234">
        <f t="shared" si="6"/>
        <v>5800</v>
      </c>
      <c r="AD19" s="224">
        <f t="shared" si="7"/>
        <v>130.85249999999999</v>
      </c>
      <c r="AE19" s="225">
        <f t="shared" si="8"/>
        <v>120.45</v>
      </c>
      <c r="AF19" s="186">
        <f t="shared" si="9"/>
        <v>0.38511959521619149</v>
      </c>
    </row>
    <row r="20" spans="3:32" x14ac:dyDescent="0.25">
      <c r="C20" t="s">
        <v>498</v>
      </c>
      <c r="E20" s="194">
        <v>5.73</v>
      </c>
      <c r="F20" s="194">
        <v>0</v>
      </c>
      <c r="G20">
        <f>+E20</f>
        <v>5.73</v>
      </c>
      <c r="H20">
        <f t="shared" si="0"/>
        <v>0</v>
      </c>
      <c r="I20" s="186">
        <f t="shared" si="1"/>
        <v>1</v>
      </c>
      <c r="J20" s="186">
        <f t="shared" si="2"/>
        <v>0</v>
      </c>
      <c r="K20" s="228">
        <v>0.61819999999999997</v>
      </c>
      <c r="L20" s="194">
        <v>2050</v>
      </c>
      <c r="M20" s="242">
        <f t="shared" si="11"/>
        <v>3032.86197260274</v>
      </c>
      <c r="N20" s="242">
        <v>3032.86197260274</v>
      </c>
      <c r="O20" s="242">
        <v>0</v>
      </c>
      <c r="P20" s="242">
        <f t="shared" si="12"/>
        <v>0</v>
      </c>
      <c r="Q20" s="243">
        <f t="shared" si="13"/>
        <v>1</v>
      </c>
      <c r="R20" s="245">
        <f t="shared" si="3"/>
        <v>5.73</v>
      </c>
      <c r="S20" s="243">
        <f t="shared" si="10"/>
        <v>1</v>
      </c>
      <c r="T20" s="205">
        <v>2250</v>
      </c>
      <c r="U20" s="205">
        <v>1250</v>
      </c>
      <c r="V20" s="194">
        <v>600</v>
      </c>
      <c r="W20" s="194">
        <v>400</v>
      </c>
      <c r="X20" s="194">
        <v>200</v>
      </c>
      <c r="Y20" s="194">
        <v>150</v>
      </c>
      <c r="Z20" s="194">
        <v>100</v>
      </c>
      <c r="AA20" s="232">
        <f t="shared" si="4"/>
        <v>-64.642857142857139</v>
      </c>
      <c r="AB20" s="233">
        <f t="shared" si="5"/>
        <v>132255.35714285716</v>
      </c>
      <c r="AC20" s="234">
        <f t="shared" si="6"/>
        <v>-262.4999999999709</v>
      </c>
      <c r="AD20" s="224">
        <f t="shared" si="7"/>
        <v>10.881562500000161</v>
      </c>
      <c r="AE20" s="225">
        <f t="shared" si="8"/>
        <v>7.7432142857189472</v>
      </c>
      <c r="AF20" s="186">
        <f t="shared" si="9"/>
        <v>0.35134629768218961</v>
      </c>
    </row>
    <row r="21" spans="3:32" x14ac:dyDescent="0.25">
      <c r="C21" t="s">
        <v>499</v>
      </c>
      <c r="E21" s="194">
        <v>89.27</v>
      </c>
      <c r="F21" s="194">
        <v>504.38</v>
      </c>
      <c r="G21">
        <f>+E21*5.84%</f>
        <v>5.213368</v>
      </c>
      <c r="H21">
        <f t="shared" si="0"/>
        <v>84.056631999999993</v>
      </c>
      <c r="I21" s="186">
        <f t="shared" si="1"/>
        <v>5.8400000000000001E-2</v>
      </c>
      <c r="J21" s="186">
        <f t="shared" si="2"/>
        <v>0.94159999999999999</v>
      </c>
      <c r="K21" s="228">
        <v>0.24510000000000001</v>
      </c>
      <c r="L21" s="194">
        <v>2059</v>
      </c>
      <c r="M21" s="242">
        <f t="shared" si="11"/>
        <v>5687.8121180916396</v>
      </c>
      <c r="N21" s="242">
        <v>1396.6784383561644</v>
      </c>
      <c r="O21" s="242">
        <v>24.888575342465753</v>
      </c>
      <c r="P21" s="242">
        <f t="shared" si="12"/>
        <v>4291.1336797354752</v>
      </c>
      <c r="Q21" s="243">
        <f t="shared" si="13"/>
        <v>0.24555635969648984</v>
      </c>
      <c r="R21" s="245">
        <f t="shared" si="3"/>
        <v>21.920816230105647</v>
      </c>
      <c r="S21" s="243">
        <f t="shared" si="10"/>
        <v>5.8400000000000001E-2</v>
      </c>
      <c r="T21" s="205">
        <v>10000</v>
      </c>
      <c r="U21" s="205">
        <v>18500</v>
      </c>
      <c r="V21" s="194">
        <v>10000</v>
      </c>
      <c r="W21" s="194">
        <v>7000</v>
      </c>
      <c r="X21" s="194">
        <v>5000</v>
      </c>
      <c r="Y21" s="194">
        <v>3500</v>
      </c>
      <c r="Z21" s="194">
        <v>2100</v>
      </c>
      <c r="AA21" s="232">
        <f t="shared" si="4"/>
        <v>-419.28571428571439</v>
      </c>
      <c r="AB21" s="233">
        <f t="shared" si="5"/>
        <v>861260.71428571444</v>
      </c>
      <c r="AC21" s="234">
        <f t="shared" si="6"/>
        <v>-2048.5714285714785</v>
      </c>
      <c r="AD21" s="224">
        <f t="shared" si="7"/>
        <v>56.594292857142499</v>
      </c>
      <c r="AE21" s="225">
        <f t="shared" si="8"/>
        <v>87.224962500087017</v>
      </c>
      <c r="AF21" s="186">
        <f t="shared" si="9"/>
        <v>-2.2908451886557404E-2</v>
      </c>
    </row>
    <row r="22" spans="3:32" x14ac:dyDescent="0.25">
      <c r="C22" t="s">
        <v>500</v>
      </c>
      <c r="E22" s="194">
        <v>10.25</v>
      </c>
      <c r="F22" s="194">
        <v>60.26</v>
      </c>
      <c r="G22">
        <f>+E22*2%</f>
        <v>0.20500000000000002</v>
      </c>
      <c r="H22">
        <f t="shared" si="0"/>
        <v>10.045</v>
      </c>
      <c r="I22" s="186">
        <f t="shared" si="1"/>
        <v>0.02</v>
      </c>
      <c r="J22" s="186">
        <f t="shared" si="2"/>
        <v>0.98</v>
      </c>
      <c r="K22" s="228">
        <v>0.98270000000000002</v>
      </c>
      <c r="L22" s="194">
        <v>2025</v>
      </c>
      <c r="M22" s="242">
        <f t="shared" si="11"/>
        <v>13330.402025507794</v>
      </c>
      <c r="N22" s="242">
        <v>802.2064657534246</v>
      </c>
      <c r="O22" s="242">
        <v>72.663534246575338</v>
      </c>
      <c r="P22" s="242">
        <f t="shared" si="12"/>
        <v>12528.195559754369</v>
      </c>
      <c r="Q22" s="243">
        <f t="shared" si="13"/>
        <v>6.0178715106896125E-2</v>
      </c>
      <c r="R22" s="245">
        <f t="shared" si="3"/>
        <v>0.6168318298456853</v>
      </c>
      <c r="S22" s="243">
        <f t="shared" si="10"/>
        <v>0.02</v>
      </c>
      <c r="T22" s="205">
        <v>8000</v>
      </c>
      <c r="U22" s="205">
        <v>5000</v>
      </c>
      <c r="AA22" s="232">
        <f t="shared" si="4"/>
        <v>-600</v>
      </c>
      <c r="AB22" s="233">
        <f t="shared" si="5"/>
        <v>1220000</v>
      </c>
      <c r="AC22" s="234">
        <f t="shared" si="6"/>
        <v>5000</v>
      </c>
      <c r="AD22" s="224">
        <f t="shared" si="7"/>
        <v>11.862500000000001</v>
      </c>
      <c r="AE22" s="225">
        <f t="shared" si="8"/>
        <v>11.862500000000001</v>
      </c>
      <c r="AF22" s="186">
        <f t="shared" si="9"/>
        <v>0.15731707317073176</v>
      </c>
    </row>
    <row r="23" spans="3:32" x14ac:dyDescent="0.25">
      <c r="C23" t="s">
        <v>501</v>
      </c>
      <c r="E23" s="194">
        <v>17.7</v>
      </c>
      <c r="F23" s="194">
        <v>97.48</v>
      </c>
      <c r="G23">
        <f>+E23*8.23%</f>
        <v>1.4567099999999999</v>
      </c>
      <c r="H23">
        <f t="shared" si="0"/>
        <v>16.243289999999998</v>
      </c>
      <c r="I23" s="186">
        <f t="shared" si="1"/>
        <v>8.2299999999999998E-2</v>
      </c>
      <c r="J23" s="186">
        <f t="shared" si="2"/>
        <v>0.91769999999999996</v>
      </c>
      <c r="K23" s="228">
        <v>0.97750000000000004</v>
      </c>
      <c r="L23" s="194">
        <v>2025</v>
      </c>
      <c r="M23" s="242">
        <f t="shared" si="11"/>
        <v>18303.892234293809</v>
      </c>
      <c r="N23" s="242">
        <v>2380.4156164383562</v>
      </c>
      <c r="O23" s="242">
        <v>92.356164383561648</v>
      </c>
      <c r="P23" s="242">
        <f t="shared" si="12"/>
        <v>15923.476617855455</v>
      </c>
      <c r="Q23" s="243">
        <f t="shared" si="13"/>
        <v>0.13004969576790104</v>
      </c>
      <c r="R23" s="245">
        <f t="shared" si="3"/>
        <v>2.3018796150918481</v>
      </c>
      <c r="S23" s="243">
        <f t="shared" si="10"/>
        <v>8.2299999999999998E-2</v>
      </c>
      <c r="T23" s="194">
        <v>8000</v>
      </c>
      <c r="U23" s="213">
        <v>5000</v>
      </c>
      <c r="AA23" s="232">
        <f t="shared" si="4"/>
        <v>-600</v>
      </c>
      <c r="AB23" s="233">
        <f t="shared" si="5"/>
        <v>1220000</v>
      </c>
      <c r="AC23" s="234">
        <f t="shared" si="6"/>
        <v>5000</v>
      </c>
      <c r="AD23" s="224">
        <f t="shared" si="7"/>
        <v>11.862500000000001</v>
      </c>
      <c r="AE23" s="225">
        <f t="shared" si="8"/>
        <v>11.862500000000001</v>
      </c>
      <c r="AF23" s="186">
        <f t="shared" si="9"/>
        <v>-0.32980225988700557</v>
      </c>
    </row>
    <row r="24" spans="3:32" x14ac:dyDescent="0.25">
      <c r="C24" t="s">
        <v>502</v>
      </c>
      <c r="E24" s="194">
        <v>8.8000000000000007</v>
      </c>
      <c r="F24" s="194">
        <v>2.82</v>
      </c>
      <c r="G24">
        <f>+E24*94.66%</f>
        <v>8.3300800000000006</v>
      </c>
      <c r="H24">
        <f t="shared" si="0"/>
        <v>0.46992000000000012</v>
      </c>
      <c r="I24" s="186">
        <f t="shared" si="1"/>
        <v>0.9466</v>
      </c>
      <c r="J24" s="186">
        <f t="shared" si="2"/>
        <v>5.340000000000001E-2</v>
      </c>
      <c r="K24" s="228">
        <v>0.7712</v>
      </c>
      <c r="L24" s="194">
        <v>2039</v>
      </c>
      <c r="M24" s="242">
        <f t="shared" si="11"/>
        <v>3090.1880736891835</v>
      </c>
      <c r="N24" s="242">
        <v>2982.4176438356171</v>
      </c>
      <c r="O24" s="242">
        <v>0.62506849315068491</v>
      </c>
      <c r="P24" s="242">
        <f t="shared" si="12"/>
        <v>107.77042985356636</v>
      </c>
      <c r="Q24" s="243">
        <f t="shared" si="13"/>
        <v>0.96512496091381716</v>
      </c>
      <c r="R24" s="245">
        <f t="shared" si="3"/>
        <v>8.4930996560415917</v>
      </c>
      <c r="S24" s="243">
        <f t="shared" si="10"/>
        <v>0.9466</v>
      </c>
      <c r="T24" s="194">
        <v>3000</v>
      </c>
      <c r="U24" s="213">
        <v>2000</v>
      </c>
      <c r="V24" s="194">
        <v>1100</v>
      </c>
      <c r="W24" s="194">
        <v>800</v>
      </c>
      <c r="AA24" s="232">
        <f t="shared" si="4"/>
        <v>-150</v>
      </c>
      <c r="AB24" s="233">
        <f t="shared" si="5"/>
        <v>305850</v>
      </c>
      <c r="AC24" s="234">
        <f t="shared" si="6"/>
        <v>0</v>
      </c>
      <c r="AD24" s="224">
        <f t="shared" si="7"/>
        <v>10.4025</v>
      </c>
      <c r="AE24" s="225">
        <f t="shared" si="8"/>
        <v>9.8823749999999997</v>
      </c>
      <c r="AF24" s="186">
        <f t="shared" si="9"/>
        <v>0.12299715909090897</v>
      </c>
    </row>
    <row r="25" spans="3:32" x14ac:dyDescent="0.25">
      <c r="C25" t="s">
        <v>503</v>
      </c>
      <c r="E25" s="194">
        <v>1.1399999999999999</v>
      </c>
      <c r="F25" s="194">
        <v>0.47</v>
      </c>
      <c r="G25">
        <f>+E25*93.12%</f>
        <v>1.0615679999999998</v>
      </c>
      <c r="H25">
        <f t="shared" si="0"/>
        <v>7.8432000000000057E-2</v>
      </c>
      <c r="I25" s="186">
        <f t="shared" si="1"/>
        <v>0.93119999999999992</v>
      </c>
      <c r="J25" s="186">
        <f t="shared" si="2"/>
        <v>6.8800000000000056E-2</v>
      </c>
      <c r="K25" s="228">
        <v>0.73509999999999998</v>
      </c>
      <c r="L25" s="194">
        <v>2033</v>
      </c>
      <c r="M25" s="242">
        <f t="shared" si="11"/>
        <v>1290.1837175247995</v>
      </c>
      <c r="N25" s="242">
        <v>1266.3858904109591</v>
      </c>
      <c r="O25" s="242">
        <v>0.13802739726027391</v>
      </c>
      <c r="P25" s="242">
        <f t="shared" si="12"/>
        <v>23.797827113840331</v>
      </c>
      <c r="Q25" s="243">
        <f t="shared" si="13"/>
        <v>0.98155469892342451</v>
      </c>
      <c r="R25" s="245">
        <f t="shared" si="3"/>
        <v>1.1189723567727039</v>
      </c>
      <c r="S25" s="243">
        <f t="shared" si="10"/>
        <v>0.93119999999999992</v>
      </c>
      <c r="T25" s="205">
        <v>1000</v>
      </c>
      <c r="U25" s="213">
        <v>300</v>
      </c>
      <c r="V25" s="194">
        <v>100</v>
      </c>
      <c r="AA25" s="232">
        <f t="shared" si="4"/>
        <v>-90</v>
      </c>
      <c r="AB25" s="233">
        <f t="shared" si="5"/>
        <v>182716.66666666666</v>
      </c>
      <c r="AC25" s="234">
        <f t="shared" si="6"/>
        <v>-253.33333333334303</v>
      </c>
      <c r="AD25" s="224">
        <f t="shared" si="7"/>
        <v>1.7714666666666437</v>
      </c>
      <c r="AE25" s="225">
        <f t="shared" si="8"/>
        <v>1.5737583333405851</v>
      </c>
      <c r="AF25" s="186">
        <f t="shared" si="9"/>
        <v>0.38048976608823271</v>
      </c>
    </row>
    <row r="26" spans="3:32" x14ac:dyDescent="0.25">
      <c r="C26" t="s">
        <v>504</v>
      </c>
      <c r="E26" s="194">
        <v>1.31</v>
      </c>
      <c r="F26" s="194">
        <v>0.37</v>
      </c>
      <c r="G26">
        <f>+E26*95.34%</f>
        <v>1.2489540000000001</v>
      </c>
      <c r="H26">
        <f t="shared" si="0"/>
        <v>6.1045999999999934E-2</v>
      </c>
      <c r="I26" s="186">
        <f t="shared" si="1"/>
        <v>0.95340000000000003</v>
      </c>
      <c r="J26" s="186">
        <f t="shared" si="2"/>
        <v>4.6599999999999947E-2</v>
      </c>
      <c r="K26" s="228">
        <v>0.34710000000000002</v>
      </c>
      <c r="L26" s="194">
        <v>2053</v>
      </c>
      <c r="M26" s="242">
        <f t="shared" si="11"/>
        <v>483.05330278696272</v>
      </c>
      <c r="N26" s="242">
        <v>435.87805479452061</v>
      </c>
      <c r="O26" s="242">
        <v>0.27361643835616434</v>
      </c>
      <c r="P26" s="242">
        <f t="shared" si="12"/>
        <v>47.175247992442124</v>
      </c>
      <c r="Q26" s="243">
        <f t="shared" si="13"/>
        <v>0.90233945670122573</v>
      </c>
      <c r="R26" s="245">
        <f t="shared" si="3"/>
        <v>1.1820646882786057</v>
      </c>
      <c r="S26" s="243">
        <f t="shared" si="10"/>
        <v>0.95340000000000003</v>
      </c>
      <c r="T26" s="205">
        <v>480</v>
      </c>
      <c r="U26" s="205">
        <v>280</v>
      </c>
      <c r="V26" s="194">
        <v>125</v>
      </c>
      <c r="W26">
        <v>90</v>
      </c>
      <c r="X26">
        <v>50</v>
      </c>
      <c r="Y26">
        <v>30</v>
      </c>
      <c r="Z26">
        <v>25</v>
      </c>
      <c r="AA26" s="232">
        <f t="shared" si="4"/>
        <v>-13.857142857142858</v>
      </c>
      <c r="AB26" s="233">
        <f t="shared" si="5"/>
        <v>28353.571428571428</v>
      </c>
      <c r="AC26" s="234">
        <f t="shared" si="6"/>
        <v>-95.142857142858702</v>
      </c>
      <c r="AD26" s="224">
        <f t="shared" si="7"/>
        <v>2.3178021428571336</v>
      </c>
      <c r="AE26" s="225">
        <f t="shared" si="8"/>
        <v>1.6080075</v>
      </c>
      <c r="AF26" s="186">
        <f t="shared" si="9"/>
        <v>0.22748664122137402</v>
      </c>
    </row>
    <row r="27" spans="3:32" x14ac:dyDescent="0.25">
      <c r="C27" t="s">
        <v>505</v>
      </c>
      <c r="E27" s="194">
        <v>4.72</v>
      </c>
      <c r="F27" s="194">
        <v>7.45</v>
      </c>
      <c r="G27">
        <f>+E27*73.7%</f>
        <v>3.47864</v>
      </c>
      <c r="H27">
        <f t="shared" si="0"/>
        <v>1.2413599999999998</v>
      </c>
      <c r="I27" s="186">
        <f t="shared" si="1"/>
        <v>0.73699999999999999</v>
      </c>
      <c r="J27" s="186">
        <f t="shared" si="2"/>
        <v>0.26299999999999996</v>
      </c>
      <c r="K27" s="228">
        <v>0.91449999999999998</v>
      </c>
      <c r="L27" s="194">
        <v>2030</v>
      </c>
      <c r="M27" s="242">
        <f t="shared" si="11"/>
        <v>4583.6177808219181</v>
      </c>
      <c r="N27" s="242">
        <v>4583.6177808219181</v>
      </c>
      <c r="O27" s="242">
        <v>0</v>
      </c>
      <c r="P27" s="242">
        <f t="shared" si="12"/>
        <v>0</v>
      </c>
      <c r="Q27" s="243">
        <f t="shared" si="13"/>
        <v>1</v>
      </c>
      <c r="R27" s="245">
        <f t="shared" si="3"/>
        <v>4.72</v>
      </c>
      <c r="S27" s="243">
        <f t="shared" si="10"/>
        <v>0.73699999999999999</v>
      </c>
      <c r="T27" s="205">
        <v>3750</v>
      </c>
      <c r="U27" s="205">
        <v>1750</v>
      </c>
      <c r="V27" s="194">
        <v>750</v>
      </c>
      <c r="AA27" s="232">
        <f t="shared" si="4"/>
        <v>-300</v>
      </c>
      <c r="AB27" s="233">
        <f t="shared" si="5"/>
        <v>609583.33333333337</v>
      </c>
      <c r="AC27" s="234">
        <f t="shared" si="6"/>
        <v>583.33333333337214</v>
      </c>
      <c r="AD27" s="224">
        <f t="shared" si="7"/>
        <v>7.9083333333334034</v>
      </c>
      <c r="AE27" s="225">
        <f t="shared" si="8"/>
        <v>7.6041666666376591</v>
      </c>
      <c r="AF27" s="186">
        <f t="shared" si="9"/>
        <v>0.61105225988086009</v>
      </c>
    </row>
    <row r="28" spans="3:32" x14ac:dyDescent="0.25">
      <c r="C28" t="s">
        <v>506</v>
      </c>
      <c r="E28" s="194">
        <v>11.27</v>
      </c>
      <c r="F28" s="194">
        <v>0</v>
      </c>
      <c r="G28">
        <v>11.27</v>
      </c>
      <c r="H28">
        <f t="shared" si="0"/>
        <v>0</v>
      </c>
      <c r="I28" s="186">
        <f t="shared" si="1"/>
        <v>1</v>
      </c>
      <c r="J28" s="186">
        <f t="shared" si="2"/>
        <v>0</v>
      </c>
      <c r="K28" s="228">
        <v>0.4148</v>
      </c>
      <c r="L28" s="194">
        <v>2067</v>
      </c>
      <c r="M28" s="242">
        <f t="shared" si="11"/>
        <v>0</v>
      </c>
      <c r="N28" s="242"/>
      <c r="O28" s="242"/>
      <c r="P28" s="242">
        <f t="shared" si="12"/>
        <v>0</v>
      </c>
      <c r="Q28" s="243" t="e">
        <f t="shared" si="13"/>
        <v>#DIV/0!</v>
      </c>
      <c r="R28" s="245"/>
      <c r="S28" s="243">
        <f t="shared" si="10"/>
        <v>1</v>
      </c>
      <c r="T28" s="205">
        <v>2500</v>
      </c>
      <c r="U28" s="214">
        <v>1750</v>
      </c>
      <c r="V28" s="194">
        <v>1250</v>
      </c>
      <c r="W28">
        <v>800</v>
      </c>
      <c r="X28">
        <v>600</v>
      </c>
      <c r="Y28">
        <v>400</v>
      </c>
      <c r="Z28">
        <v>300</v>
      </c>
      <c r="AA28" s="232">
        <f t="shared" si="4"/>
        <v>-71.071428571428569</v>
      </c>
      <c r="AB28" s="233">
        <f t="shared" si="5"/>
        <v>145716.07142857142</v>
      </c>
      <c r="AC28" s="234">
        <f t="shared" si="6"/>
        <v>-1188.5714285714203</v>
      </c>
      <c r="AD28" s="224">
        <f t="shared" si="7"/>
        <v>11.248778571428643</v>
      </c>
      <c r="AE28" s="225">
        <f t="shared" si="8"/>
        <v>8.2619705357080697</v>
      </c>
      <c r="AF28" s="186">
        <f t="shared" si="9"/>
        <v>-0.2669058974527001</v>
      </c>
    </row>
    <row r="29" spans="3:32" x14ac:dyDescent="0.25">
      <c r="C29" t="s">
        <v>318</v>
      </c>
      <c r="E29" s="194">
        <v>3.84</v>
      </c>
      <c r="F29" s="194">
        <v>23.03</v>
      </c>
      <c r="H29">
        <f t="shared" si="0"/>
        <v>3.84</v>
      </c>
      <c r="I29" s="186">
        <f t="shared" si="1"/>
        <v>0</v>
      </c>
      <c r="J29" s="186">
        <f t="shared" si="2"/>
        <v>1</v>
      </c>
      <c r="K29" s="228">
        <v>0.84079999999999999</v>
      </c>
      <c r="L29" s="194">
        <v>2028</v>
      </c>
      <c r="M29" s="242">
        <f t="shared" si="11"/>
        <v>5516.7123287671238</v>
      </c>
      <c r="N29" s="242">
        <v>0</v>
      </c>
      <c r="O29" s="242">
        <v>31.996931506849318</v>
      </c>
      <c r="P29" s="242">
        <f t="shared" si="12"/>
        <v>5516.7123287671238</v>
      </c>
      <c r="Q29" s="243">
        <f t="shared" si="13"/>
        <v>0</v>
      </c>
      <c r="R29" s="245">
        <f t="shared" ref="R29:R38" si="14">+Q29*E29</f>
        <v>0</v>
      </c>
      <c r="S29" s="243">
        <f t="shared" si="10"/>
        <v>0</v>
      </c>
      <c r="T29" s="205">
        <v>5300</v>
      </c>
      <c r="U29" s="205">
        <v>1250</v>
      </c>
      <c r="AA29" s="232">
        <f t="shared" si="4"/>
        <v>-810</v>
      </c>
      <c r="AB29" s="233">
        <f t="shared" si="5"/>
        <v>1641500</v>
      </c>
      <c r="AC29" s="234">
        <f t="shared" si="6"/>
        <v>-1180</v>
      </c>
      <c r="AD29" s="224">
        <f t="shared" si="7"/>
        <v>6.0152000000000001</v>
      </c>
      <c r="AE29" s="225">
        <f t="shared" si="8"/>
        <v>6.0152000000000001</v>
      </c>
      <c r="AF29" s="186">
        <f t="shared" si="9"/>
        <v>0.5664583333333334</v>
      </c>
    </row>
    <row r="30" spans="3:32" x14ac:dyDescent="0.25">
      <c r="C30" t="s">
        <v>508</v>
      </c>
      <c r="E30" s="194">
        <v>14.92</v>
      </c>
      <c r="F30">
        <v>0.24</v>
      </c>
      <c r="G30">
        <f>+E30*99.74%</f>
        <v>14.881207999999999</v>
      </c>
      <c r="H30">
        <f t="shared" si="0"/>
        <v>3.8792000000000826E-2</v>
      </c>
      <c r="I30" s="186">
        <f t="shared" si="1"/>
        <v>0.99739999999999995</v>
      </c>
      <c r="J30" s="186">
        <f t="shared" si="2"/>
        <v>2.6000000000000554E-3</v>
      </c>
      <c r="K30" s="228">
        <v>0.75690000000000002</v>
      </c>
      <c r="L30" s="194">
        <v>2043</v>
      </c>
      <c r="M30" s="242">
        <f t="shared" si="11"/>
        <v>12434.820158715165</v>
      </c>
      <c r="N30" s="242">
        <v>12274.754027397263</v>
      </c>
      <c r="O30" s="242">
        <v>0.92838356164383562</v>
      </c>
      <c r="P30" s="242">
        <f t="shared" si="12"/>
        <v>160.06613131790269</v>
      </c>
      <c r="Q30" s="243">
        <f t="shared" si="13"/>
        <v>0.98712758775158338</v>
      </c>
      <c r="R30" s="245">
        <f t="shared" si="14"/>
        <v>14.727943609253623</v>
      </c>
      <c r="S30" s="243">
        <f t="shared" si="10"/>
        <v>0.99739999999999995</v>
      </c>
      <c r="T30" s="205">
        <v>10000</v>
      </c>
      <c r="U30" s="205">
        <v>4000</v>
      </c>
      <c r="V30" s="194">
        <v>1000</v>
      </c>
      <c r="W30">
        <v>500</v>
      </c>
      <c r="X30">
        <v>400</v>
      </c>
      <c r="AA30" s="232">
        <f t="shared" si="4"/>
        <v>-454</v>
      </c>
      <c r="AB30" s="233">
        <f t="shared" si="5"/>
        <v>924800</v>
      </c>
      <c r="AC30" s="234">
        <f t="shared" si="6"/>
        <v>-2722</v>
      </c>
      <c r="AD30" s="224">
        <f t="shared" si="7"/>
        <v>30.549405</v>
      </c>
      <c r="AE30" s="225">
        <f t="shared" si="8"/>
        <v>20.979105000000001</v>
      </c>
      <c r="AF30" s="186">
        <f t="shared" si="9"/>
        <v>0.40610623324396788</v>
      </c>
    </row>
    <row r="31" spans="3:32" x14ac:dyDescent="0.25">
      <c r="C31" t="s">
        <v>80</v>
      </c>
      <c r="E31" s="194">
        <v>43.42</v>
      </c>
      <c r="F31" s="194">
        <v>16.96</v>
      </c>
      <c r="G31">
        <f>+E31*93.49%</f>
        <v>40.593358000000002</v>
      </c>
      <c r="H31">
        <f t="shared" si="0"/>
        <v>2.8266419999999997</v>
      </c>
      <c r="I31" s="186">
        <f t="shared" si="1"/>
        <v>0.93490000000000006</v>
      </c>
      <c r="J31" s="186">
        <f t="shared" si="2"/>
        <v>6.5099999999999991E-2</v>
      </c>
      <c r="K31" s="228">
        <v>0.76190000000000002</v>
      </c>
      <c r="L31" s="194">
        <v>2042</v>
      </c>
      <c r="M31" s="242">
        <f t="shared" si="11"/>
        <v>30543.691030703827</v>
      </c>
      <c r="N31" s="242">
        <v>30059.642849315071</v>
      </c>
      <c r="O31" s="242">
        <v>2.8074794520547948</v>
      </c>
      <c r="P31" s="242">
        <f t="shared" si="12"/>
        <v>484.04818138875771</v>
      </c>
      <c r="Q31" s="243">
        <f t="shared" si="13"/>
        <v>0.98415226958319579</v>
      </c>
      <c r="R31" s="245">
        <f t="shared" si="14"/>
        <v>42.731891545302361</v>
      </c>
      <c r="S31" s="243">
        <f t="shared" si="10"/>
        <v>0.93490000000000006</v>
      </c>
      <c r="T31" s="205">
        <v>25000</v>
      </c>
      <c r="U31" s="205">
        <v>12500</v>
      </c>
      <c r="V31" s="194">
        <v>4500</v>
      </c>
      <c r="W31">
        <v>2500</v>
      </c>
      <c r="X31">
        <v>1000</v>
      </c>
      <c r="AA31" s="232">
        <f t="shared" si="4"/>
        <v>-1160</v>
      </c>
      <c r="AB31" s="233">
        <f t="shared" si="5"/>
        <v>2363900</v>
      </c>
      <c r="AC31" s="234">
        <f t="shared" si="6"/>
        <v>-4820</v>
      </c>
      <c r="AD31" s="224">
        <f t="shared" si="7"/>
        <v>81.0227</v>
      </c>
      <c r="AE31" s="225">
        <f t="shared" si="8"/>
        <v>63.758200000000002</v>
      </c>
      <c r="AF31" s="186">
        <f t="shared" si="9"/>
        <v>0.46840626439428834</v>
      </c>
    </row>
    <row r="32" spans="3:32" x14ac:dyDescent="0.25">
      <c r="C32" t="s">
        <v>449</v>
      </c>
      <c r="E32" s="194">
        <v>7.3</v>
      </c>
      <c r="F32" s="194">
        <v>4.54</v>
      </c>
      <c r="G32">
        <f>+E32*89.64%</f>
        <v>6.5437199999999995</v>
      </c>
      <c r="H32">
        <f t="shared" si="0"/>
        <v>0.75628000000000029</v>
      </c>
      <c r="I32" s="186">
        <f t="shared" si="1"/>
        <v>0.89639999999999997</v>
      </c>
      <c r="J32" s="186">
        <f t="shared" si="2"/>
        <v>0.10360000000000004</v>
      </c>
      <c r="K32" s="228">
        <v>0.77580000000000005</v>
      </c>
      <c r="L32" s="194">
        <v>2044</v>
      </c>
      <c r="M32" s="242">
        <f t="shared" si="11"/>
        <v>1962.0646849315069</v>
      </c>
      <c r="N32" s="242">
        <v>1962.0646849315069</v>
      </c>
      <c r="O32" s="242">
        <v>0</v>
      </c>
      <c r="P32" s="242">
        <f t="shared" si="12"/>
        <v>0</v>
      </c>
      <c r="Q32" s="243">
        <f t="shared" si="13"/>
        <v>1</v>
      </c>
      <c r="R32" s="245">
        <f t="shared" si="14"/>
        <v>7.3</v>
      </c>
      <c r="S32" s="243">
        <f t="shared" si="10"/>
        <v>0.89639999999999997</v>
      </c>
      <c r="T32" s="205">
        <v>2000</v>
      </c>
      <c r="U32" s="205">
        <v>1250</v>
      </c>
      <c r="V32" s="194">
        <v>900</v>
      </c>
      <c r="W32">
        <v>600</v>
      </c>
      <c r="X32">
        <v>400</v>
      </c>
      <c r="AA32" s="232">
        <f t="shared" si="4"/>
        <v>-77</v>
      </c>
      <c r="AB32" s="233">
        <f t="shared" si="5"/>
        <v>157340</v>
      </c>
      <c r="AC32" s="234">
        <f t="shared" si="6"/>
        <v>-48</v>
      </c>
      <c r="AD32" s="224">
        <f t="shared" si="7"/>
        <v>8.5497599999999991</v>
      </c>
      <c r="AE32" s="225">
        <f t="shared" si="8"/>
        <v>7.6737599999999997</v>
      </c>
      <c r="AF32" s="186">
        <f t="shared" si="9"/>
        <v>5.1199999999999982E-2</v>
      </c>
    </row>
    <row r="33" spans="3:32" x14ac:dyDescent="0.25">
      <c r="C33" t="s">
        <v>509</v>
      </c>
      <c r="E33" s="194">
        <v>0.57999999999999996</v>
      </c>
      <c r="F33" s="194">
        <v>0</v>
      </c>
      <c r="G33">
        <f>+E33</f>
        <v>0.57999999999999996</v>
      </c>
      <c r="H33">
        <f t="shared" si="0"/>
        <v>0</v>
      </c>
      <c r="I33" s="186">
        <f t="shared" si="1"/>
        <v>1</v>
      </c>
      <c r="J33" s="186">
        <f t="shared" si="2"/>
        <v>0</v>
      </c>
      <c r="K33" s="228">
        <v>0.91830000000000001</v>
      </c>
      <c r="L33" s="194">
        <v>2031</v>
      </c>
      <c r="M33" s="242">
        <f t="shared" si="11"/>
        <v>60862.479471894199</v>
      </c>
      <c r="N33" s="242">
        <v>26403.53284931507</v>
      </c>
      <c r="O33" s="242">
        <v>199.86189041095895</v>
      </c>
      <c r="P33" s="242">
        <f t="shared" si="12"/>
        <v>34458.946622579126</v>
      </c>
      <c r="Q33" s="243">
        <f t="shared" si="13"/>
        <v>0.43382282612242257</v>
      </c>
      <c r="R33" s="245">
        <f t="shared" si="14"/>
        <v>0.25161723915100509</v>
      </c>
      <c r="S33" s="243">
        <f t="shared" si="10"/>
        <v>1</v>
      </c>
      <c r="T33" s="205">
        <v>500</v>
      </c>
      <c r="U33" s="205">
        <v>200</v>
      </c>
      <c r="V33" s="194">
        <v>80</v>
      </c>
      <c r="AA33" s="232">
        <f t="shared" si="4"/>
        <v>-42</v>
      </c>
      <c r="AB33" s="233">
        <f t="shared" si="5"/>
        <v>85310</v>
      </c>
      <c r="AC33" s="234">
        <f t="shared" si="6"/>
        <v>8</v>
      </c>
      <c r="AD33" s="224">
        <f t="shared" si="7"/>
        <v>1.0198100000000001</v>
      </c>
      <c r="AE33" s="225">
        <f t="shared" si="8"/>
        <v>0.95958500000000002</v>
      </c>
      <c r="AF33" s="186">
        <f t="shared" si="9"/>
        <v>0.65445689655172434</v>
      </c>
    </row>
    <row r="34" spans="3:32" x14ac:dyDescent="0.25">
      <c r="C34" t="s">
        <v>510</v>
      </c>
      <c r="E34" s="194">
        <v>130.22</v>
      </c>
      <c r="F34" s="194">
        <v>284</v>
      </c>
      <c r="G34">
        <f>+E34*63.65%</f>
        <v>82.88503</v>
      </c>
      <c r="H34">
        <f t="shared" si="0"/>
        <v>47.334969999999998</v>
      </c>
      <c r="I34" s="186">
        <f t="shared" si="1"/>
        <v>0.63649999999999995</v>
      </c>
      <c r="J34" s="186">
        <f t="shared" si="2"/>
        <v>0.36349999999999999</v>
      </c>
      <c r="K34" s="228">
        <v>0.63759999999999994</v>
      </c>
      <c r="L34" s="194">
        <v>2018</v>
      </c>
      <c r="M34" s="242">
        <f t="shared" si="11"/>
        <v>604.87506849315071</v>
      </c>
      <c r="N34" s="242">
        <v>604.87506849315071</v>
      </c>
      <c r="O34" s="242">
        <v>0</v>
      </c>
      <c r="P34" s="242">
        <f t="shared" si="12"/>
        <v>0</v>
      </c>
      <c r="Q34" s="243">
        <f t="shared" si="13"/>
        <v>1</v>
      </c>
      <c r="R34" s="245">
        <f t="shared" si="14"/>
        <v>130.22</v>
      </c>
      <c r="S34" s="243">
        <f t="shared" si="10"/>
        <v>0.63649999999999995</v>
      </c>
      <c r="T34" s="205">
        <v>55000</v>
      </c>
      <c r="U34" s="205">
        <v>31000</v>
      </c>
      <c r="V34" s="194">
        <v>15000</v>
      </c>
      <c r="W34">
        <v>8000</v>
      </c>
      <c r="AA34" s="232">
        <f t="shared" si="4"/>
        <v>-3140</v>
      </c>
      <c r="AB34" s="233">
        <f t="shared" si="5"/>
        <v>6393600</v>
      </c>
      <c r="AC34" s="234">
        <f t="shared" si="6"/>
        <v>57080</v>
      </c>
      <c r="AD34" s="224">
        <f t="shared" si="7"/>
        <v>-40.909199999999998</v>
      </c>
      <c r="AE34" s="225">
        <f t="shared" si="8"/>
        <v>-39.376199999999997</v>
      </c>
      <c r="AF34" s="186">
        <f t="shared" si="9"/>
        <v>-1.3023821225618186</v>
      </c>
    </row>
    <row r="35" spans="3:32" x14ac:dyDescent="0.25">
      <c r="C35" t="s">
        <v>344</v>
      </c>
      <c r="E35" s="194">
        <v>24.09</v>
      </c>
      <c r="F35" s="194">
        <v>0</v>
      </c>
      <c r="G35">
        <f>+E35</f>
        <v>24.09</v>
      </c>
      <c r="H35">
        <f t="shared" si="0"/>
        <v>0</v>
      </c>
      <c r="I35" s="186">
        <f t="shared" si="1"/>
        <v>1</v>
      </c>
      <c r="J35" s="186">
        <f t="shared" si="2"/>
        <v>0</v>
      </c>
      <c r="K35" s="228">
        <v>0.73740000000000006</v>
      </c>
      <c r="L35" s="194">
        <v>2064</v>
      </c>
      <c r="M35" s="242">
        <f t="shared" si="11"/>
        <v>4233.3403013698626</v>
      </c>
      <c r="N35" s="242">
        <v>4233.3403013698626</v>
      </c>
      <c r="O35" s="242">
        <v>0</v>
      </c>
      <c r="P35" s="242">
        <f t="shared" si="12"/>
        <v>0</v>
      </c>
      <c r="Q35" s="243">
        <f t="shared" si="13"/>
        <v>1</v>
      </c>
      <c r="R35" s="245">
        <f t="shared" si="14"/>
        <v>24.09</v>
      </c>
      <c r="S35" s="243">
        <f t="shared" si="10"/>
        <v>1</v>
      </c>
      <c r="T35" s="205">
        <v>4000</v>
      </c>
      <c r="U35" s="205">
        <v>3500</v>
      </c>
      <c r="V35" s="194">
        <v>2500</v>
      </c>
      <c r="W35">
        <v>2000</v>
      </c>
      <c r="X35">
        <v>1500</v>
      </c>
      <c r="Y35">
        <v>1250</v>
      </c>
      <c r="Z35">
        <v>1000</v>
      </c>
      <c r="AA35" s="232">
        <f t="shared" si="4"/>
        <v>-103.57142857142857</v>
      </c>
      <c r="AB35" s="233">
        <f t="shared" si="5"/>
        <v>213017.85714285713</v>
      </c>
      <c r="AC35" s="234">
        <f t="shared" si="6"/>
        <v>-753.57142857144936</v>
      </c>
      <c r="AD35" s="224">
        <f t="shared" si="7"/>
        <v>26.068821428571262</v>
      </c>
      <c r="AE35" s="225">
        <f t="shared" si="8"/>
        <v>24.491499999999998</v>
      </c>
      <c r="AF35" s="186">
        <f t="shared" si="9"/>
        <v>1.6666666666666611E-2</v>
      </c>
    </row>
    <row r="36" spans="3:32" x14ac:dyDescent="0.25">
      <c r="C36" t="s">
        <v>511</v>
      </c>
      <c r="E36" s="194">
        <v>5.59</v>
      </c>
      <c r="F36" s="194">
        <v>0</v>
      </c>
      <c r="G36">
        <f>+E36</f>
        <v>5.59</v>
      </c>
      <c r="H36">
        <f t="shared" si="0"/>
        <v>0</v>
      </c>
      <c r="I36" s="186">
        <f t="shared" si="1"/>
        <v>1</v>
      </c>
      <c r="J36" s="186">
        <f t="shared" si="2"/>
        <v>0</v>
      </c>
      <c r="K36" s="228">
        <v>0.69210000000000005</v>
      </c>
      <c r="L36" s="194">
        <v>2047</v>
      </c>
      <c r="M36" s="242">
        <f t="shared" si="11"/>
        <v>1476.5236986301368</v>
      </c>
      <c r="N36" s="242">
        <v>1476.5236986301368</v>
      </c>
      <c r="O36" s="242">
        <v>0</v>
      </c>
      <c r="P36" s="242">
        <f t="shared" si="12"/>
        <v>0</v>
      </c>
      <c r="Q36" s="243">
        <f t="shared" si="13"/>
        <v>1</v>
      </c>
      <c r="R36" s="245">
        <f t="shared" si="14"/>
        <v>5.59</v>
      </c>
      <c r="S36" s="243">
        <f t="shared" si="10"/>
        <v>1</v>
      </c>
      <c r="T36" s="205">
        <v>1400</v>
      </c>
      <c r="U36" s="205">
        <v>1250</v>
      </c>
      <c r="V36" s="194">
        <v>750</v>
      </c>
      <c r="W36">
        <v>450</v>
      </c>
      <c r="X36">
        <v>250</v>
      </c>
      <c r="AA36" s="232">
        <f t="shared" si="4"/>
        <v>-62</v>
      </c>
      <c r="AB36" s="233">
        <f t="shared" si="5"/>
        <v>126680</v>
      </c>
      <c r="AC36" s="234">
        <f t="shared" si="6"/>
        <v>-234</v>
      </c>
      <c r="AD36" s="224">
        <f t="shared" si="7"/>
        <v>5.7454650000000003</v>
      </c>
      <c r="AE36" s="225">
        <f t="shared" si="8"/>
        <v>5.9425650000000001</v>
      </c>
      <c r="AF36" s="186">
        <f t="shared" si="9"/>
        <v>6.307066189624333E-2</v>
      </c>
    </row>
    <row r="37" spans="3:32" x14ac:dyDescent="0.25">
      <c r="C37" t="s">
        <v>345</v>
      </c>
      <c r="E37" s="194">
        <v>16.52</v>
      </c>
      <c r="F37" s="194">
        <v>1.91</v>
      </c>
      <c r="G37">
        <f>+E37*98.07%</f>
        <v>16.201163999999999</v>
      </c>
      <c r="H37">
        <f t="shared" si="0"/>
        <v>0.31883600000000101</v>
      </c>
      <c r="I37" s="186">
        <f t="shared" si="1"/>
        <v>0.98069999999999991</v>
      </c>
      <c r="J37" s="186">
        <f t="shared" si="2"/>
        <v>1.930000000000006E-2</v>
      </c>
      <c r="K37" s="228">
        <v>0.73629999999999995</v>
      </c>
      <c r="L37" s="194">
        <v>2060</v>
      </c>
      <c r="M37" s="242">
        <f t="shared" si="11"/>
        <v>4154.1152328767121</v>
      </c>
      <c r="N37" s="242">
        <v>4154.1152328767121</v>
      </c>
      <c r="O37" s="242">
        <v>0</v>
      </c>
      <c r="P37" s="242">
        <f t="shared" si="12"/>
        <v>0</v>
      </c>
      <c r="Q37" s="243">
        <f t="shared" si="13"/>
        <v>1</v>
      </c>
      <c r="R37" s="245">
        <f t="shared" si="14"/>
        <v>16.52</v>
      </c>
      <c r="S37" s="243">
        <f t="shared" si="10"/>
        <v>0.98069999999999991</v>
      </c>
      <c r="T37" s="205">
        <v>4000</v>
      </c>
      <c r="U37" s="205">
        <v>3000</v>
      </c>
      <c r="V37" s="194">
        <v>1800</v>
      </c>
      <c r="W37">
        <v>1250</v>
      </c>
      <c r="X37">
        <v>1000</v>
      </c>
      <c r="Y37">
        <v>750</v>
      </c>
      <c r="AA37" s="232">
        <f t="shared" si="4"/>
        <v>-130.28571428571428</v>
      </c>
      <c r="AB37" s="233">
        <f t="shared" si="5"/>
        <v>266772.38095238095</v>
      </c>
      <c r="AC37" s="234">
        <f t="shared" si="6"/>
        <v>-1616.1904761904734</v>
      </c>
      <c r="AD37" s="224">
        <f t="shared" si="7"/>
        <v>17.401809523809543</v>
      </c>
      <c r="AE37" s="225">
        <f t="shared" si="8"/>
        <v>14.447047619026899</v>
      </c>
      <c r="AF37" s="186">
        <f t="shared" si="9"/>
        <v>-0.12548137899352912</v>
      </c>
    </row>
    <row r="38" spans="3:32" x14ac:dyDescent="0.25">
      <c r="C38" t="s">
        <v>512</v>
      </c>
      <c r="E38" s="194">
        <v>90.73</v>
      </c>
      <c r="F38" s="194">
        <v>10.09</v>
      </c>
      <c r="G38">
        <f>+E38*98.15%</f>
        <v>89.051495000000003</v>
      </c>
      <c r="H38">
        <f t="shared" si="0"/>
        <v>1.6785050000000012</v>
      </c>
      <c r="I38" s="186">
        <f t="shared" si="1"/>
        <v>0.98150000000000004</v>
      </c>
      <c r="J38" s="186">
        <f t="shared" si="2"/>
        <v>1.8500000000000013E-2</v>
      </c>
      <c r="K38" s="228">
        <v>0.50829999999999997</v>
      </c>
      <c r="L38" s="194">
        <v>2061</v>
      </c>
      <c r="M38" s="242">
        <f t="shared" si="11"/>
        <v>18271.22222390175</v>
      </c>
      <c r="N38" s="242">
        <v>17849.99879452055</v>
      </c>
      <c r="O38" s="242">
        <v>2.4430958904109596</v>
      </c>
      <c r="P38" s="242">
        <f t="shared" si="12"/>
        <v>421.22342938119994</v>
      </c>
      <c r="Q38" s="243">
        <f t="shared" si="13"/>
        <v>0.97694607266994049</v>
      </c>
      <c r="R38" s="245">
        <f t="shared" si="14"/>
        <v>88.638317173343708</v>
      </c>
      <c r="S38" s="243">
        <f t="shared" si="10"/>
        <v>0.98150000000000004</v>
      </c>
      <c r="T38" s="205">
        <v>19000</v>
      </c>
      <c r="U38" s="205">
        <v>16000</v>
      </c>
      <c r="V38" s="194">
        <v>10000</v>
      </c>
      <c r="W38">
        <v>7000</v>
      </c>
      <c r="X38">
        <v>4500</v>
      </c>
      <c r="Y38">
        <v>3000</v>
      </c>
      <c r="Z38">
        <v>2000</v>
      </c>
    </row>
    <row r="39" spans="3:32" x14ac:dyDescent="0.25">
      <c r="H39">
        <f t="shared" si="0"/>
        <v>0</v>
      </c>
      <c r="I39" s="186"/>
      <c r="J39" s="186"/>
    </row>
    <row r="40" spans="3:32" x14ac:dyDescent="0.25">
      <c r="C40" t="s">
        <v>519</v>
      </c>
      <c r="E40" s="194" t="s">
        <v>527</v>
      </c>
      <c r="F40" s="194">
        <v>23.75</v>
      </c>
      <c r="G40" t="e">
        <f>+E40*0.74%</f>
        <v>#VALUE!</v>
      </c>
      <c r="H40" t="e">
        <f t="shared" si="0"/>
        <v>#VALUE!</v>
      </c>
      <c r="I40" s="186" t="e">
        <f>+G40/E40</f>
        <v>#VALUE!</v>
      </c>
      <c r="J40" s="186" t="e">
        <f>+H40/E40</f>
        <v>#VALUE!</v>
      </c>
      <c r="K40" s="228">
        <v>0.30909999999999999</v>
      </c>
      <c r="L40" s="194">
        <v>2049</v>
      </c>
      <c r="M40" s="194"/>
      <c r="N40" s="194"/>
      <c r="O40" s="194"/>
      <c r="P40" s="194"/>
      <c r="Q40" s="194"/>
      <c r="R40" s="194"/>
      <c r="S40" s="194"/>
    </row>
    <row r="41" spans="3:32" x14ac:dyDescent="0.25">
      <c r="C41" t="s">
        <v>520</v>
      </c>
      <c r="E41" s="194">
        <v>6.24</v>
      </c>
      <c r="F41" s="194">
        <v>11.14</v>
      </c>
      <c r="G41">
        <f>+E41*70.26%</f>
        <v>4.3842240000000006</v>
      </c>
      <c r="H41">
        <f t="shared" si="0"/>
        <v>1.8557759999999996</v>
      </c>
      <c r="I41" s="186">
        <f>+G41/E41</f>
        <v>0.70260000000000011</v>
      </c>
      <c r="J41" s="186">
        <f>+H41/E41</f>
        <v>0.29739999999999994</v>
      </c>
      <c r="K41" s="228">
        <v>0.77259999999999995</v>
      </c>
      <c r="L41" s="194">
        <v>2041</v>
      </c>
      <c r="M41" s="194"/>
      <c r="N41" s="194"/>
      <c r="O41" s="194"/>
      <c r="P41" s="194"/>
      <c r="Q41" s="194"/>
      <c r="R41" s="194"/>
      <c r="S41" s="194"/>
      <c r="T41" s="205">
        <v>3700</v>
      </c>
    </row>
    <row r="42" spans="3:32" x14ac:dyDescent="0.25">
      <c r="C42" t="s">
        <v>521</v>
      </c>
      <c r="E42" s="194">
        <v>18.809999999999999</v>
      </c>
      <c r="F42" s="194">
        <v>112.29</v>
      </c>
      <c r="G42">
        <f>+E42*0.49%</f>
        <v>9.2168999999999987E-2</v>
      </c>
      <c r="H42">
        <f t="shared" si="0"/>
        <v>18.717831</v>
      </c>
      <c r="I42" s="186">
        <f>+G42/E42</f>
        <v>4.8999999999999998E-3</v>
      </c>
      <c r="J42" s="186">
        <f>+H42/E42</f>
        <v>0.9951000000000001</v>
      </c>
      <c r="K42" s="228">
        <v>0.29599999999999999</v>
      </c>
      <c r="L42" s="194">
        <v>2042</v>
      </c>
      <c r="M42" s="194"/>
      <c r="N42" s="194"/>
      <c r="O42" s="194"/>
      <c r="P42" s="194"/>
      <c r="Q42" s="194"/>
      <c r="R42" s="194"/>
      <c r="S42" s="194"/>
      <c r="T42" s="205">
        <v>4500</v>
      </c>
    </row>
    <row r="43" spans="3:32" x14ac:dyDescent="0.25">
      <c r="C43" t="s">
        <v>522</v>
      </c>
      <c r="E43" s="194">
        <v>9.35</v>
      </c>
      <c r="F43" s="194">
        <v>4.1900000000000004</v>
      </c>
      <c r="G43">
        <f>+E43*92.53%</f>
        <v>8.6515550000000001</v>
      </c>
      <c r="H43">
        <f t="shared" si="0"/>
        <v>0.69844499999999954</v>
      </c>
      <c r="I43" s="186">
        <f>+G43/E43</f>
        <v>0.92530000000000001</v>
      </c>
      <c r="J43" s="186">
        <f>+H43/E43</f>
        <v>7.4699999999999947E-2</v>
      </c>
      <c r="K43" s="228">
        <v>0.51980000000000004</v>
      </c>
      <c r="L43" s="194">
        <v>2068</v>
      </c>
      <c r="M43" s="194"/>
      <c r="N43" s="194"/>
      <c r="O43" s="194"/>
      <c r="P43" s="194"/>
      <c r="Q43" s="194"/>
      <c r="R43" s="194"/>
      <c r="S43" s="194"/>
      <c r="T43" s="194">
        <v>1800</v>
      </c>
    </row>
    <row r="45" spans="3:32" x14ac:dyDescent="0.25">
      <c r="T45">
        <f>+SUM(T6:T43)</f>
        <v>529280</v>
      </c>
      <c r="U45" t="s">
        <v>528</v>
      </c>
    </row>
    <row r="46" spans="3:32" x14ac:dyDescent="0.25">
      <c r="T46">
        <f>+T45*365</f>
        <v>193187200</v>
      </c>
      <c r="U46" t="s">
        <v>528</v>
      </c>
    </row>
    <row r="47" spans="3:32" x14ac:dyDescent="0.25">
      <c r="C47" t="s">
        <v>513</v>
      </c>
      <c r="E47" s="212">
        <f>+SUM(E5:E38)+E42</f>
        <v>1984.8899999999996</v>
      </c>
      <c r="F47" t="s">
        <v>488</v>
      </c>
      <c r="T47" s="229">
        <f>+T46/1000000</f>
        <v>193.18719999999999</v>
      </c>
      <c r="U47" t="s">
        <v>529</v>
      </c>
    </row>
    <row r="48" spans="3:32" x14ac:dyDescent="0.25">
      <c r="C48" t="s">
        <v>514</v>
      </c>
      <c r="E48">
        <f>+SUM(G5:G38)+G42</f>
        <v>1725.2950059999996</v>
      </c>
      <c r="F48" t="s">
        <v>488</v>
      </c>
      <c r="G48" s="186">
        <f>+E48/E47</f>
        <v>0.86921441792744181</v>
      </c>
      <c r="H48" s="186"/>
      <c r="I48" s="186"/>
      <c r="J48" s="186"/>
      <c r="K48" s="212"/>
      <c r="T48" s="219" t="s">
        <v>530</v>
      </c>
      <c r="U48" s="219" t="s">
        <v>531</v>
      </c>
    </row>
    <row r="49" spans="3:21" x14ac:dyDescent="0.25">
      <c r="C49" t="s">
        <v>517</v>
      </c>
      <c r="E49" s="212">
        <f>+E47-E48</f>
        <v>259.59499400000004</v>
      </c>
      <c r="F49" t="s">
        <v>488</v>
      </c>
      <c r="G49" s="186">
        <f>+E49/E47</f>
        <v>0.13078558207255822</v>
      </c>
      <c r="H49" s="186"/>
      <c r="I49" s="186"/>
      <c r="J49" s="186"/>
      <c r="T49" s="236">
        <f>+T47*T54</f>
        <v>25.114335999999998</v>
      </c>
      <c r="U49" s="237">
        <f>+T47*(100%-T54)</f>
        <v>168.07286399999998</v>
      </c>
    </row>
    <row r="50" spans="3:21" x14ac:dyDescent="0.25">
      <c r="C50" t="s">
        <v>515</v>
      </c>
      <c r="E50" s="212">
        <f>+SUM(F5:F38)</f>
        <v>1635.0453439999999</v>
      </c>
      <c r="F50" t="s">
        <v>516</v>
      </c>
    </row>
    <row r="51" spans="3:21" x14ac:dyDescent="0.25">
      <c r="E51" s="212">
        <f>+E50*(1000000000)</f>
        <v>1635045344000</v>
      </c>
      <c r="F51" t="s">
        <v>526</v>
      </c>
    </row>
    <row r="52" spans="3:21" x14ac:dyDescent="0.25">
      <c r="E52" s="212">
        <f>+(E51/G1)/1000000</f>
        <v>272.62588454016498</v>
      </c>
      <c r="L52" t="s">
        <v>518</v>
      </c>
      <c r="T52" t="s">
        <v>532</v>
      </c>
    </row>
    <row r="53" spans="3:21" x14ac:dyDescent="0.25">
      <c r="L53">
        <v>71</v>
      </c>
      <c r="T53" s="235">
        <v>0.87</v>
      </c>
    </row>
    <row r="54" spans="3:21" x14ac:dyDescent="0.25">
      <c r="E54">
        <f>+E50*1000</f>
        <v>1635045.3439999998</v>
      </c>
      <c r="F54" t="s">
        <v>523</v>
      </c>
      <c r="L54">
        <v>29</v>
      </c>
      <c r="T54" s="235">
        <v>0.13</v>
      </c>
    </row>
    <row r="55" spans="3:21" x14ac:dyDescent="0.25">
      <c r="E55">
        <f>+E54/11</f>
        <v>148640.4858181818</v>
      </c>
      <c r="F55" t="s">
        <v>523</v>
      </c>
      <c r="O55" t="s">
        <v>540</v>
      </c>
      <c r="P55" s="212">
        <f>+E47</f>
        <v>1984.8899999999996</v>
      </c>
      <c r="Q55" t="s">
        <v>488</v>
      </c>
    </row>
    <row r="56" spans="3:21" x14ac:dyDescent="0.25">
      <c r="E56">
        <f>+E55/365</f>
        <v>407.234207721046</v>
      </c>
      <c r="F56" t="s">
        <v>523</v>
      </c>
      <c r="O56" t="s">
        <v>541</v>
      </c>
      <c r="P56" s="245">
        <f>+SUM(R6:R38)</f>
        <v>1737.7836457184026</v>
      </c>
    </row>
    <row r="58" spans="3:21" x14ac:dyDescent="0.25">
      <c r="E58">
        <v>1000</v>
      </c>
      <c r="F58" t="s">
        <v>523</v>
      </c>
    </row>
    <row r="59" spans="3:21" x14ac:dyDescent="0.25">
      <c r="E59">
        <f>+E58*365</f>
        <v>365000</v>
      </c>
    </row>
    <row r="60" spans="3:21" x14ac:dyDescent="0.25">
      <c r="E60" s="229">
        <f>+E54/E59</f>
        <v>4.4795762849315066</v>
      </c>
      <c r="F60" t="s">
        <v>524</v>
      </c>
    </row>
    <row r="61" spans="3:21" x14ac:dyDescent="0.25">
      <c r="E61" s="223"/>
    </row>
  </sheetData>
  <mergeCells count="1">
    <mergeCell ref="AD3:AE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2F472-E402-46D4-B360-E35C880EA1BD}">
  <dimension ref="C1:AH61"/>
  <sheetViews>
    <sheetView showGridLines="0" tabSelected="1" topLeftCell="B16" zoomScale="115" zoomScaleNormal="115" workbookViewId="0">
      <selection activeCell="F46" sqref="F46"/>
    </sheetView>
  </sheetViews>
  <sheetFormatPr baseColWidth="10" defaultRowHeight="15" x14ac:dyDescent="0.25"/>
  <cols>
    <col min="3" max="4" width="17.5703125" customWidth="1"/>
    <col min="5" max="5" width="21.42578125" customWidth="1"/>
    <col min="6" max="6" width="13.42578125" customWidth="1"/>
    <col min="7" max="14" width="11.42578125" customWidth="1"/>
    <col min="21" max="21" width="15.28515625" customWidth="1"/>
    <col min="23" max="23" width="14.140625" customWidth="1"/>
    <col min="30" max="30" width="14.140625" customWidth="1"/>
    <col min="31" max="31" width="21.28515625" customWidth="1"/>
    <col min="32" max="32" width="18.85546875" customWidth="1"/>
    <col min="33" max="33" width="20.28515625" customWidth="1"/>
  </cols>
  <sheetData>
    <row r="1" spans="3:34" x14ac:dyDescent="0.25">
      <c r="F1" t="s">
        <v>507</v>
      </c>
      <c r="G1" s="229">
        <f>+F29*1000/E29</f>
        <v>5997.3958333333339</v>
      </c>
      <c r="H1" s="229" t="s">
        <v>525</v>
      </c>
      <c r="I1" s="229"/>
      <c r="J1" s="229"/>
      <c r="K1" s="229"/>
      <c r="L1" s="229"/>
      <c r="W1">
        <v>1</v>
      </c>
      <c r="X1" t="s">
        <v>484</v>
      </c>
      <c r="Y1">
        <v>5800</v>
      </c>
      <c r="Z1" t="s">
        <v>485</v>
      </c>
    </row>
    <row r="3" spans="3:34" x14ac:dyDescent="0.25">
      <c r="O3" s="238" t="s">
        <v>533</v>
      </c>
      <c r="P3" s="239"/>
      <c r="Q3" s="239"/>
      <c r="R3" s="239"/>
      <c r="S3" s="240"/>
      <c r="T3" s="239"/>
      <c r="U3" s="239"/>
      <c r="V3" s="207" t="s">
        <v>479</v>
      </c>
      <c r="W3" s="208"/>
      <c r="X3" s="208"/>
      <c r="Y3" s="208"/>
      <c r="Z3" s="208"/>
      <c r="AA3" s="208"/>
      <c r="AB3" s="209"/>
      <c r="AF3" s="272" t="s">
        <v>488</v>
      </c>
      <c r="AG3" s="272"/>
    </row>
    <row r="4" spans="3:34" x14ac:dyDescent="0.25">
      <c r="E4" s="216" t="s">
        <v>475</v>
      </c>
      <c r="F4" s="217" t="s">
        <v>478</v>
      </c>
      <c r="G4" s="218" t="s">
        <v>477</v>
      </c>
      <c r="H4" s="218" t="s">
        <v>476</v>
      </c>
      <c r="I4" s="218"/>
      <c r="J4" s="218"/>
      <c r="K4" s="218"/>
      <c r="L4" s="218"/>
      <c r="M4" s="219" t="s">
        <v>480</v>
      </c>
      <c r="N4" s="216" t="s">
        <v>481</v>
      </c>
      <c r="O4" s="241" t="s">
        <v>380</v>
      </c>
      <c r="P4" s="241" t="s">
        <v>535</v>
      </c>
      <c r="Q4" s="241" t="s">
        <v>534</v>
      </c>
      <c r="R4" s="241" t="s">
        <v>536</v>
      </c>
      <c r="S4" s="241" t="s">
        <v>537</v>
      </c>
      <c r="T4" s="241" t="s">
        <v>477</v>
      </c>
      <c r="U4" s="241" t="s">
        <v>538</v>
      </c>
      <c r="V4" s="216">
        <v>2020</v>
      </c>
      <c r="W4" s="217">
        <v>2025</v>
      </c>
      <c r="X4" s="217">
        <v>2030</v>
      </c>
      <c r="Y4" s="217">
        <v>2035</v>
      </c>
      <c r="Z4" s="217">
        <v>2040</v>
      </c>
      <c r="AA4" s="217">
        <v>2045</v>
      </c>
      <c r="AB4" s="218">
        <v>2050</v>
      </c>
      <c r="AC4" s="220" t="s">
        <v>483</v>
      </c>
      <c r="AD4" s="221" t="s">
        <v>482</v>
      </c>
      <c r="AE4" s="222" t="s">
        <v>486</v>
      </c>
      <c r="AF4" s="220" t="s">
        <v>487</v>
      </c>
      <c r="AG4" s="221" t="s">
        <v>489</v>
      </c>
      <c r="AH4" s="183" t="s">
        <v>490</v>
      </c>
    </row>
    <row r="5" spans="3:34" x14ac:dyDescent="0.25">
      <c r="C5" t="s">
        <v>301</v>
      </c>
      <c r="E5" s="197">
        <v>28.68</v>
      </c>
      <c r="F5" s="198">
        <v>172.07</v>
      </c>
      <c r="G5" s="199">
        <v>0</v>
      </c>
      <c r="H5">
        <f t="shared" ref="H5:H43" si="0">+E5-G5</f>
        <v>28.68</v>
      </c>
      <c r="I5" s="186">
        <f>+G5/E5</f>
        <v>0</v>
      </c>
      <c r="J5" s="186">
        <f>+H5/E5</f>
        <v>1</v>
      </c>
      <c r="M5" s="200">
        <v>0.96079999999999999</v>
      </c>
      <c r="N5" s="201">
        <v>2027</v>
      </c>
      <c r="S5" s="244">
        <v>0</v>
      </c>
      <c r="T5" s="245">
        <f>+S5*E5</f>
        <v>0</v>
      </c>
      <c r="U5" t="s">
        <v>539</v>
      </c>
      <c r="V5" s="202">
        <v>20000</v>
      </c>
      <c r="W5" s="203">
        <v>12500</v>
      </c>
      <c r="X5" s="206"/>
      <c r="Y5" s="206"/>
      <c r="Z5" s="206"/>
      <c r="AA5" s="206"/>
      <c r="AB5" s="199"/>
      <c r="AC5" s="210">
        <f t="shared" ref="AC5:AC37" si="1">+SLOPE(V5:AB5,$V$4:$AB$4)</f>
        <v>-1500</v>
      </c>
      <c r="AD5" s="204">
        <f t="shared" ref="AD5:AD37" si="2">+INTERCEPT(V5:AB5,$V$4:$AB$4)</f>
        <v>3050000</v>
      </c>
      <c r="AE5" s="211">
        <f t="shared" ref="AE5:AE37" si="3">+AC5*N5+AD5</f>
        <v>9500</v>
      </c>
      <c r="AF5" s="224">
        <f t="shared" ref="AF5:AF37" si="4">+((N5-$V$4)*AE5+((N5-$V$4)*(V5-AE5))/2)*365/1000000</f>
        <v>37.686250000000001</v>
      </c>
      <c r="AG5" s="225">
        <f t="shared" ref="AG5:AG37" si="5">+((AC5*N5*N5/2)+(AD5*N5)-(AC5*$V$4*$V$4/2)-(AD5*$V$4))*365/1000000</f>
        <v>37.686250000000001</v>
      </c>
      <c r="AH5" s="186">
        <f t="shared" ref="AH5:AH37" si="6">+(AG5-E5)/E5</f>
        <v>0.31402545327754539</v>
      </c>
    </row>
    <row r="6" spans="3:34" x14ac:dyDescent="0.25">
      <c r="C6" t="s">
        <v>342</v>
      </c>
      <c r="E6" s="194">
        <v>89.87</v>
      </c>
      <c r="F6" s="194">
        <v>0</v>
      </c>
      <c r="G6" s="194">
        <f>+E6</f>
        <v>89.87</v>
      </c>
      <c r="H6">
        <f t="shared" si="0"/>
        <v>0</v>
      </c>
      <c r="I6" s="186">
        <f t="shared" ref="I6:I43" si="7">+G6/E6</f>
        <v>1</v>
      </c>
      <c r="J6" s="186">
        <f t="shared" ref="J6:J43" si="8">+H6/E6</f>
        <v>0</v>
      </c>
      <c r="M6" s="196">
        <v>0.24629999999999999</v>
      </c>
      <c r="N6" s="194">
        <v>2048</v>
      </c>
      <c r="O6" s="242">
        <f>+P6+R6</f>
        <v>19756.607616438356</v>
      </c>
      <c r="P6" s="242">
        <v>19756.607616438356</v>
      </c>
      <c r="Q6" s="242">
        <v>0</v>
      </c>
      <c r="R6" s="242">
        <f>+(Q6*1000000)/$Y$1</f>
        <v>0</v>
      </c>
      <c r="S6" s="243">
        <f>+P6/O6</f>
        <v>1</v>
      </c>
      <c r="T6" s="245">
        <f t="shared" ref="T6:T38" si="9">+S6*E6</f>
        <v>89.87</v>
      </c>
      <c r="U6" s="243">
        <f>+G6/E6</f>
        <v>1</v>
      </c>
      <c r="V6" s="194">
        <v>10000</v>
      </c>
      <c r="W6" s="194">
        <v>16000</v>
      </c>
      <c r="X6" s="194">
        <v>11000</v>
      </c>
      <c r="Y6" s="194">
        <v>7500</v>
      </c>
      <c r="Z6" s="194">
        <v>5500</v>
      </c>
      <c r="AA6" s="194">
        <v>4000</v>
      </c>
      <c r="AB6" s="194"/>
      <c r="AC6" s="210">
        <f t="shared" si="1"/>
        <v>-371.42857142857144</v>
      </c>
      <c r="AD6" s="204">
        <f t="shared" si="2"/>
        <v>763928.57142857148</v>
      </c>
      <c r="AE6" s="211">
        <f t="shared" si="3"/>
        <v>3242.8571428571595</v>
      </c>
      <c r="AF6" s="226">
        <f t="shared" si="4"/>
        <v>67.671000000000092</v>
      </c>
      <c r="AG6" s="227">
        <f t="shared" si="5"/>
        <v>86.286000000000001</v>
      </c>
      <c r="AH6" s="186">
        <f t="shared" si="6"/>
        <v>-3.9879826415934162E-2</v>
      </c>
    </row>
    <row r="7" spans="3:34" x14ac:dyDescent="0.25">
      <c r="C7" t="s">
        <v>491</v>
      </c>
      <c r="E7" s="194">
        <v>1.37</v>
      </c>
      <c r="F7" s="230">
        <f>+E7*1.12%</f>
        <v>1.5344000000000003E-2</v>
      </c>
      <c r="G7" s="195">
        <f>+E7*98.88%</f>
        <v>1.3546559999999999</v>
      </c>
      <c r="H7">
        <f t="shared" si="0"/>
        <v>1.5344000000000246E-2</v>
      </c>
      <c r="I7" s="186">
        <f t="shared" si="7"/>
        <v>0.98879999999999979</v>
      </c>
      <c r="J7" s="186">
        <f t="shared" si="8"/>
        <v>1.1200000000000179E-2</v>
      </c>
      <c r="M7" s="196">
        <v>0.62780000000000002</v>
      </c>
      <c r="N7" s="194">
        <v>2041</v>
      </c>
      <c r="O7" s="242">
        <f t="shared" ref="O7:O38" si="10">+P7+R7</f>
        <v>285.28490222012289</v>
      </c>
      <c r="P7" s="242">
        <v>249.14413698630142</v>
      </c>
      <c r="Q7" s="242">
        <v>0.20961643835616439</v>
      </c>
      <c r="R7" s="242">
        <f t="shared" ref="R7:R38" si="11">+(Q7*1000000)/$Y$1</f>
        <v>36.140765233821448</v>
      </c>
      <c r="S7" s="243">
        <f t="shared" ref="S7:S38" si="12">+P7/O7</f>
        <v>0.8733169370248145</v>
      </c>
      <c r="T7" s="245">
        <f t="shared" si="9"/>
        <v>1.196444203723996</v>
      </c>
      <c r="U7" s="243">
        <f t="shared" ref="U7:U38" si="13">+G7/E7</f>
        <v>0.98879999999999979</v>
      </c>
      <c r="V7" s="194">
        <v>400</v>
      </c>
      <c r="W7" s="194">
        <v>280</v>
      </c>
      <c r="X7" s="194">
        <v>200</v>
      </c>
      <c r="Y7" s="194">
        <v>120</v>
      </c>
      <c r="Z7" s="194">
        <v>80</v>
      </c>
      <c r="AA7" s="194"/>
      <c r="AB7" s="194"/>
      <c r="AC7" s="210">
        <f t="shared" si="1"/>
        <v>-16</v>
      </c>
      <c r="AD7" s="204">
        <f t="shared" si="2"/>
        <v>32696</v>
      </c>
      <c r="AE7" s="211">
        <f t="shared" si="3"/>
        <v>40</v>
      </c>
      <c r="AF7" s="226">
        <f t="shared" si="4"/>
        <v>1.6862999999999999</v>
      </c>
      <c r="AG7" s="227">
        <f t="shared" si="5"/>
        <v>1.59432</v>
      </c>
      <c r="AH7" s="186">
        <f t="shared" si="6"/>
        <v>0.16373722627737214</v>
      </c>
    </row>
    <row r="8" spans="3:34" x14ac:dyDescent="0.25">
      <c r="C8" t="s">
        <v>346</v>
      </c>
      <c r="E8" s="194">
        <v>2.5</v>
      </c>
      <c r="F8" s="194">
        <v>7.0000000000000007E-2</v>
      </c>
      <c r="G8" s="194">
        <f>+E8*99.53%</f>
        <v>2.4882499999999999</v>
      </c>
      <c r="H8">
        <f t="shared" si="0"/>
        <v>1.1750000000000149E-2</v>
      </c>
      <c r="I8" s="186">
        <f t="shared" si="7"/>
        <v>0.99529999999999996</v>
      </c>
      <c r="J8" s="186">
        <f t="shared" si="8"/>
        <v>4.70000000000006E-3</v>
      </c>
      <c r="M8" s="196">
        <v>0.93179999999999996</v>
      </c>
      <c r="N8" s="194">
        <v>2029</v>
      </c>
      <c r="O8" s="242">
        <f t="shared" si="10"/>
        <v>3767.1428889938588</v>
      </c>
      <c r="P8" s="242">
        <v>3691.9893698630135</v>
      </c>
      <c r="Q8" s="242">
        <v>0.43589041095890391</v>
      </c>
      <c r="R8" s="242">
        <f t="shared" si="11"/>
        <v>75.153519130845496</v>
      </c>
      <c r="S8" s="243">
        <f t="shared" si="12"/>
        <v>0.98005026054349709</v>
      </c>
      <c r="T8" s="245">
        <f t="shared" si="9"/>
        <v>2.4501256513587428</v>
      </c>
      <c r="U8" s="243">
        <f t="shared" si="13"/>
        <v>0.99529999999999996</v>
      </c>
      <c r="V8" s="194">
        <v>2950</v>
      </c>
      <c r="W8" s="194">
        <v>750</v>
      </c>
      <c r="X8" s="194"/>
      <c r="Y8" s="194"/>
      <c r="Z8" s="194"/>
      <c r="AA8" s="194"/>
      <c r="AB8" s="194"/>
      <c r="AC8" s="210">
        <f t="shared" si="1"/>
        <v>-440</v>
      </c>
      <c r="AD8" s="204">
        <f t="shared" si="2"/>
        <v>891750</v>
      </c>
      <c r="AE8" s="211">
        <f t="shared" si="3"/>
        <v>-1010</v>
      </c>
      <c r="AF8" s="226">
        <f t="shared" si="4"/>
        <v>3.1864499999999998</v>
      </c>
      <c r="AG8" s="227">
        <f t="shared" si="5"/>
        <v>3.1864499999999998</v>
      </c>
      <c r="AH8" s="186">
        <f t="shared" si="6"/>
        <v>0.27457999999999994</v>
      </c>
    </row>
    <row r="9" spans="3:34" x14ac:dyDescent="0.25">
      <c r="C9" t="s">
        <v>311</v>
      </c>
      <c r="E9" s="194">
        <v>14.92</v>
      </c>
      <c r="F9" s="194">
        <v>89.54</v>
      </c>
      <c r="G9" s="194">
        <v>0</v>
      </c>
      <c r="H9">
        <f t="shared" si="0"/>
        <v>14.92</v>
      </c>
      <c r="I9" s="186">
        <f t="shared" si="7"/>
        <v>0</v>
      </c>
      <c r="J9" s="186">
        <f t="shared" si="8"/>
        <v>1</v>
      </c>
      <c r="M9" s="196">
        <v>0.69059999999999999</v>
      </c>
      <c r="N9" s="194">
        <v>2039</v>
      </c>
      <c r="O9" s="242">
        <f t="shared" si="10"/>
        <v>3970.7652338214457</v>
      </c>
      <c r="P9" s="242">
        <v>0</v>
      </c>
      <c r="Q9" s="242">
        <v>23.030438356164385</v>
      </c>
      <c r="R9" s="242">
        <f t="shared" si="11"/>
        <v>3970.7652338214457</v>
      </c>
      <c r="S9" s="243">
        <f t="shared" si="12"/>
        <v>0</v>
      </c>
      <c r="T9" s="245">
        <f t="shared" si="9"/>
        <v>0</v>
      </c>
      <c r="U9" s="243">
        <f t="shared" si="13"/>
        <v>0</v>
      </c>
      <c r="V9" s="194">
        <v>2500</v>
      </c>
      <c r="W9" s="213">
        <v>3000</v>
      </c>
      <c r="X9" s="194">
        <v>2100</v>
      </c>
      <c r="Y9" s="194">
        <v>1800</v>
      </c>
      <c r="Z9" s="194"/>
      <c r="AA9" s="194"/>
      <c r="AB9" s="194"/>
      <c r="AC9" s="210">
        <f t="shared" si="1"/>
        <v>-60</v>
      </c>
      <c r="AD9" s="204">
        <f t="shared" si="2"/>
        <v>124000</v>
      </c>
      <c r="AE9" s="211">
        <f t="shared" si="3"/>
        <v>1660</v>
      </c>
      <c r="AF9" s="226">
        <f t="shared" si="4"/>
        <v>14.424799999999999</v>
      </c>
      <c r="AG9" s="227">
        <f t="shared" si="5"/>
        <v>15.46505</v>
      </c>
      <c r="AH9" s="186">
        <f t="shared" si="6"/>
        <v>3.653150134048256E-2</v>
      </c>
    </row>
    <row r="10" spans="3:34" x14ac:dyDescent="0.25">
      <c r="C10" t="s">
        <v>492</v>
      </c>
      <c r="E10" s="194">
        <v>153.29</v>
      </c>
      <c r="F10" s="194">
        <v>0</v>
      </c>
      <c r="G10" s="194">
        <v>153.29</v>
      </c>
      <c r="H10">
        <f t="shared" si="0"/>
        <v>0</v>
      </c>
      <c r="I10" s="186">
        <f t="shared" si="7"/>
        <v>1</v>
      </c>
      <c r="J10" s="186">
        <f t="shared" si="8"/>
        <v>0</v>
      </c>
      <c r="M10" s="196">
        <v>0.70950000000000002</v>
      </c>
      <c r="N10" s="194">
        <v>2036</v>
      </c>
      <c r="O10" s="242">
        <f t="shared" si="10"/>
        <v>70553.994630136978</v>
      </c>
      <c r="P10" s="242">
        <v>70553.994630136978</v>
      </c>
      <c r="Q10" s="242">
        <v>0</v>
      </c>
      <c r="R10" s="242">
        <f t="shared" si="11"/>
        <v>0</v>
      </c>
      <c r="S10" s="243">
        <f t="shared" si="12"/>
        <v>1</v>
      </c>
      <c r="T10" s="245">
        <f t="shared" si="9"/>
        <v>153.29</v>
      </c>
      <c r="U10" s="243">
        <f t="shared" si="13"/>
        <v>1</v>
      </c>
      <c r="V10" s="194">
        <v>65000</v>
      </c>
      <c r="W10" s="213">
        <v>37500</v>
      </c>
      <c r="X10" s="194">
        <v>22500</v>
      </c>
      <c r="Y10" s="194">
        <v>12500</v>
      </c>
      <c r="Z10" s="194"/>
      <c r="AA10" s="194"/>
      <c r="AB10" s="194"/>
      <c r="AC10" s="232">
        <f t="shared" si="1"/>
        <v>-3450</v>
      </c>
      <c r="AD10" s="233">
        <f t="shared" si="2"/>
        <v>7029250</v>
      </c>
      <c r="AE10" s="234">
        <f t="shared" si="3"/>
        <v>5050</v>
      </c>
      <c r="AF10" s="224">
        <f t="shared" si="4"/>
        <v>204.54599999999999</v>
      </c>
      <c r="AG10" s="225">
        <f t="shared" si="5"/>
        <v>190.67599999999999</v>
      </c>
      <c r="AH10" s="186">
        <f t="shared" si="6"/>
        <v>0.24389066475308238</v>
      </c>
    </row>
    <row r="11" spans="3:34" x14ac:dyDescent="0.25">
      <c r="C11" t="s">
        <v>493</v>
      </c>
      <c r="E11" s="194">
        <v>0.88</v>
      </c>
      <c r="F11" s="194">
        <v>0</v>
      </c>
      <c r="G11" s="194">
        <v>0.88</v>
      </c>
      <c r="H11">
        <f t="shared" si="0"/>
        <v>0</v>
      </c>
      <c r="I11" s="186">
        <f t="shared" si="7"/>
        <v>1</v>
      </c>
      <c r="J11" s="186">
        <f t="shared" si="8"/>
        <v>0</v>
      </c>
      <c r="M11" s="196">
        <v>0.69830000000000003</v>
      </c>
      <c r="N11" s="194">
        <v>2042</v>
      </c>
      <c r="O11" s="242">
        <f t="shared" si="10"/>
        <v>226.03172602739721</v>
      </c>
      <c r="P11" s="242">
        <v>226.03172602739721</v>
      </c>
      <c r="Q11" s="242">
        <v>0</v>
      </c>
      <c r="R11" s="242">
        <f t="shared" si="11"/>
        <v>0</v>
      </c>
      <c r="S11" s="243">
        <f t="shared" si="12"/>
        <v>1</v>
      </c>
      <c r="T11" s="245">
        <f t="shared" si="9"/>
        <v>0.88</v>
      </c>
      <c r="U11" s="243">
        <f t="shared" si="13"/>
        <v>1</v>
      </c>
      <c r="V11" s="194">
        <v>150</v>
      </c>
      <c r="W11" s="231">
        <v>180</v>
      </c>
      <c r="X11" s="194">
        <v>105</v>
      </c>
      <c r="Y11" s="194">
        <v>90</v>
      </c>
      <c r="Z11" s="194">
        <v>60</v>
      </c>
      <c r="AA11" s="194"/>
      <c r="AB11" s="194"/>
      <c r="AC11" s="232">
        <f t="shared" si="1"/>
        <v>-5.4</v>
      </c>
      <c r="AD11" s="233">
        <f t="shared" si="2"/>
        <v>11079</v>
      </c>
      <c r="AE11" s="234">
        <f t="shared" si="3"/>
        <v>52.199999999998909</v>
      </c>
      <c r="AF11" s="224">
        <f t="shared" si="4"/>
        <v>0.81183299999999559</v>
      </c>
      <c r="AG11" s="225">
        <f t="shared" si="5"/>
        <v>0.89614799999972805</v>
      </c>
      <c r="AH11" s="186">
        <f t="shared" si="6"/>
        <v>1.8349999999690961E-2</v>
      </c>
    </row>
    <row r="12" spans="3:34" x14ac:dyDescent="0.25">
      <c r="C12" t="s">
        <v>494</v>
      </c>
      <c r="E12" s="194">
        <v>543.79</v>
      </c>
      <c r="F12" s="194">
        <v>0</v>
      </c>
      <c r="G12" s="194">
        <f>+E12</f>
        <v>543.79</v>
      </c>
      <c r="H12">
        <f t="shared" si="0"/>
        <v>0</v>
      </c>
      <c r="I12" s="186">
        <f t="shared" si="7"/>
        <v>1</v>
      </c>
      <c r="J12" s="186">
        <f t="shared" si="8"/>
        <v>0</v>
      </c>
      <c r="M12" s="196">
        <v>0.31709999999999999</v>
      </c>
      <c r="N12" s="194">
        <v>2099</v>
      </c>
      <c r="O12" s="242">
        <f t="shared" si="10"/>
        <v>43276.035643835618</v>
      </c>
      <c r="P12" s="242">
        <v>43276.035643835618</v>
      </c>
      <c r="Q12" s="242">
        <v>0</v>
      </c>
      <c r="R12" s="242">
        <f t="shared" si="11"/>
        <v>0</v>
      </c>
      <c r="S12" s="243">
        <f t="shared" si="12"/>
        <v>1</v>
      </c>
      <c r="T12" s="245">
        <f t="shared" si="9"/>
        <v>543.79</v>
      </c>
      <c r="U12" s="243">
        <f t="shared" si="13"/>
        <v>1</v>
      </c>
      <c r="V12" s="194">
        <v>40000</v>
      </c>
      <c r="W12" s="194"/>
      <c r="X12" s="194">
        <v>32500</v>
      </c>
      <c r="Z12" s="194">
        <v>27500</v>
      </c>
      <c r="AA12" s="194"/>
      <c r="AB12" s="194">
        <v>22500</v>
      </c>
      <c r="AC12" s="232">
        <f t="shared" si="1"/>
        <v>-575</v>
      </c>
      <c r="AD12" s="233">
        <f t="shared" si="2"/>
        <v>1200750</v>
      </c>
      <c r="AE12" s="234">
        <f t="shared" si="3"/>
        <v>-6175</v>
      </c>
      <c r="AF12" s="224">
        <f t="shared" si="4"/>
        <v>487.67193750000001</v>
      </c>
      <c r="AG12" s="225">
        <f t="shared" si="5"/>
        <v>476.8588125</v>
      </c>
      <c r="AH12" s="186">
        <f t="shared" si="6"/>
        <v>-0.1230827847146876</v>
      </c>
    </row>
    <row r="13" spans="3:34" x14ac:dyDescent="0.25">
      <c r="C13" t="s">
        <v>29</v>
      </c>
      <c r="E13" s="194">
        <v>272.89999999999998</v>
      </c>
      <c r="F13" s="194">
        <v>0</v>
      </c>
      <c r="G13" s="194">
        <v>272.29000000000002</v>
      </c>
      <c r="H13">
        <f t="shared" si="0"/>
        <v>0.6099999999999568</v>
      </c>
      <c r="I13" s="186">
        <f t="shared" si="7"/>
        <v>0.99776474899230505</v>
      </c>
      <c r="J13" s="186">
        <f t="shared" si="8"/>
        <v>2.2352510076949681E-3</v>
      </c>
      <c r="M13" s="228">
        <v>0.71530000000000005</v>
      </c>
      <c r="N13" s="194">
        <v>2036</v>
      </c>
      <c r="O13" s="242">
        <f t="shared" si="10"/>
        <v>119308.68268493151</v>
      </c>
      <c r="P13" s="242">
        <v>119308.68268493151</v>
      </c>
      <c r="Q13" s="242">
        <v>0</v>
      </c>
      <c r="R13" s="242">
        <f t="shared" si="11"/>
        <v>0</v>
      </c>
      <c r="S13" s="243">
        <f t="shared" si="12"/>
        <v>1</v>
      </c>
      <c r="T13" s="245">
        <f t="shared" si="9"/>
        <v>272.89999999999998</v>
      </c>
      <c r="U13" s="243">
        <f t="shared" si="13"/>
        <v>0.99776474899230505</v>
      </c>
      <c r="V13" s="205">
        <v>105000</v>
      </c>
      <c r="W13" s="214">
        <v>75000</v>
      </c>
      <c r="X13" s="194">
        <v>40000</v>
      </c>
      <c r="Y13" s="194">
        <v>25000</v>
      </c>
      <c r="AC13" s="232">
        <f t="shared" si="1"/>
        <v>-5500</v>
      </c>
      <c r="AD13" s="233">
        <f t="shared" si="2"/>
        <v>11212500</v>
      </c>
      <c r="AE13" s="234">
        <f t="shared" si="3"/>
        <v>14500</v>
      </c>
      <c r="AF13" s="224">
        <f t="shared" si="4"/>
        <v>348.94</v>
      </c>
      <c r="AG13" s="225">
        <f t="shared" si="5"/>
        <v>341.64</v>
      </c>
      <c r="AH13" s="186">
        <f t="shared" si="6"/>
        <v>0.25188713814584102</v>
      </c>
    </row>
    <row r="14" spans="3:34" x14ac:dyDescent="0.25">
      <c r="C14" t="s">
        <v>345</v>
      </c>
      <c r="E14" s="194">
        <v>16.52</v>
      </c>
      <c r="F14" s="194">
        <v>1.61</v>
      </c>
      <c r="G14">
        <f>+E14*98.07%</f>
        <v>16.201163999999999</v>
      </c>
      <c r="H14">
        <f t="shared" si="0"/>
        <v>0.31883600000000101</v>
      </c>
      <c r="I14" s="186">
        <f t="shared" si="7"/>
        <v>0.98069999999999991</v>
      </c>
      <c r="J14" s="186">
        <f t="shared" si="8"/>
        <v>1.930000000000006E-2</v>
      </c>
      <c r="M14" s="228">
        <v>0.73629999999999995</v>
      </c>
      <c r="N14" s="194">
        <v>2060</v>
      </c>
      <c r="O14" s="242">
        <f t="shared" si="10"/>
        <v>4154.1152328767121</v>
      </c>
      <c r="P14" s="242">
        <v>4154.1152328767121</v>
      </c>
      <c r="Q14" s="242">
        <v>0</v>
      </c>
      <c r="R14" s="242">
        <f t="shared" si="11"/>
        <v>0</v>
      </c>
      <c r="S14" s="243">
        <f t="shared" si="12"/>
        <v>1</v>
      </c>
      <c r="T14" s="245">
        <f t="shared" si="9"/>
        <v>16.52</v>
      </c>
      <c r="U14" s="243">
        <f t="shared" si="13"/>
        <v>0.98069999999999991</v>
      </c>
      <c r="V14" s="194">
        <v>4000</v>
      </c>
      <c r="W14" s="194">
        <v>3000</v>
      </c>
      <c r="X14" s="194">
        <v>1800</v>
      </c>
      <c r="Y14" s="194">
        <v>1000</v>
      </c>
      <c r="Z14" s="194">
        <v>900</v>
      </c>
      <c r="AA14" s="194">
        <v>700</v>
      </c>
      <c r="AB14" s="194">
        <v>500</v>
      </c>
      <c r="AC14" s="232">
        <f t="shared" si="1"/>
        <v>-114.28571428571429</v>
      </c>
      <c r="AD14" s="233">
        <f t="shared" si="2"/>
        <v>234271.42857142858</v>
      </c>
      <c r="AE14" s="234">
        <f t="shared" si="3"/>
        <v>-1157.1428571428696</v>
      </c>
      <c r="AF14" s="224">
        <f t="shared" si="4"/>
        <v>20.752857142857053</v>
      </c>
      <c r="AG14" s="225">
        <f t="shared" si="5"/>
        <v>16.47714285712421</v>
      </c>
      <c r="AH14" s="186">
        <f t="shared" si="6"/>
        <v>-2.5942580433286396E-3</v>
      </c>
    </row>
    <row r="15" spans="3:34" x14ac:dyDescent="0.25">
      <c r="C15" t="s">
        <v>140</v>
      </c>
      <c r="E15" s="194">
        <v>21.91</v>
      </c>
      <c r="F15" s="194">
        <v>0</v>
      </c>
      <c r="G15">
        <f>+E15</f>
        <v>21.91</v>
      </c>
      <c r="H15">
        <f t="shared" si="0"/>
        <v>0</v>
      </c>
      <c r="I15" s="186">
        <f t="shared" si="7"/>
        <v>1</v>
      </c>
      <c r="J15" s="186">
        <f t="shared" si="8"/>
        <v>0</v>
      </c>
      <c r="M15" s="228">
        <v>0.78649999999999998</v>
      </c>
      <c r="N15" s="194">
        <v>2035</v>
      </c>
      <c r="O15" s="242">
        <f t="shared" si="10"/>
        <v>10381.531479452055</v>
      </c>
      <c r="P15" s="242">
        <v>10381.531479452055</v>
      </c>
      <c r="Q15" s="242">
        <v>0</v>
      </c>
      <c r="R15" s="242">
        <f t="shared" si="11"/>
        <v>0</v>
      </c>
      <c r="S15" s="243">
        <f t="shared" si="12"/>
        <v>1</v>
      </c>
      <c r="T15" s="245">
        <f t="shared" si="9"/>
        <v>21.91</v>
      </c>
      <c r="U15" s="243">
        <f t="shared" si="13"/>
        <v>1</v>
      </c>
      <c r="V15" s="205">
        <v>10500</v>
      </c>
      <c r="W15" s="215">
        <v>6000</v>
      </c>
      <c r="X15" s="194">
        <v>2300</v>
      </c>
      <c r="Y15" s="194">
        <v>1800</v>
      </c>
      <c r="AC15" s="232">
        <f t="shared" si="1"/>
        <v>-596</v>
      </c>
      <c r="AD15" s="233">
        <f t="shared" si="2"/>
        <v>1213540</v>
      </c>
      <c r="AE15" s="234">
        <f t="shared" si="3"/>
        <v>680</v>
      </c>
      <c r="AF15" s="224">
        <f t="shared" si="4"/>
        <v>30.605250000000002</v>
      </c>
      <c r="AG15" s="225">
        <f t="shared" si="5"/>
        <v>28.196249999999999</v>
      </c>
      <c r="AH15" s="186">
        <f t="shared" si="6"/>
        <v>0.28691236878137832</v>
      </c>
    </row>
    <row r="16" spans="3:34" x14ac:dyDescent="0.25">
      <c r="C16" t="s">
        <v>495</v>
      </c>
      <c r="E16" s="194">
        <v>8.85</v>
      </c>
      <c r="F16" s="194">
        <v>0</v>
      </c>
      <c r="G16">
        <f>+E16</f>
        <v>8.85</v>
      </c>
      <c r="H16">
        <f t="shared" si="0"/>
        <v>0</v>
      </c>
      <c r="I16" s="186">
        <f t="shared" si="7"/>
        <v>1</v>
      </c>
      <c r="J16" s="186">
        <f t="shared" si="8"/>
        <v>0</v>
      </c>
      <c r="M16" s="228">
        <v>0.55530000000000002</v>
      </c>
      <c r="N16" s="194">
        <v>2052</v>
      </c>
      <c r="O16" s="242">
        <f t="shared" si="10"/>
        <v>1737.8650958904109</v>
      </c>
      <c r="P16" s="242">
        <v>1737.8650958904109</v>
      </c>
      <c r="Q16" s="242">
        <v>0</v>
      </c>
      <c r="R16" s="242">
        <f t="shared" si="11"/>
        <v>0</v>
      </c>
      <c r="S16" s="243">
        <f t="shared" si="12"/>
        <v>1</v>
      </c>
      <c r="T16" s="245">
        <f t="shared" si="9"/>
        <v>8.85</v>
      </c>
      <c r="U16" s="243">
        <f t="shared" si="13"/>
        <v>1</v>
      </c>
      <c r="V16" s="205">
        <v>1600</v>
      </c>
      <c r="W16" s="205">
        <v>1500</v>
      </c>
      <c r="X16" s="194">
        <v>1100</v>
      </c>
      <c r="Y16" s="194">
        <v>750</v>
      </c>
      <c r="Z16" s="194">
        <v>500</v>
      </c>
      <c r="AA16" s="194">
        <v>250</v>
      </c>
      <c r="AB16" s="194">
        <v>200</v>
      </c>
      <c r="AC16" s="232">
        <f t="shared" si="1"/>
        <v>-52.142857142857146</v>
      </c>
      <c r="AD16" s="233">
        <f t="shared" si="2"/>
        <v>106953.57142857143</v>
      </c>
      <c r="AE16" s="234">
        <f t="shared" si="3"/>
        <v>-43.571428571434808</v>
      </c>
      <c r="AF16" s="224">
        <f t="shared" si="4"/>
        <v>9.0895428571428205</v>
      </c>
      <c r="AG16" s="225">
        <f t="shared" si="5"/>
        <v>9.2355428571459655</v>
      </c>
      <c r="AH16" s="186">
        <f t="shared" si="6"/>
        <v>4.3564164649261675E-2</v>
      </c>
    </row>
    <row r="17" spans="3:34" x14ac:dyDescent="0.25">
      <c r="C17" t="s">
        <v>61</v>
      </c>
      <c r="E17" s="194">
        <v>146.25</v>
      </c>
      <c r="F17" s="194">
        <v>0</v>
      </c>
      <c r="G17">
        <v>146.25</v>
      </c>
      <c r="H17">
        <f t="shared" si="0"/>
        <v>0</v>
      </c>
      <c r="I17" s="186">
        <f t="shared" si="7"/>
        <v>1</v>
      </c>
      <c r="J17" s="186">
        <f t="shared" si="8"/>
        <v>0</v>
      </c>
      <c r="M17" s="228">
        <v>0.58260000000000001</v>
      </c>
      <c r="N17" s="194">
        <v>2039</v>
      </c>
      <c r="O17" s="242">
        <f t="shared" si="10"/>
        <v>48971.756410958893</v>
      </c>
      <c r="P17" s="242">
        <v>48971.756410958893</v>
      </c>
      <c r="Q17" s="242">
        <v>0</v>
      </c>
      <c r="R17" s="242">
        <f t="shared" si="11"/>
        <v>0</v>
      </c>
      <c r="S17" s="243">
        <f t="shared" si="12"/>
        <v>1</v>
      </c>
      <c r="T17" s="245">
        <f t="shared" si="9"/>
        <v>146.25</v>
      </c>
      <c r="U17" s="243">
        <f t="shared" si="13"/>
        <v>1</v>
      </c>
      <c r="V17" s="205">
        <v>50000</v>
      </c>
      <c r="W17" s="205">
        <v>35000</v>
      </c>
      <c r="X17" s="194">
        <v>20000</v>
      </c>
      <c r="Y17" s="194">
        <v>12500</v>
      </c>
      <c r="AC17" s="232">
        <f t="shared" si="1"/>
        <v>-2550</v>
      </c>
      <c r="AD17" s="233">
        <f t="shared" si="2"/>
        <v>5199500</v>
      </c>
      <c r="AE17" s="234">
        <f t="shared" si="3"/>
        <v>50</v>
      </c>
      <c r="AF17" s="224">
        <f t="shared" si="4"/>
        <v>173.54837499999999</v>
      </c>
      <c r="AG17" s="225">
        <f t="shared" si="5"/>
        <v>168.34712500000001</v>
      </c>
      <c r="AH17" s="186">
        <f t="shared" si="6"/>
        <v>0.15109145299145302</v>
      </c>
    </row>
    <row r="18" spans="3:34" x14ac:dyDescent="0.25">
      <c r="C18" t="s">
        <v>496</v>
      </c>
      <c r="E18" s="194">
        <v>89.99</v>
      </c>
      <c r="F18" s="194">
        <v>0</v>
      </c>
      <c r="G18">
        <f>+E18</f>
        <v>89.99</v>
      </c>
      <c r="H18">
        <f t="shared" si="0"/>
        <v>0</v>
      </c>
      <c r="I18" s="186">
        <f t="shared" si="7"/>
        <v>1</v>
      </c>
      <c r="J18" s="186">
        <f t="shared" si="8"/>
        <v>0</v>
      </c>
      <c r="M18" s="228">
        <v>0.42830000000000001</v>
      </c>
      <c r="N18" s="194">
        <v>2044</v>
      </c>
      <c r="O18" s="242">
        <f t="shared" si="10"/>
        <v>20119.028164383562</v>
      </c>
      <c r="P18" s="242">
        <v>20119.028164383562</v>
      </c>
      <c r="Q18" s="242">
        <v>0</v>
      </c>
      <c r="R18" s="242">
        <f t="shared" si="11"/>
        <v>0</v>
      </c>
      <c r="S18" s="243">
        <f t="shared" si="12"/>
        <v>1</v>
      </c>
      <c r="T18" s="245">
        <f t="shared" si="9"/>
        <v>89.99</v>
      </c>
      <c r="U18" s="243">
        <f t="shared" si="13"/>
        <v>1</v>
      </c>
      <c r="V18" s="205">
        <v>20000</v>
      </c>
      <c r="W18" s="205">
        <v>17500</v>
      </c>
      <c r="X18" s="194">
        <v>12500</v>
      </c>
      <c r="Y18" s="194">
        <v>7600</v>
      </c>
      <c r="Z18" s="194">
        <v>6000</v>
      </c>
      <c r="AC18" s="232">
        <f t="shared" si="1"/>
        <v>-758</v>
      </c>
      <c r="AD18" s="233">
        <f t="shared" si="2"/>
        <v>1551460</v>
      </c>
      <c r="AE18" s="234">
        <f t="shared" si="3"/>
        <v>2108</v>
      </c>
      <c r="AF18" s="224">
        <f t="shared" si="4"/>
        <v>96.833039999999997</v>
      </c>
      <c r="AG18" s="225">
        <f t="shared" si="5"/>
        <v>98.147040000000004</v>
      </c>
      <c r="AH18" s="186">
        <f t="shared" si="6"/>
        <v>9.0643849316590835E-2</v>
      </c>
    </row>
    <row r="19" spans="3:34" x14ac:dyDescent="0.25">
      <c r="C19" t="s">
        <v>497</v>
      </c>
      <c r="E19" s="194">
        <v>86.96</v>
      </c>
      <c r="F19" s="194">
        <v>357.74</v>
      </c>
      <c r="G19">
        <f>+E19*68.57%</f>
        <v>59.628471999999995</v>
      </c>
      <c r="H19">
        <f t="shared" si="0"/>
        <v>27.331527999999999</v>
      </c>
      <c r="I19" s="186">
        <f t="shared" si="7"/>
        <v>0.68569999999999998</v>
      </c>
      <c r="J19" s="186">
        <f t="shared" si="8"/>
        <v>0.31430000000000002</v>
      </c>
      <c r="M19" s="228">
        <v>0.87790000000000001</v>
      </c>
      <c r="N19" s="194">
        <v>2035</v>
      </c>
      <c r="O19" s="242">
        <f t="shared" si="10"/>
        <v>36739.649441662732</v>
      </c>
      <c r="P19" s="242">
        <v>5802.3135890410958</v>
      </c>
      <c r="Q19" s="242">
        <v>179.43654794520549</v>
      </c>
      <c r="R19" s="242">
        <f t="shared" si="11"/>
        <v>30937.335852621636</v>
      </c>
      <c r="S19" s="243">
        <f t="shared" si="12"/>
        <v>0.15793056485893622</v>
      </c>
      <c r="T19" s="245">
        <f t="shared" si="9"/>
        <v>13.733641920133094</v>
      </c>
      <c r="U19" s="243">
        <f t="shared" si="13"/>
        <v>0.68569999999999998</v>
      </c>
      <c r="V19" s="205">
        <v>42000</v>
      </c>
      <c r="W19" s="205">
        <v>22000</v>
      </c>
      <c r="X19" s="194">
        <v>16000</v>
      </c>
      <c r="Y19" s="194">
        <v>8000</v>
      </c>
      <c r="AC19" s="232">
        <f t="shared" si="1"/>
        <v>-2160</v>
      </c>
      <c r="AD19" s="233">
        <f t="shared" si="2"/>
        <v>4401400</v>
      </c>
      <c r="AE19" s="234">
        <f t="shared" si="3"/>
        <v>5800</v>
      </c>
      <c r="AF19" s="224">
        <f t="shared" si="4"/>
        <v>130.85249999999999</v>
      </c>
      <c r="AG19" s="225">
        <f t="shared" si="5"/>
        <v>120.45</v>
      </c>
      <c r="AH19" s="186">
        <f t="shared" si="6"/>
        <v>0.38511959521619149</v>
      </c>
    </row>
    <row r="20" spans="3:34" x14ac:dyDescent="0.25">
      <c r="C20" t="s">
        <v>498</v>
      </c>
      <c r="E20" s="194">
        <v>5.73</v>
      </c>
      <c r="F20" s="194">
        <v>0</v>
      </c>
      <c r="G20">
        <f>+E20</f>
        <v>5.73</v>
      </c>
      <c r="H20">
        <f t="shared" si="0"/>
        <v>0</v>
      </c>
      <c r="I20" s="186">
        <f t="shared" si="7"/>
        <v>1</v>
      </c>
      <c r="J20" s="186">
        <f t="shared" si="8"/>
        <v>0</v>
      </c>
      <c r="M20" s="228">
        <v>0.61819999999999997</v>
      </c>
      <c r="N20" s="194">
        <v>2050</v>
      </c>
      <c r="O20" s="242">
        <f t="shared" si="10"/>
        <v>3032.86197260274</v>
      </c>
      <c r="P20" s="242">
        <v>3032.86197260274</v>
      </c>
      <c r="Q20" s="242">
        <v>0</v>
      </c>
      <c r="R20" s="242">
        <f t="shared" si="11"/>
        <v>0</v>
      </c>
      <c r="S20" s="243">
        <f t="shared" si="12"/>
        <v>1</v>
      </c>
      <c r="T20" s="245">
        <f t="shared" si="9"/>
        <v>5.73</v>
      </c>
      <c r="U20" s="243">
        <f t="shared" si="13"/>
        <v>1</v>
      </c>
      <c r="V20" s="205">
        <v>2250</v>
      </c>
      <c r="W20" s="205">
        <v>1250</v>
      </c>
      <c r="X20" s="194">
        <v>600</v>
      </c>
      <c r="Y20" s="194">
        <v>400</v>
      </c>
      <c r="Z20" s="194">
        <v>200</v>
      </c>
      <c r="AA20" s="194">
        <v>150</v>
      </c>
      <c r="AB20" s="194">
        <v>100</v>
      </c>
      <c r="AC20" s="232">
        <f t="shared" si="1"/>
        <v>-64.642857142857139</v>
      </c>
      <c r="AD20" s="233">
        <f t="shared" si="2"/>
        <v>132255.35714285716</v>
      </c>
      <c r="AE20" s="234">
        <f t="shared" si="3"/>
        <v>-262.4999999999709</v>
      </c>
      <c r="AF20" s="224">
        <f t="shared" si="4"/>
        <v>10.881562500000161</v>
      </c>
      <c r="AG20" s="225">
        <f t="shared" si="5"/>
        <v>7.7432142857189472</v>
      </c>
      <c r="AH20" s="186">
        <f t="shared" si="6"/>
        <v>0.35134629768218961</v>
      </c>
    </row>
    <row r="21" spans="3:34" x14ac:dyDescent="0.25">
      <c r="C21" t="s">
        <v>499</v>
      </c>
      <c r="E21" s="194">
        <v>89.27</v>
      </c>
      <c r="F21" s="194">
        <v>504.38</v>
      </c>
      <c r="G21">
        <f>+E21*5.84%</f>
        <v>5.213368</v>
      </c>
      <c r="H21">
        <f t="shared" si="0"/>
        <v>84.056631999999993</v>
      </c>
      <c r="I21" s="186">
        <f t="shared" si="7"/>
        <v>5.8400000000000001E-2</v>
      </c>
      <c r="J21" s="186">
        <f t="shared" si="8"/>
        <v>0.94159999999999999</v>
      </c>
      <c r="M21" s="228">
        <v>0.24510000000000001</v>
      </c>
      <c r="N21" s="194">
        <v>2059</v>
      </c>
      <c r="O21" s="242">
        <f t="shared" si="10"/>
        <v>5687.8121180916396</v>
      </c>
      <c r="P21" s="242">
        <v>1396.6784383561644</v>
      </c>
      <c r="Q21" s="242">
        <v>24.888575342465753</v>
      </c>
      <c r="R21" s="242">
        <f t="shared" si="11"/>
        <v>4291.1336797354752</v>
      </c>
      <c r="S21" s="243">
        <f t="shared" si="12"/>
        <v>0.24555635969648984</v>
      </c>
      <c r="T21" s="245">
        <f t="shared" si="9"/>
        <v>21.920816230105647</v>
      </c>
      <c r="U21" s="243">
        <f t="shared" si="13"/>
        <v>5.8400000000000001E-2</v>
      </c>
      <c r="V21" s="205">
        <v>10000</v>
      </c>
      <c r="W21" s="205">
        <v>18500</v>
      </c>
      <c r="X21" s="194">
        <v>10000</v>
      </c>
      <c r="Y21" s="194">
        <v>7000</v>
      </c>
      <c r="Z21" s="194">
        <v>5000</v>
      </c>
      <c r="AA21" s="194">
        <v>3500</v>
      </c>
      <c r="AB21" s="194">
        <v>2100</v>
      </c>
      <c r="AC21" s="232">
        <f t="shared" si="1"/>
        <v>-419.28571428571439</v>
      </c>
      <c r="AD21" s="233">
        <f t="shared" si="2"/>
        <v>861260.71428571444</v>
      </c>
      <c r="AE21" s="234">
        <f t="shared" si="3"/>
        <v>-2048.5714285714785</v>
      </c>
      <c r="AF21" s="224">
        <f t="shared" si="4"/>
        <v>56.594292857142499</v>
      </c>
      <c r="AG21" s="225">
        <f t="shared" si="5"/>
        <v>87.224962500087017</v>
      </c>
      <c r="AH21" s="186">
        <f t="shared" si="6"/>
        <v>-2.2908451886557404E-2</v>
      </c>
    </row>
    <row r="22" spans="3:34" x14ac:dyDescent="0.25">
      <c r="C22" t="s">
        <v>500</v>
      </c>
      <c r="E22" s="194">
        <v>10.25</v>
      </c>
      <c r="F22" s="194">
        <v>60.26</v>
      </c>
      <c r="G22">
        <f>+E22*2%</f>
        <v>0.20500000000000002</v>
      </c>
      <c r="H22">
        <f t="shared" si="0"/>
        <v>10.045</v>
      </c>
      <c r="I22" s="186">
        <f t="shared" si="7"/>
        <v>0.02</v>
      </c>
      <c r="J22" s="186">
        <f t="shared" si="8"/>
        <v>0.98</v>
      </c>
      <c r="M22" s="228">
        <v>0.98270000000000002</v>
      </c>
      <c r="N22" s="194">
        <v>2025</v>
      </c>
      <c r="O22" s="242">
        <f t="shared" si="10"/>
        <v>13330.402025507794</v>
      </c>
      <c r="P22" s="242">
        <v>802.2064657534246</v>
      </c>
      <c r="Q22" s="242">
        <v>72.663534246575338</v>
      </c>
      <c r="R22" s="242">
        <f t="shared" si="11"/>
        <v>12528.195559754369</v>
      </c>
      <c r="S22" s="243">
        <f t="shared" si="12"/>
        <v>6.0178715106896125E-2</v>
      </c>
      <c r="T22" s="245">
        <f t="shared" si="9"/>
        <v>0.6168318298456853</v>
      </c>
      <c r="U22" s="243">
        <f t="shared" si="13"/>
        <v>0.02</v>
      </c>
      <c r="V22" s="205">
        <v>8000</v>
      </c>
      <c r="W22" s="205">
        <v>5000</v>
      </c>
      <c r="AC22" s="232">
        <f t="shared" si="1"/>
        <v>-600</v>
      </c>
      <c r="AD22" s="233">
        <f t="shared" si="2"/>
        <v>1220000</v>
      </c>
      <c r="AE22" s="234">
        <f t="shared" si="3"/>
        <v>5000</v>
      </c>
      <c r="AF22" s="224">
        <f t="shared" si="4"/>
        <v>11.862500000000001</v>
      </c>
      <c r="AG22" s="225">
        <f t="shared" si="5"/>
        <v>11.862500000000001</v>
      </c>
      <c r="AH22" s="186">
        <f t="shared" si="6"/>
        <v>0.15731707317073176</v>
      </c>
    </row>
    <row r="23" spans="3:34" x14ac:dyDescent="0.25">
      <c r="C23" t="s">
        <v>501</v>
      </c>
      <c r="E23" s="194">
        <v>17.7</v>
      </c>
      <c r="F23" s="194">
        <v>97.48</v>
      </c>
      <c r="G23">
        <f>+E23*8.23%</f>
        <v>1.4567099999999999</v>
      </c>
      <c r="H23">
        <f t="shared" si="0"/>
        <v>16.243289999999998</v>
      </c>
      <c r="I23" s="186">
        <f t="shared" si="7"/>
        <v>8.2299999999999998E-2</v>
      </c>
      <c r="J23" s="186">
        <f t="shared" si="8"/>
        <v>0.91769999999999996</v>
      </c>
      <c r="M23" s="228">
        <v>0.97750000000000004</v>
      </c>
      <c r="N23" s="194">
        <v>2025</v>
      </c>
      <c r="O23" s="242">
        <f t="shared" si="10"/>
        <v>18303.892234293809</v>
      </c>
      <c r="P23" s="242">
        <v>2380.4156164383562</v>
      </c>
      <c r="Q23" s="242">
        <v>92.356164383561648</v>
      </c>
      <c r="R23" s="242">
        <f t="shared" si="11"/>
        <v>15923.476617855455</v>
      </c>
      <c r="S23" s="243">
        <f t="shared" si="12"/>
        <v>0.13004969576790104</v>
      </c>
      <c r="T23" s="245">
        <f t="shared" si="9"/>
        <v>2.3018796150918481</v>
      </c>
      <c r="U23" s="243">
        <f t="shared" si="13"/>
        <v>8.2299999999999998E-2</v>
      </c>
      <c r="V23" s="194">
        <v>8000</v>
      </c>
      <c r="W23" s="213">
        <v>5000</v>
      </c>
      <c r="AC23" s="232">
        <f t="shared" si="1"/>
        <v>-600</v>
      </c>
      <c r="AD23" s="233">
        <f t="shared" si="2"/>
        <v>1220000</v>
      </c>
      <c r="AE23" s="234">
        <f t="shared" si="3"/>
        <v>5000</v>
      </c>
      <c r="AF23" s="224">
        <f t="shared" si="4"/>
        <v>11.862500000000001</v>
      </c>
      <c r="AG23" s="225">
        <f t="shared" si="5"/>
        <v>11.862500000000001</v>
      </c>
      <c r="AH23" s="186">
        <f t="shared" si="6"/>
        <v>-0.32980225988700557</v>
      </c>
    </row>
    <row r="24" spans="3:34" x14ac:dyDescent="0.25">
      <c r="C24" t="s">
        <v>502</v>
      </c>
      <c r="E24" s="194">
        <v>8.8000000000000007</v>
      </c>
      <c r="F24" s="194">
        <v>2.82</v>
      </c>
      <c r="G24">
        <f>+E24*94.66%</f>
        <v>8.3300800000000006</v>
      </c>
      <c r="H24">
        <f t="shared" si="0"/>
        <v>0.46992000000000012</v>
      </c>
      <c r="I24" s="186">
        <f t="shared" si="7"/>
        <v>0.9466</v>
      </c>
      <c r="J24" s="186">
        <f t="shared" si="8"/>
        <v>5.340000000000001E-2</v>
      </c>
      <c r="M24" s="228">
        <v>0.7712</v>
      </c>
      <c r="N24" s="194">
        <v>2039</v>
      </c>
      <c r="O24" s="242">
        <f t="shared" si="10"/>
        <v>3090.1880736891835</v>
      </c>
      <c r="P24" s="242">
        <v>2982.4176438356171</v>
      </c>
      <c r="Q24" s="242">
        <v>0.62506849315068491</v>
      </c>
      <c r="R24" s="242">
        <f t="shared" si="11"/>
        <v>107.77042985356636</v>
      </c>
      <c r="S24" s="243">
        <f t="shared" si="12"/>
        <v>0.96512496091381716</v>
      </c>
      <c r="T24" s="245">
        <f t="shared" si="9"/>
        <v>8.4930996560415917</v>
      </c>
      <c r="U24" s="243">
        <f t="shared" si="13"/>
        <v>0.9466</v>
      </c>
      <c r="V24" s="194">
        <v>3000</v>
      </c>
      <c r="W24" s="213">
        <v>2000</v>
      </c>
      <c r="X24" s="194">
        <v>1100</v>
      </c>
      <c r="Y24" s="194">
        <v>800</v>
      </c>
      <c r="AC24" s="232">
        <f t="shared" si="1"/>
        <v>-150</v>
      </c>
      <c r="AD24" s="233">
        <f t="shared" si="2"/>
        <v>305850</v>
      </c>
      <c r="AE24" s="234">
        <f t="shared" si="3"/>
        <v>0</v>
      </c>
      <c r="AF24" s="224">
        <f t="shared" si="4"/>
        <v>10.4025</v>
      </c>
      <c r="AG24" s="225">
        <f t="shared" si="5"/>
        <v>9.8823749999999997</v>
      </c>
      <c r="AH24" s="186">
        <f t="shared" si="6"/>
        <v>0.12299715909090897</v>
      </c>
    </row>
    <row r="25" spans="3:34" x14ac:dyDescent="0.25">
      <c r="C25" t="s">
        <v>503</v>
      </c>
      <c r="E25" s="194">
        <v>1.1399999999999999</v>
      </c>
      <c r="F25" s="194">
        <v>0.47</v>
      </c>
      <c r="G25">
        <f>+E25*93.12%</f>
        <v>1.0615679999999998</v>
      </c>
      <c r="H25">
        <f t="shared" si="0"/>
        <v>7.8432000000000057E-2</v>
      </c>
      <c r="I25" s="186">
        <f t="shared" si="7"/>
        <v>0.93119999999999992</v>
      </c>
      <c r="J25" s="186">
        <f t="shared" si="8"/>
        <v>6.8800000000000056E-2</v>
      </c>
      <c r="M25" s="228">
        <v>0.73509999999999998</v>
      </c>
      <c r="N25" s="194">
        <v>2033</v>
      </c>
      <c r="O25" s="242">
        <f t="shared" si="10"/>
        <v>1290.1837175247995</v>
      </c>
      <c r="P25" s="242">
        <v>1266.3858904109591</v>
      </c>
      <c r="Q25" s="242">
        <v>0.13802739726027391</v>
      </c>
      <c r="R25" s="242">
        <f t="shared" si="11"/>
        <v>23.797827113840331</v>
      </c>
      <c r="S25" s="243">
        <f t="shared" si="12"/>
        <v>0.98155469892342451</v>
      </c>
      <c r="T25" s="245">
        <f t="shared" si="9"/>
        <v>1.1189723567727039</v>
      </c>
      <c r="U25" s="243">
        <f t="shared" si="13"/>
        <v>0.93119999999999992</v>
      </c>
      <c r="V25" s="205">
        <v>1000</v>
      </c>
      <c r="W25" s="213">
        <v>300</v>
      </c>
      <c r="X25" s="194">
        <v>100</v>
      </c>
      <c r="AC25" s="232">
        <f t="shared" si="1"/>
        <v>-90</v>
      </c>
      <c r="AD25" s="233">
        <f t="shared" si="2"/>
        <v>182716.66666666666</v>
      </c>
      <c r="AE25" s="234">
        <f t="shared" si="3"/>
        <v>-253.33333333334303</v>
      </c>
      <c r="AF25" s="224">
        <f t="shared" si="4"/>
        <v>1.7714666666666437</v>
      </c>
      <c r="AG25" s="225">
        <f t="shared" si="5"/>
        <v>1.5737583333405851</v>
      </c>
      <c r="AH25" s="186">
        <f t="shared" si="6"/>
        <v>0.38048976608823271</v>
      </c>
    </row>
    <row r="26" spans="3:34" x14ac:dyDescent="0.25">
      <c r="C26" t="s">
        <v>504</v>
      </c>
      <c r="E26" s="194">
        <v>1.31</v>
      </c>
      <c r="F26" s="194">
        <v>0.37</v>
      </c>
      <c r="G26">
        <f>+E26*95.34%</f>
        <v>1.2489540000000001</v>
      </c>
      <c r="H26">
        <f t="shared" si="0"/>
        <v>6.1045999999999934E-2</v>
      </c>
      <c r="I26" s="186">
        <f t="shared" si="7"/>
        <v>0.95340000000000003</v>
      </c>
      <c r="J26" s="186">
        <f t="shared" si="8"/>
        <v>4.6599999999999947E-2</v>
      </c>
      <c r="M26" s="228">
        <v>0.34710000000000002</v>
      </c>
      <c r="N26" s="194">
        <v>2053</v>
      </c>
      <c r="O26" s="242">
        <f t="shared" si="10"/>
        <v>483.05330278696272</v>
      </c>
      <c r="P26" s="242">
        <v>435.87805479452061</v>
      </c>
      <c r="Q26" s="242">
        <v>0.27361643835616434</v>
      </c>
      <c r="R26" s="242">
        <f t="shared" si="11"/>
        <v>47.175247992442124</v>
      </c>
      <c r="S26" s="243">
        <f t="shared" si="12"/>
        <v>0.90233945670122573</v>
      </c>
      <c r="T26" s="245">
        <f t="shared" si="9"/>
        <v>1.1820646882786057</v>
      </c>
      <c r="U26" s="243">
        <f t="shared" si="13"/>
        <v>0.95340000000000003</v>
      </c>
      <c r="V26" s="205">
        <v>480</v>
      </c>
      <c r="W26" s="205">
        <v>280</v>
      </c>
      <c r="X26" s="194">
        <v>125</v>
      </c>
      <c r="Y26">
        <v>90</v>
      </c>
      <c r="Z26">
        <v>50</v>
      </c>
      <c r="AA26">
        <v>30</v>
      </c>
      <c r="AB26">
        <v>25</v>
      </c>
      <c r="AC26" s="232">
        <f t="shared" si="1"/>
        <v>-13.857142857142858</v>
      </c>
      <c r="AD26" s="233">
        <f t="shared" si="2"/>
        <v>28353.571428571428</v>
      </c>
      <c r="AE26" s="234">
        <f t="shared" si="3"/>
        <v>-95.142857142858702</v>
      </c>
      <c r="AF26" s="224">
        <f t="shared" si="4"/>
        <v>2.3178021428571336</v>
      </c>
      <c r="AG26" s="225">
        <f t="shared" si="5"/>
        <v>1.6080075</v>
      </c>
      <c r="AH26" s="186">
        <f t="shared" si="6"/>
        <v>0.22748664122137402</v>
      </c>
    </row>
    <row r="27" spans="3:34" x14ac:dyDescent="0.25">
      <c r="C27" t="s">
        <v>505</v>
      </c>
      <c r="E27" s="194">
        <v>4.72</v>
      </c>
      <c r="F27" s="194">
        <v>7.45</v>
      </c>
      <c r="G27">
        <f>+E27*73.7%</f>
        <v>3.47864</v>
      </c>
      <c r="H27">
        <f t="shared" si="0"/>
        <v>1.2413599999999998</v>
      </c>
      <c r="I27" s="186">
        <f t="shared" si="7"/>
        <v>0.73699999999999999</v>
      </c>
      <c r="J27" s="186">
        <f t="shared" si="8"/>
        <v>0.26299999999999996</v>
      </c>
      <c r="M27" s="228">
        <v>0.91449999999999998</v>
      </c>
      <c r="N27" s="194">
        <v>2030</v>
      </c>
      <c r="O27" s="242">
        <f t="shared" si="10"/>
        <v>4583.6177808219181</v>
      </c>
      <c r="P27" s="242">
        <v>4583.6177808219181</v>
      </c>
      <c r="Q27" s="242">
        <v>0</v>
      </c>
      <c r="R27" s="242">
        <f t="shared" si="11"/>
        <v>0</v>
      </c>
      <c r="S27" s="243">
        <f t="shared" si="12"/>
        <v>1</v>
      </c>
      <c r="T27" s="245">
        <f t="shared" si="9"/>
        <v>4.72</v>
      </c>
      <c r="U27" s="243">
        <f t="shared" si="13"/>
        <v>0.73699999999999999</v>
      </c>
      <c r="V27" s="205">
        <v>3750</v>
      </c>
      <c r="W27" s="205">
        <v>1750</v>
      </c>
      <c r="X27" s="194">
        <v>750</v>
      </c>
      <c r="AC27" s="232">
        <f t="shared" si="1"/>
        <v>-300</v>
      </c>
      <c r="AD27" s="233">
        <f t="shared" si="2"/>
        <v>609583.33333333337</v>
      </c>
      <c r="AE27" s="234">
        <f t="shared" si="3"/>
        <v>583.33333333337214</v>
      </c>
      <c r="AF27" s="224">
        <f t="shared" si="4"/>
        <v>7.9083333333334034</v>
      </c>
      <c r="AG27" s="225">
        <f t="shared" si="5"/>
        <v>7.6041666666376591</v>
      </c>
      <c r="AH27" s="186">
        <f t="shared" si="6"/>
        <v>0.61105225988086009</v>
      </c>
    </row>
    <row r="28" spans="3:34" x14ac:dyDescent="0.25">
      <c r="C28" t="s">
        <v>506</v>
      </c>
      <c r="E28" s="194">
        <v>11.27</v>
      </c>
      <c r="F28" s="194">
        <v>0</v>
      </c>
      <c r="G28">
        <v>11.27</v>
      </c>
      <c r="H28">
        <f t="shared" si="0"/>
        <v>0</v>
      </c>
      <c r="I28" s="186">
        <f t="shared" si="7"/>
        <v>1</v>
      </c>
      <c r="J28" s="186">
        <f t="shared" si="8"/>
        <v>0</v>
      </c>
      <c r="M28" s="228">
        <v>0.4148</v>
      </c>
      <c r="N28" s="194">
        <v>2067</v>
      </c>
      <c r="O28" s="242">
        <f t="shared" si="10"/>
        <v>0</v>
      </c>
      <c r="P28" s="242"/>
      <c r="Q28" s="242"/>
      <c r="R28" s="242">
        <f t="shared" si="11"/>
        <v>0</v>
      </c>
      <c r="S28" s="243" t="e">
        <f t="shared" si="12"/>
        <v>#DIV/0!</v>
      </c>
      <c r="T28" s="245"/>
      <c r="U28" s="243">
        <f t="shared" si="13"/>
        <v>1</v>
      </c>
      <c r="V28" s="205">
        <v>2500</v>
      </c>
      <c r="W28" s="214">
        <v>1750</v>
      </c>
      <c r="X28" s="194">
        <v>1250</v>
      </c>
      <c r="Y28">
        <v>800</v>
      </c>
      <c r="Z28">
        <v>600</v>
      </c>
      <c r="AA28">
        <v>400</v>
      </c>
      <c r="AB28">
        <v>300</v>
      </c>
      <c r="AC28" s="232">
        <f t="shared" si="1"/>
        <v>-71.071428571428569</v>
      </c>
      <c r="AD28" s="233">
        <f t="shared" si="2"/>
        <v>145716.07142857142</v>
      </c>
      <c r="AE28" s="234">
        <f t="shared" si="3"/>
        <v>-1188.5714285714203</v>
      </c>
      <c r="AF28" s="224">
        <f t="shared" si="4"/>
        <v>11.248778571428643</v>
      </c>
      <c r="AG28" s="225">
        <f t="shared" si="5"/>
        <v>8.2619705357080697</v>
      </c>
      <c r="AH28" s="186">
        <f t="shared" si="6"/>
        <v>-0.2669058974527001</v>
      </c>
    </row>
    <row r="29" spans="3:34" x14ac:dyDescent="0.25">
      <c r="C29" t="s">
        <v>318</v>
      </c>
      <c r="E29" s="194">
        <v>3.84</v>
      </c>
      <c r="F29" s="194">
        <v>23.03</v>
      </c>
      <c r="H29">
        <f t="shared" si="0"/>
        <v>3.84</v>
      </c>
      <c r="I29" s="186">
        <f t="shared" si="7"/>
        <v>0</v>
      </c>
      <c r="J29" s="186">
        <f t="shared" si="8"/>
        <v>1</v>
      </c>
      <c r="M29" s="228">
        <v>0.84079999999999999</v>
      </c>
      <c r="N29" s="194">
        <v>2028</v>
      </c>
      <c r="O29" s="242">
        <f t="shared" si="10"/>
        <v>5516.7123287671238</v>
      </c>
      <c r="P29" s="242">
        <v>0</v>
      </c>
      <c r="Q29" s="242">
        <v>31.996931506849318</v>
      </c>
      <c r="R29" s="242">
        <f t="shared" si="11"/>
        <v>5516.7123287671238</v>
      </c>
      <c r="S29" s="243">
        <f t="shared" si="12"/>
        <v>0</v>
      </c>
      <c r="T29" s="245">
        <f t="shared" si="9"/>
        <v>0</v>
      </c>
      <c r="U29" s="243">
        <f t="shared" si="13"/>
        <v>0</v>
      </c>
      <c r="V29" s="205">
        <v>5300</v>
      </c>
      <c r="W29" s="205">
        <v>1250</v>
      </c>
      <c r="AC29" s="232">
        <f t="shared" si="1"/>
        <v>-810</v>
      </c>
      <c r="AD29" s="233">
        <f t="shared" si="2"/>
        <v>1641500</v>
      </c>
      <c r="AE29" s="234">
        <f t="shared" si="3"/>
        <v>-1180</v>
      </c>
      <c r="AF29" s="224">
        <f t="shared" si="4"/>
        <v>6.0152000000000001</v>
      </c>
      <c r="AG29" s="225">
        <f t="shared" si="5"/>
        <v>6.0152000000000001</v>
      </c>
      <c r="AH29" s="186">
        <f t="shared" si="6"/>
        <v>0.5664583333333334</v>
      </c>
    </row>
    <row r="30" spans="3:34" x14ac:dyDescent="0.25">
      <c r="C30" t="s">
        <v>508</v>
      </c>
      <c r="E30" s="194">
        <v>14.92</v>
      </c>
      <c r="F30">
        <v>0.24</v>
      </c>
      <c r="G30">
        <f>+E30*99.74%</f>
        <v>14.881207999999999</v>
      </c>
      <c r="H30">
        <f t="shared" si="0"/>
        <v>3.8792000000000826E-2</v>
      </c>
      <c r="I30" s="186">
        <f t="shared" si="7"/>
        <v>0.99739999999999995</v>
      </c>
      <c r="J30" s="186">
        <f t="shared" si="8"/>
        <v>2.6000000000000554E-3</v>
      </c>
      <c r="M30" s="228">
        <v>0.75690000000000002</v>
      </c>
      <c r="N30" s="194">
        <v>2043</v>
      </c>
      <c r="O30" s="242">
        <f t="shared" si="10"/>
        <v>12434.820158715165</v>
      </c>
      <c r="P30" s="242">
        <v>12274.754027397263</v>
      </c>
      <c r="Q30" s="242">
        <v>0.92838356164383562</v>
      </c>
      <c r="R30" s="242">
        <f t="shared" si="11"/>
        <v>160.06613131790269</v>
      </c>
      <c r="S30" s="243">
        <f t="shared" si="12"/>
        <v>0.98712758775158338</v>
      </c>
      <c r="T30" s="245">
        <f t="shared" si="9"/>
        <v>14.727943609253623</v>
      </c>
      <c r="U30" s="243">
        <f t="shared" si="13"/>
        <v>0.99739999999999995</v>
      </c>
      <c r="V30" s="205">
        <v>10000</v>
      </c>
      <c r="W30" s="205">
        <v>4000</v>
      </c>
      <c r="X30" s="194">
        <v>1000</v>
      </c>
      <c r="Y30">
        <v>500</v>
      </c>
      <c r="Z30">
        <v>400</v>
      </c>
      <c r="AC30" s="232">
        <f t="shared" si="1"/>
        <v>-454</v>
      </c>
      <c r="AD30" s="233">
        <f t="shared" si="2"/>
        <v>924800</v>
      </c>
      <c r="AE30" s="234">
        <f t="shared" si="3"/>
        <v>-2722</v>
      </c>
      <c r="AF30" s="224">
        <f t="shared" si="4"/>
        <v>30.549405</v>
      </c>
      <c r="AG30" s="225">
        <f t="shared" si="5"/>
        <v>20.979105000000001</v>
      </c>
      <c r="AH30" s="186">
        <f t="shared" si="6"/>
        <v>0.40610623324396788</v>
      </c>
    </row>
    <row r="31" spans="3:34" x14ac:dyDescent="0.25">
      <c r="C31" t="s">
        <v>80</v>
      </c>
      <c r="E31" s="194">
        <v>43.42</v>
      </c>
      <c r="F31" s="194">
        <v>16.96</v>
      </c>
      <c r="G31">
        <f>+E31*93.49%</f>
        <v>40.593358000000002</v>
      </c>
      <c r="H31">
        <f t="shared" si="0"/>
        <v>2.8266419999999997</v>
      </c>
      <c r="I31" s="186">
        <f t="shared" si="7"/>
        <v>0.93490000000000006</v>
      </c>
      <c r="J31" s="186">
        <f t="shared" si="8"/>
        <v>6.5099999999999991E-2</v>
      </c>
      <c r="M31" s="228">
        <v>0.76190000000000002</v>
      </c>
      <c r="N31" s="194">
        <v>2042</v>
      </c>
      <c r="O31" s="242">
        <f t="shared" si="10"/>
        <v>30543.691030703827</v>
      </c>
      <c r="P31" s="242">
        <v>30059.642849315071</v>
      </c>
      <c r="Q31" s="242">
        <v>2.8074794520547948</v>
      </c>
      <c r="R31" s="242">
        <f t="shared" si="11"/>
        <v>484.04818138875771</v>
      </c>
      <c r="S31" s="243">
        <f t="shared" si="12"/>
        <v>0.98415226958319579</v>
      </c>
      <c r="T31" s="245">
        <f t="shared" si="9"/>
        <v>42.731891545302361</v>
      </c>
      <c r="U31" s="243">
        <f t="shared" si="13"/>
        <v>0.93490000000000006</v>
      </c>
      <c r="V31" s="205">
        <v>25000</v>
      </c>
      <c r="W31" s="205">
        <v>12500</v>
      </c>
      <c r="X31" s="194">
        <v>4500</v>
      </c>
      <c r="Y31">
        <v>2500</v>
      </c>
      <c r="Z31">
        <v>1000</v>
      </c>
      <c r="AC31" s="232">
        <f t="shared" si="1"/>
        <v>-1160</v>
      </c>
      <c r="AD31" s="233">
        <f t="shared" si="2"/>
        <v>2363900</v>
      </c>
      <c r="AE31" s="234">
        <f t="shared" si="3"/>
        <v>-4820</v>
      </c>
      <c r="AF31" s="224">
        <f t="shared" si="4"/>
        <v>81.0227</v>
      </c>
      <c r="AG31" s="225">
        <f t="shared" si="5"/>
        <v>63.758200000000002</v>
      </c>
      <c r="AH31" s="186">
        <f t="shared" si="6"/>
        <v>0.46840626439428834</v>
      </c>
    </row>
    <row r="32" spans="3:34" x14ac:dyDescent="0.25">
      <c r="C32" t="s">
        <v>449</v>
      </c>
      <c r="E32" s="194">
        <v>7.3</v>
      </c>
      <c r="F32" s="194">
        <v>4.54</v>
      </c>
      <c r="G32">
        <f>+E32*89.64%</f>
        <v>6.5437199999999995</v>
      </c>
      <c r="H32">
        <f t="shared" si="0"/>
        <v>0.75628000000000029</v>
      </c>
      <c r="I32" s="186">
        <f t="shared" si="7"/>
        <v>0.89639999999999997</v>
      </c>
      <c r="J32" s="186">
        <f t="shared" si="8"/>
        <v>0.10360000000000004</v>
      </c>
      <c r="M32" s="228">
        <v>0.77580000000000005</v>
      </c>
      <c r="N32" s="194">
        <v>2044</v>
      </c>
      <c r="O32" s="242">
        <f t="shared" si="10"/>
        <v>1962.0646849315069</v>
      </c>
      <c r="P32" s="242">
        <v>1962.0646849315069</v>
      </c>
      <c r="Q32" s="242">
        <v>0</v>
      </c>
      <c r="R32" s="242">
        <f t="shared" si="11"/>
        <v>0</v>
      </c>
      <c r="S32" s="243">
        <f t="shared" si="12"/>
        <v>1</v>
      </c>
      <c r="T32" s="245">
        <f t="shared" si="9"/>
        <v>7.3</v>
      </c>
      <c r="U32" s="243">
        <f t="shared" si="13"/>
        <v>0.89639999999999997</v>
      </c>
      <c r="V32" s="205">
        <v>2000</v>
      </c>
      <c r="W32" s="205">
        <v>1250</v>
      </c>
      <c r="X32" s="194">
        <v>900</v>
      </c>
      <c r="Y32">
        <v>600</v>
      </c>
      <c r="Z32">
        <v>400</v>
      </c>
      <c r="AC32" s="232">
        <f t="shared" si="1"/>
        <v>-77</v>
      </c>
      <c r="AD32" s="233">
        <f t="shared" si="2"/>
        <v>157340</v>
      </c>
      <c r="AE32" s="234">
        <f t="shared" si="3"/>
        <v>-48</v>
      </c>
      <c r="AF32" s="224">
        <f t="shared" si="4"/>
        <v>8.5497599999999991</v>
      </c>
      <c r="AG32" s="225">
        <f t="shared" si="5"/>
        <v>7.6737599999999997</v>
      </c>
      <c r="AH32" s="186">
        <f t="shared" si="6"/>
        <v>5.1199999999999982E-2</v>
      </c>
    </row>
    <row r="33" spans="3:34" x14ac:dyDescent="0.25">
      <c r="C33" t="s">
        <v>509</v>
      </c>
      <c r="E33" s="194">
        <v>0.57999999999999996</v>
      </c>
      <c r="F33" s="194">
        <v>0</v>
      </c>
      <c r="G33">
        <f>+E33</f>
        <v>0.57999999999999996</v>
      </c>
      <c r="H33">
        <f t="shared" si="0"/>
        <v>0</v>
      </c>
      <c r="I33" s="186">
        <f t="shared" si="7"/>
        <v>1</v>
      </c>
      <c r="J33" s="186">
        <f t="shared" si="8"/>
        <v>0</v>
      </c>
      <c r="M33" s="228">
        <v>0.91830000000000001</v>
      </c>
      <c r="N33" s="194">
        <v>2031</v>
      </c>
      <c r="O33" s="242">
        <f t="shared" si="10"/>
        <v>60862.479471894199</v>
      </c>
      <c r="P33" s="242">
        <v>26403.53284931507</v>
      </c>
      <c r="Q33" s="242">
        <v>199.86189041095895</v>
      </c>
      <c r="R33" s="242">
        <f t="shared" si="11"/>
        <v>34458.946622579126</v>
      </c>
      <c r="S33" s="243">
        <f t="shared" si="12"/>
        <v>0.43382282612242257</v>
      </c>
      <c r="T33" s="245">
        <f t="shared" si="9"/>
        <v>0.25161723915100509</v>
      </c>
      <c r="U33" s="243">
        <f t="shared" si="13"/>
        <v>1</v>
      </c>
      <c r="V33" s="205">
        <v>500</v>
      </c>
      <c r="W33" s="205">
        <v>200</v>
      </c>
      <c r="X33" s="194">
        <v>80</v>
      </c>
      <c r="AC33" s="232">
        <f t="shared" si="1"/>
        <v>-42</v>
      </c>
      <c r="AD33" s="233">
        <f t="shared" si="2"/>
        <v>85310</v>
      </c>
      <c r="AE33" s="234">
        <f t="shared" si="3"/>
        <v>8</v>
      </c>
      <c r="AF33" s="224">
        <f t="shared" si="4"/>
        <v>1.0198100000000001</v>
      </c>
      <c r="AG33" s="225">
        <f t="shared" si="5"/>
        <v>0.95958500000000002</v>
      </c>
      <c r="AH33" s="186">
        <f t="shared" si="6"/>
        <v>0.65445689655172434</v>
      </c>
    </row>
    <row r="34" spans="3:34" x14ac:dyDescent="0.25">
      <c r="C34" t="s">
        <v>510</v>
      </c>
      <c r="E34" s="194">
        <v>130.22</v>
      </c>
      <c r="F34" s="194">
        <v>284</v>
      </c>
      <c r="G34">
        <f>+E34*63.65%</f>
        <v>82.88503</v>
      </c>
      <c r="H34">
        <f t="shared" si="0"/>
        <v>47.334969999999998</v>
      </c>
      <c r="I34" s="186">
        <f t="shared" si="7"/>
        <v>0.63649999999999995</v>
      </c>
      <c r="J34" s="186">
        <f t="shared" si="8"/>
        <v>0.36349999999999999</v>
      </c>
      <c r="M34" s="228">
        <v>0.63759999999999994</v>
      </c>
      <c r="N34" s="194">
        <v>2018</v>
      </c>
      <c r="O34" s="242">
        <f t="shared" si="10"/>
        <v>604.87506849315071</v>
      </c>
      <c r="P34" s="242">
        <v>604.87506849315071</v>
      </c>
      <c r="Q34" s="242">
        <v>0</v>
      </c>
      <c r="R34" s="242">
        <f t="shared" si="11"/>
        <v>0</v>
      </c>
      <c r="S34" s="243">
        <f t="shared" si="12"/>
        <v>1</v>
      </c>
      <c r="T34" s="245">
        <f t="shared" si="9"/>
        <v>130.22</v>
      </c>
      <c r="U34" s="243">
        <f t="shared" si="13"/>
        <v>0.63649999999999995</v>
      </c>
      <c r="V34" s="205">
        <v>55000</v>
      </c>
      <c r="W34" s="205">
        <v>31000</v>
      </c>
      <c r="X34" s="194">
        <v>15000</v>
      </c>
      <c r="Y34">
        <v>8000</v>
      </c>
      <c r="AC34" s="232">
        <f t="shared" si="1"/>
        <v>-3140</v>
      </c>
      <c r="AD34" s="233">
        <f t="shared" si="2"/>
        <v>6393600</v>
      </c>
      <c r="AE34" s="234">
        <f t="shared" si="3"/>
        <v>57080</v>
      </c>
      <c r="AF34" s="224">
        <f t="shared" si="4"/>
        <v>-40.909199999999998</v>
      </c>
      <c r="AG34" s="225">
        <f t="shared" si="5"/>
        <v>-39.376199999999997</v>
      </c>
      <c r="AH34" s="186">
        <f t="shared" si="6"/>
        <v>-1.3023821225618186</v>
      </c>
    </row>
    <row r="35" spans="3:34" x14ac:dyDescent="0.25">
      <c r="C35" t="s">
        <v>344</v>
      </c>
      <c r="E35" s="194">
        <v>24.09</v>
      </c>
      <c r="F35" s="194">
        <v>0</v>
      </c>
      <c r="G35">
        <f>+E35</f>
        <v>24.09</v>
      </c>
      <c r="H35">
        <f t="shared" si="0"/>
        <v>0</v>
      </c>
      <c r="I35" s="186">
        <f t="shared" si="7"/>
        <v>1</v>
      </c>
      <c r="J35" s="186">
        <f t="shared" si="8"/>
        <v>0</v>
      </c>
      <c r="M35" s="228">
        <v>0.73740000000000006</v>
      </c>
      <c r="N35" s="194">
        <v>2064</v>
      </c>
      <c r="O35" s="242">
        <f t="shared" si="10"/>
        <v>4233.3403013698626</v>
      </c>
      <c r="P35" s="242">
        <v>4233.3403013698626</v>
      </c>
      <c r="Q35" s="242">
        <v>0</v>
      </c>
      <c r="R35" s="242">
        <f t="shared" si="11"/>
        <v>0</v>
      </c>
      <c r="S35" s="243">
        <f t="shared" si="12"/>
        <v>1</v>
      </c>
      <c r="T35" s="245">
        <f t="shared" si="9"/>
        <v>24.09</v>
      </c>
      <c r="U35" s="243">
        <f t="shared" si="13"/>
        <v>1</v>
      </c>
      <c r="V35" s="205">
        <v>4000</v>
      </c>
      <c r="W35" s="205">
        <v>3500</v>
      </c>
      <c r="X35" s="194">
        <v>2500</v>
      </c>
      <c r="Y35">
        <v>2000</v>
      </c>
      <c r="Z35">
        <v>1500</v>
      </c>
      <c r="AA35">
        <v>1250</v>
      </c>
      <c r="AB35">
        <v>1000</v>
      </c>
      <c r="AC35" s="232">
        <f t="shared" si="1"/>
        <v>-103.57142857142857</v>
      </c>
      <c r="AD35" s="233">
        <f t="shared" si="2"/>
        <v>213017.85714285713</v>
      </c>
      <c r="AE35" s="234">
        <f t="shared" si="3"/>
        <v>-753.57142857144936</v>
      </c>
      <c r="AF35" s="224">
        <f t="shared" si="4"/>
        <v>26.068821428571262</v>
      </c>
      <c r="AG35" s="225">
        <f t="shared" si="5"/>
        <v>24.491499999999998</v>
      </c>
      <c r="AH35" s="186">
        <f t="shared" si="6"/>
        <v>1.6666666666666611E-2</v>
      </c>
    </row>
    <row r="36" spans="3:34" x14ac:dyDescent="0.25">
      <c r="C36" t="s">
        <v>511</v>
      </c>
      <c r="E36" s="194">
        <v>5.59</v>
      </c>
      <c r="F36" s="194">
        <v>0</v>
      </c>
      <c r="G36">
        <f>+E36</f>
        <v>5.59</v>
      </c>
      <c r="H36">
        <f t="shared" si="0"/>
        <v>0</v>
      </c>
      <c r="I36" s="186">
        <f t="shared" si="7"/>
        <v>1</v>
      </c>
      <c r="J36" s="186">
        <f t="shared" si="8"/>
        <v>0</v>
      </c>
      <c r="M36" s="228">
        <v>0.69210000000000005</v>
      </c>
      <c r="N36" s="194">
        <v>2047</v>
      </c>
      <c r="O36" s="242">
        <f t="shared" si="10"/>
        <v>1476.5236986301368</v>
      </c>
      <c r="P36" s="242">
        <v>1476.5236986301368</v>
      </c>
      <c r="Q36" s="242">
        <v>0</v>
      </c>
      <c r="R36" s="242">
        <f t="shared" si="11"/>
        <v>0</v>
      </c>
      <c r="S36" s="243">
        <f t="shared" si="12"/>
        <v>1</v>
      </c>
      <c r="T36" s="245">
        <f t="shared" si="9"/>
        <v>5.59</v>
      </c>
      <c r="U36" s="243">
        <f t="shared" si="13"/>
        <v>1</v>
      </c>
      <c r="V36" s="205">
        <v>1400</v>
      </c>
      <c r="W36" s="205">
        <v>1250</v>
      </c>
      <c r="X36" s="194">
        <v>750</v>
      </c>
      <c r="Y36">
        <v>450</v>
      </c>
      <c r="Z36">
        <v>250</v>
      </c>
      <c r="AC36" s="232">
        <f t="shared" si="1"/>
        <v>-62</v>
      </c>
      <c r="AD36" s="233">
        <f t="shared" si="2"/>
        <v>126680</v>
      </c>
      <c r="AE36" s="234">
        <f t="shared" si="3"/>
        <v>-234</v>
      </c>
      <c r="AF36" s="224">
        <f t="shared" si="4"/>
        <v>5.7454650000000003</v>
      </c>
      <c r="AG36" s="225">
        <f t="shared" si="5"/>
        <v>5.9425650000000001</v>
      </c>
      <c r="AH36" s="186">
        <f t="shared" si="6"/>
        <v>6.307066189624333E-2</v>
      </c>
    </row>
    <row r="37" spans="3:34" x14ac:dyDescent="0.25">
      <c r="C37" t="s">
        <v>345</v>
      </c>
      <c r="E37" s="194">
        <v>16.52</v>
      </c>
      <c r="F37" s="194">
        <v>1.91</v>
      </c>
      <c r="G37">
        <f>+E37*98.07%</f>
        <v>16.201163999999999</v>
      </c>
      <c r="H37">
        <f t="shared" si="0"/>
        <v>0.31883600000000101</v>
      </c>
      <c r="I37" s="186">
        <f t="shared" si="7"/>
        <v>0.98069999999999991</v>
      </c>
      <c r="J37" s="186">
        <f t="shared" si="8"/>
        <v>1.930000000000006E-2</v>
      </c>
      <c r="M37" s="228">
        <v>0.73629999999999995</v>
      </c>
      <c r="N37" s="194">
        <v>2060</v>
      </c>
      <c r="O37" s="242">
        <f t="shared" si="10"/>
        <v>4154.1152328767121</v>
      </c>
      <c r="P37" s="242">
        <v>4154.1152328767121</v>
      </c>
      <c r="Q37" s="242">
        <v>0</v>
      </c>
      <c r="R37" s="242">
        <f t="shared" si="11"/>
        <v>0</v>
      </c>
      <c r="S37" s="243">
        <f t="shared" si="12"/>
        <v>1</v>
      </c>
      <c r="T37" s="245">
        <f t="shared" si="9"/>
        <v>16.52</v>
      </c>
      <c r="U37" s="243">
        <f t="shared" si="13"/>
        <v>0.98069999999999991</v>
      </c>
      <c r="V37" s="205">
        <v>4000</v>
      </c>
      <c r="W37" s="205">
        <v>3000</v>
      </c>
      <c r="X37" s="194">
        <v>1800</v>
      </c>
      <c r="Y37">
        <v>1250</v>
      </c>
      <c r="Z37">
        <v>1000</v>
      </c>
      <c r="AA37">
        <v>750</v>
      </c>
      <c r="AC37" s="232">
        <f t="shared" si="1"/>
        <v>-130.28571428571428</v>
      </c>
      <c r="AD37" s="233">
        <f t="shared" si="2"/>
        <v>266772.38095238095</v>
      </c>
      <c r="AE37" s="234">
        <f t="shared" si="3"/>
        <v>-1616.1904761904734</v>
      </c>
      <c r="AF37" s="224">
        <f t="shared" si="4"/>
        <v>17.401809523809543</v>
      </c>
      <c r="AG37" s="225">
        <f t="shared" si="5"/>
        <v>14.447047619026899</v>
      </c>
      <c r="AH37" s="186">
        <f t="shared" si="6"/>
        <v>-0.12548137899352912</v>
      </c>
    </row>
    <row r="38" spans="3:34" x14ac:dyDescent="0.25">
      <c r="C38" t="s">
        <v>512</v>
      </c>
      <c r="E38" s="194">
        <v>90.73</v>
      </c>
      <c r="F38" s="194">
        <v>10.09</v>
      </c>
      <c r="G38">
        <f>+E38*98.15%</f>
        <v>89.051495000000003</v>
      </c>
      <c r="H38">
        <f t="shared" si="0"/>
        <v>1.6785050000000012</v>
      </c>
      <c r="I38" s="186">
        <f t="shared" si="7"/>
        <v>0.98150000000000004</v>
      </c>
      <c r="J38" s="186">
        <f t="shared" si="8"/>
        <v>1.8500000000000013E-2</v>
      </c>
      <c r="M38" s="228">
        <v>0.50829999999999997</v>
      </c>
      <c r="N38" s="194">
        <v>2061</v>
      </c>
      <c r="O38" s="242">
        <f t="shared" si="10"/>
        <v>18271.22222390175</v>
      </c>
      <c r="P38" s="242">
        <v>17849.99879452055</v>
      </c>
      <c r="Q38" s="242">
        <v>2.4430958904109596</v>
      </c>
      <c r="R38" s="242">
        <f t="shared" si="11"/>
        <v>421.22342938119994</v>
      </c>
      <c r="S38" s="243">
        <f t="shared" si="12"/>
        <v>0.97694607266994049</v>
      </c>
      <c r="T38" s="245">
        <f t="shared" si="9"/>
        <v>88.638317173343708</v>
      </c>
      <c r="U38" s="243">
        <f t="shared" si="13"/>
        <v>0.98150000000000004</v>
      </c>
      <c r="V38" s="205">
        <v>19000</v>
      </c>
      <c r="W38" s="205">
        <v>16000</v>
      </c>
      <c r="X38" s="194">
        <v>10000</v>
      </c>
      <c r="Y38">
        <v>7000</v>
      </c>
      <c r="Z38">
        <v>4500</v>
      </c>
      <c r="AA38">
        <v>3000</v>
      </c>
      <c r="AB38">
        <v>2000</v>
      </c>
    </row>
    <row r="39" spans="3:34" x14ac:dyDescent="0.25">
      <c r="H39">
        <f t="shared" si="0"/>
        <v>0</v>
      </c>
      <c r="I39" s="186"/>
      <c r="J39" s="186"/>
    </row>
    <row r="40" spans="3:34" x14ac:dyDescent="0.25">
      <c r="C40" t="s">
        <v>519</v>
      </c>
      <c r="E40" s="194" t="s">
        <v>527</v>
      </c>
      <c r="F40" s="194">
        <v>23.75</v>
      </c>
      <c r="G40" t="e">
        <f>+E40*0.74%</f>
        <v>#VALUE!</v>
      </c>
      <c r="H40" t="e">
        <f t="shared" si="0"/>
        <v>#VALUE!</v>
      </c>
      <c r="I40" s="186" t="e">
        <f t="shared" si="7"/>
        <v>#VALUE!</v>
      </c>
      <c r="J40" s="186" t="e">
        <f t="shared" si="8"/>
        <v>#VALUE!</v>
      </c>
      <c r="M40" s="228">
        <v>0.30909999999999999</v>
      </c>
      <c r="N40" s="194">
        <v>2049</v>
      </c>
      <c r="O40" s="194"/>
      <c r="P40" s="194"/>
      <c r="Q40" s="194"/>
      <c r="R40" s="194"/>
      <c r="S40" s="194"/>
      <c r="T40" s="194"/>
      <c r="U40" s="194"/>
    </row>
    <row r="41" spans="3:34" x14ac:dyDescent="0.25">
      <c r="C41" t="s">
        <v>520</v>
      </c>
      <c r="E41" s="194">
        <v>6.24</v>
      </c>
      <c r="F41" s="194">
        <v>11.14</v>
      </c>
      <c r="G41">
        <f>+E41*70.26%</f>
        <v>4.3842240000000006</v>
      </c>
      <c r="H41">
        <f t="shared" si="0"/>
        <v>1.8557759999999996</v>
      </c>
      <c r="I41" s="186">
        <f t="shared" si="7"/>
        <v>0.70260000000000011</v>
      </c>
      <c r="J41" s="186">
        <f t="shared" si="8"/>
        <v>0.29739999999999994</v>
      </c>
      <c r="M41" s="228">
        <v>0.77259999999999995</v>
      </c>
      <c r="N41" s="194">
        <v>2041</v>
      </c>
      <c r="O41" s="194"/>
      <c r="P41" s="194"/>
      <c r="Q41" s="194"/>
      <c r="R41" s="194"/>
      <c r="S41" s="194"/>
      <c r="T41" s="194"/>
      <c r="U41" s="194"/>
      <c r="V41" s="205">
        <v>3700</v>
      </c>
    </row>
    <row r="42" spans="3:34" x14ac:dyDescent="0.25">
      <c r="C42" t="s">
        <v>521</v>
      </c>
      <c r="E42" s="194">
        <v>18.809999999999999</v>
      </c>
      <c r="F42" s="194">
        <v>112.29</v>
      </c>
      <c r="G42">
        <f>+E42*0.49%</f>
        <v>9.2168999999999987E-2</v>
      </c>
      <c r="H42">
        <f t="shared" si="0"/>
        <v>18.717831</v>
      </c>
      <c r="I42" s="186">
        <f t="shared" si="7"/>
        <v>4.8999999999999998E-3</v>
      </c>
      <c r="J42" s="186">
        <f t="shared" si="8"/>
        <v>0.9951000000000001</v>
      </c>
      <c r="M42" s="228">
        <v>0.29599999999999999</v>
      </c>
      <c r="N42" s="194">
        <v>2042</v>
      </c>
      <c r="O42" s="194"/>
      <c r="P42" s="194"/>
      <c r="Q42" s="194"/>
      <c r="R42" s="194"/>
      <c r="S42" s="194"/>
      <c r="T42" s="194"/>
      <c r="U42" s="194"/>
      <c r="V42" s="205">
        <v>4500</v>
      </c>
    </row>
    <row r="43" spans="3:34" x14ac:dyDescent="0.25">
      <c r="C43" t="s">
        <v>522</v>
      </c>
      <c r="E43" s="194">
        <v>9.35</v>
      </c>
      <c r="F43" s="194">
        <v>4.1900000000000004</v>
      </c>
      <c r="G43">
        <f>+E43*92.53%</f>
        <v>8.6515550000000001</v>
      </c>
      <c r="H43">
        <f t="shared" si="0"/>
        <v>0.69844499999999954</v>
      </c>
      <c r="I43" s="186">
        <f t="shared" si="7"/>
        <v>0.92530000000000001</v>
      </c>
      <c r="J43" s="186">
        <f t="shared" si="8"/>
        <v>7.4699999999999947E-2</v>
      </c>
      <c r="M43" s="228">
        <v>0.51980000000000004</v>
      </c>
      <c r="N43" s="194">
        <v>2068</v>
      </c>
      <c r="O43" s="194"/>
      <c r="P43" s="194"/>
      <c r="Q43" s="194"/>
      <c r="R43" s="194"/>
      <c r="S43" s="194"/>
      <c r="T43" s="194"/>
      <c r="U43" s="194"/>
      <c r="V43" s="194">
        <v>1800</v>
      </c>
    </row>
    <row r="45" spans="3:34" x14ac:dyDescent="0.25">
      <c r="F45" s="212">
        <f>+SUM(F5:F38)</f>
        <v>1635.0453439999999</v>
      </c>
      <c r="V45">
        <f>+SUM(V6:V43)</f>
        <v>529280</v>
      </c>
      <c r="W45" t="s">
        <v>528</v>
      </c>
    </row>
    <row r="46" spans="3:34" x14ac:dyDescent="0.25">
      <c r="V46">
        <f>+V45*365</f>
        <v>193187200</v>
      </c>
      <c r="W46" t="s">
        <v>528</v>
      </c>
    </row>
    <row r="47" spans="3:34" x14ac:dyDescent="0.25">
      <c r="C47" t="s">
        <v>513</v>
      </c>
      <c r="E47" s="212">
        <f>+SUM(E5:E38)+E42</f>
        <v>1984.8899999999996</v>
      </c>
      <c r="F47" t="s">
        <v>488</v>
      </c>
      <c r="V47" s="229">
        <f>+V46/1000000</f>
        <v>193.18719999999999</v>
      </c>
      <c r="W47" t="s">
        <v>529</v>
      </c>
    </row>
    <row r="48" spans="3:34" x14ac:dyDescent="0.25">
      <c r="C48" t="s">
        <v>514</v>
      </c>
      <c r="E48">
        <f>+SUM(G5:G38)+G42</f>
        <v>1725.2950059999996</v>
      </c>
      <c r="F48" t="s">
        <v>488</v>
      </c>
      <c r="G48" s="186">
        <f>+E48/E47</f>
        <v>0.86921441792744181</v>
      </c>
      <c r="H48" s="186"/>
      <c r="I48" s="186"/>
      <c r="J48" s="186"/>
      <c r="K48" s="186"/>
      <c r="L48" s="186"/>
      <c r="M48" s="212"/>
      <c r="V48" s="219" t="s">
        <v>530</v>
      </c>
      <c r="W48" s="219" t="s">
        <v>531</v>
      </c>
    </row>
    <row r="49" spans="3:23" x14ac:dyDescent="0.25">
      <c r="C49" t="s">
        <v>517</v>
      </c>
      <c r="E49" s="212">
        <f>+E47-E48</f>
        <v>259.59499400000004</v>
      </c>
      <c r="F49" t="s">
        <v>488</v>
      </c>
      <c r="G49" s="186">
        <f>+E49/E47</f>
        <v>0.13078558207255822</v>
      </c>
      <c r="H49" s="186"/>
      <c r="I49" s="186"/>
      <c r="J49" s="186"/>
      <c r="K49" s="186"/>
      <c r="L49" s="186"/>
      <c r="V49" s="236">
        <f>+V47*V54</f>
        <v>25.114335999999998</v>
      </c>
      <c r="W49" s="237">
        <f>+V47*(100%-V54)</f>
        <v>168.07286399999998</v>
      </c>
    </row>
    <row r="50" spans="3:23" x14ac:dyDescent="0.25">
      <c r="C50" t="s">
        <v>515</v>
      </c>
      <c r="E50" s="212">
        <f>+SUM(F5:F38)</f>
        <v>1635.0453439999999</v>
      </c>
      <c r="F50" t="s">
        <v>516</v>
      </c>
      <c r="V50" s="246">
        <f>+E49/V49</f>
        <v>10.33652627726252</v>
      </c>
    </row>
    <row r="51" spans="3:23" x14ac:dyDescent="0.25">
      <c r="E51" s="212">
        <f>+E50*(1000000000)</f>
        <v>1635045344000</v>
      </c>
      <c r="F51" t="s">
        <v>526</v>
      </c>
    </row>
    <row r="52" spans="3:23" x14ac:dyDescent="0.25">
      <c r="E52" s="212">
        <f>+(E51/G1)/1000000</f>
        <v>272.62588454016498</v>
      </c>
      <c r="N52" t="s">
        <v>518</v>
      </c>
      <c r="V52" t="s">
        <v>532</v>
      </c>
    </row>
    <row r="53" spans="3:23" x14ac:dyDescent="0.25">
      <c r="N53">
        <v>71</v>
      </c>
      <c r="V53" s="235">
        <v>0.87</v>
      </c>
    </row>
    <row r="54" spans="3:23" x14ac:dyDescent="0.25">
      <c r="E54">
        <f>+E50*1000</f>
        <v>1635045.3439999998</v>
      </c>
      <c r="F54" t="s">
        <v>523</v>
      </c>
      <c r="N54">
        <v>29</v>
      </c>
      <c r="V54" s="235">
        <v>0.13</v>
      </c>
    </row>
    <row r="55" spans="3:23" x14ac:dyDescent="0.25">
      <c r="E55">
        <f>+E54/11</f>
        <v>148640.4858181818</v>
      </c>
      <c r="F55" t="s">
        <v>523</v>
      </c>
      <c r="Q55" t="s">
        <v>540</v>
      </c>
      <c r="R55" s="212">
        <f>+E47</f>
        <v>1984.8899999999996</v>
      </c>
      <c r="S55" t="s">
        <v>488</v>
      </c>
    </row>
    <row r="56" spans="3:23" x14ac:dyDescent="0.25">
      <c r="E56">
        <f>+E55/365</f>
        <v>407.234207721046</v>
      </c>
      <c r="F56" t="s">
        <v>523</v>
      </c>
      <c r="Q56" t="s">
        <v>541</v>
      </c>
      <c r="R56" s="245">
        <f>+SUM(T6:T38)</f>
        <v>1737.7836457184026</v>
      </c>
    </row>
    <row r="58" spans="3:23" x14ac:dyDescent="0.25">
      <c r="E58">
        <v>1000</v>
      </c>
      <c r="F58" t="s">
        <v>523</v>
      </c>
    </row>
    <row r="59" spans="3:23" x14ac:dyDescent="0.25">
      <c r="E59">
        <f>+E58*365</f>
        <v>365000</v>
      </c>
    </row>
    <row r="60" spans="3:23" x14ac:dyDescent="0.25">
      <c r="E60" s="229">
        <f>+E54/E59</f>
        <v>4.4795762849315066</v>
      </c>
      <c r="F60" t="s">
        <v>524</v>
      </c>
    </row>
    <row r="61" spans="3:23" x14ac:dyDescent="0.25">
      <c r="E61" s="223"/>
    </row>
  </sheetData>
  <mergeCells count="1">
    <mergeCell ref="AF3:AG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825AB-0F37-47F2-B729-BE4992C6F666}">
  <dimension ref="C1:Y61"/>
  <sheetViews>
    <sheetView showGridLines="0" topLeftCell="B14" zoomScale="115" zoomScaleNormal="115" workbookViewId="0">
      <selection activeCell="F4" sqref="F4:F43"/>
    </sheetView>
  </sheetViews>
  <sheetFormatPr baseColWidth="10" defaultRowHeight="15" x14ac:dyDescent="0.25"/>
  <cols>
    <col min="3" max="4" width="17.5703125" customWidth="1"/>
    <col min="5" max="5" width="21.42578125" customWidth="1"/>
    <col min="6" max="6" width="13.42578125" bestFit="1" customWidth="1"/>
    <col min="14" max="14" width="14.140625" customWidth="1"/>
    <col min="21" max="21" width="14.140625" customWidth="1"/>
    <col min="22" max="22" width="21.28515625" customWidth="1"/>
    <col min="23" max="23" width="18.85546875" customWidth="1"/>
    <col min="24" max="24" width="20.28515625" customWidth="1"/>
  </cols>
  <sheetData>
    <row r="1" spans="3:25" x14ac:dyDescent="0.25">
      <c r="F1" t="s">
        <v>507</v>
      </c>
      <c r="G1" s="229">
        <f>+F29*1000/E29</f>
        <v>5997.3958333333339</v>
      </c>
      <c r="H1" s="229" t="s">
        <v>525</v>
      </c>
      <c r="I1" s="229"/>
      <c r="J1" s="229"/>
      <c r="N1">
        <v>1</v>
      </c>
      <c r="O1" t="s">
        <v>484</v>
      </c>
      <c r="P1">
        <v>5800</v>
      </c>
      <c r="Q1" t="s">
        <v>485</v>
      </c>
    </row>
    <row r="3" spans="3:25" x14ac:dyDescent="0.25">
      <c r="M3" s="207" t="s">
        <v>479</v>
      </c>
      <c r="N3" s="208"/>
      <c r="O3" s="208"/>
      <c r="P3" s="208"/>
      <c r="Q3" s="208"/>
      <c r="R3" s="208"/>
      <c r="S3" s="209"/>
      <c r="W3" s="272" t="s">
        <v>488</v>
      </c>
      <c r="X3" s="272"/>
    </row>
    <row r="4" spans="3:25" x14ac:dyDescent="0.25">
      <c r="E4" s="216" t="s">
        <v>475</v>
      </c>
      <c r="F4" s="217" t="s">
        <v>478</v>
      </c>
      <c r="G4" s="218" t="s">
        <v>477</v>
      </c>
      <c r="H4" s="218" t="s">
        <v>476</v>
      </c>
      <c r="I4" s="218"/>
      <c r="J4" s="218"/>
      <c r="K4" s="219" t="s">
        <v>480</v>
      </c>
      <c r="L4" s="216" t="s">
        <v>481</v>
      </c>
      <c r="M4" s="216">
        <v>2020</v>
      </c>
      <c r="N4" s="217">
        <v>2025</v>
      </c>
      <c r="O4" s="217">
        <v>2030</v>
      </c>
      <c r="P4" s="217">
        <v>2035</v>
      </c>
      <c r="Q4" s="217">
        <v>2040</v>
      </c>
      <c r="R4" s="217">
        <v>2045</v>
      </c>
      <c r="S4" s="218">
        <v>2050</v>
      </c>
      <c r="T4" s="220" t="s">
        <v>483</v>
      </c>
      <c r="U4" s="221" t="s">
        <v>482</v>
      </c>
      <c r="V4" s="222" t="s">
        <v>486</v>
      </c>
      <c r="W4" s="220" t="s">
        <v>487</v>
      </c>
      <c r="X4" s="221" t="s">
        <v>489</v>
      </c>
      <c r="Y4" s="183" t="s">
        <v>490</v>
      </c>
    </row>
    <row r="5" spans="3:25" x14ac:dyDescent="0.25">
      <c r="C5" t="s">
        <v>301</v>
      </c>
      <c r="E5" s="197">
        <v>28.68</v>
      </c>
      <c r="F5" s="198">
        <v>172.07</v>
      </c>
      <c r="G5" s="199">
        <v>0</v>
      </c>
      <c r="H5">
        <f t="shared" ref="H5:H43" si="0">+E5-G5</f>
        <v>28.68</v>
      </c>
      <c r="I5" s="186">
        <f>+G5/E5</f>
        <v>0</v>
      </c>
      <c r="J5" s="186">
        <f>+H5/E5</f>
        <v>1</v>
      </c>
      <c r="K5" s="200">
        <v>0.96079999999999999</v>
      </c>
      <c r="L5" s="201">
        <v>2027</v>
      </c>
      <c r="M5" s="202">
        <v>20000</v>
      </c>
      <c r="N5" s="203">
        <v>12500</v>
      </c>
      <c r="O5" s="206"/>
      <c r="P5" s="206"/>
      <c r="Q5" s="206"/>
      <c r="R5" s="206"/>
      <c r="S5" s="199"/>
      <c r="T5" s="210">
        <f t="shared" ref="T5:T20" si="1">+SLOPE(M5:S5,$M$4:$S$4)</f>
        <v>-1500</v>
      </c>
      <c r="U5" s="204">
        <f t="shared" ref="U5:U20" si="2">+INTERCEPT(M5:S5,$M$4:$S$4)</f>
        <v>3050000</v>
      </c>
      <c r="V5" s="211">
        <f t="shared" ref="V5:V20" si="3">+T5*L5+U5</f>
        <v>9500</v>
      </c>
      <c r="W5" s="224">
        <f t="shared" ref="W5:W20" si="4">+((L5-$M$4)*V5+((L5-$M$4)*(M5-V5))/2)*365/1000000</f>
        <v>37.686250000000001</v>
      </c>
      <c r="X5" s="225">
        <f t="shared" ref="X5:X20" si="5">+((T5*L5*L5/2)+(U5*L5)-(T5*$M$4*$M$4/2)-(U5*$M$4))*365/1000000</f>
        <v>37.686250000000001</v>
      </c>
      <c r="Y5" s="186">
        <f t="shared" ref="Y5:Y37" si="6">+(X5-E5)/E5</f>
        <v>0.31402545327754539</v>
      </c>
    </row>
    <row r="6" spans="3:25" x14ac:dyDescent="0.25">
      <c r="C6" t="s">
        <v>342</v>
      </c>
      <c r="E6" s="194">
        <v>89.87</v>
      </c>
      <c r="F6" s="194">
        <v>0</v>
      </c>
      <c r="G6" s="194">
        <f>+E6</f>
        <v>89.87</v>
      </c>
      <c r="H6">
        <f t="shared" si="0"/>
        <v>0</v>
      </c>
      <c r="I6" s="186">
        <f t="shared" ref="I6:I43" si="7">+G6/E6</f>
        <v>1</v>
      </c>
      <c r="J6" s="186">
        <f t="shared" ref="J6:J43" si="8">+H6/E6</f>
        <v>0</v>
      </c>
      <c r="K6" s="196">
        <v>0.24629999999999999</v>
      </c>
      <c r="L6" s="194">
        <v>2048</v>
      </c>
      <c r="M6" s="194">
        <v>10000</v>
      </c>
      <c r="N6" s="194">
        <v>16000</v>
      </c>
      <c r="O6" s="194">
        <v>11000</v>
      </c>
      <c r="P6" s="194">
        <v>7500</v>
      </c>
      <c r="Q6" s="194">
        <v>5500</v>
      </c>
      <c r="R6" s="194">
        <v>4000</v>
      </c>
      <c r="S6" s="194"/>
      <c r="T6" s="210">
        <f t="shared" si="1"/>
        <v>-371.42857142857144</v>
      </c>
      <c r="U6" s="204">
        <f t="shared" si="2"/>
        <v>763928.57142857148</v>
      </c>
      <c r="V6" s="211">
        <f t="shared" si="3"/>
        <v>3242.8571428571595</v>
      </c>
      <c r="W6" s="226">
        <f t="shared" si="4"/>
        <v>67.671000000000092</v>
      </c>
      <c r="X6" s="227">
        <f t="shared" si="5"/>
        <v>86.286000000000001</v>
      </c>
      <c r="Y6" s="186">
        <f t="shared" si="6"/>
        <v>-3.9879826415934162E-2</v>
      </c>
    </row>
    <row r="7" spans="3:25" x14ac:dyDescent="0.25">
      <c r="C7" t="s">
        <v>491</v>
      </c>
      <c r="E7" s="194">
        <v>1.37</v>
      </c>
      <c r="F7" s="230">
        <f>+E7*1.12%</f>
        <v>1.5344000000000003E-2</v>
      </c>
      <c r="G7" s="195">
        <f>+E7*98.88%</f>
        <v>1.3546559999999999</v>
      </c>
      <c r="H7">
        <f t="shared" si="0"/>
        <v>1.5344000000000246E-2</v>
      </c>
      <c r="I7" s="186">
        <f t="shared" si="7"/>
        <v>0.98879999999999979</v>
      </c>
      <c r="J7" s="186">
        <f t="shared" si="8"/>
        <v>1.1200000000000179E-2</v>
      </c>
      <c r="K7" s="196">
        <v>0.62780000000000002</v>
      </c>
      <c r="L7" s="194">
        <v>2041</v>
      </c>
      <c r="M7" s="194">
        <v>400</v>
      </c>
      <c r="N7" s="194">
        <v>280</v>
      </c>
      <c r="O7" s="194">
        <v>200</v>
      </c>
      <c r="P7" s="194">
        <v>120</v>
      </c>
      <c r="Q7" s="194">
        <v>80</v>
      </c>
      <c r="R7" s="194"/>
      <c r="S7" s="194"/>
      <c r="T7" s="210">
        <f t="shared" si="1"/>
        <v>-16</v>
      </c>
      <c r="U7" s="204">
        <f t="shared" si="2"/>
        <v>32696</v>
      </c>
      <c r="V7" s="211">
        <f t="shared" si="3"/>
        <v>40</v>
      </c>
      <c r="W7" s="226">
        <f t="shared" si="4"/>
        <v>1.6862999999999999</v>
      </c>
      <c r="X7" s="227">
        <f t="shared" si="5"/>
        <v>1.59432</v>
      </c>
      <c r="Y7" s="186">
        <f t="shared" si="6"/>
        <v>0.16373722627737214</v>
      </c>
    </row>
    <row r="8" spans="3:25" x14ac:dyDescent="0.25">
      <c r="C8" t="s">
        <v>346</v>
      </c>
      <c r="E8" s="194">
        <v>2.5</v>
      </c>
      <c r="F8" s="194">
        <v>7.0000000000000007E-2</v>
      </c>
      <c r="G8" s="194">
        <f>+E8*99.53%</f>
        <v>2.4882499999999999</v>
      </c>
      <c r="H8">
        <f t="shared" si="0"/>
        <v>1.1750000000000149E-2</v>
      </c>
      <c r="I8" s="186">
        <f t="shared" si="7"/>
        <v>0.99529999999999996</v>
      </c>
      <c r="J8" s="186">
        <f t="shared" si="8"/>
        <v>4.70000000000006E-3</v>
      </c>
      <c r="K8" s="196">
        <v>0.93179999999999996</v>
      </c>
      <c r="L8" s="194">
        <v>2029</v>
      </c>
      <c r="M8" s="194">
        <v>2950</v>
      </c>
      <c r="N8" s="194">
        <v>750</v>
      </c>
      <c r="O8" s="194"/>
      <c r="P8" s="194"/>
      <c r="Q8" s="194"/>
      <c r="R8" s="194"/>
      <c r="S8" s="194"/>
      <c r="T8" s="210">
        <f t="shared" si="1"/>
        <v>-440</v>
      </c>
      <c r="U8" s="204">
        <f t="shared" si="2"/>
        <v>891750</v>
      </c>
      <c r="V8" s="211">
        <f t="shared" si="3"/>
        <v>-1010</v>
      </c>
      <c r="W8" s="226">
        <f t="shared" si="4"/>
        <v>3.1864499999999998</v>
      </c>
      <c r="X8" s="227">
        <f t="shared" si="5"/>
        <v>3.1864499999999998</v>
      </c>
      <c r="Y8" s="186">
        <f t="shared" si="6"/>
        <v>0.27457999999999994</v>
      </c>
    </row>
    <row r="9" spans="3:25" x14ac:dyDescent="0.25">
      <c r="C9" t="s">
        <v>311</v>
      </c>
      <c r="E9" s="194">
        <v>14.92</v>
      </c>
      <c r="F9" s="194">
        <v>89.54</v>
      </c>
      <c r="G9" s="194">
        <v>0</v>
      </c>
      <c r="H9">
        <f t="shared" si="0"/>
        <v>14.92</v>
      </c>
      <c r="I9" s="186">
        <f t="shared" si="7"/>
        <v>0</v>
      </c>
      <c r="J9" s="186">
        <f t="shared" si="8"/>
        <v>1</v>
      </c>
      <c r="K9" s="196">
        <v>0.69059999999999999</v>
      </c>
      <c r="L9" s="194">
        <v>2039</v>
      </c>
      <c r="M9" s="194">
        <v>2500</v>
      </c>
      <c r="N9" s="213">
        <v>3000</v>
      </c>
      <c r="O9" s="194">
        <v>2100</v>
      </c>
      <c r="P9" s="194">
        <v>1800</v>
      </c>
      <c r="Q9" s="194"/>
      <c r="R9" s="194"/>
      <c r="S9" s="194"/>
      <c r="T9" s="210">
        <f t="shared" si="1"/>
        <v>-60</v>
      </c>
      <c r="U9" s="204">
        <f t="shared" si="2"/>
        <v>124000</v>
      </c>
      <c r="V9" s="211">
        <f t="shared" si="3"/>
        <v>1660</v>
      </c>
      <c r="W9" s="226">
        <f t="shared" si="4"/>
        <v>14.424799999999999</v>
      </c>
      <c r="X9" s="227">
        <f t="shared" si="5"/>
        <v>15.46505</v>
      </c>
      <c r="Y9" s="186">
        <f t="shared" si="6"/>
        <v>3.653150134048256E-2</v>
      </c>
    </row>
    <row r="10" spans="3:25" x14ac:dyDescent="0.25">
      <c r="C10" t="s">
        <v>492</v>
      </c>
      <c r="E10" s="194">
        <v>153.29</v>
      </c>
      <c r="F10" s="194">
        <v>0</v>
      </c>
      <c r="G10" s="194">
        <v>153.29</v>
      </c>
      <c r="H10">
        <f t="shared" si="0"/>
        <v>0</v>
      </c>
      <c r="I10" s="186">
        <f t="shared" si="7"/>
        <v>1</v>
      </c>
      <c r="J10" s="186">
        <f t="shared" si="8"/>
        <v>0</v>
      </c>
      <c r="K10" s="196">
        <v>0.70950000000000002</v>
      </c>
      <c r="L10" s="194">
        <v>2036</v>
      </c>
      <c r="M10" s="194">
        <v>65000</v>
      </c>
      <c r="N10" s="213">
        <v>37500</v>
      </c>
      <c r="O10" s="194">
        <v>22500</v>
      </c>
      <c r="P10" s="194">
        <v>12500</v>
      </c>
      <c r="Q10" s="194"/>
      <c r="R10" s="194"/>
      <c r="S10" s="194"/>
      <c r="T10" s="232">
        <f t="shared" si="1"/>
        <v>-3450</v>
      </c>
      <c r="U10" s="233">
        <f t="shared" si="2"/>
        <v>7029250</v>
      </c>
      <c r="V10" s="234">
        <f t="shared" si="3"/>
        <v>5050</v>
      </c>
      <c r="W10" s="224">
        <f t="shared" si="4"/>
        <v>204.54599999999999</v>
      </c>
      <c r="X10" s="225">
        <f t="shared" si="5"/>
        <v>190.67599999999999</v>
      </c>
      <c r="Y10" s="186">
        <f t="shared" si="6"/>
        <v>0.24389066475308238</v>
      </c>
    </row>
    <row r="11" spans="3:25" x14ac:dyDescent="0.25">
      <c r="C11" t="s">
        <v>493</v>
      </c>
      <c r="E11" s="194">
        <v>0.88</v>
      </c>
      <c r="F11" s="194">
        <v>0</v>
      </c>
      <c r="G11" s="194">
        <v>0.88</v>
      </c>
      <c r="H11">
        <f t="shared" si="0"/>
        <v>0</v>
      </c>
      <c r="I11" s="186">
        <f t="shared" si="7"/>
        <v>1</v>
      </c>
      <c r="J11" s="186">
        <f t="shared" si="8"/>
        <v>0</v>
      </c>
      <c r="K11" s="196">
        <v>0.69830000000000003</v>
      </c>
      <c r="L11" s="194">
        <v>2042</v>
      </c>
      <c r="M11" s="194">
        <v>150</v>
      </c>
      <c r="N11" s="231">
        <v>180</v>
      </c>
      <c r="O11" s="194">
        <v>105</v>
      </c>
      <c r="P11" s="194">
        <v>90</v>
      </c>
      <c r="Q11" s="194">
        <v>60</v>
      </c>
      <c r="R11" s="194"/>
      <c r="S11" s="194"/>
      <c r="T11" s="232">
        <f t="shared" si="1"/>
        <v>-5.4</v>
      </c>
      <c r="U11" s="233">
        <f t="shared" si="2"/>
        <v>11079</v>
      </c>
      <c r="V11" s="234">
        <f t="shared" si="3"/>
        <v>52.199999999998909</v>
      </c>
      <c r="W11" s="224">
        <f t="shared" si="4"/>
        <v>0.81183299999999559</v>
      </c>
      <c r="X11" s="225">
        <f t="shared" si="5"/>
        <v>0.89614799999972805</v>
      </c>
      <c r="Y11" s="186">
        <f t="shared" si="6"/>
        <v>1.8349999999690961E-2</v>
      </c>
    </row>
    <row r="12" spans="3:25" x14ac:dyDescent="0.25">
      <c r="C12" t="s">
        <v>494</v>
      </c>
      <c r="E12" s="194">
        <v>543.79</v>
      </c>
      <c r="F12" s="194">
        <v>0</v>
      </c>
      <c r="G12" s="194">
        <f>+E12</f>
        <v>543.79</v>
      </c>
      <c r="H12">
        <f t="shared" si="0"/>
        <v>0</v>
      </c>
      <c r="I12" s="186">
        <f t="shared" si="7"/>
        <v>1</v>
      </c>
      <c r="J12" s="186">
        <f t="shared" si="8"/>
        <v>0</v>
      </c>
      <c r="K12" s="196">
        <v>0.31709999999999999</v>
      </c>
      <c r="L12" s="194">
        <v>2099</v>
      </c>
      <c r="M12" s="194">
        <v>40000</v>
      </c>
      <c r="N12" s="194"/>
      <c r="O12" s="194">
        <v>32500</v>
      </c>
      <c r="Q12" s="194">
        <v>27500</v>
      </c>
      <c r="R12" s="194"/>
      <c r="S12" s="194">
        <v>22500</v>
      </c>
      <c r="T12" s="232">
        <f t="shared" si="1"/>
        <v>-575</v>
      </c>
      <c r="U12" s="233">
        <f t="shared" si="2"/>
        <v>1200750</v>
      </c>
      <c r="V12" s="234">
        <f t="shared" si="3"/>
        <v>-6175</v>
      </c>
      <c r="W12" s="224">
        <f t="shared" si="4"/>
        <v>487.67193750000001</v>
      </c>
      <c r="X12" s="225">
        <f t="shared" si="5"/>
        <v>476.8588125</v>
      </c>
      <c r="Y12" s="186">
        <f t="shared" si="6"/>
        <v>-0.1230827847146876</v>
      </c>
    </row>
    <row r="13" spans="3:25" x14ac:dyDescent="0.25">
      <c r="C13" t="s">
        <v>29</v>
      </c>
      <c r="E13" s="194">
        <v>272.89999999999998</v>
      </c>
      <c r="F13" s="194">
        <v>0</v>
      </c>
      <c r="G13" s="194">
        <v>272.29000000000002</v>
      </c>
      <c r="H13">
        <f t="shared" si="0"/>
        <v>0.6099999999999568</v>
      </c>
      <c r="I13" s="186">
        <f t="shared" si="7"/>
        <v>0.99776474899230505</v>
      </c>
      <c r="J13" s="186">
        <f t="shared" si="8"/>
        <v>2.2352510076949681E-3</v>
      </c>
      <c r="K13" s="228">
        <v>0.71530000000000005</v>
      </c>
      <c r="L13" s="194">
        <v>2036</v>
      </c>
      <c r="M13" s="205">
        <v>105000</v>
      </c>
      <c r="N13" s="214">
        <v>75000</v>
      </c>
      <c r="O13" s="194">
        <v>40000</v>
      </c>
      <c r="P13" s="194">
        <v>25000</v>
      </c>
      <c r="T13" s="232">
        <f t="shared" si="1"/>
        <v>-5500</v>
      </c>
      <c r="U13" s="233">
        <f t="shared" si="2"/>
        <v>11212500</v>
      </c>
      <c r="V13" s="234">
        <f t="shared" si="3"/>
        <v>14500</v>
      </c>
      <c r="W13" s="224">
        <f t="shared" si="4"/>
        <v>348.94</v>
      </c>
      <c r="X13" s="225">
        <f t="shared" si="5"/>
        <v>341.64</v>
      </c>
      <c r="Y13" s="186">
        <f t="shared" si="6"/>
        <v>0.25188713814584102</v>
      </c>
    </row>
    <row r="14" spans="3:25" x14ac:dyDescent="0.25">
      <c r="C14" t="s">
        <v>345</v>
      </c>
      <c r="E14" s="194">
        <v>16.52</v>
      </c>
      <c r="F14" s="194">
        <v>1.61</v>
      </c>
      <c r="G14">
        <f>+E14*98.07%</f>
        <v>16.201163999999999</v>
      </c>
      <c r="H14">
        <f t="shared" si="0"/>
        <v>0.31883600000000101</v>
      </c>
      <c r="I14" s="186">
        <f t="shared" si="7"/>
        <v>0.98069999999999991</v>
      </c>
      <c r="J14" s="186">
        <f t="shared" si="8"/>
        <v>1.930000000000006E-2</v>
      </c>
      <c r="K14" s="228">
        <v>0.73629999999999995</v>
      </c>
      <c r="L14" s="194">
        <v>2060</v>
      </c>
      <c r="M14" s="194">
        <v>4000</v>
      </c>
      <c r="N14" s="194">
        <v>3000</v>
      </c>
      <c r="O14" s="194">
        <v>1800</v>
      </c>
      <c r="P14" s="194">
        <v>1000</v>
      </c>
      <c r="Q14" s="194">
        <v>900</v>
      </c>
      <c r="R14" s="194">
        <v>700</v>
      </c>
      <c r="S14" s="194">
        <v>500</v>
      </c>
      <c r="T14" s="232">
        <f t="shared" si="1"/>
        <v>-114.28571428571429</v>
      </c>
      <c r="U14" s="233">
        <f t="shared" si="2"/>
        <v>234271.42857142858</v>
      </c>
      <c r="V14" s="234">
        <f t="shared" si="3"/>
        <v>-1157.1428571428696</v>
      </c>
      <c r="W14" s="224">
        <f t="shared" si="4"/>
        <v>20.752857142857053</v>
      </c>
      <c r="X14" s="225">
        <f t="shared" si="5"/>
        <v>16.47714285712421</v>
      </c>
      <c r="Y14" s="186">
        <f t="shared" si="6"/>
        <v>-2.5942580433286396E-3</v>
      </c>
    </row>
    <row r="15" spans="3:25" x14ac:dyDescent="0.25">
      <c r="C15" t="s">
        <v>140</v>
      </c>
      <c r="E15" s="194">
        <v>21.91</v>
      </c>
      <c r="F15" s="194">
        <v>0</v>
      </c>
      <c r="G15">
        <f>+E15</f>
        <v>21.91</v>
      </c>
      <c r="H15">
        <f t="shared" si="0"/>
        <v>0</v>
      </c>
      <c r="I15" s="186">
        <f t="shared" si="7"/>
        <v>1</v>
      </c>
      <c r="J15" s="186">
        <f t="shared" si="8"/>
        <v>0</v>
      </c>
      <c r="K15" s="228">
        <v>0.78649999999999998</v>
      </c>
      <c r="L15" s="194">
        <v>2035</v>
      </c>
      <c r="M15" s="205">
        <v>10500</v>
      </c>
      <c r="N15" s="215">
        <v>6000</v>
      </c>
      <c r="O15" s="194">
        <v>2300</v>
      </c>
      <c r="P15" s="194">
        <v>1800</v>
      </c>
      <c r="T15" s="232">
        <f t="shared" si="1"/>
        <v>-596</v>
      </c>
      <c r="U15" s="233">
        <f t="shared" si="2"/>
        <v>1213540</v>
      </c>
      <c r="V15" s="234">
        <f t="shared" si="3"/>
        <v>680</v>
      </c>
      <c r="W15" s="224">
        <f t="shared" si="4"/>
        <v>30.605250000000002</v>
      </c>
      <c r="X15" s="225">
        <f t="shared" si="5"/>
        <v>28.196249999999999</v>
      </c>
      <c r="Y15" s="186">
        <f t="shared" si="6"/>
        <v>0.28691236878137832</v>
      </c>
    </row>
    <row r="16" spans="3:25" x14ac:dyDescent="0.25">
      <c r="C16" t="s">
        <v>495</v>
      </c>
      <c r="E16" s="194">
        <v>8.85</v>
      </c>
      <c r="F16" s="194">
        <v>0</v>
      </c>
      <c r="G16">
        <f>+E16</f>
        <v>8.85</v>
      </c>
      <c r="H16">
        <f t="shared" si="0"/>
        <v>0</v>
      </c>
      <c r="I16" s="186">
        <f t="shared" si="7"/>
        <v>1</v>
      </c>
      <c r="J16" s="186">
        <f t="shared" si="8"/>
        <v>0</v>
      </c>
      <c r="K16" s="228">
        <v>0.55530000000000002</v>
      </c>
      <c r="L16" s="194">
        <v>2052</v>
      </c>
      <c r="M16" s="205">
        <v>1600</v>
      </c>
      <c r="N16" s="205">
        <v>1500</v>
      </c>
      <c r="O16" s="194">
        <v>1100</v>
      </c>
      <c r="P16" s="194">
        <v>750</v>
      </c>
      <c r="Q16" s="194">
        <v>500</v>
      </c>
      <c r="R16" s="194">
        <v>250</v>
      </c>
      <c r="S16" s="194">
        <v>200</v>
      </c>
      <c r="T16" s="232">
        <f t="shared" si="1"/>
        <v>-52.142857142857146</v>
      </c>
      <c r="U16" s="233">
        <f t="shared" si="2"/>
        <v>106953.57142857143</v>
      </c>
      <c r="V16" s="234">
        <f t="shared" si="3"/>
        <v>-43.571428571434808</v>
      </c>
      <c r="W16" s="224">
        <f t="shared" si="4"/>
        <v>9.0895428571428205</v>
      </c>
      <c r="X16" s="225">
        <f t="shared" si="5"/>
        <v>9.2355428571459655</v>
      </c>
      <c r="Y16" s="186">
        <f t="shared" si="6"/>
        <v>4.3564164649261675E-2</v>
      </c>
    </row>
    <row r="17" spans="3:25" x14ac:dyDescent="0.25">
      <c r="C17" t="s">
        <v>61</v>
      </c>
      <c r="E17" s="194">
        <v>146.25</v>
      </c>
      <c r="F17" s="194">
        <v>0</v>
      </c>
      <c r="G17">
        <v>146.25</v>
      </c>
      <c r="H17">
        <f t="shared" si="0"/>
        <v>0</v>
      </c>
      <c r="I17" s="186">
        <f t="shared" si="7"/>
        <v>1</v>
      </c>
      <c r="J17" s="186">
        <f t="shared" si="8"/>
        <v>0</v>
      </c>
      <c r="K17" s="228">
        <v>0.58260000000000001</v>
      </c>
      <c r="L17" s="194">
        <v>2039</v>
      </c>
      <c r="M17" s="205">
        <v>50000</v>
      </c>
      <c r="N17" s="205">
        <v>35000</v>
      </c>
      <c r="O17" s="194">
        <v>20000</v>
      </c>
      <c r="P17" s="194">
        <v>12500</v>
      </c>
      <c r="T17" s="232">
        <f t="shared" si="1"/>
        <v>-2550</v>
      </c>
      <c r="U17" s="233">
        <f t="shared" si="2"/>
        <v>5199500</v>
      </c>
      <c r="V17" s="234">
        <f t="shared" si="3"/>
        <v>50</v>
      </c>
      <c r="W17" s="224">
        <f t="shared" si="4"/>
        <v>173.54837499999999</v>
      </c>
      <c r="X17" s="225">
        <f t="shared" si="5"/>
        <v>168.34712500000001</v>
      </c>
      <c r="Y17" s="186">
        <f t="shared" si="6"/>
        <v>0.15109145299145302</v>
      </c>
    </row>
    <row r="18" spans="3:25" x14ac:dyDescent="0.25">
      <c r="C18" t="s">
        <v>496</v>
      </c>
      <c r="E18" s="194">
        <v>89.99</v>
      </c>
      <c r="F18" s="194">
        <v>0</v>
      </c>
      <c r="G18">
        <f>+E18</f>
        <v>89.99</v>
      </c>
      <c r="H18">
        <f t="shared" si="0"/>
        <v>0</v>
      </c>
      <c r="I18" s="186">
        <f t="shared" si="7"/>
        <v>1</v>
      </c>
      <c r="J18" s="186">
        <f t="shared" si="8"/>
        <v>0</v>
      </c>
      <c r="K18" s="228">
        <v>0.42830000000000001</v>
      </c>
      <c r="L18" s="194">
        <v>2044</v>
      </c>
      <c r="M18" s="205">
        <v>20000</v>
      </c>
      <c r="N18" s="205">
        <v>17500</v>
      </c>
      <c r="O18" s="194">
        <v>12500</v>
      </c>
      <c r="P18" s="194">
        <v>7600</v>
      </c>
      <c r="Q18" s="194">
        <v>6000</v>
      </c>
      <c r="T18" s="232">
        <f t="shared" si="1"/>
        <v>-758</v>
      </c>
      <c r="U18" s="233">
        <f t="shared" si="2"/>
        <v>1551460</v>
      </c>
      <c r="V18" s="234">
        <f t="shared" si="3"/>
        <v>2108</v>
      </c>
      <c r="W18" s="224">
        <f t="shared" si="4"/>
        <v>96.833039999999997</v>
      </c>
      <c r="X18" s="225">
        <f t="shared" si="5"/>
        <v>98.147040000000004</v>
      </c>
      <c r="Y18" s="186">
        <f t="shared" si="6"/>
        <v>9.0643849316590835E-2</v>
      </c>
    </row>
    <row r="19" spans="3:25" x14ac:dyDescent="0.25">
      <c r="C19" t="s">
        <v>497</v>
      </c>
      <c r="E19" s="194">
        <v>86.96</v>
      </c>
      <c r="F19" s="194">
        <v>357.74</v>
      </c>
      <c r="G19">
        <f>+E19*68.57%</f>
        <v>59.628471999999995</v>
      </c>
      <c r="H19">
        <f t="shared" si="0"/>
        <v>27.331527999999999</v>
      </c>
      <c r="I19" s="186">
        <f t="shared" si="7"/>
        <v>0.68569999999999998</v>
      </c>
      <c r="J19" s="186">
        <f t="shared" si="8"/>
        <v>0.31430000000000002</v>
      </c>
      <c r="K19" s="228">
        <v>0.87790000000000001</v>
      </c>
      <c r="L19" s="194">
        <v>2035</v>
      </c>
      <c r="M19" s="205">
        <v>42000</v>
      </c>
      <c r="N19" s="205">
        <v>22000</v>
      </c>
      <c r="O19" s="194">
        <v>16000</v>
      </c>
      <c r="P19" s="194">
        <v>8000</v>
      </c>
      <c r="T19" s="232">
        <f t="shared" si="1"/>
        <v>-2160</v>
      </c>
      <c r="U19" s="233">
        <f t="shared" si="2"/>
        <v>4401400</v>
      </c>
      <c r="V19" s="234">
        <f t="shared" si="3"/>
        <v>5800</v>
      </c>
      <c r="W19" s="224">
        <f t="shared" si="4"/>
        <v>130.85249999999999</v>
      </c>
      <c r="X19" s="225">
        <f t="shared" si="5"/>
        <v>120.45</v>
      </c>
      <c r="Y19" s="186">
        <f t="shared" si="6"/>
        <v>0.38511959521619149</v>
      </c>
    </row>
    <row r="20" spans="3:25" x14ac:dyDescent="0.25">
      <c r="C20" t="s">
        <v>498</v>
      </c>
      <c r="E20" s="194">
        <v>5.73</v>
      </c>
      <c r="F20" s="194">
        <v>0</v>
      </c>
      <c r="G20">
        <f>+E20</f>
        <v>5.73</v>
      </c>
      <c r="H20">
        <f t="shared" si="0"/>
        <v>0</v>
      </c>
      <c r="I20" s="186">
        <f t="shared" si="7"/>
        <v>1</v>
      </c>
      <c r="J20" s="186">
        <f t="shared" si="8"/>
        <v>0</v>
      </c>
      <c r="K20" s="228">
        <v>0.61819999999999997</v>
      </c>
      <c r="L20" s="194">
        <v>2050</v>
      </c>
      <c r="M20" s="205">
        <v>2250</v>
      </c>
      <c r="N20" s="205">
        <v>1250</v>
      </c>
      <c r="O20" s="194">
        <v>600</v>
      </c>
      <c r="P20" s="194">
        <v>400</v>
      </c>
      <c r="Q20" s="194">
        <v>200</v>
      </c>
      <c r="R20" s="194">
        <v>150</v>
      </c>
      <c r="S20" s="194">
        <v>100</v>
      </c>
      <c r="T20" s="232">
        <f t="shared" si="1"/>
        <v>-64.642857142857139</v>
      </c>
      <c r="U20" s="233">
        <f t="shared" si="2"/>
        <v>132255.35714285716</v>
      </c>
      <c r="V20" s="234">
        <f t="shared" si="3"/>
        <v>-262.4999999999709</v>
      </c>
      <c r="W20" s="224">
        <f t="shared" si="4"/>
        <v>10.881562500000161</v>
      </c>
      <c r="X20" s="225">
        <f t="shared" si="5"/>
        <v>7.7432142857189472</v>
      </c>
      <c r="Y20" s="186">
        <f t="shared" si="6"/>
        <v>0.35134629768218961</v>
      </c>
    </row>
    <row r="21" spans="3:25" x14ac:dyDescent="0.25">
      <c r="C21" t="s">
        <v>499</v>
      </c>
      <c r="E21" s="194">
        <v>89.27</v>
      </c>
      <c r="F21" s="194">
        <v>504.38</v>
      </c>
      <c r="G21">
        <f>+E21*5.84%</f>
        <v>5.213368</v>
      </c>
      <c r="H21">
        <f t="shared" si="0"/>
        <v>84.056631999999993</v>
      </c>
      <c r="I21" s="186">
        <f t="shared" si="7"/>
        <v>5.8400000000000001E-2</v>
      </c>
      <c r="J21" s="186">
        <f t="shared" si="8"/>
        <v>0.94159999999999999</v>
      </c>
      <c r="K21" s="228">
        <v>0.24510000000000001</v>
      </c>
      <c r="L21" s="194">
        <v>2059</v>
      </c>
      <c r="M21" s="205">
        <v>10000</v>
      </c>
      <c r="N21" s="205">
        <v>18500</v>
      </c>
      <c r="O21" s="194">
        <v>10000</v>
      </c>
      <c r="P21" s="194">
        <v>7000</v>
      </c>
      <c r="Q21" s="194">
        <v>5000</v>
      </c>
      <c r="R21" s="194">
        <v>3500</v>
      </c>
      <c r="S21" s="194">
        <v>2100</v>
      </c>
      <c r="T21" s="232">
        <f t="shared" ref="T21:T24" si="9">+SLOPE(M21:S21,$M$4:$S$4)</f>
        <v>-419.28571428571439</v>
      </c>
      <c r="U21" s="233">
        <f t="shared" ref="U21:U24" si="10">+INTERCEPT(M21:S21,$M$4:$S$4)</f>
        <v>861260.71428571444</v>
      </c>
      <c r="V21" s="234">
        <f t="shared" ref="V21:V24" si="11">+T21*L21+U21</f>
        <v>-2048.5714285714785</v>
      </c>
      <c r="W21" s="224">
        <f t="shared" ref="W21:W24" si="12">+((L21-$M$4)*V21+((L21-$M$4)*(M21-V21))/2)*365/1000000</f>
        <v>56.594292857142499</v>
      </c>
      <c r="X21" s="225">
        <f t="shared" ref="X21:X24" si="13">+((T21*L21*L21/2)+(U21*L21)-(T21*$M$4*$M$4/2)-(U21*$M$4))*365/1000000</f>
        <v>87.224962500087017</v>
      </c>
      <c r="Y21" s="186">
        <f t="shared" si="6"/>
        <v>-2.2908451886557404E-2</v>
      </c>
    </row>
    <row r="22" spans="3:25" x14ac:dyDescent="0.25">
      <c r="C22" t="s">
        <v>500</v>
      </c>
      <c r="E22" s="194">
        <v>10.25</v>
      </c>
      <c r="F22" s="194">
        <v>60.26</v>
      </c>
      <c r="G22">
        <f>+E22*2%</f>
        <v>0.20500000000000002</v>
      </c>
      <c r="H22">
        <f t="shared" si="0"/>
        <v>10.045</v>
      </c>
      <c r="I22" s="186">
        <f t="shared" si="7"/>
        <v>0.02</v>
      </c>
      <c r="J22" s="186">
        <f t="shared" si="8"/>
        <v>0.98</v>
      </c>
      <c r="K22" s="228">
        <v>0.98270000000000002</v>
      </c>
      <c r="L22" s="194">
        <v>2025</v>
      </c>
      <c r="M22" s="205">
        <v>8000</v>
      </c>
      <c r="N22" s="205">
        <v>5000</v>
      </c>
      <c r="T22" s="232">
        <f t="shared" si="9"/>
        <v>-600</v>
      </c>
      <c r="U22" s="233">
        <f t="shared" si="10"/>
        <v>1220000</v>
      </c>
      <c r="V22" s="234">
        <f t="shared" si="11"/>
        <v>5000</v>
      </c>
      <c r="W22" s="224">
        <f t="shared" si="12"/>
        <v>11.862500000000001</v>
      </c>
      <c r="X22" s="225">
        <f t="shared" si="13"/>
        <v>11.862500000000001</v>
      </c>
      <c r="Y22" s="186">
        <f t="shared" si="6"/>
        <v>0.15731707317073176</v>
      </c>
    </row>
    <row r="23" spans="3:25" x14ac:dyDescent="0.25">
      <c r="C23" t="s">
        <v>501</v>
      </c>
      <c r="E23" s="194">
        <v>17.7</v>
      </c>
      <c r="F23" s="194">
        <v>97.48</v>
      </c>
      <c r="G23">
        <f>+E23*8.23%</f>
        <v>1.4567099999999999</v>
      </c>
      <c r="H23">
        <f t="shared" si="0"/>
        <v>16.243289999999998</v>
      </c>
      <c r="I23" s="186">
        <f t="shared" si="7"/>
        <v>8.2299999999999998E-2</v>
      </c>
      <c r="J23" s="186">
        <f t="shared" si="8"/>
        <v>0.91769999999999996</v>
      </c>
      <c r="K23" s="228">
        <v>0.97750000000000004</v>
      </c>
      <c r="L23" s="194">
        <v>2025</v>
      </c>
      <c r="M23" s="194">
        <v>8000</v>
      </c>
      <c r="N23" s="213">
        <v>5000</v>
      </c>
      <c r="T23" s="232">
        <f t="shared" si="9"/>
        <v>-600</v>
      </c>
      <c r="U23" s="233">
        <f t="shared" si="10"/>
        <v>1220000</v>
      </c>
      <c r="V23" s="234">
        <f t="shared" si="11"/>
        <v>5000</v>
      </c>
      <c r="W23" s="224">
        <f t="shared" si="12"/>
        <v>11.862500000000001</v>
      </c>
      <c r="X23" s="225">
        <f t="shared" si="13"/>
        <v>11.862500000000001</v>
      </c>
      <c r="Y23" s="186">
        <f t="shared" si="6"/>
        <v>-0.32980225988700557</v>
      </c>
    </row>
    <row r="24" spans="3:25" x14ac:dyDescent="0.25">
      <c r="C24" t="s">
        <v>502</v>
      </c>
      <c r="E24" s="194">
        <v>8.8000000000000007</v>
      </c>
      <c r="F24" s="194">
        <v>2.82</v>
      </c>
      <c r="G24">
        <f>+E24*94.66%</f>
        <v>8.3300800000000006</v>
      </c>
      <c r="H24">
        <f t="shared" si="0"/>
        <v>0.46992000000000012</v>
      </c>
      <c r="I24" s="186">
        <f t="shared" si="7"/>
        <v>0.9466</v>
      </c>
      <c r="J24" s="186">
        <f t="shared" si="8"/>
        <v>5.340000000000001E-2</v>
      </c>
      <c r="K24" s="228">
        <v>0.7712</v>
      </c>
      <c r="L24" s="194">
        <v>2039</v>
      </c>
      <c r="M24" s="194">
        <v>3000</v>
      </c>
      <c r="N24" s="213">
        <v>2000</v>
      </c>
      <c r="O24" s="194">
        <v>1100</v>
      </c>
      <c r="P24" s="194">
        <v>800</v>
      </c>
      <c r="T24" s="232">
        <f t="shared" si="9"/>
        <v>-150</v>
      </c>
      <c r="U24" s="233">
        <f t="shared" si="10"/>
        <v>305850</v>
      </c>
      <c r="V24" s="234">
        <f t="shared" si="11"/>
        <v>0</v>
      </c>
      <c r="W24" s="224">
        <f t="shared" si="12"/>
        <v>10.4025</v>
      </c>
      <c r="X24" s="225">
        <f t="shared" si="13"/>
        <v>9.8823749999999997</v>
      </c>
      <c r="Y24" s="186">
        <f t="shared" si="6"/>
        <v>0.12299715909090897</v>
      </c>
    </row>
    <row r="25" spans="3:25" x14ac:dyDescent="0.25">
      <c r="C25" t="s">
        <v>503</v>
      </c>
      <c r="E25" s="194">
        <v>1.1399999999999999</v>
      </c>
      <c r="F25" s="194">
        <v>0.47</v>
      </c>
      <c r="G25">
        <f>+E25*93.12%</f>
        <v>1.0615679999999998</v>
      </c>
      <c r="H25">
        <f t="shared" si="0"/>
        <v>7.8432000000000057E-2</v>
      </c>
      <c r="I25" s="186">
        <f t="shared" si="7"/>
        <v>0.93119999999999992</v>
      </c>
      <c r="J25" s="186">
        <f t="shared" si="8"/>
        <v>6.8800000000000056E-2</v>
      </c>
      <c r="K25" s="228">
        <v>0.73509999999999998</v>
      </c>
      <c r="L25" s="194">
        <v>2033</v>
      </c>
      <c r="M25" s="205">
        <v>1000</v>
      </c>
      <c r="N25" s="213">
        <v>300</v>
      </c>
      <c r="O25" s="194">
        <v>100</v>
      </c>
      <c r="T25" s="232">
        <f t="shared" ref="T25:T26" si="14">+SLOPE(M25:S25,$M$4:$S$4)</f>
        <v>-90</v>
      </c>
      <c r="U25" s="233">
        <f t="shared" ref="U25:U26" si="15">+INTERCEPT(M25:S25,$M$4:$S$4)</f>
        <v>182716.66666666666</v>
      </c>
      <c r="V25" s="234">
        <f t="shared" ref="V25:V26" si="16">+T25*L25+U25</f>
        <v>-253.33333333334303</v>
      </c>
      <c r="W25" s="224">
        <f t="shared" ref="W25:W26" si="17">+((L25-$M$4)*V25+((L25-$M$4)*(M25-V25))/2)*365/1000000</f>
        <v>1.7714666666666437</v>
      </c>
      <c r="X25" s="225">
        <f t="shared" ref="X25:X26" si="18">+((T25*L25*L25/2)+(U25*L25)-(T25*$M$4*$M$4/2)-(U25*$M$4))*365/1000000</f>
        <v>1.5737583333405851</v>
      </c>
      <c r="Y25" s="186">
        <f t="shared" si="6"/>
        <v>0.38048976608823271</v>
      </c>
    </row>
    <row r="26" spans="3:25" x14ac:dyDescent="0.25">
      <c r="C26" t="s">
        <v>504</v>
      </c>
      <c r="E26" s="194">
        <v>1.31</v>
      </c>
      <c r="F26" s="194">
        <v>0.37</v>
      </c>
      <c r="G26">
        <f>+E26*95.34%</f>
        <v>1.2489540000000001</v>
      </c>
      <c r="H26">
        <f t="shared" si="0"/>
        <v>6.1045999999999934E-2</v>
      </c>
      <c r="I26" s="186">
        <f t="shared" si="7"/>
        <v>0.95340000000000003</v>
      </c>
      <c r="J26" s="186">
        <f t="shared" si="8"/>
        <v>4.6599999999999947E-2</v>
      </c>
      <c r="K26" s="228">
        <v>0.34710000000000002</v>
      </c>
      <c r="L26" s="194">
        <v>2053</v>
      </c>
      <c r="M26" s="205">
        <v>480</v>
      </c>
      <c r="N26" s="205">
        <v>280</v>
      </c>
      <c r="O26" s="194">
        <v>125</v>
      </c>
      <c r="P26">
        <v>90</v>
      </c>
      <c r="Q26">
        <v>50</v>
      </c>
      <c r="R26">
        <v>30</v>
      </c>
      <c r="S26">
        <v>25</v>
      </c>
      <c r="T26" s="232">
        <f t="shared" si="14"/>
        <v>-13.857142857142858</v>
      </c>
      <c r="U26" s="233">
        <f t="shared" si="15"/>
        <v>28353.571428571428</v>
      </c>
      <c r="V26" s="234">
        <f t="shared" si="16"/>
        <v>-95.142857142858702</v>
      </c>
      <c r="W26" s="224">
        <f t="shared" si="17"/>
        <v>2.3178021428571336</v>
      </c>
      <c r="X26" s="225">
        <f t="shared" si="18"/>
        <v>1.6080075</v>
      </c>
      <c r="Y26" s="186">
        <f t="shared" si="6"/>
        <v>0.22748664122137402</v>
      </c>
    </row>
    <row r="27" spans="3:25" x14ac:dyDescent="0.25">
      <c r="C27" t="s">
        <v>505</v>
      </c>
      <c r="E27" s="194">
        <v>4.72</v>
      </c>
      <c r="F27" s="194">
        <v>7.45</v>
      </c>
      <c r="G27">
        <f>+E27*73.7%</f>
        <v>3.47864</v>
      </c>
      <c r="H27">
        <f t="shared" si="0"/>
        <v>1.2413599999999998</v>
      </c>
      <c r="I27" s="186">
        <f t="shared" si="7"/>
        <v>0.73699999999999999</v>
      </c>
      <c r="J27" s="186">
        <f t="shared" si="8"/>
        <v>0.26299999999999996</v>
      </c>
      <c r="K27" s="228">
        <v>0.91449999999999998</v>
      </c>
      <c r="L27" s="194">
        <v>2030</v>
      </c>
      <c r="M27" s="205">
        <v>3750</v>
      </c>
      <c r="N27" s="205">
        <v>1750</v>
      </c>
      <c r="O27" s="194">
        <v>750</v>
      </c>
      <c r="T27" s="232">
        <f t="shared" ref="T27:T28" si="19">+SLOPE(M27:S27,$M$4:$S$4)</f>
        <v>-300</v>
      </c>
      <c r="U27" s="233">
        <f t="shared" ref="U27:U28" si="20">+INTERCEPT(M27:S27,$M$4:$S$4)</f>
        <v>609583.33333333337</v>
      </c>
      <c r="V27" s="234">
        <f t="shared" ref="V27:V28" si="21">+T27*L27+U27</f>
        <v>583.33333333337214</v>
      </c>
      <c r="W27" s="224">
        <f t="shared" ref="W27:W28" si="22">+((L27-$M$4)*V27+((L27-$M$4)*(M27-V27))/2)*365/1000000</f>
        <v>7.9083333333334034</v>
      </c>
      <c r="X27" s="225">
        <f t="shared" ref="X27:X28" si="23">+((T27*L27*L27/2)+(U27*L27)-(T27*$M$4*$M$4/2)-(U27*$M$4))*365/1000000</f>
        <v>7.6041666666376591</v>
      </c>
      <c r="Y27" s="186">
        <f t="shared" si="6"/>
        <v>0.61105225988086009</v>
      </c>
    </row>
    <row r="28" spans="3:25" x14ac:dyDescent="0.25">
      <c r="C28" t="s">
        <v>506</v>
      </c>
      <c r="E28" s="194">
        <v>11.27</v>
      </c>
      <c r="F28" s="194">
        <v>0</v>
      </c>
      <c r="G28">
        <v>11.27</v>
      </c>
      <c r="H28">
        <f t="shared" si="0"/>
        <v>0</v>
      </c>
      <c r="I28" s="186">
        <f t="shared" si="7"/>
        <v>1</v>
      </c>
      <c r="J28" s="186">
        <f t="shared" si="8"/>
        <v>0</v>
      </c>
      <c r="K28" s="228">
        <v>0.4148</v>
      </c>
      <c r="L28" s="194">
        <v>2067</v>
      </c>
      <c r="M28" s="205">
        <v>2500</v>
      </c>
      <c r="N28" s="214">
        <v>1750</v>
      </c>
      <c r="O28" s="194">
        <v>1250</v>
      </c>
      <c r="P28">
        <v>800</v>
      </c>
      <c r="Q28">
        <v>600</v>
      </c>
      <c r="R28">
        <v>400</v>
      </c>
      <c r="S28">
        <v>300</v>
      </c>
      <c r="T28" s="232">
        <f t="shared" si="19"/>
        <v>-71.071428571428569</v>
      </c>
      <c r="U28" s="233">
        <f t="shared" si="20"/>
        <v>145716.07142857142</v>
      </c>
      <c r="V28" s="234">
        <f t="shared" si="21"/>
        <v>-1188.5714285714203</v>
      </c>
      <c r="W28" s="224">
        <f t="shared" si="22"/>
        <v>11.248778571428643</v>
      </c>
      <c r="X28" s="225">
        <f t="shared" si="23"/>
        <v>8.2619705357080697</v>
      </c>
      <c r="Y28" s="186">
        <f t="shared" si="6"/>
        <v>-0.2669058974527001</v>
      </c>
    </row>
    <row r="29" spans="3:25" x14ac:dyDescent="0.25">
      <c r="C29" t="s">
        <v>318</v>
      </c>
      <c r="E29" s="194">
        <v>3.84</v>
      </c>
      <c r="F29" s="194">
        <v>23.03</v>
      </c>
      <c r="H29">
        <f t="shared" si="0"/>
        <v>3.84</v>
      </c>
      <c r="I29" s="186">
        <f t="shared" si="7"/>
        <v>0</v>
      </c>
      <c r="J29" s="186">
        <f t="shared" si="8"/>
        <v>1</v>
      </c>
      <c r="K29" s="228">
        <v>0.84079999999999999</v>
      </c>
      <c r="L29" s="194">
        <v>2028</v>
      </c>
      <c r="M29" s="205">
        <v>5300</v>
      </c>
      <c r="N29" s="205">
        <v>1250</v>
      </c>
      <c r="T29" s="232">
        <f t="shared" ref="T29:T32" si="24">+SLOPE(M29:S29,$M$4:$S$4)</f>
        <v>-810</v>
      </c>
      <c r="U29" s="233">
        <f t="shared" ref="U29:U32" si="25">+INTERCEPT(M29:S29,$M$4:$S$4)</f>
        <v>1641500</v>
      </c>
      <c r="V29" s="234">
        <f t="shared" ref="V29:V32" si="26">+T29*L29+U29</f>
        <v>-1180</v>
      </c>
      <c r="W29" s="224">
        <f t="shared" ref="W29:W32" si="27">+((L29-$M$4)*V29+((L29-$M$4)*(M29-V29))/2)*365/1000000</f>
        <v>6.0152000000000001</v>
      </c>
      <c r="X29" s="225">
        <f t="shared" ref="X29:X32" si="28">+((T29*L29*L29/2)+(U29*L29)-(T29*$M$4*$M$4/2)-(U29*$M$4))*365/1000000</f>
        <v>6.0152000000000001</v>
      </c>
      <c r="Y29" s="186">
        <f t="shared" si="6"/>
        <v>0.5664583333333334</v>
      </c>
    </row>
    <row r="30" spans="3:25" x14ac:dyDescent="0.25">
      <c r="C30" t="s">
        <v>508</v>
      </c>
      <c r="E30" s="194">
        <v>14.92</v>
      </c>
      <c r="F30">
        <v>0.24</v>
      </c>
      <c r="G30">
        <f>+E30*99.74%</f>
        <v>14.881207999999999</v>
      </c>
      <c r="H30">
        <f t="shared" si="0"/>
        <v>3.8792000000000826E-2</v>
      </c>
      <c r="I30" s="186">
        <f t="shared" si="7"/>
        <v>0.99739999999999995</v>
      </c>
      <c r="J30" s="186">
        <f t="shared" si="8"/>
        <v>2.6000000000000554E-3</v>
      </c>
      <c r="K30" s="228">
        <v>0.75690000000000002</v>
      </c>
      <c r="L30" s="194">
        <v>2043</v>
      </c>
      <c r="M30" s="205">
        <v>10000</v>
      </c>
      <c r="N30" s="205">
        <v>4000</v>
      </c>
      <c r="O30" s="194">
        <v>1000</v>
      </c>
      <c r="P30">
        <v>500</v>
      </c>
      <c r="Q30">
        <v>400</v>
      </c>
      <c r="T30" s="232">
        <f t="shared" si="24"/>
        <v>-454</v>
      </c>
      <c r="U30" s="233">
        <f t="shared" si="25"/>
        <v>924800</v>
      </c>
      <c r="V30" s="234">
        <f t="shared" si="26"/>
        <v>-2722</v>
      </c>
      <c r="W30" s="224">
        <f t="shared" si="27"/>
        <v>30.549405</v>
      </c>
      <c r="X30" s="225">
        <f t="shared" si="28"/>
        <v>20.979105000000001</v>
      </c>
      <c r="Y30" s="186">
        <f t="shared" si="6"/>
        <v>0.40610623324396788</v>
      </c>
    </row>
    <row r="31" spans="3:25" x14ac:dyDescent="0.25">
      <c r="C31" t="s">
        <v>80</v>
      </c>
      <c r="E31" s="194">
        <v>43.42</v>
      </c>
      <c r="F31" s="194">
        <v>16.96</v>
      </c>
      <c r="G31">
        <f>+E31*93.49%</f>
        <v>40.593358000000002</v>
      </c>
      <c r="H31">
        <f t="shared" si="0"/>
        <v>2.8266419999999997</v>
      </c>
      <c r="I31" s="186">
        <f t="shared" si="7"/>
        <v>0.93490000000000006</v>
      </c>
      <c r="J31" s="186">
        <f t="shared" si="8"/>
        <v>6.5099999999999991E-2</v>
      </c>
      <c r="K31" s="228">
        <v>0.76190000000000002</v>
      </c>
      <c r="L31" s="194">
        <v>2042</v>
      </c>
      <c r="M31" s="205">
        <v>25000</v>
      </c>
      <c r="N31" s="205">
        <v>12500</v>
      </c>
      <c r="O31" s="194">
        <v>4500</v>
      </c>
      <c r="P31">
        <v>2500</v>
      </c>
      <c r="Q31">
        <v>1000</v>
      </c>
      <c r="T31" s="232">
        <f t="shared" si="24"/>
        <v>-1160</v>
      </c>
      <c r="U31" s="233">
        <f t="shared" si="25"/>
        <v>2363900</v>
      </c>
      <c r="V31" s="234">
        <f t="shared" si="26"/>
        <v>-4820</v>
      </c>
      <c r="W31" s="224">
        <f t="shared" si="27"/>
        <v>81.0227</v>
      </c>
      <c r="X31" s="225">
        <f t="shared" si="28"/>
        <v>63.758200000000002</v>
      </c>
      <c r="Y31" s="186">
        <f t="shared" si="6"/>
        <v>0.46840626439428834</v>
      </c>
    </row>
    <row r="32" spans="3:25" x14ac:dyDescent="0.25">
      <c r="C32" t="s">
        <v>449</v>
      </c>
      <c r="E32" s="194">
        <v>7.3</v>
      </c>
      <c r="F32" s="194">
        <v>4.54</v>
      </c>
      <c r="G32">
        <f>+E32*89.64%</f>
        <v>6.5437199999999995</v>
      </c>
      <c r="H32">
        <f t="shared" si="0"/>
        <v>0.75628000000000029</v>
      </c>
      <c r="I32" s="186">
        <f t="shared" si="7"/>
        <v>0.89639999999999997</v>
      </c>
      <c r="J32" s="186">
        <f t="shared" si="8"/>
        <v>0.10360000000000004</v>
      </c>
      <c r="K32" s="228">
        <v>0.77580000000000005</v>
      </c>
      <c r="L32" s="194">
        <v>2044</v>
      </c>
      <c r="M32" s="205">
        <v>2000</v>
      </c>
      <c r="N32" s="205">
        <v>1250</v>
      </c>
      <c r="O32" s="194">
        <v>900</v>
      </c>
      <c r="P32">
        <v>600</v>
      </c>
      <c r="Q32">
        <v>400</v>
      </c>
      <c r="T32" s="232">
        <f t="shared" si="24"/>
        <v>-77</v>
      </c>
      <c r="U32" s="233">
        <f t="shared" si="25"/>
        <v>157340</v>
      </c>
      <c r="V32" s="234">
        <f t="shared" si="26"/>
        <v>-48</v>
      </c>
      <c r="W32" s="224">
        <f t="shared" si="27"/>
        <v>8.5497599999999991</v>
      </c>
      <c r="X32" s="225">
        <f t="shared" si="28"/>
        <v>7.6737599999999997</v>
      </c>
      <c r="Y32" s="186">
        <f t="shared" si="6"/>
        <v>5.1199999999999982E-2</v>
      </c>
    </row>
    <row r="33" spans="3:25" x14ac:dyDescent="0.25">
      <c r="C33" t="s">
        <v>509</v>
      </c>
      <c r="E33" s="194">
        <v>0.57999999999999996</v>
      </c>
      <c r="F33" s="194">
        <v>0</v>
      </c>
      <c r="G33">
        <f>+E33</f>
        <v>0.57999999999999996</v>
      </c>
      <c r="H33">
        <f t="shared" si="0"/>
        <v>0</v>
      </c>
      <c r="I33" s="186">
        <f t="shared" si="7"/>
        <v>1</v>
      </c>
      <c r="J33" s="186">
        <f t="shared" si="8"/>
        <v>0</v>
      </c>
      <c r="K33" s="228">
        <v>0.91830000000000001</v>
      </c>
      <c r="L33" s="194">
        <v>2031</v>
      </c>
      <c r="M33" s="205">
        <v>500</v>
      </c>
      <c r="N33" s="205">
        <v>200</v>
      </c>
      <c r="O33" s="194">
        <v>80</v>
      </c>
      <c r="T33" s="232">
        <f t="shared" ref="T33:T37" si="29">+SLOPE(M33:S33,$M$4:$S$4)</f>
        <v>-42</v>
      </c>
      <c r="U33" s="233">
        <f t="shared" ref="U33:U37" si="30">+INTERCEPT(M33:S33,$M$4:$S$4)</f>
        <v>85310</v>
      </c>
      <c r="V33" s="234">
        <f t="shared" ref="V33:V37" si="31">+T33*L33+U33</f>
        <v>8</v>
      </c>
      <c r="W33" s="224">
        <f t="shared" ref="W33:W37" si="32">+((L33-$M$4)*V33+((L33-$M$4)*(M33-V33))/2)*365/1000000</f>
        <v>1.0198100000000001</v>
      </c>
      <c r="X33" s="225">
        <f t="shared" ref="X33:X37" si="33">+((T33*L33*L33/2)+(U33*L33)-(T33*$M$4*$M$4/2)-(U33*$M$4))*365/1000000</f>
        <v>0.95958500000000002</v>
      </c>
      <c r="Y33" s="186">
        <f t="shared" si="6"/>
        <v>0.65445689655172434</v>
      </c>
    </row>
    <row r="34" spans="3:25" x14ac:dyDescent="0.25">
      <c r="C34" t="s">
        <v>510</v>
      </c>
      <c r="E34" s="194">
        <v>130.22</v>
      </c>
      <c r="F34" s="194">
        <v>284</v>
      </c>
      <c r="G34">
        <f>+E34*63.65%</f>
        <v>82.88503</v>
      </c>
      <c r="H34">
        <f t="shared" si="0"/>
        <v>47.334969999999998</v>
      </c>
      <c r="I34" s="186">
        <f t="shared" si="7"/>
        <v>0.63649999999999995</v>
      </c>
      <c r="J34" s="186">
        <f t="shared" si="8"/>
        <v>0.36349999999999999</v>
      </c>
      <c r="K34" s="228">
        <v>0.63759999999999994</v>
      </c>
      <c r="L34" s="194">
        <v>2018</v>
      </c>
      <c r="M34" s="205">
        <v>55000</v>
      </c>
      <c r="N34" s="205">
        <v>31000</v>
      </c>
      <c r="O34" s="194">
        <v>15000</v>
      </c>
      <c r="P34">
        <v>8000</v>
      </c>
      <c r="T34" s="232">
        <f t="shared" si="29"/>
        <v>-3140</v>
      </c>
      <c r="U34" s="233">
        <f t="shared" si="30"/>
        <v>6393600</v>
      </c>
      <c r="V34" s="234">
        <f t="shared" si="31"/>
        <v>57080</v>
      </c>
      <c r="W34" s="224">
        <f t="shared" si="32"/>
        <v>-40.909199999999998</v>
      </c>
      <c r="X34" s="225">
        <f t="shared" si="33"/>
        <v>-39.376199999999997</v>
      </c>
      <c r="Y34" s="186">
        <f t="shared" si="6"/>
        <v>-1.3023821225618186</v>
      </c>
    </row>
    <row r="35" spans="3:25" x14ac:dyDescent="0.25">
      <c r="C35" t="s">
        <v>344</v>
      </c>
      <c r="E35" s="194">
        <v>24.09</v>
      </c>
      <c r="F35" s="194">
        <v>0</v>
      </c>
      <c r="G35">
        <f>+E35</f>
        <v>24.09</v>
      </c>
      <c r="H35">
        <f t="shared" si="0"/>
        <v>0</v>
      </c>
      <c r="I35" s="186">
        <f t="shared" si="7"/>
        <v>1</v>
      </c>
      <c r="J35" s="186">
        <f t="shared" si="8"/>
        <v>0</v>
      </c>
      <c r="K35" s="228">
        <v>0.73740000000000006</v>
      </c>
      <c r="L35" s="194">
        <v>2064</v>
      </c>
      <c r="M35" s="205">
        <v>4000</v>
      </c>
      <c r="N35" s="205">
        <v>3500</v>
      </c>
      <c r="O35" s="194">
        <v>2500</v>
      </c>
      <c r="P35">
        <v>2000</v>
      </c>
      <c r="Q35">
        <v>1500</v>
      </c>
      <c r="R35">
        <v>1250</v>
      </c>
      <c r="S35">
        <v>1000</v>
      </c>
      <c r="T35" s="232">
        <f t="shared" si="29"/>
        <v>-103.57142857142857</v>
      </c>
      <c r="U35" s="233">
        <f t="shared" si="30"/>
        <v>213017.85714285713</v>
      </c>
      <c r="V35" s="234">
        <f t="shared" si="31"/>
        <v>-753.57142857144936</v>
      </c>
      <c r="W35" s="224">
        <f t="shared" si="32"/>
        <v>26.068821428571262</v>
      </c>
      <c r="X35" s="225">
        <f t="shared" si="33"/>
        <v>24.491499999999998</v>
      </c>
      <c r="Y35" s="186">
        <f t="shared" si="6"/>
        <v>1.6666666666666611E-2</v>
      </c>
    </row>
    <row r="36" spans="3:25" x14ac:dyDescent="0.25">
      <c r="C36" t="s">
        <v>511</v>
      </c>
      <c r="E36" s="194">
        <v>5.59</v>
      </c>
      <c r="F36" s="194">
        <v>0</v>
      </c>
      <c r="G36">
        <f>+E36</f>
        <v>5.59</v>
      </c>
      <c r="H36">
        <f t="shared" si="0"/>
        <v>0</v>
      </c>
      <c r="I36" s="186">
        <f t="shared" si="7"/>
        <v>1</v>
      </c>
      <c r="J36" s="186">
        <f t="shared" si="8"/>
        <v>0</v>
      </c>
      <c r="K36" s="228">
        <v>0.69210000000000005</v>
      </c>
      <c r="L36" s="194">
        <v>2047</v>
      </c>
      <c r="M36" s="205">
        <v>1400</v>
      </c>
      <c r="N36" s="205">
        <v>1250</v>
      </c>
      <c r="O36" s="194">
        <v>750</v>
      </c>
      <c r="P36">
        <v>450</v>
      </c>
      <c r="Q36">
        <v>250</v>
      </c>
      <c r="T36" s="232">
        <f t="shared" si="29"/>
        <v>-62</v>
      </c>
      <c r="U36" s="233">
        <f t="shared" si="30"/>
        <v>126680</v>
      </c>
      <c r="V36" s="234">
        <f t="shared" si="31"/>
        <v>-234</v>
      </c>
      <c r="W36" s="224">
        <f t="shared" si="32"/>
        <v>5.7454650000000003</v>
      </c>
      <c r="X36" s="225">
        <f t="shared" si="33"/>
        <v>5.9425650000000001</v>
      </c>
      <c r="Y36" s="186">
        <f t="shared" si="6"/>
        <v>6.307066189624333E-2</v>
      </c>
    </row>
    <row r="37" spans="3:25" x14ac:dyDescent="0.25">
      <c r="C37" t="s">
        <v>345</v>
      </c>
      <c r="E37" s="194">
        <v>16.52</v>
      </c>
      <c r="F37" s="194">
        <v>1.91</v>
      </c>
      <c r="G37">
        <f>+E37*98.07%</f>
        <v>16.201163999999999</v>
      </c>
      <c r="H37">
        <f t="shared" si="0"/>
        <v>0.31883600000000101</v>
      </c>
      <c r="I37" s="186">
        <f t="shared" si="7"/>
        <v>0.98069999999999991</v>
      </c>
      <c r="J37" s="186">
        <f t="shared" si="8"/>
        <v>1.930000000000006E-2</v>
      </c>
      <c r="K37" s="228">
        <v>0.73629999999999995</v>
      </c>
      <c r="L37" s="194">
        <v>2060</v>
      </c>
      <c r="M37" s="205">
        <v>4000</v>
      </c>
      <c r="N37" s="205">
        <v>3000</v>
      </c>
      <c r="O37" s="194">
        <v>1800</v>
      </c>
      <c r="P37">
        <v>1250</v>
      </c>
      <c r="Q37">
        <v>1000</v>
      </c>
      <c r="R37">
        <v>750</v>
      </c>
      <c r="T37" s="232">
        <f t="shared" si="29"/>
        <v>-130.28571428571428</v>
      </c>
      <c r="U37" s="233">
        <f t="shared" si="30"/>
        <v>266772.38095238095</v>
      </c>
      <c r="V37" s="234">
        <f t="shared" si="31"/>
        <v>-1616.1904761904734</v>
      </c>
      <c r="W37" s="224">
        <f t="shared" si="32"/>
        <v>17.401809523809543</v>
      </c>
      <c r="X37" s="225">
        <f t="shared" si="33"/>
        <v>14.447047619026899</v>
      </c>
      <c r="Y37" s="186">
        <f t="shared" si="6"/>
        <v>-0.12548137899352912</v>
      </c>
    </row>
    <row r="38" spans="3:25" x14ac:dyDescent="0.25">
      <c r="C38" t="s">
        <v>512</v>
      </c>
      <c r="E38" s="194">
        <v>90.73</v>
      </c>
      <c r="F38" s="194">
        <v>10.09</v>
      </c>
      <c r="G38">
        <f>+E38*98.15%</f>
        <v>89.051495000000003</v>
      </c>
      <c r="H38">
        <f t="shared" si="0"/>
        <v>1.6785050000000012</v>
      </c>
      <c r="I38" s="186">
        <f t="shared" si="7"/>
        <v>0.98150000000000004</v>
      </c>
      <c r="J38" s="186">
        <f t="shared" si="8"/>
        <v>1.8500000000000013E-2</v>
      </c>
      <c r="K38" s="228">
        <v>0.50829999999999997</v>
      </c>
      <c r="L38" s="194">
        <v>2061</v>
      </c>
      <c r="M38" s="205">
        <v>19000</v>
      </c>
      <c r="N38" s="205">
        <v>16000</v>
      </c>
      <c r="O38" s="194">
        <v>10000</v>
      </c>
      <c r="P38">
        <v>7000</v>
      </c>
      <c r="Q38">
        <v>4500</v>
      </c>
      <c r="R38">
        <v>3000</v>
      </c>
      <c r="S38">
        <v>2000</v>
      </c>
    </row>
    <row r="39" spans="3:25" x14ac:dyDescent="0.25">
      <c r="H39">
        <f t="shared" si="0"/>
        <v>0</v>
      </c>
      <c r="I39" s="186"/>
      <c r="J39" s="186"/>
    </row>
    <row r="40" spans="3:25" x14ac:dyDescent="0.25">
      <c r="C40" t="s">
        <v>519</v>
      </c>
      <c r="E40" s="194" t="s">
        <v>527</v>
      </c>
      <c r="F40" s="194">
        <v>23.75</v>
      </c>
      <c r="G40" t="e">
        <f>+E40*0.74%</f>
        <v>#VALUE!</v>
      </c>
      <c r="H40" t="e">
        <f t="shared" si="0"/>
        <v>#VALUE!</v>
      </c>
      <c r="I40" s="186" t="e">
        <f t="shared" si="7"/>
        <v>#VALUE!</v>
      </c>
      <c r="J40" s="186" t="e">
        <f t="shared" si="8"/>
        <v>#VALUE!</v>
      </c>
      <c r="K40" s="228">
        <v>0.30909999999999999</v>
      </c>
      <c r="L40" s="194">
        <v>2049</v>
      </c>
    </row>
    <row r="41" spans="3:25" x14ac:dyDescent="0.25">
      <c r="C41" t="s">
        <v>520</v>
      </c>
      <c r="E41" s="194">
        <v>6.24</v>
      </c>
      <c r="F41" s="194">
        <v>11.14</v>
      </c>
      <c r="G41">
        <f>+E41*70.26%</f>
        <v>4.3842240000000006</v>
      </c>
      <c r="H41">
        <f t="shared" si="0"/>
        <v>1.8557759999999996</v>
      </c>
      <c r="I41" s="186">
        <f t="shared" si="7"/>
        <v>0.70260000000000011</v>
      </c>
      <c r="J41" s="186">
        <f t="shared" si="8"/>
        <v>0.29739999999999994</v>
      </c>
      <c r="K41" s="228">
        <v>0.77259999999999995</v>
      </c>
      <c r="L41" s="194">
        <v>2041</v>
      </c>
      <c r="M41" s="205">
        <v>3700</v>
      </c>
    </row>
    <row r="42" spans="3:25" x14ac:dyDescent="0.25">
      <c r="C42" t="s">
        <v>521</v>
      </c>
      <c r="E42" s="194">
        <v>18.809999999999999</v>
      </c>
      <c r="F42" s="194">
        <v>112.29</v>
      </c>
      <c r="G42">
        <f>+E42*0.49%</f>
        <v>9.2168999999999987E-2</v>
      </c>
      <c r="H42">
        <f t="shared" si="0"/>
        <v>18.717831</v>
      </c>
      <c r="I42" s="186">
        <f t="shared" si="7"/>
        <v>4.8999999999999998E-3</v>
      </c>
      <c r="J42" s="186">
        <f t="shared" si="8"/>
        <v>0.9951000000000001</v>
      </c>
      <c r="K42" s="228">
        <v>0.29599999999999999</v>
      </c>
      <c r="L42" s="194">
        <v>2042</v>
      </c>
      <c r="M42" s="205">
        <v>4500</v>
      </c>
    </row>
    <row r="43" spans="3:25" x14ac:dyDescent="0.25">
      <c r="C43" t="s">
        <v>522</v>
      </c>
      <c r="E43" s="194">
        <v>9.35</v>
      </c>
      <c r="F43" s="194">
        <v>4.1900000000000004</v>
      </c>
      <c r="G43">
        <f>+E43*92.53%</f>
        <v>8.6515550000000001</v>
      </c>
      <c r="H43">
        <f t="shared" si="0"/>
        <v>0.69844499999999954</v>
      </c>
      <c r="I43" s="186">
        <f t="shared" si="7"/>
        <v>0.92530000000000001</v>
      </c>
      <c r="J43" s="186">
        <f t="shared" si="8"/>
        <v>7.4699999999999947E-2</v>
      </c>
      <c r="K43" s="228">
        <v>0.51980000000000004</v>
      </c>
      <c r="L43" s="194">
        <v>2068</v>
      </c>
      <c r="M43" s="194">
        <v>1800</v>
      </c>
    </row>
    <row r="45" spans="3:25" x14ac:dyDescent="0.25">
      <c r="M45">
        <f>+SUM(M6:M43)</f>
        <v>529280</v>
      </c>
      <c r="N45" t="s">
        <v>528</v>
      </c>
    </row>
    <row r="46" spans="3:25" x14ac:dyDescent="0.25">
      <c r="M46">
        <f>+M45*365</f>
        <v>193187200</v>
      </c>
      <c r="N46" t="s">
        <v>528</v>
      </c>
    </row>
    <row r="47" spans="3:25" x14ac:dyDescent="0.25">
      <c r="C47" t="s">
        <v>513</v>
      </c>
      <c r="E47" s="212">
        <f>+SUM(E5:E38)+E42</f>
        <v>1984.8899999999996</v>
      </c>
      <c r="F47" t="s">
        <v>488</v>
      </c>
      <c r="M47" s="229">
        <f>+M46/1000000</f>
        <v>193.18719999999999</v>
      </c>
      <c r="N47" t="s">
        <v>529</v>
      </c>
    </row>
    <row r="48" spans="3:25" x14ac:dyDescent="0.25">
      <c r="C48" t="s">
        <v>514</v>
      </c>
      <c r="E48">
        <f>+SUM(G5:G38)+G42</f>
        <v>1725.2950059999996</v>
      </c>
      <c r="F48" t="s">
        <v>488</v>
      </c>
      <c r="G48" s="186">
        <f>+E48/E47</f>
        <v>0.86921441792744181</v>
      </c>
      <c r="H48" s="186"/>
      <c r="I48" s="186"/>
      <c r="J48" s="186"/>
      <c r="K48" s="212"/>
      <c r="M48" s="219" t="s">
        <v>530</v>
      </c>
      <c r="N48" s="219" t="s">
        <v>531</v>
      </c>
    </row>
    <row r="49" spans="3:14" x14ac:dyDescent="0.25">
      <c r="C49" t="s">
        <v>517</v>
      </c>
      <c r="E49" s="212">
        <f>+E47-E48</f>
        <v>259.59499400000004</v>
      </c>
      <c r="F49" t="s">
        <v>488</v>
      </c>
      <c r="G49" s="186">
        <f>+E49/E47</f>
        <v>0.13078558207255822</v>
      </c>
      <c r="H49" s="186"/>
      <c r="I49" s="186"/>
      <c r="J49" s="186"/>
      <c r="M49" s="236">
        <f>+M47*M54</f>
        <v>25.114335999999998</v>
      </c>
      <c r="N49" s="237">
        <f>+M47*(100%-M54)</f>
        <v>168.07286399999998</v>
      </c>
    </row>
    <row r="50" spans="3:14" x14ac:dyDescent="0.25">
      <c r="C50" t="s">
        <v>515</v>
      </c>
      <c r="E50" s="212">
        <f>+SUM(F5:F38)</f>
        <v>1635.0453439999999</v>
      </c>
      <c r="F50" t="s">
        <v>516</v>
      </c>
    </row>
    <row r="51" spans="3:14" x14ac:dyDescent="0.25">
      <c r="E51" s="212">
        <f>+E50*(1000000000)</f>
        <v>1635045344000</v>
      </c>
      <c r="F51" t="s">
        <v>526</v>
      </c>
    </row>
    <row r="52" spans="3:14" x14ac:dyDescent="0.25">
      <c r="E52" s="212">
        <f>+(E51/G1)/1000000</f>
        <v>272.62588454016498</v>
      </c>
      <c r="L52" t="s">
        <v>518</v>
      </c>
      <c r="M52" t="s">
        <v>532</v>
      </c>
    </row>
    <row r="53" spans="3:14" x14ac:dyDescent="0.25">
      <c r="L53">
        <v>71</v>
      </c>
      <c r="M53" s="235">
        <v>0.87</v>
      </c>
    </row>
    <row r="54" spans="3:14" x14ac:dyDescent="0.25">
      <c r="E54">
        <f>+E50*1000</f>
        <v>1635045.3439999998</v>
      </c>
      <c r="F54" t="s">
        <v>523</v>
      </c>
      <c r="L54">
        <v>29</v>
      </c>
      <c r="M54" s="235">
        <v>0.13</v>
      </c>
    </row>
    <row r="55" spans="3:14" x14ac:dyDescent="0.25">
      <c r="E55">
        <f>+E54/11</f>
        <v>148640.4858181818</v>
      </c>
      <c r="F55" t="s">
        <v>523</v>
      </c>
    </row>
    <row r="56" spans="3:14" x14ac:dyDescent="0.25">
      <c r="E56">
        <f>+E55/365</f>
        <v>407.234207721046</v>
      </c>
      <c r="F56" t="s">
        <v>523</v>
      </c>
    </row>
    <row r="58" spans="3:14" x14ac:dyDescent="0.25">
      <c r="E58">
        <v>1000</v>
      </c>
      <c r="F58" t="s">
        <v>523</v>
      </c>
    </row>
    <row r="59" spans="3:14" x14ac:dyDescent="0.25">
      <c r="E59">
        <f>+E58*365</f>
        <v>365000</v>
      </c>
    </row>
    <row r="60" spans="3:14" x14ac:dyDescent="0.25">
      <c r="E60" s="229">
        <f>+E54/E59</f>
        <v>4.4795762849315066</v>
      </c>
      <c r="F60" t="s">
        <v>524</v>
      </c>
    </row>
    <row r="61" spans="3:14" x14ac:dyDescent="0.25">
      <c r="E61" s="223"/>
    </row>
  </sheetData>
  <mergeCells count="1">
    <mergeCell ref="W3:X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72A72-AF19-4504-9414-6F61CF25CDA8}">
  <dimension ref="B1:U47"/>
  <sheetViews>
    <sheetView showGridLines="0" topLeftCell="A3" workbookViewId="0">
      <selection activeCell="G3" sqref="G3:G37"/>
    </sheetView>
  </sheetViews>
  <sheetFormatPr baseColWidth="10" defaultRowHeight="15" x14ac:dyDescent="0.25"/>
  <cols>
    <col min="2" max="2" width="30.28515625" customWidth="1"/>
    <col min="4" max="5" width="11.42578125" style="194"/>
    <col min="20" max="20" width="12" bestFit="1" customWidth="1"/>
  </cols>
  <sheetData>
    <row r="1" spans="2:21" x14ac:dyDescent="0.25">
      <c r="D1" s="250">
        <v>6.0871741676095334</v>
      </c>
      <c r="E1" s="194" t="s">
        <v>545</v>
      </c>
      <c r="L1">
        <v>1.01</v>
      </c>
      <c r="M1" t="s">
        <v>548</v>
      </c>
      <c r="N1">
        <f>+L1/1000</f>
        <v>1.01E-3</v>
      </c>
      <c r="O1" t="s">
        <v>549</v>
      </c>
      <c r="T1">
        <f>6.1178632*1000000000</f>
        <v>6117863200</v>
      </c>
      <c r="U1" t="s">
        <v>550</v>
      </c>
    </row>
    <row r="2" spans="2:21" x14ac:dyDescent="0.25">
      <c r="C2" s="194"/>
      <c r="T2">
        <f>+T1/(1000000000000000)</f>
        <v>6.1178631999999998E-6</v>
      </c>
      <c r="U2" t="s">
        <v>551</v>
      </c>
    </row>
    <row r="3" spans="2:21" x14ac:dyDescent="0.25">
      <c r="C3" s="247" t="s">
        <v>475</v>
      </c>
      <c r="E3" s="247" t="s">
        <v>542</v>
      </c>
      <c r="F3" s="194" t="s">
        <v>543</v>
      </c>
      <c r="G3" s="247" t="s">
        <v>478</v>
      </c>
      <c r="L3" s="251" t="s">
        <v>544</v>
      </c>
      <c r="M3" s="205" t="s">
        <v>547</v>
      </c>
      <c r="N3" t="s">
        <v>554</v>
      </c>
      <c r="P3" s="205" t="s">
        <v>552</v>
      </c>
      <c r="Q3" t="s">
        <v>552</v>
      </c>
      <c r="R3" t="s">
        <v>553</v>
      </c>
    </row>
    <row r="4" spans="2:21" x14ac:dyDescent="0.25">
      <c r="B4" t="s">
        <v>301</v>
      </c>
      <c r="C4" s="254">
        <v>28.68</v>
      </c>
      <c r="E4" s="255">
        <v>0</v>
      </c>
      <c r="F4" s="249">
        <f>+C4-E4</f>
        <v>28.68</v>
      </c>
      <c r="G4" s="183">
        <v>172.07</v>
      </c>
      <c r="I4">
        <f>+F4/G4</f>
        <v>0.16667635264717848</v>
      </c>
      <c r="L4" s="252">
        <f>+E4*1000*$D$1/1000</f>
        <v>0</v>
      </c>
      <c r="M4" s="248">
        <f>+G4*1000*$N$1</f>
        <v>173.79070000000002</v>
      </c>
      <c r="N4" s="253">
        <f>+IF(L4=0,0,M4/L4)</f>
        <v>0</v>
      </c>
      <c r="P4" s="248">
        <f>+M4+L4</f>
        <v>173.79070000000002</v>
      </c>
      <c r="Q4" s="229">
        <f>+C4*1000000*$T$2</f>
        <v>175.460316576</v>
      </c>
      <c r="R4" s="186">
        <f>+(P4-Q4)/P4</f>
        <v>-9.6070536340551096E-3</v>
      </c>
    </row>
    <row r="5" spans="2:21" x14ac:dyDescent="0.25">
      <c r="B5" t="s">
        <v>342</v>
      </c>
      <c r="C5" s="247">
        <v>89.87</v>
      </c>
      <c r="E5" s="255">
        <f>+C5</f>
        <v>89.87</v>
      </c>
      <c r="F5" s="249">
        <f t="shared" ref="F5:F37" si="0">+C5-E5</f>
        <v>0</v>
      </c>
      <c r="G5" s="183">
        <v>0</v>
      </c>
      <c r="I5" t="e">
        <f t="shared" ref="I5:I37" si="1">+F5/G5</f>
        <v>#DIV/0!</v>
      </c>
      <c r="L5" s="252">
        <f t="shared" ref="L5:L37" si="2">+E5*1000*$D$1/1000</f>
        <v>547.05434244306878</v>
      </c>
      <c r="M5" s="248">
        <f t="shared" ref="M5:M37" si="3">+G5*1000*$N$1</f>
        <v>0</v>
      </c>
      <c r="N5" s="253">
        <f t="shared" ref="N5:N37" si="4">+IF(L5=0,0,M5/L5)</f>
        <v>0</v>
      </c>
      <c r="P5" s="248">
        <f t="shared" ref="P5:P36" si="5">+M5+L5</f>
        <v>547.05434244306878</v>
      </c>
      <c r="Q5" s="229">
        <f t="shared" ref="Q5:Q37" si="6">+C5*1000000*$T$2</f>
        <v>549.81236578400001</v>
      </c>
      <c r="R5" s="186">
        <f t="shared" ref="R5:R37" si="7">+(P5-Q5)/P5</f>
        <v>-5.0415893393959401E-3</v>
      </c>
    </row>
    <row r="6" spans="2:21" x14ac:dyDescent="0.25">
      <c r="B6" t="s">
        <v>491</v>
      </c>
      <c r="C6" s="247">
        <v>1.37</v>
      </c>
      <c r="E6" s="256">
        <f>+C6*98.88%</f>
        <v>1.3546559999999999</v>
      </c>
      <c r="F6" s="249">
        <f t="shared" si="0"/>
        <v>1.5344000000000246E-2</v>
      </c>
      <c r="G6" s="183">
        <v>1.5344000000000003E-2</v>
      </c>
      <c r="I6">
        <f t="shared" si="1"/>
        <v>1.0000000000000158</v>
      </c>
      <c r="L6" s="252">
        <f t="shared" si="2"/>
        <v>8.2460270091972596</v>
      </c>
      <c r="M6" s="248">
        <f t="shared" si="3"/>
        <v>1.5497440000000003E-2</v>
      </c>
      <c r="N6" s="253">
        <f t="shared" si="4"/>
        <v>1.8793826387804495E-3</v>
      </c>
      <c r="P6" s="248">
        <f t="shared" si="5"/>
        <v>8.2615244491972604</v>
      </c>
      <c r="Q6" s="229">
        <f t="shared" si="6"/>
        <v>8.3814725839999991</v>
      </c>
      <c r="R6" s="186">
        <f t="shared" si="7"/>
        <v>-1.4518886379909409E-2</v>
      </c>
    </row>
    <row r="7" spans="2:21" x14ac:dyDescent="0.25">
      <c r="B7" t="s">
        <v>346</v>
      </c>
      <c r="C7" s="247">
        <v>2.5</v>
      </c>
      <c r="E7" s="255">
        <f>+C7*99.53%</f>
        <v>2.4882499999999999</v>
      </c>
      <c r="F7" s="249">
        <f t="shared" si="0"/>
        <v>1.1750000000000149E-2</v>
      </c>
      <c r="G7" s="183">
        <v>7.0000000000000007E-2</v>
      </c>
      <c r="I7">
        <f t="shared" si="1"/>
        <v>0.16785714285714498</v>
      </c>
      <c r="L7" s="252">
        <f t="shared" si="2"/>
        <v>15.146411122554422</v>
      </c>
      <c r="M7" s="248">
        <f t="shared" si="3"/>
        <v>7.0699999999999999E-2</v>
      </c>
      <c r="N7" s="253">
        <f t="shared" si="4"/>
        <v>4.6677724134082882E-3</v>
      </c>
      <c r="P7" s="248">
        <f t="shared" si="5"/>
        <v>15.217111122554423</v>
      </c>
      <c r="Q7" s="229">
        <f t="shared" si="6"/>
        <v>15.294658</v>
      </c>
      <c r="R7" s="186">
        <f t="shared" si="7"/>
        <v>-5.0960314885681139E-3</v>
      </c>
    </row>
    <row r="8" spans="2:21" x14ac:dyDescent="0.25">
      <c r="B8" t="s">
        <v>311</v>
      </c>
      <c r="C8" s="247">
        <v>14.92</v>
      </c>
      <c r="E8" s="255">
        <v>0</v>
      </c>
      <c r="F8" s="249">
        <f t="shared" si="0"/>
        <v>14.92</v>
      </c>
      <c r="G8" s="183">
        <v>89.54</v>
      </c>
      <c r="I8">
        <f t="shared" si="1"/>
        <v>0.16662943935671207</v>
      </c>
      <c r="L8" s="252">
        <f t="shared" si="2"/>
        <v>0</v>
      </c>
      <c r="M8" s="248">
        <f t="shared" si="3"/>
        <v>90.435400000000001</v>
      </c>
      <c r="N8" s="253">
        <f t="shared" si="4"/>
        <v>0</v>
      </c>
      <c r="P8" s="248">
        <f t="shared" si="5"/>
        <v>90.435400000000001</v>
      </c>
      <c r="Q8" s="229">
        <f t="shared" si="6"/>
        <v>91.278518943999998</v>
      </c>
      <c r="R8" s="186">
        <f t="shared" si="7"/>
        <v>-9.3228862149113828E-3</v>
      </c>
    </row>
    <row r="9" spans="2:21" x14ac:dyDescent="0.25">
      <c r="B9" t="s">
        <v>492</v>
      </c>
      <c r="C9" s="247">
        <v>153.29</v>
      </c>
      <c r="E9" s="255">
        <v>153.29</v>
      </c>
      <c r="F9" s="249">
        <f t="shared" si="0"/>
        <v>0</v>
      </c>
      <c r="G9" s="183">
        <v>0</v>
      </c>
      <c r="I9" t="e">
        <f t="shared" si="1"/>
        <v>#DIV/0!</v>
      </c>
      <c r="L9" s="252">
        <f t="shared" si="2"/>
        <v>933.10292815286539</v>
      </c>
      <c r="M9" s="248">
        <f t="shared" si="3"/>
        <v>0</v>
      </c>
      <c r="N9" s="253">
        <f t="shared" si="4"/>
        <v>0</v>
      </c>
      <c r="P9" s="248">
        <f t="shared" si="5"/>
        <v>933.10292815286539</v>
      </c>
      <c r="Q9" s="229">
        <f t="shared" si="6"/>
        <v>937.80724992799992</v>
      </c>
      <c r="R9" s="186">
        <f t="shared" si="7"/>
        <v>-5.041589339395843E-3</v>
      </c>
    </row>
    <row r="10" spans="2:21" x14ac:dyDescent="0.25">
      <c r="B10" t="s">
        <v>493</v>
      </c>
      <c r="C10" s="247">
        <v>0.88</v>
      </c>
      <c r="E10" s="255">
        <v>0.88</v>
      </c>
      <c r="F10" s="249">
        <f t="shared" si="0"/>
        <v>0</v>
      </c>
      <c r="G10" s="183">
        <v>0</v>
      </c>
      <c r="I10" t="e">
        <f t="shared" si="1"/>
        <v>#DIV/0!</v>
      </c>
      <c r="L10" s="252">
        <f t="shared" si="2"/>
        <v>5.3567132674963895</v>
      </c>
      <c r="M10" s="248">
        <f t="shared" si="3"/>
        <v>0</v>
      </c>
      <c r="N10" s="253">
        <f t="shared" si="4"/>
        <v>0</v>
      </c>
      <c r="P10" s="248">
        <f t="shared" si="5"/>
        <v>5.3567132674963895</v>
      </c>
      <c r="Q10" s="229">
        <f t="shared" si="6"/>
        <v>5.3837196159999996</v>
      </c>
      <c r="R10" s="186">
        <f t="shared" si="7"/>
        <v>-5.0415893393958404E-3</v>
      </c>
    </row>
    <row r="11" spans="2:21" x14ac:dyDescent="0.25">
      <c r="B11" t="s">
        <v>494</v>
      </c>
      <c r="C11" s="247">
        <v>543.79</v>
      </c>
      <c r="E11" s="255">
        <f>+C11</f>
        <v>543.79</v>
      </c>
      <c r="F11" s="249">
        <f t="shared" si="0"/>
        <v>0</v>
      </c>
      <c r="G11" s="183">
        <v>0</v>
      </c>
      <c r="I11" t="e">
        <f t="shared" si="1"/>
        <v>#DIV/0!</v>
      </c>
      <c r="L11" s="252">
        <f t="shared" si="2"/>
        <v>3310.1444406043884</v>
      </c>
      <c r="M11" s="248">
        <f t="shared" si="3"/>
        <v>0</v>
      </c>
      <c r="N11" s="253">
        <f t="shared" si="4"/>
        <v>0</v>
      </c>
      <c r="P11" s="248">
        <f t="shared" si="5"/>
        <v>3310.1444406043884</v>
      </c>
      <c r="Q11" s="229">
        <f t="shared" si="6"/>
        <v>3326.8328295279998</v>
      </c>
      <c r="R11" s="186">
        <f t="shared" si="7"/>
        <v>-5.0415893393958291E-3</v>
      </c>
    </row>
    <row r="12" spans="2:21" x14ac:dyDescent="0.25">
      <c r="B12" t="s">
        <v>29</v>
      </c>
      <c r="C12" s="247">
        <v>272.89999999999998</v>
      </c>
      <c r="E12" s="255">
        <v>272.29000000000002</v>
      </c>
      <c r="F12" s="249">
        <f t="shared" si="0"/>
        <v>0.6099999999999568</v>
      </c>
      <c r="G12" s="183">
        <v>0</v>
      </c>
      <c r="I12" t="e">
        <f t="shared" si="1"/>
        <v>#DIV/0!</v>
      </c>
      <c r="L12" s="252">
        <f t="shared" si="2"/>
        <v>1657.4766540983999</v>
      </c>
      <c r="M12" s="248">
        <f t="shared" si="3"/>
        <v>0</v>
      </c>
      <c r="N12" s="253">
        <f t="shared" si="4"/>
        <v>0</v>
      </c>
      <c r="P12" s="248">
        <f t="shared" si="5"/>
        <v>1657.4766540983999</v>
      </c>
      <c r="Q12" s="229">
        <f t="shared" si="6"/>
        <v>1669.56486728</v>
      </c>
      <c r="R12" s="186">
        <f t="shared" si="7"/>
        <v>-7.2931423508801486E-3</v>
      </c>
    </row>
    <row r="13" spans="2:21" x14ac:dyDescent="0.25">
      <c r="B13" t="s">
        <v>345</v>
      </c>
      <c r="C13" s="247">
        <v>16.52</v>
      </c>
      <c r="E13" s="255">
        <f>+C13*98.07%</f>
        <v>16.201163999999999</v>
      </c>
      <c r="F13" s="249">
        <f t="shared" si="0"/>
        <v>0.31883600000000101</v>
      </c>
      <c r="G13" s="183">
        <v>1.61</v>
      </c>
      <c r="I13">
        <f t="shared" si="1"/>
        <v>0.19803478260869625</v>
      </c>
      <c r="L13" s="252">
        <f t="shared" si="2"/>
        <v>98.619306986005526</v>
      </c>
      <c r="M13" s="248">
        <f t="shared" si="3"/>
        <v>1.6261000000000001</v>
      </c>
      <c r="N13" s="253">
        <f t="shared" si="4"/>
        <v>1.6488657745594888E-2</v>
      </c>
      <c r="P13" s="248">
        <f t="shared" si="5"/>
        <v>100.24540698600552</v>
      </c>
      <c r="Q13" s="229">
        <f t="shared" si="6"/>
        <v>101.067100064</v>
      </c>
      <c r="R13" s="186">
        <f t="shared" si="7"/>
        <v>-8.1968152227582056E-3</v>
      </c>
    </row>
    <row r="14" spans="2:21" x14ac:dyDescent="0.25">
      <c r="B14" t="s">
        <v>140</v>
      </c>
      <c r="C14" s="247">
        <v>21.91</v>
      </c>
      <c r="E14" s="255">
        <f>+C14</f>
        <v>21.91</v>
      </c>
      <c r="F14" s="249">
        <f t="shared" si="0"/>
        <v>0</v>
      </c>
      <c r="G14" s="183">
        <v>0</v>
      </c>
      <c r="I14" t="e">
        <f t="shared" si="1"/>
        <v>#DIV/0!</v>
      </c>
      <c r="L14" s="252">
        <f t="shared" si="2"/>
        <v>133.36998601232486</v>
      </c>
      <c r="M14" s="248">
        <f t="shared" si="3"/>
        <v>0</v>
      </c>
      <c r="N14" s="253">
        <f t="shared" si="4"/>
        <v>0</v>
      </c>
      <c r="P14" s="248">
        <f t="shared" si="5"/>
        <v>133.36998601232486</v>
      </c>
      <c r="Q14" s="229">
        <f t="shared" si="6"/>
        <v>134.04238271200001</v>
      </c>
      <c r="R14" s="186">
        <f t="shared" si="7"/>
        <v>-5.041589339396124E-3</v>
      </c>
    </row>
    <row r="15" spans="2:21" x14ac:dyDescent="0.25">
      <c r="B15" t="s">
        <v>495</v>
      </c>
      <c r="C15" s="247">
        <v>8.85</v>
      </c>
      <c r="E15" s="255">
        <f>+C15</f>
        <v>8.85</v>
      </c>
      <c r="F15" s="249">
        <f t="shared" si="0"/>
        <v>0</v>
      </c>
      <c r="G15" s="183">
        <v>0</v>
      </c>
      <c r="I15" t="e">
        <f t="shared" si="1"/>
        <v>#DIV/0!</v>
      </c>
      <c r="L15" s="252">
        <f t="shared" si="2"/>
        <v>53.87149138334437</v>
      </c>
      <c r="M15" s="248">
        <f t="shared" si="3"/>
        <v>0</v>
      </c>
      <c r="N15" s="253">
        <f t="shared" si="4"/>
        <v>0</v>
      </c>
      <c r="P15" s="248">
        <f t="shared" si="5"/>
        <v>53.87149138334437</v>
      </c>
      <c r="Q15" s="229">
        <f t="shared" si="6"/>
        <v>54.143089320000001</v>
      </c>
      <c r="R15" s="186">
        <f t="shared" si="7"/>
        <v>-5.0415893393959757E-3</v>
      </c>
    </row>
    <row r="16" spans="2:21" x14ac:dyDescent="0.25">
      <c r="B16" t="s">
        <v>61</v>
      </c>
      <c r="C16" s="247">
        <v>146.25</v>
      </c>
      <c r="E16" s="255">
        <v>146.25</v>
      </c>
      <c r="F16" s="249">
        <f t="shared" si="0"/>
        <v>0</v>
      </c>
      <c r="G16" s="183">
        <v>0</v>
      </c>
      <c r="I16" t="e">
        <f t="shared" si="1"/>
        <v>#DIV/0!</v>
      </c>
      <c r="L16" s="252">
        <f t="shared" si="2"/>
        <v>890.24922201289428</v>
      </c>
      <c r="M16" s="248">
        <f t="shared" si="3"/>
        <v>0</v>
      </c>
      <c r="N16" s="253">
        <f t="shared" si="4"/>
        <v>0</v>
      </c>
      <c r="P16" s="248">
        <f t="shared" si="5"/>
        <v>890.24922201289428</v>
      </c>
      <c r="Q16" s="229">
        <f t="shared" si="6"/>
        <v>894.73749299999997</v>
      </c>
      <c r="R16" s="186">
        <f t="shared" si="7"/>
        <v>-5.0415893393958907E-3</v>
      </c>
    </row>
    <row r="17" spans="2:18" x14ac:dyDescent="0.25">
      <c r="B17" t="s">
        <v>496</v>
      </c>
      <c r="C17" s="247">
        <v>89.99</v>
      </c>
      <c r="E17" s="255">
        <f>+C17</f>
        <v>89.99</v>
      </c>
      <c r="F17" s="249">
        <f t="shared" si="0"/>
        <v>0</v>
      </c>
      <c r="G17" s="183">
        <v>0</v>
      </c>
      <c r="I17" t="e">
        <f t="shared" si="1"/>
        <v>#DIV/0!</v>
      </c>
      <c r="L17" s="252">
        <f t="shared" si="2"/>
        <v>547.78480334318192</v>
      </c>
      <c r="M17" s="248">
        <f t="shared" si="3"/>
        <v>0</v>
      </c>
      <c r="N17" s="253">
        <f t="shared" si="4"/>
        <v>0</v>
      </c>
      <c r="P17" s="248">
        <f t="shared" si="5"/>
        <v>547.78480334318192</v>
      </c>
      <c r="Q17" s="229">
        <f t="shared" si="6"/>
        <v>550.54650936799999</v>
      </c>
      <c r="R17" s="186">
        <f t="shared" si="7"/>
        <v>-5.0415893393959046E-3</v>
      </c>
    </row>
    <row r="18" spans="2:18" x14ac:dyDescent="0.25">
      <c r="B18" t="s">
        <v>497</v>
      </c>
      <c r="C18" s="247">
        <v>86.96</v>
      </c>
      <c r="E18" s="255">
        <f>+C18*68.57%</f>
        <v>59.628471999999995</v>
      </c>
      <c r="F18" s="249">
        <f t="shared" si="0"/>
        <v>27.331527999999999</v>
      </c>
      <c r="G18" s="183">
        <v>357.74</v>
      </c>
      <c r="I18">
        <f t="shared" si="1"/>
        <v>7.6400536702633193E-2</v>
      </c>
      <c r="L18" s="252">
        <f t="shared" si="2"/>
        <v>362.96889441242831</v>
      </c>
      <c r="M18" s="248">
        <f t="shared" si="3"/>
        <v>361.31740000000002</v>
      </c>
      <c r="N18" s="253">
        <f t="shared" si="4"/>
        <v>0.995450038728245</v>
      </c>
      <c r="P18" s="248">
        <f t="shared" si="5"/>
        <v>724.28629441242833</v>
      </c>
      <c r="Q18" s="229">
        <f t="shared" si="6"/>
        <v>532.00938387199994</v>
      </c>
      <c r="R18" s="186">
        <f t="shared" si="7"/>
        <v>0.26547086700903483</v>
      </c>
    </row>
    <row r="19" spans="2:18" x14ac:dyDescent="0.25">
      <c r="B19" t="s">
        <v>498</v>
      </c>
      <c r="C19" s="247">
        <v>5.73</v>
      </c>
      <c r="E19" s="255">
        <f>+C19</f>
        <v>5.73</v>
      </c>
      <c r="F19" s="249">
        <f t="shared" si="0"/>
        <v>0</v>
      </c>
      <c r="G19" s="183">
        <v>0</v>
      </c>
      <c r="I19" t="e">
        <f t="shared" si="1"/>
        <v>#DIV/0!</v>
      </c>
      <c r="L19" s="252">
        <f t="shared" si="2"/>
        <v>34.879507980402622</v>
      </c>
      <c r="M19" s="248">
        <f t="shared" si="3"/>
        <v>0</v>
      </c>
      <c r="N19" s="253">
        <f t="shared" si="4"/>
        <v>0</v>
      </c>
      <c r="P19" s="248">
        <f t="shared" si="5"/>
        <v>34.879507980402622</v>
      </c>
      <c r="Q19" s="229">
        <f t="shared" si="6"/>
        <v>35.055356136</v>
      </c>
      <c r="R19" s="186">
        <f t="shared" si="7"/>
        <v>-5.0415893393960919E-3</v>
      </c>
    </row>
    <row r="20" spans="2:18" x14ac:dyDescent="0.25">
      <c r="B20" t="s">
        <v>499</v>
      </c>
      <c r="C20" s="247">
        <v>89.27</v>
      </c>
      <c r="E20" s="255">
        <f>+C20*5.84%</f>
        <v>5.213368</v>
      </c>
      <c r="F20" s="249">
        <f t="shared" si="0"/>
        <v>84.056631999999993</v>
      </c>
      <c r="G20" s="183">
        <v>504.38</v>
      </c>
      <c r="I20">
        <f t="shared" si="1"/>
        <v>0.16665338038780284</v>
      </c>
      <c r="L20" s="252">
        <f t="shared" si="2"/>
        <v>31.734679015842179</v>
      </c>
      <c r="M20" s="248">
        <f t="shared" si="3"/>
        <v>509.42380000000003</v>
      </c>
      <c r="N20" s="253">
        <f t="shared" si="4"/>
        <v>16.052590282879244</v>
      </c>
      <c r="P20" s="248">
        <f t="shared" si="5"/>
        <v>541.1584790158422</v>
      </c>
      <c r="Q20" s="229">
        <f t="shared" si="6"/>
        <v>546.14164786399999</v>
      </c>
      <c r="R20" s="186">
        <f t="shared" si="7"/>
        <v>-9.2083355271828024E-3</v>
      </c>
    </row>
    <row r="21" spans="2:18" x14ac:dyDescent="0.25">
      <c r="B21" t="s">
        <v>500</v>
      </c>
      <c r="C21" s="247">
        <v>10.25</v>
      </c>
      <c r="E21" s="255">
        <f>+C21*2%</f>
        <v>0.20500000000000002</v>
      </c>
      <c r="F21" s="249">
        <f t="shared" si="0"/>
        <v>10.045</v>
      </c>
      <c r="G21" s="183">
        <v>60.26</v>
      </c>
      <c r="I21">
        <f t="shared" si="1"/>
        <v>0.16669432459342848</v>
      </c>
      <c r="L21" s="252">
        <f t="shared" si="2"/>
        <v>1.2478707043599546</v>
      </c>
      <c r="M21" s="248">
        <f t="shared" si="3"/>
        <v>60.8626</v>
      </c>
      <c r="N21" s="253">
        <f t="shared" si="4"/>
        <v>48.773161984932592</v>
      </c>
      <c r="P21" s="248">
        <f t="shared" si="5"/>
        <v>62.110470704359955</v>
      </c>
      <c r="Q21" s="229">
        <f t="shared" si="6"/>
        <v>62.708097799999997</v>
      </c>
      <c r="R21" s="186">
        <f t="shared" si="7"/>
        <v>-9.6220023590658631E-3</v>
      </c>
    </row>
    <row r="22" spans="2:18" x14ac:dyDescent="0.25">
      <c r="B22" t="s">
        <v>501</v>
      </c>
      <c r="C22" s="247">
        <v>17.7</v>
      </c>
      <c r="E22" s="255">
        <f>+C22*8.23%</f>
        <v>1.4567099999999999</v>
      </c>
      <c r="F22" s="249">
        <f t="shared" si="0"/>
        <v>16.243289999999998</v>
      </c>
      <c r="G22" s="183">
        <v>97.48</v>
      </c>
      <c r="I22">
        <f t="shared" si="1"/>
        <v>0.16663202708247843</v>
      </c>
      <c r="L22" s="252">
        <f t="shared" si="2"/>
        <v>8.8672474816984828</v>
      </c>
      <c r="M22" s="248">
        <f t="shared" si="3"/>
        <v>98.454800000000006</v>
      </c>
      <c r="N22" s="253">
        <f t="shared" si="4"/>
        <v>11.103197492029558</v>
      </c>
      <c r="P22" s="248">
        <f t="shared" si="5"/>
        <v>107.32204748169849</v>
      </c>
      <c r="Q22" s="229">
        <f t="shared" si="6"/>
        <v>108.28617864</v>
      </c>
      <c r="R22" s="186">
        <f t="shared" si="7"/>
        <v>-8.9835330290910127E-3</v>
      </c>
    </row>
    <row r="23" spans="2:18" x14ac:dyDescent="0.25">
      <c r="B23" t="s">
        <v>502</v>
      </c>
      <c r="C23" s="247">
        <v>8.8000000000000007</v>
      </c>
      <c r="E23" s="255">
        <f>+C23*94.66%</f>
        <v>8.3300800000000006</v>
      </c>
      <c r="F23" s="249">
        <f t="shared" si="0"/>
        <v>0.46992000000000012</v>
      </c>
      <c r="G23" s="183">
        <v>2.82</v>
      </c>
      <c r="I23">
        <f t="shared" si="1"/>
        <v>0.16663829787234047</v>
      </c>
      <c r="L23" s="252">
        <f t="shared" si="2"/>
        <v>50.706647790120819</v>
      </c>
      <c r="M23" s="248">
        <f t="shared" si="3"/>
        <v>2.8482000000000003</v>
      </c>
      <c r="N23" s="253">
        <f t="shared" si="4"/>
        <v>5.6170149756082186E-2</v>
      </c>
      <c r="P23" s="248">
        <f t="shared" si="5"/>
        <v>53.554847790120817</v>
      </c>
      <c r="Q23" s="229">
        <f t="shared" si="6"/>
        <v>53.837196159999998</v>
      </c>
      <c r="R23" s="186">
        <f t="shared" si="7"/>
        <v>-5.2721346718357176E-3</v>
      </c>
    </row>
    <row r="24" spans="2:18" x14ac:dyDescent="0.25">
      <c r="B24" t="s">
        <v>503</v>
      </c>
      <c r="C24" s="247">
        <v>1.1399999999999999</v>
      </c>
      <c r="E24" s="255">
        <f>+C24*93.12%</f>
        <v>1.0615679999999998</v>
      </c>
      <c r="F24" s="249">
        <f t="shared" si="0"/>
        <v>7.8432000000000057E-2</v>
      </c>
      <c r="G24" s="183">
        <v>0.47</v>
      </c>
      <c r="I24">
        <f t="shared" si="1"/>
        <v>0.16687659574468097</v>
      </c>
      <c r="L24" s="252">
        <f t="shared" si="2"/>
        <v>6.4619493067609159</v>
      </c>
      <c r="M24" s="248">
        <f t="shared" si="3"/>
        <v>0.47470000000000001</v>
      </c>
      <c r="N24" s="253">
        <f t="shared" si="4"/>
        <v>7.3460805318193642E-2</v>
      </c>
      <c r="P24" s="248">
        <f t="shared" si="5"/>
        <v>6.9366493067609163</v>
      </c>
      <c r="Q24" s="229">
        <f t="shared" si="6"/>
        <v>6.974364048</v>
      </c>
      <c r="R24" s="186">
        <f t="shared" si="7"/>
        <v>-5.4370257989436507E-3</v>
      </c>
    </row>
    <row r="25" spans="2:18" x14ac:dyDescent="0.25">
      <c r="B25" t="s">
        <v>504</v>
      </c>
      <c r="C25" s="247">
        <v>1.31</v>
      </c>
      <c r="E25" s="255">
        <f>+C25*95.34%</f>
        <v>1.2489540000000001</v>
      </c>
      <c r="F25" s="249">
        <f t="shared" si="0"/>
        <v>6.1045999999999934E-2</v>
      </c>
      <c r="G25" s="183">
        <v>0.37</v>
      </c>
      <c r="I25">
        <f t="shared" si="1"/>
        <v>0.16498918918918901</v>
      </c>
      <c r="L25" s="252">
        <f t="shared" si="2"/>
        <v>7.6026005253325986</v>
      </c>
      <c r="M25" s="248">
        <f t="shared" si="3"/>
        <v>0.37370000000000003</v>
      </c>
      <c r="N25" s="253">
        <f t="shared" si="4"/>
        <v>4.9154233311982598E-2</v>
      </c>
      <c r="P25" s="248">
        <f t="shared" si="5"/>
        <v>7.9763005253325989</v>
      </c>
      <c r="Q25" s="229">
        <f t="shared" si="6"/>
        <v>8.014400792</v>
      </c>
      <c r="R25" s="186">
        <f t="shared" si="7"/>
        <v>-4.7766839459465263E-3</v>
      </c>
    </row>
    <row r="26" spans="2:18" x14ac:dyDescent="0.25">
      <c r="B26" t="s">
        <v>505</v>
      </c>
      <c r="C26" s="247">
        <v>4.72</v>
      </c>
      <c r="E26" s="255">
        <f>+C26*73.7%</f>
        <v>3.47864</v>
      </c>
      <c r="F26" s="249">
        <f t="shared" si="0"/>
        <v>1.2413599999999998</v>
      </c>
      <c r="G26" s="183">
        <v>7.45</v>
      </c>
      <c r="I26">
        <f t="shared" si="1"/>
        <v>0.16662550335570467</v>
      </c>
      <c r="L26" s="252">
        <f t="shared" si="2"/>
        <v>21.175087546413227</v>
      </c>
      <c r="M26" s="248">
        <f t="shared" si="3"/>
        <v>7.5245000000000006</v>
      </c>
      <c r="N26" s="253">
        <f t="shared" si="4"/>
        <v>0.35534681892139564</v>
      </c>
      <c r="P26" s="248">
        <f t="shared" si="5"/>
        <v>28.699587546413227</v>
      </c>
      <c r="Q26" s="229">
        <f t="shared" si="6"/>
        <v>28.876314303999997</v>
      </c>
      <c r="R26" s="186">
        <f t="shared" si="7"/>
        <v>-6.1578152404095183E-3</v>
      </c>
    </row>
    <row r="27" spans="2:18" x14ac:dyDescent="0.25">
      <c r="B27" t="s">
        <v>506</v>
      </c>
      <c r="C27" s="247">
        <v>11.27</v>
      </c>
      <c r="E27" s="255">
        <v>11.27</v>
      </c>
      <c r="F27" s="249">
        <f t="shared" si="0"/>
        <v>0</v>
      </c>
      <c r="G27" s="183">
        <v>0</v>
      </c>
      <c r="I27" t="e">
        <f t="shared" si="1"/>
        <v>#DIV/0!</v>
      </c>
      <c r="L27" s="252">
        <f t="shared" si="2"/>
        <v>68.602452868959446</v>
      </c>
      <c r="M27" s="248">
        <f t="shared" si="3"/>
        <v>0</v>
      </c>
      <c r="N27" s="253">
        <f t="shared" si="4"/>
        <v>0</v>
      </c>
      <c r="P27" s="248">
        <f t="shared" si="5"/>
        <v>68.602452868959446</v>
      </c>
      <c r="Q27" s="229">
        <f t="shared" si="6"/>
        <v>68.948318263999994</v>
      </c>
      <c r="R27" s="186">
        <f t="shared" si="7"/>
        <v>-5.0415893393957849E-3</v>
      </c>
    </row>
    <row r="28" spans="2:18" x14ac:dyDescent="0.25">
      <c r="B28" t="s">
        <v>318</v>
      </c>
      <c r="C28" s="247">
        <v>3.84</v>
      </c>
      <c r="E28" s="255"/>
      <c r="F28" s="249">
        <f t="shared" si="0"/>
        <v>3.84</v>
      </c>
      <c r="G28" s="183">
        <v>23.03</v>
      </c>
      <c r="I28">
        <f t="shared" si="1"/>
        <v>0.16673903603994789</v>
      </c>
      <c r="L28" s="252">
        <f t="shared" si="2"/>
        <v>0</v>
      </c>
      <c r="M28" s="248">
        <f t="shared" si="3"/>
        <v>23.260300000000001</v>
      </c>
      <c r="N28" s="253">
        <f t="shared" si="4"/>
        <v>0</v>
      </c>
      <c r="P28" s="248">
        <f t="shared" si="5"/>
        <v>23.260300000000001</v>
      </c>
      <c r="Q28" s="229">
        <f t="shared" si="6"/>
        <v>23.492594688000001</v>
      </c>
      <c r="R28" s="186">
        <f t="shared" si="7"/>
        <v>-9.9867451408623114E-3</v>
      </c>
    </row>
    <row r="29" spans="2:18" x14ac:dyDescent="0.25">
      <c r="B29" t="s">
        <v>508</v>
      </c>
      <c r="C29" s="247">
        <v>14.92</v>
      </c>
      <c r="E29" s="255">
        <f>+C29*99.74%</f>
        <v>14.881207999999999</v>
      </c>
      <c r="F29" s="249">
        <f t="shared" si="0"/>
        <v>3.8792000000000826E-2</v>
      </c>
      <c r="G29" s="183">
        <v>0.24</v>
      </c>
      <c r="I29">
        <f t="shared" si="1"/>
        <v>0.16163333333333679</v>
      </c>
      <c r="L29" s="252">
        <f t="shared" si="2"/>
        <v>90.584504920424322</v>
      </c>
      <c r="M29" s="248">
        <f t="shared" si="3"/>
        <v>0.2424</v>
      </c>
      <c r="N29" s="253">
        <f t="shared" si="4"/>
        <v>2.6759543501721503E-3</v>
      </c>
      <c r="P29" s="248">
        <f t="shared" si="5"/>
        <v>90.826904920424326</v>
      </c>
      <c r="Q29" s="229">
        <f t="shared" si="6"/>
        <v>91.278518943999998</v>
      </c>
      <c r="R29" s="186">
        <f t="shared" si="7"/>
        <v>-4.9722494008943973E-3</v>
      </c>
    </row>
    <row r="30" spans="2:18" x14ac:dyDescent="0.25">
      <c r="B30" t="s">
        <v>80</v>
      </c>
      <c r="C30" s="247">
        <v>43.42</v>
      </c>
      <c r="E30" s="255">
        <f>+C30*93.49%</f>
        <v>40.593358000000002</v>
      </c>
      <c r="F30" s="249">
        <f t="shared" si="0"/>
        <v>2.8266419999999997</v>
      </c>
      <c r="G30" s="183">
        <v>16.96</v>
      </c>
      <c r="I30">
        <f t="shared" si="1"/>
        <v>0.1666652122641509</v>
      </c>
      <c r="L30" s="252">
        <f t="shared" si="2"/>
        <v>247.09884019412581</v>
      </c>
      <c r="M30" s="248">
        <f t="shared" si="3"/>
        <v>17.1296</v>
      </c>
      <c r="N30" s="253">
        <f t="shared" si="4"/>
        <v>6.9322866859847024E-2</v>
      </c>
      <c r="P30" s="248">
        <f t="shared" si="5"/>
        <v>264.22844019412582</v>
      </c>
      <c r="Q30" s="229">
        <f t="shared" si="6"/>
        <v>265.63762014399998</v>
      </c>
      <c r="R30" s="186">
        <f t="shared" si="7"/>
        <v>-5.3331880127621707E-3</v>
      </c>
    </row>
    <row r="31" spans="2:18" x14ac:dyDescent="0.25">
      <c r="B31" t="s">
        <v>449</v>
      </c>
      <c r="C31" s="247">
        <v>7.3</v>
      </c>
      <c r="E31" s="255">
        <f>+C31*89.64%</f>
        <v>6.5437199999999995</v>
      </c>
      <c r="F31" s="249">
        <f t="shared" si="0"/>
        <v>0.75628000000000029</v>
      </c>
      <c r="G31" s="183">
        <v>4.54</v>
      </c>
      <c r="I31">
        <f t="shared" si="1"/>
        <v>0.1665814977973569</v>
      </c>
      <c r="L31" s="252">
        <f t="shared" si="2"/>
        <v>39.832763344069853</v>
      </c>
      <c r="M31" s="248">
        <f t="shared" si="3"/>
        <v>4.5853999999999999</v>
      </c>
      <c r="N31" s="253">
        <f t="shared" si="4"/>
        <v>0.11511629159121987</v>
      </c>
      <c r="P31" s="248">
        <f t="shared" si="5"/>
        <v>44.418163344069853</v>
      </c>
      <c r="Q31" s="229">
        <f t="shared" si="6"/>
        <v>44.660401360000002</v>
      </c>
      <c r="R31" s="186">
        <f t="shared" si="7"/>
        <v>-5.4535801954199619E-3</v>
      </c>
    </row>
    <row r="32" spans="2:18" x14ac:dyDescent="0.25">
      <c r="B32" t="s">
        <v>509</v>
      </c>
      <c r="C32" s="247">
        <v>0.57999999999999996</v>
      </c>
      <c r="E32" s="255">
        <f>+C32</f>
        <v>0.57999999999999996</v>
      </c>
      <c r="F32" s="249">
        <f t="shared" si="0"/>
        <v>0</v>
      </c>
      <c r="G32" s="183">
        <v>0</v>
      </c>
      <c r="I32" t="e">
        <f t="shared" si="1"/>
        <v>#DIV/0!</v>
      </c>
      <c r="L32" s="252">
        <f t="shared" si="2"/>
        <v>3.5305610172135293</v>
      </c>
      <c r="M32" s="248">
        <f t="shared" si="3"/>
        <v>0</v>
      </c>
      <c r="N32" s="253">
        <f t="shared" si="4"/>
        <v>0</v>
      </c>
      <c r="P32" s="248">
        <f t="shared" si="5"/>
        <v>3.5305610172135293</v>
      </c>
      <c r="Q32" s="229">
        <f t="shared" si="6"/>
        <v>3.5483606559999998</v>
      </c>
      <c r="R32" s="186">
        <f t="shared" si="7"/>
        <v>-5.0415893393959089E-3</v>
      </c>
    </row>
    <row r="33" spans="2:18" x14ac:dyDescent="0.25">
      <c r="B33" t="s">
        <v>510</v>
      </c>
      <c r="C33" s="247">
        <v>130.22</v>
      </c>
      <c r="E33" s="255">
        <f>+C33*63.65%</f>
        <v>82.88503</v>
      </c>
      <c r="F33" s="249">
        <f t="shared" si="0"/>
        <v>47.334969999999998</v>
      </c>
      <c r="G33" s="183">
        <v>284</v>
      </c>
      <c r="I33">
        <f t="shared" si="1"/>
        <v>0.16667242957746478</v>
      </c>
      <c r="L33" s="252">
        <f t="shared" si="2"/>
        <v>504.53561349754125</v>
      </c>
      <c r="M33" s="248">
        <f t="shared" si="3"/>
        <v>286.84000000000003</v>
      </c>
      <c r="N33" s="253">
        <f t="shared" si="4"/>
        <v>0.56852280062366278</v>
      </c>
      <c r="P33" s="248">
        <f t="shared" si="5"/>
        <v>791.37561349754128</v>
      </c>
      <c r="Q33" s="229">
        <f t="shared" si="6"/>
        <v>796.66814590399997</v>
      </c>
      <c r="R33" s="186">
        <f t="shared" si="7"/>
        <v>-6.6877628223442013E-3</v>
      </c>
    </row>
    <row r="34" spans="2:18" x14ac:dyDescent="0.25">
      <c r="B34" t="s">
        <v>344</v>
      </c>
      <c r="C34" s="247">
        <v>24.09</v>
      </c>
      <c r="E34" s="255">
        <f>+C34</f>
        <v>24.09</v>
      </c>
      <c r="F34" s="249">
        <f t="shared" si="0"/>
        <v>0</v>
      </c>
      <c r="G34" s="183">
        <v>0</v>
      </c>
      <c r="I34" t="e">
        <f t="shared" si="1"/>
        <v>#DIV/0!</v>
      </c>
      <c r="L34" s="252">
        <f t="shared" si="2"/>
        <v>146.64002569771367</v>
      </c>
      <c r="M34" s="248">
        <f t="shared" si="3"/>
        <v>0</v>
      </c>
      <c r="N34" s="253">
        <f t="shared" si="4"/>
        <v>0</v>
      </c>
      <c r="P34" s="248">
        <f t="shared" si="5"/>
        <v>146.64002569771367</v>
      </c>
      <c r="Q34" s="229">
        <f t="shared" si="6"/>
        <v>147.37932448800001</v>
      </c>
      <c r="R34" s="186">
        <f t="shared" si="7"/>
        <v>-5.0415893393959479E-3</v>
      </c>
    </row>
    <row r="35" spans="2:18" x14ac:dyDescent="0.25">
      <c r="B35" t="s">
        <v>511</v>
      </c>
      <c r="C35" s="247">
        <v>5.59</v>
      </c>
      <c r="E35" s="255">
        <f>+C35</f>
        <v>5.59</v>
      </c>
      <c r="F35" s="249">
        <f t="shared" si="0"/>
        <v>0</v>
      </c>
      <c r="G35" s="183">
        <v>0</v>
      </c>
      <c r="I35" t="e">
        <f t="shared" si="1"/>
        <v>#DIV/0!</v>
      </c>
      <c r="L35" s="252">
        <f t="shared" si="2"/>
        <v>34.027303596937294</v>
      </c>
      <c r="M35" s="248">
        <f t="shared" si="3"/>
        <v>0</v>
      </c>
      <c r="N35" s="253">
        <f t="shared" si="4"/>
        <v>0</v>
      </c>
      <c r="P35" s="248">
        <f t="shared" si="5"/>
        <v>34.027303596937294</v>
      </c>
      <c r="Q35" s="229">
        <f t="shared" si="6"/>
        <v>34.198855287999997</v>
      </c>
      <c r="R35" s="186">
        <f t="shared" si="7"/>
        <v>-5.0415893393957901E-3</v>
      </c>
    </row>
    <row r="36" spans="2:18" x14ac:dyDescent="0.25">
      <c r="B36" t="s">
        <v>345</v>
      </c>
      <c r="C36" s="247">
        <v>16.52</v>
      </c>
      <c r="E36" s="255">
        <f>+C36*98.07%</f>
        <v>16.201163999999999</v>
      </c>
      <c r="F36" s="249">
        <f t="shared" si="0"/>
        <v>0.31883600000000101</v>
      </c>
      <c r="G36" s="183">
        <v>1.91</v>
      </c>
      <c r="I36">
        <f t="shared" si="1"/>
        <v>0.16692984293193772</v>
      </c>
      <c r="L36" s="252">
        <f t="shared" si="2"/>
        <v>98.619306986005526</v>
      </c>
      <c r="M36" s="248">
        <f t="shared" si="3"/>
        <v>1.9291</v>
      </c>
      <c r="N36" s="253">
        <f t="shared" si="4"/>
        <v>1.9561078443531825E-2</v>
      </c>
      <c r="P36" s="248">
        <f t="shared" si="5"/>
        <v>100.54840698600553</v>
      </c>
      <c r="Q36" s="229">
        <f t="shared" si="6"/>
        <v>101.067100064</v>
      </c>
      <c r="R36" s="186">
        <f t="shared" si="7"/>
        <v>-5.158640435413986E-3</v>
      </c>
    </row>
    <row r="37" spans="2:18" x14ac:dyDescent="0.25">
      <c r="B37" t="s">
        <v>512</v>
      </c>
      <c r="C37" s="247">
        <v>90.73</v>
      </c>
      <c r="E37" s="255">
        <f>+C37*98.15%</f>
        <v>89.051495000000003</v>
      </c>
      <c r="F37" s="249">
        <f t="shared" si="0"/>
        <v>1.6785050000000012</v>
      </c>
      <c r="G37" s="183">
        <v>10.09</v>
      </c>
      <c r="I37">
        <f t="shared" si="1"/>
        <v>0.16635332011892975</v>
      </c>
      <c r="L37" s="252">
        <f t="shared" si="2"/>
        <v>542.0719599510096</v>
      </c>
      <c r="M37" s="248">
        <f t="shared" si="3"/>
        <v>10.190900000000001</v>
      </c>
      <c r="N37" s="253">
        <f t="shared" si="4"/>
        <v>1.879990250910786E-2</v>
      </c>
      <c r="P37" s="248">
        <f>+M37+L37</f>
        <v>552.26285995100966</v>
      </c>
      <c r="Q37" s="229">
        <f t="shared" si="6"/>
        <v>555.073728136</v>
      </c>
      <c r="R37" s="186">
        <f t="shared" si="7"/>
        <v>-5.0897288027655675E-3</v>
      </c>
    </row>
    <row r="38" spans="2:18" x14ac:dyDescent="0.25">
      <c r="C38" s="194"/>
    </row>
    <row r="39" spans="2:18" x14ac:dyDescent="0.25">
      <c r="C39" s="194"/>
      <c r="E39" s="194">
        <f>+C39*0.74%</f>
        <v>0</v>
      </c>
      <c r="G39">
        <v>23.75</v>
      </c>
    </row>
    <row r="40" spans="2:18" x14ac:dyDescent="0.25">
      <c r="E40" s="194">
        <f>+C40*70.26%</f>
        <v>0</v>
      </c>
      <c r="G40">
        <v>11.14</v>
      </c>
    </row>
    <row r="41" spans="2:18" x14ac:dyDescent="0.25">
      <c r="E41" s="194">
        <f>+C41*0.49%</f>
        <v>0</v>
      </c>
      <c r="G41">
        <v>112.29</v>
      </c>
    </row>
    <row r="42" spans="2:18" x14ac:dyDescent="0.25">
      <c r="E42" s="194">
        <f>+C42*92.53%</f>
        <v>0</v>
      </c>
      <c r="G42">
        <v>4.1900000000000004</v>
      </c>
    </row>
    <row r="47" spans="2:18" x14ac:dyDescent="0.25">
      <c r="D47" s="230">
        <f>+SUM(L4:L37)</f>
        <v>10501.610143273077</v>
      </c>
      <c r="E47" s="194" t="s">
        <v>546</v>
      </c>
    </row>
  </sheetData>
  <conditionalFormatting sqref="N4:N37">
    <cfRule type="cellIs" dxfId="0" priority="1" operator="equal">
      <formula>0</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D9CF0-41E5-42A6-A8D5-CF8C8AC8C48F}">
  <dimension ref="A1:B14"/>
  <sheetViews>
    <sheetView workbookViewId="0"/>
  </sheetViews>
  <sheetFormatPr baseColWidth="10" defaultRowHeight="15" x14ac:dyDescent="0.25"/>
  <cols>
    <col min="1" max="2" width="12" bestFit="1" customWidth="1"/>
  </cols>
  <sheetData>
    <row r="1" spans="1:2" x14ac:dyDescent="0.25">
      <c r="A1" t="s">
        <v>569</v>
      </c>
      <c r="B1" t="s">
        <v>570</v>
      </c>
    </row>
    <row r="2" spans="1:2" x14ac:dyDescent="0.25">
      <c r="A2">
        <v>2018.0231850117098</v>
      </c>
      <c r="B2">
        <v>8114.7540983606559</v>
      </c>
    </row>
    <row r="3" spans="1:2" x14ac:dyDescent="0.25">
      <c r="A3">
        <v>2018.9135831381734</v>
      </c>
      <c r="B3">
        <v>19754.098360655738</v>
      </c>
    </row>
    <row r="4" spans="1:2" x14ac:dyDescent="0.25">
      <c r="A4">
        <v>2020.027400468384</v>
      </c>
      <c r="B4">
        <v>9590.163934426233</v>
      </c>
    </row>
    <row r="5" spans="1:2" x14ac:dyDescent="0.25">
      <c r="A5">
        <v>2021.0482435597191</v>
      </c>
      <c r="B5">
        <v>16885.245901639348</v>
      </c>
    </row>
    <row r="6" spans="1:2" x14ac:dyDescent="0.25">
      <c r="A6">
        <v>2022.0573770491803</v>
      </c>
      <c r="B6">
        <v>20081.967213114756</v>
      </c>
    </row>
    <row r="7" spans="1:2" x14ac:dyDescent="0.25">
      <c r="A7">
        <v>2023.1257611241219</v>
      </c>
      <c r="B7">
        <v>19016.393442622953</v>
      </c>
    </row>
    <row r="8" spans="1:2" x14ac:dyDescent="0.25">
      <c r="A8">
        <v>2023.9777517564403</v>
      </c>
      <c r="B8">
        <v>17213.114754098362</v>
      </c>
    </row>
    <row r="9" spans="1:2" x14ac:dyDescent="0.25">
      <c r="A9">
        <v>2024.9744730679158</v>
      </c>
      <c r="B9">
        <v>16065.573770491805</v>
      </c>
    </row>
    <row r="10" spans="1:2" x14ac:dyDescent="0.25">
      <c r="A10">
        <v>2029.9601873536301</v>
      </c>
      <c r="B10">
        <v>11065.573770491806</v>
      </c>
    </row>
    <row r="11" spans="1:2" x14ac:dyDescent="0.25">
      <c r="A11">
        <v>2035.0222482435597</v>
      </c>
      <c r="B11">
        <v>7786.8852459016416</v>
      </c>
    </row>
    <row r="12" spans="1:2" x14ac:dyDescent="0.25">
      <c r="A12">
        <v>2039.9440281030445</v>
      </c>
      <c r="B12">
        <v>5409.8360655737706</v>
      </c>
    </row>
    <row r="13" spans="1:2" x14ac:dyDescent="0.25">
      <c r="A13">
        <v>2045.0110070257613</v>
      </c>
      <c r="B13">
        <v>3852.4590163934445</v>
      </c>
    </row>
    <row r="14" spans="1:2" x14ac:dyDescent="0.25">
      <c r="A14">
        <v>2047.9374707259954</v>
      </c>
      <c r="B14">
        <v>3114.7540983606559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4BD2A-EC50-4959-85F2-E5E23D1683AA}">
  <dimension ref="B3:B16"/>
  <sheetViews>
    <sheetView showGridLines="0" zoomScale="145" zoomScaleNormal="145" workbookViewId="0">
      <selection activeCell="F4" sqref="F4"/>
    </sheetView>
  </sheetViews>
  <sheetFormatPr baseColWidth="10" defaultRowHeight="15" x14ac:dyDescent="0.25"/>
  <sheetData>
    <row r="3" spans="2:2" x14ac:dyDescent="0.25">
      <c r="B3" t="s">
        <v>555</v>
      </c>
    </row>
    <row r="4" spans="2:2" x14ac:dyDescent="0.25">
      <c r="B4" t="s">
        <v>556</v>
      </c>
    </row>
    <row r="5" spans="2:2" x14ac:dyDescent="0.25">
      <c r="B5" t="s">
        <v>557</v>
      </c>
    </row>
    <row r="6" spans="2:2" x14ac:dyDescent="0.25">
      <c r="B6" t="s">
        <v>558</v>
      </c>
    </row>
    <row r="7" spans="2:2" x14ac:dyDescent="0.25">
      <c r="B7" t="s">
        <v>559</v>
      </c>
    </row>
    <row r="8" spans="2:2" x14ac:dyDescent="0.25">
      <c r="B8" t="s">
        <v>560</v>
      </c>
    </row>
    <row r="9" spans="2:2" x14ac:dyDescent="0.25">
      <c r="B9" t="s">
        <v>561</v>
      </c>
    </row>
    <row r="10" spans="2:2" x14ac:dyDescent="0.25">
      <c r="B10" t="s">
        <v>562</v>
      </c>
    </row>
    <row r="11" spans="2:2" x14ac:dyDescent="0.25">
      <c r="B11" t="s">
        <v>563</v>
      </c>
    </row>
    <row r="12" spans="2:2" x14ac:dyDescent="0.25">
      <c r="B12" t="s">
        <v>564</v>
      </c>
    </row>
    <row r="13" spans="2:2" x14ac:dyDescent="0.25">
      <c r="B13" t="s">
        <v>565</v>
      </c>
    </row>
    <row r="14" spans="2:2" x14ac:dyDescent="0.25">
      <c r="B14" t="s">
        <v>566</v>
      </c>
    </row>
    <row r="15" spans="2:2" x14ac:dyDescent="0.25">
      <c r="B15" t="s">
        <v>567</v>
      </c>
    </row>
    <row r="16" spans="2:2" x14ac:dyDescent="0.25">
      <c r="B16" t="s">
        <v>568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96D657-DB62-4DE6-B95C-0D6EA3A783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Gasfield</vt:lpstr>
      <vt:lpstr>Oilfields</vt:lpstr>
      <vt:lpstr>General Oil_Gas_fields</vt:lpstr>
      <vt:lpstr>BD</vt:lpstr>
      <vt:lpstr>Compracion (2)</vt:lpstr>
      <vt:lpstr>Compracion</vt:lpstr>
      <vt:lpstr>GlobalData</vt:lpstr>
      <vt:lpstr>Datos de Imagenes</vt:lpstr>
      <vt:lpstr>Akacias_</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2022-11-23T22:49:23Z</dcterms:modified>
</cp:coreProperties>
</file>