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DataBases\"/>
    </mc:Choice>
  </mc:AlternateContent>
  <xr:revisionPtr revIDLastSave="0" documentId="13_ncr:1_{0B4CF244-5FA9-43A0-B778-E8EAA6442479}" xr6:coauthVersionLast="47" xr6:coauthVersionMax="47" xr10:uidLastSave="{00000000-0000-0000-0000-000000000000}"/>
  <bookViews>
    <workbookView xWindow="-28920" yWindow="-120" windowWidth="29040" windowHeight="15840" firstSheet="1" activeTab="7" xr2:uid="{00000000-000D-0000-FFFF-FFFF00000000}"/>
  </bookViews>
  <sheets>
    <sheet name="Gasfield" sheetId="3" r:id="rId1"/>
    <sheet name="Oilfields" sheetId="2" r:id="rId2"/>
    <sheet name="General Oil_Gas_fields" sheetId="4" r:id="rId3"/>
    <sheet name="BDcopia" sheetId="12" r:id="rId4"/>
    <sheet name="BD" sheetId="5" r:id="rId5"/>
    <sheet name="Compracion (2)" sheetId="8" r:id="rId6"/>
    <sheet name="Compracion" sheetId="7" r:id="rId7"/>
    <sheet name="GlobalData (copia bb" sheetId="13" r:id="rId8"/>
    <sheet name="GlobalData" sheetId="6" r:id="rId9"/>
    <sheet name="Datos de Imagenes" sheetId="9" r:id="rId10"/>
    <sheet name="Akacias_" sheetId="11" r:id="rId11"/>
    <sheet name="Hoja1" sheetId="10" r:id="rId12"/>
  </sheets>
  <definedNames>
    <definedName name="_xlnm._FilterDatabase" localSheetId="4" hidden="1">BD!$C$9:$W$9</definedName>
    <definedName name="_xlnm._FilterDatabase" localSheetId="3" hidden="1">BDcopia!$C$12:$W$12</definedName>
    <definedName name="_xlnm._FilterDatabase" localSheetId="0" hidden="1">Gasfield!$B$4:$R$4</definedName>
    <definedName name="_xlnm._FilterDatabase" localSheetId="7" hidden="1">'GlobalData (copia bb'!$C$4:$Y$4</definedName>
    <definedName name="_xlnm._FilterDatabase" localSheetId="1" hidden="1">Oilfields!$B$4:$Q$4</definedName>
    <definedName name="_xlchart.v6.0" hidden="1">'General Oil_Gas_fields'!$K$53</definedName>
    <definedName name="_xlchart.v6.1" hidden="1">'General Oil_Gas_fields'!$K$54:$K$61</definedName>
    <definedName name="_xlchart.v6.10" hidden="1">'General Oil_Gas_fields'!$L$53</definedName>
    <definedName name="_xlchart.v6.11" hidden="1">'General Oil_Gas_fields'!$L$54:$L$61</definedName>
    <definedName name="_xlchart.v6.12" hidden="1">'General Oil_Gas_fields'!$K$53</definedName>
    <definedName name="_xlchart.v6.13" hidden="1">'General Oil_Gas_fields'!$K$54:$K$61</definedName>
    <definedName name="_xlchart.v6.14" hidden="1">'General Oil_Gas_fields'!$L$53</definedName>
    <definedName name="_xlchart.v6.15" hidden="1">'General Oil_Gas_fields'!$L$54:$L$61</definedName>
    <definedName name="_xlchart.v6.2" hidden="1">'General Oil_Gas_fields'!$N$53</definedName>
    <definedName name="_xlchart.v6.3" hidden="1">'General Oil_Gas_fields'!$N$54:$N$61</definedName>
    <definedName name="_xlchart.v6.4" hidden="1">'General Oil_Gas_fields'!$K$53</definedName>
    <definedName name="_xlchart.v6.5" hidden="1">'General Oil_Gas_fields'!$K$54:$K$61</definedName>
    <definedName name="_xlchart.v6.6" hidden="1">'General Oil_Gas_fields'!$N$53</definedName>
    <definedName name="_xlchart.v6.7" hidden="1">'General Oil_Gas_fields'!$N$54:$N$61</definedName>
    <definedName name="_xlchart.v6.8" hidden="1">'General Oil_Gas_fields'!$K$53</definedName>
    <definedName name="_xlchart.v6.9" hidden="1">'General Oil_Gas_fields'!$K$54:$K$61</definedName>
    <definedName name="DatosExternos_1" localSheetId="10" hidden="1">Akacias_!$A$1:$B$14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8" i="13" l="1"/>
  <c r="E46" i="13"/>
  <c r="M44" i="13"/>
  <c r="M45" i="13" s="1"/>
  <c r="M46" i="13" s="1"/>
  <c r="I42" i="13"/>
  <c r="G42" i="13"/>
  <c r="H42" i="13" s="1"/>
  <c r="J42" i="13" s="1"/>
  <c r="G41" i="13"/>
  <c r="H41" i="13" s="1"/>
  <c r="J41" i="13" s="1"/>
  <c r="I40" i="13"/>
  <c r="G40" i="13"/>
  <c r="H40" i="13" s="1"/>
  <c r="J40" i="13" s="1"/>
  <c r="G39" i="13"/>
  <c r="H39" i="13" s="1"/>
  <c r="J39" i="13" s="1"/>
  <c r="H38" i="13"/>
  <c r="G37" i="13"/>
  <c r="I37" i="13" s="1"/>
  <c r="U36" i="13"/>
  <c r="T36" i="13"/>
  <c r="X36" i="13" s="1"/>
  <c r="Y36" i="13" s="1"/>
  <c r="I36" i="13"/>
  <c r="G36" i="13"/>
  <c r="H36" i="13" s="1"/>
  <c r="J36" i="13" s="1"/>
  <c r="U35" i="13"/>
  <c r="T35" i="13"/>
  <c r="G35" i="13"/>
  <c r="I35" i="13" s="1"/>
  <c r="U34" i="13"/>
  <c r="T34" i="13"/>
  <c r="G34" i="13"/>
  <c r="I34" i="13" s="1"/>
  <c r="U31" i="13"/>
  <c r="T31" i="13"/>
  <c r="G31" i="13"/>
  <c r="I31" i="13" s="1"/>
  <c r="U32" i="13"/>
  <c r="T32" i="13"/>
  <c r="I32" i="13"/>
  <c r="H32" i="13"/>
  <c r="J32" i="13" s="1"/>
  <c r="G32" i="13"/>
  <c r="U30" i="13"/>
  <c r="T30" i="13"/>
  <c r="G30" i="13"/>
  <c r="I30" i="13" s="1"/>
  <c r="U29" i="13"/>
  <c r="T29" i="13"/>
  <c r="I29" i="13"/>
  <c r="H29" i="13"/>
  <c r="J29" i="13" s="1"/>
  <c r="G29" i="13"/>
  <c r="U28" i="13"/>
  <c r="T28" i="13"/>
  <c r="G28" i="13"/>
  <c r="I28" i="13" s="1"/>
  <c r="U27" i="13"/>
  <c r="T27" i="13"/>
  <c r="X27" i="13" s="1"/>
  <c r="Y27" i="13" s="1"/>
  <c r="I27" i="13"/>
  <c r="H27" i="13"/>
  <c r="J27" i="13" s="1"/>
  <c r="U26" i="13"/>
  <c r="T26" i="13"/>
  <c r="J26" i="13"/>
  <c r="I26" i="13"/>
  <c r="H26" i="13"/>
  <c r="U25" i="13"/>
  <c r="T25" i="13"/>
  <c r="V25" i="13" s="1"/>
  <c r="W25" i="13" s="1"/>
  <c r="G25" i="13"/>
  <c r="I25" i="13" s="1"/>
  <c r="U23" i="13"/>
  <c r="T23" i="13"/>
  <c r="G23" i="13"/>
  <c r="H23" i="13" s="1"/>
  <c r="J23" i="13" s="1"/>
  <c r="U22" i="13"/>
  <c r="T22" i="13"/>
  <c r="G22" i="13"/>
  <c r="I22" i="13" s="1"/>
  <c r="U24" i="13"/>
  <c r="T24" i="13"/>
  <c r="G24" i="13"/>
  <c r="I24" i="13" s="1"/>
  <c r="U20" i="13"/>
  <c r="T20" i="13"/>
  <c r="G20" i="13"/>
  <c r="U21" i="13"/>
  <c r="T21" i="13"/>
  <c r="G21" i="13"/>
  <c r="I21" i="13" s="1"/>
  <c r="U19" i="13"/>
  <c r="T19" i="13"/>
  <c r="V19" i="13" s="1"/>
  <c r="W19" i="13" s="1"/>
  <c r="G19" i="13"/>
  <c r="U18" i="13"/>
  <c r="V18" i="13" s="1"/>
  <c r="W18" i="13" s="1"/>
  <c r="T18" i="13"/>
  <c r="G18" i="13"/>
  <c r="H18" i="13" s="1"/>
  <c r="J18" i="13" s="1"/>
  <c r="U17" i="13"/>
  <c r="X17" i="13" s="1"/>
  <c r="Y17" i="13" s="1"/>
  <c r="T17" i="13"/>
  <c r="G17" i="13"/>
  <c r="U15" i="13"/>
  <c r="T15" i="13"/>
  <c r="G15" i="13"/>
  <c r="I15" i="13" s="1"/>
  <c r="U14" i="13"/>
  <c r="T14" i="13"/>
  <c r="I14" i="13"/>
  <c r="H14" i="13"/>
  <c r="J14" i="13" s="1"/>
  <c r="U10" i="13"/>
  <c r="T10" i="13"/>
  <c r="G10" i="13"/>
  <c r="I10" i="13" s="1"/>
  <c r="U9" i="13"/>
  <c r="T9" i="13"/>
  <c r="I9" i="13"/>
  <c r="G9" i="13"/>
  <c r="H9" i="13" s="1"/>
  <c r="J9" i="13" s="1"/>
  <c r="U33" i="13"/>
  <c r="T33" i="13"/>
  <c r="I33" i="13"/>
  <c r="H33" i="13"/>
  <c r="J33" i="13" s="1"/>
  <c r="U13" i="13"/>
  <c r="T13" i="13"/>
  <c r="G13" i="13"/>
  <c r="U12" i="13"/>
  <c r="T12" i="13"/>
  <c r="I12" i="13"/>
  <c r="H12" i="13"/>
  <c r="J12" i="13" s="1"/>
  <c r="U11" i="13"/>
  <c r="V11" i="13" s="1"/>
  <c r="W11" i="13" s="1"/>
  <c r="T11" i="13"/>
  <c r="I11" i="13"/>
  <c r="H11" i="13"/>
  <c r="J11" i="13" s="1"/>
  <c r="U8" i="13"/>
  <c r="T8" i="13"/>
  <c r="I8" i="13"/>
  <c r="H8" i="13"/>
  <c r="J8" i="13" s="1"/>
  <c r="U6" i="13"/>
  <c r="T6" i="13"/>
  <c r="G6" i="13"/>
  <c r="I6" i="13" s="1"/>
  <c r="U7" i="13"/>
  <c r="T7" i="13"/>
  <c r="G7" i="13"/>
  <c r="I7" i="13" s="1"/>
  <c r="F7" i="13"/>
  <c r="E49" i="13" s="1"/>
  <c r="U5" i="13"/>
  <c r="T5" i="13"/>
  <c r="G5" i="13"/>
  <c r="I5" i="13" s="1"/>
  <c r="V16" i="13"/>
  <c r="W16" i="13" s="1"/>
  <c r="U16" i="13"/>
  <c r="T16" i="13"/>
  <c r="I16" i="13"/>
  <c r="H16" i="13"/>
  <c r="J16" i="13" s="1"/>
  <c r="G1" i="13"/>
  <c r="J30" i="12"/>
  <c r="K13" i="12"/>
  <c r="K14" i="12"/>
  <c r="K31" i="12"/>
  <c r="K15" i="12"/>
  <c r="K16" i="12"/>
  <c r="K17" i="12"/>
  <c r="K18" i="12"/>
  <c r="K19" i="12"/>
  <c r="K20" i="12"/>
  <c r="K21" i="12"/>
  <c r="K22" i="12"/>
  <c r="K23" i="12"/>
  <c r="K24" i="12"/>
  <c r="K25" i="12"/>
  <c r="K26" i="12"/>
  <c r="K27" i="12"/>
  <c r="K28" i="12"/>
  <c r="K29" i="12"/>
  <c r="K30" i="12"/>
  <c r="K32" i="12"/>
  <c r="M13" i="12"/>
  <c r="M14" i="12"/>
  <c r="M31" i="12"/>
  <c r="M15" i="12"/>
  <c r="M16" i="12"/>
  <c r="M17" i="12"/>
  <c r="M18" i="12"/>
  <c r="M19" i="12"/>
  <c r="M20" i="12"/>
  <c r="M21" i="12"/>
  <c r="M22" i="12"/>
  <c r="M23" i="12"/>
  <c r="M24" i="12"/>
  <c r="M25" i="12"/>
  <c r="M26" i="12"/>
  <c r="M27" i="12"/>
  <c r="M28" i="12"/>
  <c r="M29" i="12"/>
  <c r="M30" i="12"/>
  <c r="M32" i="12"/>
  <c r="L13" i="12"/>
  <c r="L14" i="12"/>
  <c r="L31" i="12"/>
  <c r="L15" i="12"/>
  <c r="L16" i="12"/>
  <c r="L17" i="12"/>
  <c r="L18" i="12"/>
  <c r="L19" i="12"/>
  <c r="L20" i="12"/>
  <c r="L21" i="12"/>
  <c r="L22" i="12"/>
  <c r="L23" i="12"/>
  <c r="L24" i="12"/>
  <c r="L25" i="12"/>
  <c r="L26" i="12"/>
  <c r="L27" i="12"/>
  <c r="L28" i="12"/>
  <c r="L29" i="12"/>
  <c r="L30" i="12"/>
  <c r="L32" i="12"/>
  <c r="V7" i="13" l="1"/>
  <c r="W7" i="13" s="1"/>
  <c r="I18" i="13"/>
  <c r="X16" i="13"/>
  <c r="Y16" i="13" s="1"/>
  <c r="H7" i="13"/>
  <c r="J7" i="13" s="1"/>
  <c r="V13" i="13"/>
  <c r="W13" i="13" s="1"/>
  <c r="H15" i="13"/>
  <c r="J15" i="13" s="1"/>
  <c r="H24" i="13"/>
  <c r="J24" i="13" s="1"/>
  <c r="X32" i="13"/>
  <c r="Y32" i="13" s="1"/>
  <c r="V31" i="13"/>
  <c r="W31" i="13" s="1"/>
  <c r="X34" i="13"/>
  <c r="Y34" i="13" s="1"/>
  <c r="V36" i="13"/>
  <c r="W36" i="13" s="1"/>
  <c r="I39" i="13"/>
  <c r="I41" i="13"/>
  <c r="V21" i="13"/>
  <c r="W21" i="13" s="1"/>
  <c r="I23" i="13"/>
  <c r="V6" i="13"/>
  <c r="W6" i="13" s="1"/>
  <c r="V8" i="13"/>
  <c r="W8" i="13" s="1"/>
  <c r="V10" i="13"/>
  <c r="W10" i="13" s="1"/>
  <c r="X24" i="13"/>
  <c r="Y24" i="13" s="1"/>
  <c r="V23" i="13"/>
  <c r="W23" i="13" s="1"/>
  <c r="X7" i="13"/>
  <c r="Y7" i="13" s="1"/>
  <c r="X13" i="13"/>
  <c r="Y13" i="13" s="1"/>
  <c r="X33" i="13"/>
  <c r="Y33" i="13" s="1"/>
  <c r="X9" i="13"/>
  <c r="Y9" i="13" s="1"/>
  <c r="H10" i="13"/>
  <c r="J10" i="13" s="1"/>
  <c r="V15" i="13"/>
  <c r="W15" i="13" s="1"/>
  <c r="X18" i="13"/>
  <c r="Y18" i="13" s="1"/>
  <c r="H21" i="13"/>
  <c r="J21" i="13" s="1"/>
  <c r="V24" i="13"/>
  <c r="W24" i="13" s="1"/>
  <c r="X23" i="13"/>
  <c r="Y23" i="13" s="1"/>
  <c r="X26" i="13"/>
  <c r="Y26" i="13" s="1"/>
  <c r="V28" i="13"/>
  <c r="W28" i="13" s="1"/>
  <c r="V30" i="13"/>
  <c r="W30" i="13" s="1"/>
  <c r="V34" i="13"/>
  <c r="W34" i="13" s="1"/>
  <c r="H34" i="13"/>
  <c r="J34" i="13" s="1"/>
  <c r="X6" i="13"/>
  <c r="Y6" i="13" s="1"/>
  <c r="X5" i="13"/>
  <c r="Y5" i="13" s="1"/>
  <c r="X11" i="13"/>
  <c r="Y11" i="13" s="1"/>
  <c r="X12" i="13"/>
  <c r="Y12" i="13" s="1"/>
  <c r="V33" i="13"/>
  <c r="W33" i="13" s="1"/>
  <c r="V9" i="13"/>
  <c r="W9" i="13" s="1"/>
  <c r="V14" i="13"/>
  <c r="W14" i="13" s="1"/>
  <c r="V17" i="13"/>
  <c r="W17" i="13" s="1"/>
  <c r="X19" i="13"/>
  <c r="Y19" i="13" s="1"/>
  <c r="X21" i="13"/>
  <c r="Y21" i="13" s="1"/>
  <c r="V22" i="13"/>
  <c r="W22" i="13" s="1"/>
  <c r="V26" i="13"/>
  <c r="W26" i="13" s="1"/>
  <c r="V27" i="13"/>
  <c r="W27" i="13" s="1"/>
  <c r="V29" i="13"/>
  <c r="W29" i="13" s="1"/>
  <c r="V32" i="13"/>
  <c r="W32" i="13" s="1"/>
  <c r="V35" i="13"/>
  <c r="W35" i="13" s="1"/>
  <c r="E53" i="13"/>
  <c r="E50" i="13"/>
  <c r="E51" i="13" s="1"/>
  <c r="I19" i="13"/>
  <c r="H19" i="13"/>
  <c r="J19" i="13" s="1"/>
  <c r="H5" i="13"/>
  <c r="J5" i="13" s="1"/>
  <c r="V5" i="13"/>
  <c r="W5" i="13" s="1"/>
  <c r="X8" i="13"/>
  <c r="Y8" i="13" s="1"/>
  <c r="I13" i="13"/>
  <c r="H13" i="13"/>
  <c r="J13" i="13" s="1"/>
  <c r="I20" i="13"/>
  <c r="H20" i="13"/>
  <c r="J20" i="13" s="1"/>
  <c r="V12" i="13"/>
  <c r="W12" i="13" s="1"/>
  <c r="N48" i="13"/>
  <c r="M48" i="13"/>
  <c r="H6" i="13"/>
  <c r="J6" i="13" s="1"/>
  <c r="X10" i="13"/>
  <c r="Y10" i="13" s="1"/>
  <c r="X14" i="13"/>
  <c r="Y14" i="13" s="1"/>
  <c r="X15" i="13"/>
  <c r="Y15" i="13" s="1"/>
  <c r="I17" i="13"/>
  <c r="H17" i="13"/>
  <c r="J17" i="13" s="1"/>
  <c r="V20" i="13"/>
  <c r="W20" i="13" s="1"/>
  <c r="X20" i="13"/>
  <c r="Y20" i="13" s="1"/>
  <c r="X29" i="13"/>
  <c r="Y29" i="13" s="1"/>
  <c r="X22" i="13"/>
  <c r="Y22" i="13" s="1"/>
  <c r="X25" i="13"/>
  <c r="Y25" i="13" s="1"/>
  <c r="X28" i="13"/>
  <c r="Y28" i="13" s="1"/>
  <c r="X30" i="13"/>
  <c r="Y30" i="13" s="1"/>
  <c r="X31" i="13"/>
  <c r="Y31" i="13" s="1"/>
  <c r="X35" i="13"/>
  <c r="Y35" i="13" s="1"/>
  <c r="H22" i="13"/>
  <c r="J22" i="13" s="1"/>
  <c r="H25" i="13"/>
  <c r="J25" i="13" s="1"/>
  <c r="H28" i="13"/>
  <c r="J28" i="13" s="1"/>
  <c r="H30" i="13"/>
  <c r="J30" i="13" s="1"/>
  <c r="H31" i="13"/>
  <c r="J31" i="13" s="1"/>
  <c r="H35" i="13"/>
  <c r="J35" i="13" s="1"/>
  <c r="H37" i="13"/>
  <c r="J37" i="13" s="1"/>
  <c r="E47" i="13"/>
  <c r="L71" i="12"/>
  <c r="N71" i="12" s="1"/>
  <c r="O71" i="12" s="1"/>
  <c r="L70" i="12"/>
  <c r="N70" i="12" s="1"/>
  <c r="O70" i="12" s="1"/>
  <c r="L69" i="12"/>
  <c r="N69" i="12" s="1"/>
  <c r="O69" i="12" s="1"/>
  <c r="L68" i="12"/>
  <c r="N68" i="12" s="1"/>
  <c r="O68" i="12" s="1"/>
  <c r="L67" i="12"/>
  <c r="N67" i="12" s="1"/>
  <c r="O67" i="12" s="1"/>
  <c r="L66" i="12"/>
  <c r="N66" i="12" s="1"/>
  <c r="O66" i="12" s="1"/>
  <c r="L65" i="12"/>
  <c r="N65" i="12" s="1"/>
  <c r="O65" i="12" s="1"/>
  <c r="L64" i="12"/>
  <c r="N64" i="12" s="1"/>
  <c r="O64" i="12" s="1"/>
  <c r="L63" i="12"/>
  <c r="N63" i="12" s="1"/>
  <c r="O63" i="12" s="1"/>
  <c r="L62" i="12"/>
  <c r="N62" i="12" s="1"/>
  <c r="O62" i="12" s="1"/>
  <c r="L61" i="12"/>
  <c r="N61" i="12" s="1"/>
  <c r="O61" i="12" s="1"/>
  <c r="L60" i="12"/>
  <c r="N60" i="12" s="1"/>
  <c r="O60" i="12" s="1"/>
  <c r="L59" i="12"/>
  <c r="W30" i="12"/>
  <c r="W29" i="12"/>
  <c r="J29" i="12"/>
  <c r="W14" i="12"/>
  <c r="J14" i="12"/>
  <c r="W28" i="12"/>
  <c r="J28" i="12"/>
  <c r="W21" i="12"/>
  <c r="J21" i="12"/>
  <c r="W20" i="12"/>
  <c r="J20" i="12"/>
  <c r="W19" i="12"/>
  <c r="J19" i="12"/>
  <c r="W27" i="12"/>
  <c r="J27" i="12"/>
  <c r="W23" i="12"/>
  <c r="J23" i="12"/>
  <c r="W22" i="12"/>
  <c r="J22" i="12"/>
  <c r="W18" i="12"/>
  <c r="H18" i="12"/>
  <c r="J18" i="12" s="1"/>
  <c r="W17" i="12"/>
  <c r="J17" i="12"/>
  <c r="W16" i="12"/>
  <c r="J16" i="12"/>
  <c r="W15" i="12"/>
  <c r="J15" i="12"/>
  <c r="W13" i="12"/>
  <c r="J13" i="12"/>
  <c r="W31" i="12"/>
  <c r="J31" i="12"/>
  <c r="W32" i="12"/>
  <c r="H32" i="12"/>
  <c r="J32" i="12" s="1"/>
  <c r="W26" i="12"/>
  <c r="H26" i="12"/>
  <c r="J26" i="12" s="1"/>
  <c r="W25" i="12"/>
  <c r="J25" i="12"/>
  <c r="W24" i="12"/>
  <c r="H24" i="12"/>
  <c r="J24" i="12" s="1"/>
  <c r="N12" i="9"/>
  <c r="N28" i="9"/>
  <c r="T1" i="9"/>
  <c r="T2" i="9" s="1"/>
  <c r="L8" i="9"/>
  <c r="N8" i="9" s="1"/>
  <c r="L9" i="9"/>
  <c r="N9" i="9" s="1"/>
  <c r="L10" i="9"/>
  <c r="N10" i="9" s="1"/>
  <c r="L12" i="9"/>
  <c r="L16" i="9"/>
  <c r="N16" i="9" s="1"/>
  <c r="L27" i="9"/>
  <c r="N27" i="9" s="1"/>
  <c r="L28" i="9"/>
  <c r="L4" i="9"/>
  <c r="N4" i="9" s="1"/>
  <c r="M5" i="9"/>
  <c r="M9" i="9"/>
  <c r="P9" i="9" s="1"/>
  <c r="M13" i="9"/>
  <c r="M17" i="9"/>
  <c r="M20" i="9"/>
  <c r="M21" i="9"/>
  <c r="M24" i="9"/>
  <c r="M25" i="9"/>
  <c r="M28" i="9"/>
  <c r="P28" i="9" s="1"/>
  <c r="M29" i="9"/>
  <c r="M32" i="9"/>
  <c r="M33" i="9"/>
  <c r="M36" i="9"/>
  <c r="M37" i="9"/>
  <c r="N1" i="9"/>
  <c r="M4" i="9" s="1"/>
  <c r="P4" i="9" s="1"/>
  <c r="G47" i="13" l="1"/>
  <c r="E48" i="13"/>
  <c r="G48" i="13" s="1"/>
  <c r="E59" i="13"/>
  <c r="E54" i="13"/>
  <c r="E55" i="13" s="1"/>
  <c r="L72" i="12"/>
  <c r="N59" i="12"/>
  <c r="O59" i="12" s="1"/>
  <c r="Q6" i="9"/>
  <c r="Q10" i="9"/>
  <c r="Q14" i="9"/>
  <c r="Q18" i="9"/>
  <c r="Q22" i="9"/>
  <c r="Q26" i="9"/>
  <c r="Q30" i="9"/>
  <c r="Q34" i="9"/>
  <c r="Q4" i="9"/>
  <c r="R4" i="9" s="1"/>
  <c r="Q9" i="9"/>
  <c r="R9" i="9" s="1"/>
  <c r="Q21" i="9"/>
  <c r="Q33" i="9"/>
  <c r="Q7" i="9"/>
  <c r="Q11" i="9"/>
  <c r="Q15" i="9"/>
  <c r="Q19" i="9"/>
  <c r="Q23" i="9"/>
  <c r="Q27" i="9"/>
  <c r="Q31" i="9"/>
  <c r="Q35" i="9"/>
  <c r="Q5" i="9"/>
  <c r="Q17" i="9"/>
  <c r="Q29" i="9"/>
  <c r="Q8" i="9"/>
  <c r="Q12" i="9"/>
  <c r="Q16" i="9"/>
  <c r="Q20" i="9"/>
  <c r="Q24" i="9"/>
  <c r="Q28" i="9"/>
  <c r="R28" i="9" s="1"/>
  <c r="Q32" i="9"/>
  <c r="Q36" i="9"/>
  <c r="Q13" i="9"/>
  <c r="Q25" i="9"/>
  <c r="Q37" i="9"/>
  <c r="M16" i="9"/>
  <c r="P16" i="9" s="1"/>
  <c r="R16" i="9" s="1"/>
  <c r="M12" i="9"/>
  <c r="P12" i="9" s="1"/>
  <c r="M8" i="9"/>
  <c r="P8" i="9" s="1"/>
  <c r="R8" i="9" s="1"/>
  <c r="M35" i="9"/>
  <c r="M31" i="9"/>
  <c r="M27" i="9"/>
  <c r="P27" i="9" s="1"/>
  <c r="R27" i="9" s="1"/>
  <c r="M23" i="9"/>
  <c r="M19" i="9"/>
  <c r="M15" i="9"/>
  <c r="M11" i="9"/>
  <c r="M7" i="9"/>
  <c r="M34" i="9"/>
  <c r="M30" i="9"/>
  <c r="M26" i="9"/>
  <c r="M22" i="9"/>
  <c r="M18" i="9"/>
  <c r="M14" i="9"/>
  <c r="M10" i="9"/>
  <c r="P10" i="9" s="1"/>
  <c r="R10" i="9" s="1"/>
  <c r="M6" i="9"/>
  <c r="R12" i="9" l="1"/>
  <c r="F5" i="9" l="1"/>
  <c r="I5" i="9" s="1"/>
  <c r="F8" i="9"/>
  <c r="I8" i="9" s="1"/>
  <c r="F9" i="9"/>
  <c r="I9" i="9" s="1"/>
  <c r="F10" i="9"/>
  <c r="I10" i="9" s="1"/>
  <c r="F12" i="9"/>
  <c r="I12" i="9" s="1"/>
  <c r="F16" i="9"/>
  <c r="I16" i="9" s="1"/>
  <c r="F25" i="9"/>
  <c r="I25" i="9" s="1"/>
  <c r="F27" i="9"/>
  <c r="I27" i="9" s="1"/>
  <c r="F28" i="9"/>
  <c r="I28" i="9" s="1"/>
  <c r="F36" i="9"/>
  <c r="I36" i="9" s="1"/>
  <c r="F4" i="9"/>
  <c r="I4" i="9" s="1"/>
  <c r="E18" i="9"/>
  <c r="L18" i="9" s="1"/>
  <c r="E5" i="9"/>
  <c r="L5" i="9" s="1"/>
  <c r="N5" i="9" s="1"/>
  <c r="E42" i="9"/>
  <c r="E41" i="9"/>
  <c r="E40" i="9"/>
  <c r="E39" i="9"/>
  <c r="E37" i="9"/>
  <c r="L37" i="9" s="1"/>
  <c r="E36" i="9"/>
  <c r="L36" i="9" s="1"/>
  <c r="E35" i="9"/>
  <c r="L35" i="9" s="1"/>
  <c r="E34" i="9"/>
  <c r="L34" i="9" s="1"/>
  <c r="E33" i="9"/>
  <c r="L33" i="9" s="1"/>
  <c r="E32" i="9"/>
  <c r="L32" i="9" s="1"/>
  <c r="E31" i="9"/>
  <c r="L31" i="9" s="1"/>
  <c r="E30" i="9"/>
  <c r="L30" i="9" s="1"/>
  <c r="E29" i="9"/>
  <c r="L29" i="9" s="1"/>
  <c r="E26" i="9"/>
  <c r="L26" i="9" s="1"/>
  <c r="E25" i="9"/>
  <c r="L25" i="9" s="1"/>
  <c r="E24" i="9"/>
  <c r="L24" i="9" s="1"/>
  <c r="E23" i="9"/>
  <c r="L23" i="9" s="1"/>
  <c r="E22" i="9"/>
  <c r="L22" i="9" s="1"/>
  <c r="E21" i="9"/>
  <c r="L21" i="9" s="1"/>
  <c r="E20" i="9"/>
  <c r="L20" i="9" s="1"/>
  <c r="E19" i="9"/>
  <c r="L19" i="9" s="1"/>
  <c r="E17" i="9"/>
  <c r="L17" i="9" s="1"/>
  <c r="E15" i="9"/>
  <c r="L15" i="9" s="1"/>
  <c r="E14" i="9"/>
  <c r="L14" i="9" s="1"/>
  <c r="E13" i="9"/>
  <c r="L13" i="9" s="1"/>
  <c r="E11" i="9"/>
  <c r="L11" i="9" s="1"/>
  <c r="E7" i="9"/>
  <c r="L7" i="9" s="1"/>
  <c r="E6" i="9"/>
  <c r="L6" i="9" s="1"/>
  <c r="G40" i="6"/>
  <c r="V50" i="7"/>
  <c r="E59" i="8"/>
  <c r="E47" i="8"/>
  <c r="P55" i="8" s="1"/>
  <c r="T45" i="8"/>
  <c r="T46" i="8" s="1"/>
  <c r="T47" i="8" s="1"/>
  <c r="U49" i="8" s="1"/>
  <c r="G43" i="8"/>
  <c r="G42" i="8"/>
  <c r="G41" i="8"/>
  <c r="G40" i="8"/>
  <c r="H39" i="8"/>
  <c r="P38" i="8"/>
  <c r="M38" i="8" s="1"/>
  <c r="Q38" i="8" s="1"/>
  <c r="R38" i="8" s="1"/>
  <c r="G38" i="8"/>
  <c r="S38" i="8" s="1"/>
  <c r="AB37" i="8"/>
  <c r="AA37" i="8"/>
  <c r="AC37" i="8" s="1"/>
  <c r="AD37" i="8" s="1"/>
  <c r="P37" i="8"/>
  <c r="M37" i="8" s="1"/>
  <c r="Q37" i="8" s="1"/>
  <c r="R37" i="8" s="1"/>
  <c r="G37" i="8"/>
  <c r="S37" i="8" s="1"/>
  <c r="AB36" i="8"/>
  <c r="AA36" i="8"/>
  <c r="P36" i="8"/>
  <c r="M36" i="8"/>
  <c r="Q36" i="8" s="1"/>
  <c r="R36" i="8" s="1"/>
  <c r="G36" i="8"/>
  <c r="S36" i="8" s="1"/>
  <c r="AB35" i="8"/>
  <c r="AA35" i="8"/>
  <c r="P35" i="8"/>
  <c r="M35" i="8" s="1"/>
  <c r="Q35" i="8" s="1"/>
  <c r="R35" i="8" s="1"/>
  <c r="G35" i="8"/>
  <c r="I35" i="8" s="1"/>
  <c r="AB34" i="8"/>
  <c r="AA34" i="8"/>
  <c r="P34" i="8"/>
  <c r="M34" i="8" s="1"/>
  <c r="Q34" i="8" s="1"/>
  <c r="R34" i="8" s="1"/>
  <c r="G34" i="8"/>
  <c r="H34" i="8" s="1"/>
  <c r="J34" i="8" s="1"/>
  <c r="AB33" i="8"/>
  <c r="AE33" i="8" s="1"/>
  <c r="AF33" i="8" s="1"/>
  <c r="AA33" i="8"/>
  <c r="P33" i="8"/>
  <c r="M33" i="8" s="1"/>
  <c r="Q33" i="8" s="1"/>
  <c r="R33" i="8" s="1"/>
  <c r="H33" i="8"/>
  <c r="J33" i="8" s="1"/>
  <c r="G33" i="8"/>
  <c r="S33" i="8" s="1"/>
  <c r="AB32" i="8"/>
  <c r="AA32" i="8"/>
  <c r="P32" i="8"/>
  <c r="M32" i="8" s="1"/>
  <c r="Q32" i="8" s="1"/>
  <c r="R32" i="8" s="1"/>
  <c r="G32" i="8"/>
  <c r="S32" i="8" s="1"/>
  <c r="AB31" i="8"/>
  <c r="AA31" i="8"/>
  <c r="P31" i="8"/>
  <c r="M31" i="8" s="1"/>
  <c r="Q31" i="8" s="1"/>
  <c r="R31" i="8" s="1"/>
  <c r="G31" i="8"/>
  <c r="I31" i="8" s="1"/>
  <c r="AB30" i="8"/>
  <c r="AA30" i="8"/>
  <c r="P30" i="8"/>
  <c r="M30" i="8" s="1"/>
  <c r="Q30" i="8" s="1"/>
  <c r="R30" i="8" s="1"/>
  <c r="G30" i="8"/>
  <c r="H30" i="8" s="1"/>
  <c r="J30" i="8" s="1"/>
  <c r="AB29" i="8"/>
  <c r="AA29" i="8"/>
  <c r="AC29" i="8" s="1"/>
  <c r="AD29" i="8" s="1"/>
  <c r="S29" i="8"/>
  <c r="P29" i="8"/>
  <c r="M29" i="8" s="1"/>
  <c r="Q29" i="8" s="1"/>
  <c r="R29" i="8" s="1"/>
  <c r="I29" i="8"/>
  <c r="H29" i="8"/>
  <c r="J29" i="8" s="1"/>
  <c r="AB28" i="8"/>
  <c r="AA28" i="8"/>
  <c r="AE28" i="8" s="1"/>
  <c r="AF28" i="8" s="1"/>
  <c r="S28" i="8"/>
  <c r="P28" i="8"/>
  <c r="M28" i="8" s="1"/>
  <c r="Q28" i="8" s="1"/>
  <c r="I28" i="8"/>
  <c r="H28" i="8"/>
  <c r="J28" i="8" s="1"/>
  <c r="AB27" i="8"/>
  <c r="AA27" i="8"/>
  <c r="P27" i="8"/>
  <c r="M27" i="8"/>
  <c r="Q27" i="8" s="1"/>
  <c r="R27" i="8" s="1"/>
  <c r="G27" i="8"/>
  <c r="AB26" i="8"/>
  <c r="AA26" i="8"/>
  <c r="P26" i="8"/>
  <c r="M26" i="8" s="1"/>
  <c r="Q26" i="8" s="1"/>
  <c r="R26" i="8" s="1"/>
  <c r="G26" i="8"/>
  <c r="I26" i="8" s="1"/>
  <c r="AB25" i="8"/>
  <c r="AA25" i="8"/>
  <c r="P25" i="8"/>
  <c r="M25" i="8" s="1"/>
  <c r="Q25" i="8" s="1"/>
  <c r="R25" i="8" s="1"/>
  <c r="G25" i="8"/>
  <c r="S25" i="8" s="1"/>
  <c r="AB24" i="8"/>
  <c r="AA24" i="8"/>
  <c r="P24" i="8"/>
  <c r="M24" i="8" s="1"/>
  <c r="Q24" i="8" s="1"/>
  <c r="R24" i="8" s="1"/>
  <c r="G24" i="8"/>
  <c r="S24" i="8" s="1"/>
  <c r="AB23" i="8"/>
  <c r="AA23" i="8"/>
  <c r="P23" i="8"/>
  <c r="M23" i="8" s="1"/>
  <c r="Q23" i="8" s="1"/>
  <c r="R23" i="8" s="1"/>
  <c r="G23" i="8"/>
  <c r="S23" i="8" s="1"/>
  <c r="AB22" i="8"/>
  <c r="AA22" i="8"/>
  <c r="P22" i="8"/>
  <c r="M22" i="8" s="1"/>
  <c r="Q22" i="8" s="1"/>
  <c r="R22" i="8" s="1"/>
  <c r="G22" i="8"/>
  <c r="I22" i="8" s="1"/>
  <c r="AB21" i="8"/>
  <c r="AA21" i="8"/>
  <c r="P21" i="8"/>
  <c r="M21" i="8" s="1"/>
  <c r="Q21" i="8" s="1"/>
  <c r="R21" i="8" s="1"/>
  <c r="G21" i="8"/>
  <c r="S21" i="8" s="1"/>
  <c r="AB20" i="8"/>
  <c r="AA20" i="8"/>
  <c r="P20" i="8"/>
  <c r="M20" i="8" s="1"/>
  <c r="Q20" i="8" s="1"/>
  <c r="R20" i="8" s="1"/>
  <c r="G20" i="8"/>
  <c r="S20" i="8" s="1"/>
  <c r="AB19" i="8"/>
  <c r="AA19" i="8"/>
  <c r="P19" i="8"/>
  <c r="M19" i="8"/>
  <c r="Q19" i="8" s="1"/>
  <c r="R19" i="8" s="1"/>
  <c r="G19" i="8"/>
  <c r="S19" i="8" s="1"/>
  <c r="AB18" i="8"/>
  <c r="AA18" i="8"/>
  <c r="P18" i="8"/>
  <c r="M18" i="8" s="1"/>
  <c r="Q18" i="8" s="1"/>
  <c r="R18" i="8" s="1"/>
  <c r="G18" i="8"/>
  <c r="I18" i="8" s="1"/>
  <c r="AB17" i="8"/>
  <c r="AA17" i="8"/>
  <c r="S17" i="8"/>
  <c r="P17" i="8"/>
  <c r="M17" i="8" s="1"/>
  <c r="Q17" i="8" s="1"/>
  <c r="R17" i="8" s="1"/>
  <c r="I17" i="8"/>
  <c r="H17" i="8"/>
  <c r="J17" i="8" s="1"/>
  <c r="AB16" i="8"/>
  <c r="AA16" i="8"/>
  <c r="P16" i="8"/>
  <c r="M16" i="8" s="1"/>
  <c r="Q16" i="8" s="1"/>
  <c r="R16" i="8" s="1"/>
  <c r="G16" i="8"/>
  <c r="S16" i="8" s="1"/>
  <c r="AC15" i="8"/>
  <c r="AD15" i="8" s="1"/>
  <c r="AB15" i="8"/>
  <c r="AA15" i="8"/>
  <c r="P15" i="8"/>
  <c r="M15" i="8" s="1"/>
  <c r="Q15" i="8" s="1"/>
  <c r="R15" i="8" s="1"/>
  <c r="G15" i="8"/>
  <c r="I15" i="8" s="1"/>
  <c r="AB14" i="8"/>
  <c r="AA14" i="8"/>
  <c r="AE14" i="8" s="1"/>
  <c r="AF14" i="8" s="1"/>
  <c r="P14" i="8"/>
  <c r="M14" i="8" s="1"/>
  <c r="Q14" i="8" s="1"/>
  <c r="R14" i="8" s="1"/>
  <c r="G14" i="8"/>
  <c r="H14" i="8" s="1"/>
  <c r="J14" i="8" s="1"/>
  <c r="AB13" i="8"/>
  <c r="AA13" i="8"/>
  <c r="S13" i="8"/>
  <c r="P13" i="8"/>
  <c r="M13" i="8" s="1"/>
  <c r="Q13" i="8" s="1"/>
  <c r="R13" i="8" s="1"/>
  <c r="I13" i="8"/>
  <c r="H13" i="8"/>
  <c r="J13" i="8" s="1"/>
  <c r="AB12" i="8"/>
  <c r="AA12" i="8"/>
  <c r="AE12" i="8" s="1"/>
  <c r="AF12" i="8" s="1"/>
  <c r="P12" i="8"/>
  <c r="M12" i="8" s="1"/>
  <c r="Q12" i="8" s="1"/>
  <c r="R12" i="8" s="1"/>
  <c r="I12" i="8"/>
  <c r="G12" i="8"/>
  <c r="S12" i="8" s="1"/>
  <c r="AB11" i="8"/>
  <c r="AA11" i="8"/>
  <c r="S11" i="8"/>
  <c r="P11" i="8"/>
  <c r="M11" i="8" s="1"/>
  <c r="Q11" i="8" s="1"/>
  <c r="R11" i="8" s="1"/>
  <c r="I11" i="8"/>
  <c r="H11" i="8"/>
  <c r="J11" i="8" s="1"/>
  <c r="AB10" i="8"/>
  <c r="AA10" i="8"/>
  <c r="S10" i="8"/>
  <c r="P10" i="8"/>
  <c r="M10" i="8" s="1"/>
  <c r="Q10" i="8" s="1"/>
  <c r="R10" i="8" s="1"/>
  <c r="I10" i="8"/>
  <c r="H10" i="8"/>
  <c r="J10" i="8" s="1"/>
  <c r="AB9" i="8"/>
  <c r="AA9" i="8"/>
  <c r="S9" i="8"/>
  <c r="P9" i="8"/>
  <c r="M9" i="8" s="1"/>
  <c r="Q9" i="8" s="1"/>
  <c r="R9" i="8" s="1"/>
  <c r="I9" i="8"/>
  <c r="H9" i="8"/>
  <c r="J9" i="8" s="1"/>
  <c r="AB8" i="8"/>
  <c r="AA8" i="8"/>
  <c r="P8" i="8"/>
  <c r="M8" i="8" s="1"/>
  <c r="Q8" i="8" s="1"/>
  <c r="R8" i="8" s="1"/>
  <c r="G8" i="8"/>
  <c r="AB7" i="8"/>
  <c r="AA7" i="8"/>
  <c r="P7" i="8"/>
  <c r="M7" i="8" s="1"/>
  <c r="Q7" i="8" s="1"/>
  <c r="R7" i="8" s="1"/>
  <c r="G7" i="8"/>
  <c r="S7" i="8" s="1"/>
  <c r="F7" i="8"/>
  <c r="E50" i="8" s="1"/>
  <c r="AB6" i="8"/>
  <c r="AA6" i="8"/>
  <c r="P6" i="8"/>
  <c r="M6" i="8" s="1"/>
  <c r="Q6" i="8" s="1"/>
  <c r="R6" i="8" s="1"/>
  <c r="G6" i="8"/>
  <c r="S6" i="8" s="1"/>
  <c r="AB5" i="8"/>
  <c r="AA5" i="8"/>
  <c r="R5" i="8"/>
  <c r="I5" i="8"/>
  <c r="H5" i="8"/>
  <c r="J5" i="8" s="1"/>
  <c r="G1" i="8"/>
  <c r="R56" i="7"/>
  <c r="T6" i="7"/>
  <c r="T7" i="7"/>
  <c r="T8" i="7"/>
  <c r="T9" i="7"/>
  <c r="T10" i="7"/>
  <c r="T11" i="7"/>
  <c r="T12" i="7"/>
  <c r="T13" i="7"/>
  <c r="T14" i="7"/>
  <c r="T15" i="7"/>
  <c r="T16" i="7"/>
  <c r="T17" i="7"/>
  <c r="T18" i="7"/>
  <c r="T19" i="7"/>
  <c r="T20" i="7"/>
  <c r="T21" i="7"/>
  <c r="T22" i="7"/>
  <c r="T23" i="7"/>
  <c r="T24" i="7"/>
  <c r="T25" i="7"/>
  <c r="T26" i="7"/>
  <c r="T27" i="7"/>
  <c r="T29" i="7"/>
  <c r="T30" i="7"/>
  <c r="T31" i="7"/>
  <c r="T32" i="7"/>
  <c r="T33" i="7"/>
  <c r="T34" i="7"/>
  <c r="T35" i="7"/>
  <c r="T36" i="7"/>
  <c r="T37" i="7"/>
  <c r="T38" i="7"/>
  <c r="T5" i="7"/>
  <c r="U9" i="7"/>
  <c r="U10" i="7"/>
  <c r="U11" i="7"/>
  <c r="U13" i="7"/>
  <c r="U17" i="7"/>
  <c r="U28" i="7"/>
  <c r="U29" i="7"/>
  <c r="O7" i="7"/>
  <c r="S7" i="7" s="1"/>
  <c r="O15" i="7"/>
  <c r="S15" i="7" s="1"/>
  <c r="O23" i="7"/>
  <c r="S23" i="7" s="1"/>
  <c r="O31" i="7"/>
  <c r="S31" i="7" s="1"/>
  <c r="O6" i="7"/>
  <c r="S6" i="7" s="1"/>
  <c r="R7" i="7"/>
  <c r="R8" i="7"/>
  <c r="O8" i="7" s="1"/>
  <c r="S8" i="7" s="1"/>
  <c r="R9" i="7"/>
  <c r="O9" i="7" s="1"/>
  <c r="S9" i="7" s="1"/>
  <c r="R10" i="7"/>
  <c r="O10" i="7" s="1"/>
  <c r="S10" i="7" s="1"/>
  <c r="R11" i="7"/>
  <c r="O11" i="7" s="1"/>
  <c r="S11" i="7" s="1"/>
  <c r="R12" i="7"/>
  <c r="O12" i="7" s="1"/>
  <c r="S12" i="7" s="1"/>
  <c r="R13" i="7"/>
  <c r="O13" i="7" s="1"/>
  <c r="S13" i="7" s="1"/>
  <c r="R14" i="7"/>
  <c r="O14" i="7" s="1"/>
  <c r="S14" i="7" s="1"/>
  <c r="R15" i="7"/>
  <c r="R16" i="7"/>
  <c r="O16" i="7" s="1"/>
  <c r="S16" i="7" s="1"/>
  <c r="R17" i="7"/>
  <c r="O17" i="7" s="1"/>
  <c r="S17" i="7" s="1"/>
  <c r="R18" i="7"/>
  <c r="O18" i="7" s="1"/>
  <c r="S18" i="7" s="1"/>
  <c r="R19" i="7"/>
  <c r="O19" i="7" s="1"/>
  <c r="S19" i="7" s="1"/>
  <c r="R20" i="7"/>
  <c r="O20" i="7" s="1"/>
  <c r="S20" i="7" s="1"/>
  <c r="R21" i="7"/>
  <c r="O21" i="7" s="1"/>
  <c r="S21" i="7" s="1"/>
  <c r="R22" i="7"/>
  <c r="O22" i="7" s="1"/>
  <c r="S22" i="7" s="1"/>
  <c r="R23" i="7"/>
  <c r="R24" i="7"/>
  <c r="O24" i="7" s="1"/>
  <c r="S24" i="7" s="1"/>
  <c r="R25" i="7"/>
  <c r="O25" i="7" s="1"/>
  <c r="S25" i="7" s="1"/>
  <c r="R26" i="7"/>
  <c r="O26" i="7" s="1"/>
  <c r="S26" i="7" s="1"/>
  <c r="R27" i="7"/>
  <c r="O27" i="7" s="1"/>
  <c r="S27" i="7" s="1"/>
  <c r="R28" i="7"/>
  <c r="O28" i="7" s="1"/>
  <c r="S28" i="7" s="1"/>
  <c r="R29" i="7"/>
  <c r="O29" i="7" s="1"/>
  <c r="S29" i="7" s="1"/>
  <c r="R30" i="7"/>
  <c r="O30" i="7" s="1"/>
  <c r="S30" i="7" s="1"/>
  <c r="R31" i="7"/>
  <c r="R32" i="7"/>
  <c r="O32" i="7" s="1"/>
  <c r="S32" i="7" s="1"/>
  <c r="R33" i="7"/>
  <c r="O33" i="7" s="1"/>
  <c r="S33" i="7" s="1"/>
  <c r="R34" i="7"/>
  <c r="O34" i="7" s="1"/>
  <c r="S34" i="7" s="1"/>
  <c r="R35" i="7"/>
  <c r="O35" i="7" s="1"/>
  <c r="S35" i="7" s="1"/>
  <c r="R36" i="7"/>
  <c r="O36" i="7" s="1"/>
  <c r="S36" i="7" s="1"/>
  <c r="R37" i="7"/>
  <c r="O37" i="7" s="1"/>
  <c r="S37" i="7" s="1"/>
  <c r="R38" i="7"/>
  <c r="O38" i="7" s="1"/>
  <c r="S38" i="7" s="1"/>
  <c r="R6" i="7"/>
  <c r="P33" i="9" l="1"/>
  <c r="R33" i="9" s="1"/>
  <c r="N33" i="9"/>
  <c r="P6" i="9"/>
  <c r="R6" i="9" s="1"/>
  <c r="N6" i="9"/>
  <c r="P14" i="9"/>
  <c r="R14" i="9" s="1"/>
  <c r="N14" i="9"/>
  <c r="P20" i="9"/>
  <c r="R20" i="9" s="1"/>
  <c r="N20" i="9"/>
  <c r="P24" i="9"/>
  <c r="R24" i="9" s="1"/>
  <c r="N24" i="9"/>
  <c r="P30" i="9"/>
  <c r="R30" i="9" s="1"/>
  <c r="N30" i="9"/>
  <c r="P34" i="9"/>
  <c r="R34" i="9" s="1"/>
  <c r="N34" i="9"/>
  <c r="F32" i="9"/>
  <c r="I32" i="9" s="1"/>
  <c r="F21" i="9"/>
  <c r="I21" i="9" s="1"/>
  <c r="P19" i="9"/>
  <c r="R19" i="9" s="1"/>
  <c r="N19" i="9"/>
  <c r="P29" i="9"/>
  <c r="R29" i="9" s="1"/>
  <c r="N29" i="9"/>
  <c r="P7" i="9"/>
  <c r="R7" i="9" s="1"/>
  <c r="N7" i="9"/>
  <c r="P15" i="9"/>
  <c r="R15" i="9" s="1"/>
  <c r="N15" i="9"/>
  <c r="P21" i="9"/>
  <c r="R21" i="9" s="1"/>
  <c r="N21" i="9"/>
  <c r="P25" i="9"/>
  <c r="R25" i="9" s="1"/>
  <c r="N25" i="9"/>
  <c r="P31" i="9"/>
  <c r="R31" i="9" s="1"/>
  <c r="N31" i="9"/>
  <c r="P35" i="9"/>
  <c r="R35" i="9" s="1"/>
  <c r="N35" i="9"/>
  <c r="P18" i="9"/>
  <c r="R18" i="9" s="1"/>
  <c r="N18" i="9"/>
  <c r="F17" i="9"/>
  <c r="I17" i="9" s="1"/>
  <c r="P13" i="9"/>
  <c r="R13" i="9" s="1"/>
  <c r="N13" i="9"/>
  <c r="P23" i="9"/>
  <c r="R23" i="9" s="1"/>
  <c r="N23" i="9"/>
  <c r="P37" i="9"/>
  <c r="R37" i="9" s="1"/>
  <c r="N37" i="9"/>
  <c r="P11" i="9"/>
  <c r="R11" i="9" s="1"/>
  <c r="N11" i="9"/>
  <c r="P17" i="9"/>
  <c r="R17" i="9" s="1"/>
  <c r="N17" i="9"/>
  <c r="P22" i="9"/>
  <c r="R22" i="9" s="1"/>
  <c r="N22" i="9"/>
  <c r="P26" i="9"/>
  <c r="R26" i="9" s="1"/>
  <c r="N26" i="9"/>
  <c r="P32" i="9"/>
  <c r="R32" i="9" s="1"/>
  <c r="N32" i="9"/>
  <c r="P36" i="9"/>
  <c r="R36" i="9" s="1"/>
  <c r="N36" i="9"/>
  <c r="F37" i="9"/>
  <c r="I37" i="9" s="1"/>
  <c r="F29" i="9"/>
  <c r="I29" i="9" s="1"/>
  <c r="P5" i="9"/>
  <c r="R5" i="9" s="1"/>
  <c r="D47" i="9"/>
  <c r="F20" i="9"/>
  <c r="I20" i="9" s="1"/>
  <c r="F35" i="9"/>
  <c r="I35" i="9" s="1"/>
  <c r="F31" i="9"/>
  <c r="I31" i="9" s="1"/>
  <c r="F23" i="9"/>
  <c r="I23" i="9" s="1"/>
  <c r="F19" i="9"/>
  <c r="I19" i="9" s="1"/>
  <c r="F15" i="9"/>
  <c r="I15" i="9" s="1"/>
  <c r="F11" i="9"/>
  <c r="I11" i="9" s="1"/>
  <c r="F7" i="9"/>
  <c r="I7" i="9" s="1"/>
  <c r="F33" i="9"/>
  <c r="I33" i="9" s="1"/>
  <c r="F13" i="9"/>
  <c r="I13" i="9" s="1"/>
  <c r="F24" i="9"/>
  <c r="I24" i="9" s="1"/>
  <c r="F34" i="9"/>
  <c r="I34" i="9" s="1"/>
  <c r="F30" i="9"/>
  <c r="I30" i="9" s="1"/>
  <c r="F26" i="9"/>
  <c r="I26" i="9" s="1"/>
  <c r="F22" i="9"/>
  <c r="I22" i="9" s="1"/>
  <c r="F18" i="9"/>
  <c r="I18" i="9" s="1"/>
  <c r="F14" i="9"/>
  <c r="I14" i="9" s="1"/>
  <c r="F6" i="9"/>
  <c r="I6" i="9" s="1"/>
  <c r="AE8" i="8"/>
  <c r="AF8" i="8" s="1"/>
  <c r="AE10" i="8"/>
  <c r="AF10" i="8" s="1"/>
  <c r="AE18" i="8"/>
  <c r="AF18" i="8" s="1"/>
  <c r="AE31" i="8"/>
  <c r="AF31" i="8" s="1"/>
  <c r="I33" i="8"/>
  <c r="AE22" i="8"/>
  <c r="AF22" i="8" s="1"/>
  <c r="AE11" i="8"/>
  <c r="AF11" i="8" s="1"/>
  <c r="AC16" i="8"/>
  <c r="AD16" i="8" s="1"/>
  <c r="AC23" i="8"/>
  <c r="AD23" i="8" s="1"/>
  <c r="AE26" i="8"/>
  <c r="AF26" i="8" s="1"/>
  <c r="AE35" i="8"/>
  <c r="AF35" i="8" s="1"/>
  <c r="H7" i="8"/>
  <c r="J7" i="8" s="1"/>
  <c r="H24" i="8"/>
  <c r="J24" i="8" s="1"/>
  <c r="AC25" i="8"/>
  <c r="AD25" i="8" s="1"/>
  <c r="I30" i="8"/>
  <c r="AC30" i="8"/>
  <c r="AD30" i="8" s="1"/>
  <c r="AC34" i="8"/>
  <c r="AD34" i="8" s="1"/>
  <c r="H38" i="8"/>
  <c r="J38" i="8" s="1"/>
  <c r="H6" i="8"/>
  <c r="J6" i="8" s="1"/>
  <c r="AE6" i="8"/>
  <c r="AF6" i="8" s="1"/>
  <c r="I7" i="8"/>
  <c r="AC7" i="8"/>
  <c r="AD7" i="8" s="1"/>
  <c r="H20" i="8"/>
  <c r="J20" i="8" s="1"/>
  <c r="AC21" i="8"/>
  <c r="AD21" i="8" s="1"/>
  <c r="I24" i="8"/>
  <c r="I38" i="8"/>
  <c r="I6" i="8"/>
  <c r="H12" i="8"/>
  <c r="J12" i="8" s="1"/>
  <c r="H15" i="8"/>
  <c r="J15" i="8" s="1"/>
  <c r="AC19" i="8"/>
  <c r="AD19" i="8" s="1"/>
  <c r="I20" i="8"/>
  <c r="H25" i="8"/>
  <c r="J25" i="8" s="1"/>
  <c r="AE5" i="8"/>
  <c r="AF5" i="8" s="1"/>
  <c r="P56" i="8"/>
  <c r="AC12" i="8"/>
  <c r="AD12" i="8" s="1"/>
  <c r="I14" i="8"/>
  <c r="AE15" i="8"/>
  <c r="AF15" i="8" s="1"/>
  <c r="H21" i="8"/>
  <c r="J21" i="8" s="1"/>
  <c r="AE21" i="8"/>
  <c r="AF21" i="8" s="1"/>
  <c r="AC24" i="8"/>
  <c r="AD24" i="8" s="1"/>
  <c r="I25" i="8"/>
  <c r="AE25" i="8"/>
  <c r="AF25" i="8" s="1"/>
  <c r="AC26" i="8"/>
  <c r="AD26" i="8" s="1"/>
  <c r="AC27" i="8"/>
  <c r="AD27" i="8" s="1"/>
  <c r="AC31" i="8"/>
  <c r="AD31" i="8" s="1"/>
  <c r="AC33" i="8"/>
  <c r="AD33" i="8" s="1"/>
  <c r="I34" i="8"/>
  <c r="AC35" i="8"/>
  <c r="AD35" i="8" s="1"/>
  <c r="H37" i="8"/>
  <c r="J37" i="8" s="1"/>
  <c r="T49" i="8"/>
  <c r="AC17" i="8"/>
  <c r="AD17" i="8" s="1"/>
  <c r="AE7" i="8"/>
  <c r="AF7" i="8" s="1"/>
  <c r="AC8" i="8"/>
  <c r="AD8" i="8" s="1"/>
  <c r="AC10" i="8"/>
  <c r="AD10" i="8" s="1"/>
  <c r="AC13" i="8"/>
  <c r="AD13" i="8" s="1"/>
  <c r="AC18" i="8"/>
  <c r="AD18" i="8" s="1"/>
  <c r="AC20" i="8"/>
  <c r="AD20" i="8" s="1"/>
  <c r="I21" i="8"/>
  <c r="AC22" i="8"/>
  <c r="AD22" i="8" s="1"/>
  <c r="AC28" i="8"/>
  <c r="AD28" i="8" s="1"/>
  <c r="AE30" i="8"/>
  <c r="AF30" i="8" s="1"/>
  <c r="AC32" i="8"/>
  <c r="AD32" i="8" s="1"/>
  <c r="AC36" i="8"/>
  <c r="AD36" i="8" s="1"/>
  <c r="I37" i="8"/>
  <c r="I8" i="8"/>
  <c r="H8" i="8"/>
  <c r="J8" i="8" s="1"/>
  <c r="AC6" i="8"/>
  <c r="AD6" i="8" s="1"/>
  <c r="S8" i="8"/>
  <c r="I23" i="8"/>
  <c r="H23" i="8"/>
  <c r="J23" i="8" s="1"/>
  <c r="I36" i="8"/>
  <c r="H36" i="8"/>
  <c r="J36" i="8" s="1"/>
  <c r="I40" i="8"/>
  <c r="H40" i="8"/>
  <c r="J40" i="8" s="1"/>
  <c r="E51" i="8"/>
  <c r="E52" i="8" s="1"/>
  <c r="E54" i="8"/>
  <c r="I27" i="8"/>
  <c r="H27" i="8"/>
  <c r="J27" i="8" s="1"/>
  <c r="I43" i="8"/>
  <c r="H43" i="8"/>
  <c r="J43" i="8" s="1"/>
  <c r="I19" i="8"/>
  <c r="H19" i="8"/>
  <c r="J19" i="8" s="1"/>
  <c r="AE24" i="8"/>
  <c r="AF24" i="8" s="1"/>
  <c r="AE29" i="8"/>
  <c r="AF29" i="8" s="1"/>
  <c r="AE34" i="8"/>
  <c r="AF34" i="8" s="1"/>
  <c r="AE37" i="8"/>
  <c r="AF37" i="8" s="1"/>
  <c r="I41" i="8"/>
  <c r="H41" i="8"/>
  <c r="J41" i="8" s="1"/>
  <c r="AC5" i="8"/>
  <c r="AD5" i="8" s="1"/>
  <c r="AE9" i="8"/>
  <c r="AF9" i="8" s="1"/>
  <c r="AE13" i="8"/>
  <c r="AF13" i="8" s="1"/>
  <c r="I16" i="8"/>
  <c r="H16" i="8"/>
  <c r="J16" i="8" s="1"/>
  <c r="AE17" i="8"/>
  <c r="AF17" i="8" s="1"/>
  <c r="AE20" i="8"/>
  <c r="AF20" i="8" s="1"/>
  <c r="S27" i="8"/>
  <c r="I32" i="8"/>
  <c r="H32" i="8"/>
  <c r="J32" i="8" s="1"/>
  <c r="I42" i="8"/>
  <c r="H42" i="8"/>
  <c r="J42" i="8" s="1"/>
  <c r="E48" i="8"/>
  <c r="G48" i="8" s="1"/>
  <c r="AC9" i="8"/>
  <c r="AD9" i="8" s="1"/>
  <c r="AC11" i="8"/>
  <c r="AD11" i="8" s="1"/>
  <c r="AC14" i="8"/>
  <c r="AD14" i="8" s="1"/>
  <c r="S15" i="8"/>
  <c r="AE16" i="8"/>
  <c r="AF16" i="8" s="1"/>
  <c r="S18" i="8"/>
  <c r="AE19" i="8"/>
  <c r="AF19" i="8" s="1"/>
  <c r="S22" i="8"/>
  <c r="AE23" i="8"/>
  <c r="AF23" i="8" s="1"/>
  <c r="S26" i="8"/>
  <c r="AE27" i="8"/>
  <c r="AF27" i="8" s="1"/>
  <c r="S31" i="8"/>
  <c r="AE32" i="8"/>
  <c r="AF32" i="8" s="1"/>
  <c r="S35" i="8"/>
  <c r="AE36" i="8"/>
  <c r="AF36" i="8" s="1"/>
  <c r="S14" i="8"/>
  <c r="H18" i="8"/>
  <c r="J18" i="8" s="1"/>
  <c r="H22" i="8"/>
  <c r="J22" i="8" s="1"/>
  <c r="H26" i="8"/>
  <c r="J26" i="8" s="1"/>
  <c r="S30" i="8"/>
  <c r="H31" i="8"/>
  <c r="J31" i="8" s="1"/>
  <c r="S34" i="8"/>
  <c r="H35" i="8"/>
  <c r="J35" i="8" s="1"/>
  <c r="E49" i="8"/>
  <c r="G49" i="8" s="1"/>
  <c r="E60" i="8" l="1"/>
  <c r="E55" i="8"/>
  <c r="E56" i="8" s="1"/>
  <c r="E59" i="7" l="1"/>
  <c r="E47" i="7"/>
  <c r="R55" i="7" s="1"/>
  <c r="V45" i="7"/>
  <c r="V46" i="7" s="1"/>
  <c r="V47" i="7" s="1"/>
  <c r="G43" i="7"/>
  <c r="I43" i="7" s="1"/>
  <c r="G42" i="7"/>
  <c r="I42" i="7" s="1"/>
  <c r="G41" i="7"/>
  <c r="H41" i="7" s="1"/>
  <c r="J41" i="7" s="1"/>
  <c r="G40" i="7"/>
  <c r="H40" i="7" s="1"/>
  <c r="J40" i="7" s="1"/>
  <c r="H39" i="7"/>
  <c r="G38" i="7"/>
  <c r="AD37" i="7"/>
  <c r="AC37" i="7"/>
  <c r="G37" i="7"/>
  <c r="AD36" i="7"/>
  <c r="AC36" i="7"/>
  <c r="AG36" i="7" s="1"/>
  <c r="AH36" i="7" s="1"/>
  <c r="G36" i="7"/>
  <c r="AD35" i="7"/>
  <c r="AC35" i="7"/>
  <c r="AG35" i="7" s="1"/>
  <c r="AH35" i="7" s="1"/>
  <c r="G35" i="7"/>
  <c r="AD34" i="7"/>
  <c r="AC34" i="7"/>
  <c r="G34" i="7"/>
  <c r="AD33" i="7"/>
  <c r="AC33" i="7"/>
  <c r="G33" i="7"/>
  <c r="AD32" i="7"/>
  <c r="AC32" i="7"/>
  <c r="G32" i="7"/>
  <c r="AD31" i="7"/>
  <c r="AC31" i="7"/>
  <c r="AG31" i="7" s="1"/>
  <c r="AH31" i="7" s="1"/>
  <c r="G31" i="7"/>
  <c r="AD30" i="7"/>
  <c r="AC30" i="7"/>
  <c r="G30" i="7"/>
  <c r="AD29" i="7"/>
  <c r="AC29" i="7"/>
  <c r="I29" i="7"/>
  <c r="H29" i="7"/>
  <c r="J29" i="7" s="1"/>
  <c r="AD28" i="7"/>
  <c r="AC28" i="7"/>
  <c r="I28" i="7"/>
  <c r="H28" i="7"/>
  <c r="J28" i="7" s="1"/>
  <c r="AD27" i="7"/>
  <c r="AC27" i="7"/>
  <c r="G27" i="7"/>
  <c r="AD26" i="7"/>
  <c r="AC26" i="7"/>
  <c r="G26" i="7"/>
  <c r="AD25" i="7"/>
  <c r="AC25" i="7"/>
  <c r="AE25" i="7" s="1"/>
  <c r="AF25" i="7" s="1"/>
  <c r="G25" i="7"/>
  <c r="AD24" i="7"/>
  <c r="AC24" i="7"/>
  <c r="G24" i="7"/>
  <c r="AD23" i="7"/>
  <c r="AC23" i="7"/>
  <c r="G23" i="7"/>
  <c r="AD22" i="7"/>
  <c r="AC22" i="7"/>
  <c r="AG22" i="7" s="1"/>
  <c r="AH22" i="7" s="1"/>
  <c r="G22" i="7"/>
  <c r="AD21" i="7"/>
  <c r="AC21" i="7"/>
  <c r="AE21" i="7" s="1"/>
  <c r="AF21" i="7" s="1"/>
  <c r="G21" i="7"/>
  <c r="AD20" i="7"/>
  <c r="AC20" i="7"/>
  <c r="G20" i="7"/>
  <c r="AD19" i="7"/>
  <c r="AC19" i="7"/>
  <c r="G19" i="7"/>
  <c r="AD18" i="7"/>
  <c r="AC18" i="7"/>
  <c r="AG18" i="7" s="1"/>
  <c r="AH18" i="7" s="1"/>
  <c r="G18" i="7"/>
  <c r="AD17" i="7"/>
  <c r="AC17" i="7"/>
  <c r="AE17" i="7" s="1"/>
  <c r="AF17" i="7" s="1"/>
  <c r="I17" i="7"/>
  <c r="H17" i="7"/>
  <c r="J17" i="7" s="1"/>
  <c r="AD16" i="7"/>
  <c r="AC16" i="7"/>
  <c r="G16" i="7"/>
  <c r="AD15" i="7"/>
  <c r="AE15" i="7" s="1"/>
  <c r="AF15" i="7" s="1"/>
  <c r="AC15" i="7"/>
  <c r="G15" i="7"/>
  <c r="AD14" i="7"/>
  <c r="AC14" i="7"/>
  <c r="G14" i="7"/>
  <c r="AD13" i="7"/>
  <c r="AC13" i="7"/>
  <c r="I13" i="7"/>
  <c r="H13" i="7"/>
  <c r="J13" i="7" s="1"/>
  <c r="AD12" i="7"/>
  <c r="AC12" i="7"/>
  <c r="G12" i="7"/>
  <c r="AD11" i="7"/>
  <c r="AC11" i="7"/>
  <c r="AG11" i="7" s="1"/>
  <c r="AH11" i="7" s="1"/>
  <c r="I11" i="7"/>
  <c r="H11" i="7"/>
  <c r="J11" i="7" s="1"/>
  <c r="AD10" i="7"/>
  <c r="AC10" i="7"/>
  <c r="I10" i="7"/>
  <c r="H10" i="7"/>
  <c r="J10" i="7" s="1"/>
  <c r="AD9" i="7"/>
  <c r="AC9" i="7"/>
  <c r="I9" i="7"/>
  <c r="H9" i="7"/>
  <c r="J9" i="7" s="1"/>
  <c r="AD8" i="7"/>
  <c r="AC8" i="7"/>
  <c r="AG8" i="7" s="1"/>
  <c r="AH8" i="7" s="1"/>
  <c r="G8" i="7"/>
  <c r="AD7" i="7"/>
  <c r="AC7" i="7"/>
  <c r="G7" i="7"/>
  <c r="F7" i="7"/>
  <c r="E50" i="7" s="1"/>
  <c r="AD6" i="7"/>
  <c r="AC6" i="7"/>
  <c r="G6" i="7"/>
  <c r="AD5" i="7"/>
  <c r="AC5" i="7"/>
  <c r="I5" i="7"/>
  <c r="H5" i="7"/>
  <c r="J5" i="7" s="1"/>
  <c r="G1" i="7"/>
  <c r="M45" i="6"/>
  <c r="M46" i="6" s="1"/>
  <c r="M47" i="6" s="1"/>
  <c r="G1" i="6"/>
  <c r="I9" i="6"/>
  <c r="I10" i="6"/>
  <c r="I11" i="6"/>
  <c r="I13" i="6"/>
  <c r="I17" i="6"/>
  <c r="I28" i="6"/>
  <c r="I29" i="6"/>
  <c r="I5" i="6"/>
  <c r="H9" i="6"/>
  <c r="J9" i="6" s="1"/>
  <c r="H10" i="6"/>
  <c r="J10" i="6" s="1"/>
  <c r="H11" i="6"/>
  <c r="J11" i="6" s="1"/>
  <c r="H13" i="6"/>
  <c r="J13" i="6" s="1"/>
  <c r="H17" i="6"/>
  <c r="J17" i="6" s="1"/>
  <c r="H28" i="6"/>
  <c r="J28" i="6" s="1"/>
  <c r="H29" i="6"/>
  <c r="J29" i="6" s="1"/>
  <c r="H39" i="6"/>
  <c r="H5" i="6"/>
  <c r="J5" i="6" s="1"/>
  <c r="E59" i="6"/>
  <c r="M49" i="6" l="1"/>
  <c r="N49" i="6"/>
  <c r="I8" i="7"/>
  <c r="U8" i="7"/>
  <c r="I16" i="7"/>
  <c r="U16" i="7"/>
  <c r="I35" i="7"/>
  <c r="U35" i="7"/>
  <c r="H15" i="7"/>
  <c r="J15" i="7" s="1"/>
  <c r="U15" i="7"/>
  <c r="I20" i="7"/>
  <c r="U20" i="7"/>
  <c r="I24" i="7"/>
  <c r="U24" i="7"/>
  <c r="H30" i="7"/>
  <c r="J30" i="7" s="1"/>
  <c r="U30" i="7"/>
  <c r="H34" i="7"/>
  <c r="J34" i="7" s="1"/>
  <c r="U34" i="7"/>
  <c r="H38" i="7"/>
  <c r="J38" i="7" s="1"/>
  <c r="U38" i="7"/>
  <c r="I12" i="7"/>
  <c r="U12" i="7"/>
  <c r="I18" i="7"/>
  <c r="U18" i="7"/>
  <c r="I22" i="7"/>
  <c r="U22" i="7"/>
  <c r="I26" i="7"/>
  <c r="U26" i="7"/>
  <c r="H32" i="7"/>
  <c r="J32" i="7" s="1"/>
  <c r="U32" i="7"/>
  <c r="H36" i="7"/>
  <c r="J36" i="7" s="1"/>
  <c r="U36" i="7"/>
  <c r="I21" i="7"/>
  <c r="U21" i="7"/>
  <c r="I25" i="7"/>
  <c r="U25" i="7"/>
  <c r="I31" i="7"/>
  <c r="U31" i="7"/>
  <c r="I6" i="7"/>
  <c r="U6" i="7"/>
  <c r="H7" i="7"/>
  <c r="J7" i="7" s="1"/>
  <c r="U7" i="7"/>
  <c r="I14" i="7"/>
  <c r="U14" i="7"/>
  <c r="I19" i="7"/>
  <c r="U19" i="7"/>
  <c r="I23" i="7"/>
  <c r="U23" i="7"/>
  <c r="I27" i="7"/>
  <c r="U27" i="7"/>
  <c r="I33" i="7"/>
  <c r="U33" i="7"/>
  <c r="I37" i="7"/>
  <c r="U37" i="7"/>
  <c r="AG6" i="7"/>
  <c r="AH6" i="7" s="1"/>
  <c r="AG7" i="7"/>
  <c r="AH7" i="7" s="1"/>
  <c r="AE32" i="7"/>
  <c r="AF32" i="7" s="1"/>
  <c r="AE5" i="7"/>
  <c r="AF5" i="7" s="1"/>
  <c r="AG24" i="7"/>
  <c r="AH24" i="7" s="1"/>
  <c r="AG30" i="7"/>
  <c r="AH30" i="7" s="1"/>
  <c r="AG34" i="7"/>
  <c r="AH34" i="7" s="1"/>
  <c r="I41" i="7"/>
  <c r="AE7" i="7"/>
  <c r="AF7" i="7" s="1"/>
  <c r="AE23" i="7"/>
  <c r="AF23" i="7" s="1"/>
  <c r="AG29" i="7"/>
  <c r="AH29" i="7" s="1"/>
  <c r="AG37" i="7"/>
  <c r="AH37" i="7" s="1"/>
  <c r="AE13" i="7"/>
  <c r="AF13" i="7" s="1"/>
  <c r="AE36" i="7"/>
  <c r="AF36" i="7" s="1"/>
  <c r="H6" i="7"/>
  <c r="J6" i="7" s="1"/>
  <c r="AE10" i="7"/>
  <c r="AF10" i="7" s="1"/>
  <c r="H24" i="7"/>
  <c r="J24" i="7" s="1"/>
  <c r="H25" i="7"/>
  <c r="J25" i="7" s="1"/>
  <c r="AG26" i="7"/>
  <c r="AH26" i="7" s="1"/>
  <c r="AE28" i="7"/>
  <c r="AF28" i="7" s="1"/>
  <c r="AG32" i="7"/>
  <c r="AH32" i="7" s="1"/>
  <c r="AG33" i="7"/>
  <c r="AH33" i="7" s="1"/>
  <c r="I38" i="7"/>
  <c r="H22" i="7"/>
  <c r="J22" i="7" s="1"/>
  <c r="H27" i="7"/>
  <c r="J27" i="7" s="1"/>
  <c r="I15" i="7"/>
  <c r="H20" i="7"/>
  <c r="J20" i="7" s="1"/>
  <c r="AE30" i="7"/>
  <c r="AF30" i="7" s="1"/>
  <c r="AE34" i="7"/>
  <c r="AF34" i="7" s="1"/>
  <c r="E48" i="7"/>
  <c r="G48" i="7" s="1"/>
  <c r="H43" i="7"/>
  <c r="J43" i="7" s="1"/>
  <c r="I7" i="7"/>
  <c r="AE11" i="7"/>
  <c r="AF11" i="7" s="1"/>
  <c r="H26" i="7"/>
  <c r="J26" i="7" s="1"/>
  <c r="H31" i="7"/>
  <c r="J31" i="7" s="1"/>
  <c r="I32" i="7"/>
  <c r="H35" i="7"/>
  <c r="J35" i="7" s="1"/>
  <c r="I36" i="7"/>
  <c r="AE9" i="7"/>
  <c r="AF9" i="7" s="1"/>
  <c r="AG10" i="7"/>
  <c r="AH10" i="7" s="1"/>
  <c r="AE12" i="7"/>
  <c r="AF12" i="7" s="1"/>
  <c r="AG13" i="7"/>
  <c r="AH13" i="7" s="1"/>
  <c r="AG14" i="7"/>
  <c r="AH14" i="7" s="1"/>
  <c r="AG15" i="7"/>
  <c r="AH15" i="7" s="1"/>
  <c r="AE16" i="7"/>
  <c r="AF16" i="7" s="1"/>
  <c r="H18" i="7"/>
  <c r="J18" i="7" s="1"/>
  <c r="AE19" i="7"/>
  <c r="AF19" i="7" s="1"/>
  <c r="AG20" i="7"/>
  <c r="AH20" i="7" s="1"/>
  <c r="AE27" i="7"/>
  <c r="AF27" i="7" s="1"/>
  <c r="AG28" i="7"/>
  <c r="AH28" i="7" s="1"/>
  <c r="I30" i="7"/>
  <c r="H33" i="7"/>
  <c r="J33" i="7" s="1"/>
  <c r="I34" i="7"/>
  <c r="H37" i="7"/>
  <c r="J37" i="7" s="1"/>
  <c r="H42" i="7"/>
  <c r="J42" i="7" s="1"/>
  <c r="W49" i="7"/>
  <c r="V49" i="7"/>
  <c r="E49" i="7"/>
  <c r="G49" i="7" s="1"/>
  <c r="E54" i="7"/>
  <c r="E51" i="7"/>
  <c r="E52" i="7" s="1"/>
  <c r="I40" i="7"/>
  <c r="AG5" i="7"/>
  <c r="AH5" i="7" s="1"/>
  <c r="AE6" i="7"/>
  <c r="AF6" i="7" s="1"/>
  <c r="H8" i="7"/>
  <c r="J8" i="7" s="1"/>
  <c r="AG9" i="7"/>
  <c r="AH9" i="7" s="1"/>
  <c r="AG12" i="7"/>
  <c r="AH12" i="7" s="1"/>
  <c r="H14" i="7"/>
  <c r="J14" i="7" s="1"/>
  <c r="H16" i="7"/>
  <c r="J16" i="7" s="1"/>
  <c r="AG17" i="7"/>
  <c r="AH17" i="7" s="1"/>
  <c r="AE18" i="7"/>
  <c r="AF18" i="7" s="1"/>
  <c r="AG19" i="7"/>
  <c r="AH19" i="7" s="1"/>
  <c r="AE20" i="7"/>
  <c r="AF20" i="7" s="1"/>
  <c r="AG21" i="7"/>
  <c r="AH21" i="7" s="1"/>
  <c r="AE22" i="7"/>
  <c r="AF22" i="7" s="1"/>
  <c r="AG23" i="7"/>
  <c r="AH23" i="7" s="1"/>
  <c r="AE24" i="7"/>
  <c r="AF24" i="7" s="1"/>
  <c r="AG25" i="7"/>
  <c r="AH25" i="7" s="1"/>
  <c r="AE26" i="7"/>
  <c r="AF26" i="7" s="1"/>
  <c r="AG27" i="7"/>
  <c r="AH27" i="7" s="1"/>
  <c r="AE29" i="7"/>
  <c r="AF29" i="7" s="1"/>
  <c r="AE31" i="7"/>
  <c r="AF31" i="7" s="1"/>
  <c r="AE33" i="7"/>
  <c r="AF33" i="7" s="1"/>
  <c r="AE35" i="7"/>
  <c r="AF35" i="7" s="1"/>
  <c r="AE37" i="7"/>
  <c r="AF37" i="7" s="1"/>
  <c r="AG16" i="7"/>
  <c r="AH16" i="7" s="1"/>
  <c r="AE8" i="7"/>
  <c r="AF8" i="7" s="1"/>
  <c r="H12" i="7"/>
  <c r="J12" i="7" s="1"/>
  <c r="AE14" i="7"/>
  <c r="AF14" i="7" s="1"/>
  <c r="H19" i="7"/>
  <c r="J19" i="7" s="1"/>
  <c r="H21" i="7"/>
  <c r="J21" i="7" s="1"/>
  <c r="H23" i="7"/>
  <c r="J23" i="7" s="1"/>
  <c r="E47" i="6"/>
  <c r="G42" i="6"/>
  <c r="G43" i="6"/>
  <c r="G41" i="6"/>
  <c r="E60" i="7" l="1"/>
  <c r="E55" i="7"/>
  <c r="E56" i="7" s="1"/>
  <c r="H43" i="6"/>
  <c r="J43" i="6" s="1"/>
  <c r="I43" i="6"/>
  <c r="H42" i="6"/>
  <c r="J42" i="6" s="1"/>
  <c r="I42" i="6"/>
  <c r="H40" i="6"/>
  <c r="J40" i="6" s="1"/>
  <c r="I40" i="6"/>
  <c r="H41" i="6"/>
  <c r="J41" i="6" s="1"/>
  <c r="I41" i="6"/>
  <c r="G38" i="6" l="1"/>
  <c r="T33" i="6"/>
  <c r="U33" i="6"/>
  <c r="X33" i="6" s="1"/>
  <c r="Y33" i="6" s="1"/>
  <c r="T34" i="6"/>
  <c r="U34" i="6"/>
  <c r="T35" i="6"/>
  <c r="U35" i="6"/>
  <c r="T36" i="6"/>
  <c r="U36" i="6"/>
  <c r="T37" i="6"/>
  <c r="U37" i="6"/>
  <c r="G37" i="6"/>
  <c r="G36" i="6"/>
  <c r="G35" i="6"/>
  <c r="G34" i="6"/>
  <c r="G33" i="6"/>
  <c r="G32" i="6"/>
  <c r="T32" i="6"/>
  <c r="U32" i="6"/>
  <c r="G31" i="6"/>
  <c r="T31" i="6"/>
  <c r="U31" i="6"/>
  <c r="G30" i="6"/>
  <c r="T30" i="6"/>
  <c r="U30" i="6"/>
  <c r="T29" i="6"/>
  <c r="U29" i="6"/>
  <c r="T27" i="6"/>
  <c r="U27" i="6"/>
  <c r="T28" i="6"/>
  <c r="U28" i="6"/>
  <c r="G27" i="6"/>
  <c r="G26" i="6"/>
  <c r="T26" i="6"/>
  <c r="U26" i="6"/>
  <c r="G25" i="6"/>
  <c r="T25" i="6"/>
  <c r="U25" i="6"/>
  <c r="G24" i="6"/>
  <c r="T24" i="6"/>
  <c r="U24" i="6"/>
  <c r="G23" i="6"/>
  <c r="T23" i="6"/>
  <c r="U23" i="6"/>
  <c r="T21" i="6"/>
  <c r="U21" i="6"/>
  <c r="T22" i="6"/>
  <c r="U22" i="6"/>
  <c r="G22" i="6"/>
  <c r="G21" i="6"/>
  <c r="G20" i="6"/>
  <c r="T20" i="6"/>
  <c r="U20" i="6"/>
  <c r="T19" i="6"/>
  <c r="U19" i="6"/>
  <c r="G19" i="6"/>
  <c r="G18" i="6"/>
  <c r="T18" i="6"/>
  <c r="U18" i="6"/>
  <c r="T17" i="6"/>
  <c r="U17" i="6"/>
  <c r="G16" i="6"/>
  <c r="T16" i="6"/>
  <c r="U16" i="6"/>
  <c r="G15" i="6"/>
  <c r="T15" i="6"/>
  <c r="U15" i="6"/>
  <c r="T14" i="6"/>
  <c r="U14" i="6"/>
  <c r="G14" i="6"/>
  <c r="T13" i="6"/>
  <c r="U13" i="6"/>
  <c r="G12" i="6"/>
  <c r="T12" i="6"/>
  <c r="U12" i="6"/>
  <c r="T11" i="6"/>
  <c r="U11" i="6"/>
  <c r="T10" i="6"/>
  <c r="U10" i="6"/>
  <c r="T9" i="6"/>
  <c r="U9" i="6"/>
  <c r="G8" i="6"/>
  <c r="T8" i="6"/>
  <c r="U8" i="6"/>
  <c r="F7" i="6"/>
  <c r="G7" i="6"/>
  <c r="T7" i="6"/>
  <c r="U7" i="6"/>
  <c r="T6" i="6"/>
  <c r="U6" i="6"/>
  <c r="U5" i="6"/>
  <c r="T5" i="6"/>
  <c r="G6" i="6"/>
  <c r="L57" i="5"/>
  <c r="N57" i="5" s="1"/>
  <c r="O57" i="5" s="1"/>
  <c r="L58" i="5"/>
  <c r="N58" i="5" s="1"/>
  <c r="O58" i="5" s="1"/>
  <c r="L59" i="5"/>
  <c r="N59" i="5" s="1"/>
  <c r="O59" i="5" s="1"/>
  <c r="L60" i="5"/>
  <c r="N60" i="5" s="1"/>
  <c r="O60" i="5" s="1"/>
  <c r="L61" i="5"/>
  <c r="N61" i="5" s="1"/>
  <c r="O61" i="5" s="1"/>
  <c r="L62" i="5"/>
  <c r="N62" i="5" s="1"/>
  <c r="O62" i="5" s="1"/>
  <c r="L63" i="5"/>
  <c r="N63" i="5" s="1"/>
  <c r="O63" i="5" s="1"/>
  <c r="L64" i="5"/>
  <c r="N64" i="5" s="1"/>
  <c r="O64" i="5" s="1"/>
  <c r="L65" i="5"/>
  <c r="N65" i="5" s="1"/>
  <c r="O65" i="5" s="1"/>
  <c r="L66" i="5"/>
  <c r="N66" i="5" s="1"/>
  <c r="O66" i="5" s="1"/>
  <c r="L67" i="5"/>
  <c r="N67" i="5" s="1"/>
  <c r="O67" i="5" s="1"/>
  <c r="L68" i="5"/>
  <c r="N68" i="5" s="1"/>
  <c r="O68" i="5" s="1"/>
  <c r="L56" i="5"/>
  <c r="N56" i="5" s="1"/>
  <c r="O56" i="5" s="1"/>
  <c r="H7" i="6" l="1"/>
  <c r="J7" i="6" s="1"/>
  <c r="I7" i="6"/>
  <c r="H8" i="6"/>
  <c r="J8" i="6" s="1"/>
  <c r="I8" i="6"/>
  <c r="H14" i="6"/>
  <c r="J14" i="6" s="1"/>
  <c r="I14" i="6"/>
  <c r="H16" i="6"/>
  <c r="J16" i="6" s="1"/>
  <c r="I16" i="6"/>
  <c r="H21" i="6"/>
  <c r="J21" i="6" s="1"/>
  <c r="I21" i="6"/>
  <c r="H23" i="6"/>
  <c r="J23" i="6" s="1"/>
  <c r="I23" i="6"/>
  <c r="H30" i="6"/>
  <c r="J30" i="6" s="1"/>
  <c r="I30" i="6"/>
  <c r="H34" i="6"/>
  <c r="J34" i="6" s="1"/>
  <c r="I34" i="6"/>
  <c r="H6" i="6"/>
  <c r="J6" i="6" s="1"/>
  <c r="I6" i="6"/>
  <c r="E50" i="6"/>
  <c r="H12" i="6"/>
  <c r="J12" i="6" s="1"/>
  <c r="I12" i="6"/>
  <c r="H15" i="6"/>
  <c r="J15" i="6" s="1"/>
  <c r="I15" i="6"/>
  <c r="H18" i="6"/>
  <c r="J18" i="6" s="1"/>
  <c r="I18" i="6"/>
  <c r="H22" i="6"/>
  <c r="J22" i="6" s="1"/>
  <c r="I22" i="6"/>
  <c r="H26" i="6"/>
  <c r="J26" i="6" s="1"/>
  <c r="I26" i="6"/>
  <c r="H35" i="6"/>
  <c r="J35" i="6" s="1"/>
  <c r="I35" i="6"/>
  <c r="H19" i="6"/>
  <c r="J19" i="6" s="1"/>
  <c r="I19" i="6"/>
  <c r="H25" i="6"/>
  <c r="J25" i="6" s="1"/>
  <c r="I25" i="6"/>
  <c r="H27" i="6"/>
  <c r="J27" i="6" s="1"/>
  <c r="I27" i="6"/>
  <c r="H32" i="6"/>
  <c r="J32" i="6" s="1"/>
  <c r="I32" i="6"/>
  <c r="H36" i="6"/>
  <c r="J36" i="6" s="1"/>
  <c r="I36" i="6"/>
  <c r="H38" i="6"/>
  <c r="J38" i="6" s="1"/>
  <c r="I38" i="6"/>
  <c r="H20" i="6"/>
  <c r="J20" i="6" s="1"/>
  <c r="I20" i="6"/>
  <c r="H24" i="6"/>
  <c r="J24" i="6" s="1"/>
  <c r="I24" i="6"/>
  <c r="H31" i="6"/>
  <c r="J31" i="6" s="1"/>
  <c r="I31" i="6"/>
  <c r="H33" i="6"/>
  <c r="J33" i="6" s="1"/>
  <c r="I33" i="6"/>
  <c r="H37" i="6"/>
  <c r="J37" i="6" s="1"/>
  <c r="I37" i="6"/>
  <c r="X10" i="6"/>
  <c r="Y10" i="6" s="1"/>
  <c r="X18" i="6"/>
  <c r="Y18" i="6" s="1"/>
  <c r="X37" i="6"/>
  <c r="Y37" i="6" s="1"/>
  <c r="V17" i="6"/>
  <c r="W17" i="6" s="1"/>
  <c r="X36" i="6"/>
  <c r="Y36" i="6" s="1"/>
  <c r="X17" i="6"/>
  <c r="Y17" i="6" s="1"/>
  <c r="V22" i="6"/>
  <c r="W22" i="6" s="1"/>
  <c r="V5" i="6"/>
  <c r="W5" i="6" s="1"/>
  <c r="X21" i="6"/>
  <c r="Y21" i="6" s="1"/>
  <c r="X25" i="6"/>
  <c r="Y25" i="6" s="1"/>
  <c r="V9" i="6"/>
  <c r="W9" i="6" s="1"/>
  <c r="V35" i="6"/>
  <c r="W35" i="6" s="1"/>
  <c r="V19" i="6"/>
  <c r="W19" i="6" s="1"/>
  <c r="V32" i="6"/>
  <c r="W32" i="6" s="1"/>
  <c r="V33" i="6"/>
  <c r="W33" i="6" s="1"/>
  <c r="V13" i="6"/>
  <c r="W13" i="6" s="1"/>
  <c r="X26" i="6"/>
  <c r="Y26" i="6" s="1"/>
  <c r="V30" i="6"/>
  <c r="W30" i="6" s="1"/>
  <c r="X35" i="6"/>
  <c r="Y35" i="6" s="1"/>
  <c r="V7" i="6"/>
  <c r="W7" i="6" s="1"/>
  <c r="V27" i="6"/>
  <c r="W27" i="6" s="1"/>
  <c r="V31" i="6"/>
  <c r="W31" i="6" s="1"/>
  <c r="X11" i="6"/>
  <c r="Y11" i="6" s="1"/>
  <c r="X15" i="6"/>
  <c r="Y15" i="6" s="1"/>
  <c r="X23" i="6"/>
  <c r="Y23" i="6" s="1"/>
  <c r="X27" i="6"/>
  <c r="Y27" i="6" s="1"/>
  <c r="X29" i="6"/>
  <c r="Y29" i="6" s="1"/>
  <c r="X32" i="6"/>
  <c r="Y32" i="6" s="1"/>
  <c r="V37" i="6"/>
  <c r="W37" i="6" s="1"/>
  <c r="V34" i="6"/>
  <c r="W34" i="6" s="1"/>
  <c r="X13" i="6"/>
  <c r="Y13" i="6" s="1"/>
  <c r="V15" i="6"/>
  <c r="W15" i="6" s="1"/>
  <c r="V28" i="6"/>
  <c r="W28" i="6" s="1"/>
  <c r="X31" i="6"/>
  <c r="Y31" i="6" s="1"/>
  <c r="E48" i="6"/>
  <c r="E49" i="6" s="1"/>
  <c r="V8" i="6"/>
  <c r="W8" i="6" s="1"/>
  <c r="V11" i="6"/>
  <c r="W11" i="6" s="1"/>
  <c r="V14" i="6"/>
  <c r="W14" i="6" s="1"/>
  <c r="X19" i="6"/>
  <c r="Y19" i="6" s="1"/>
  <c r="X22" i="6"/>
  <c r="Y22" i="6" s="1"/>
  <c r="V21" i="6"/>
  <c r="W21" i="6" s="1"/>
  <c r="V23" i="6"/>
  <c r="W23" i="6" s="1"/>
  <c r="V24" i="6"/>
  <c r="W24" i="6" s="1"/>
  <c r="V25" i="6"/>
  <c r="W25" i="6" s="1"/>
  <c r="X34" i="6"/>
  <c r="Y34" i="6" s="1"/>
  <c r="X8" i="6"/>
  <c r="Y8" i="6" s="1"/>
  <c r="X12" i="6"/>
  <c r="Y12" i="6" s="1"/>
  <c r="V18" i="6"/>
  <c r="W18" i="6" s="1"/>
  <c r="V29" i="6"/>
  <c r="W29" i="6" s="1"/>
  <c r="V36" i="6"/>
  <c r="W36" i="6" s="1"/>
  <c r="X30" i="6"/>
  <c r="Y30" i="6" s="1"/>
  <c r="X28" i="6"/>
  <c r="Y28" i="6" s="1"/>
  <c r="V26" i="6"/>
  <c r="W26" i="6" s="1"/>
  <c r="X24" i="6"/>
  <c r="Y24" i="6" s="1"/>
  <c r="V20" i="6"/>
  <c r="W20" i="6" s="1"/>
  <c r="X20" i="6"/>
  <c r="Y20" i="6" s="1"/>
  <c r="V16" i="6"/>
  <c r="W16" i="6" s="1"/>
  <c r="X16" i="6"/>
  <c r="Y16" i="6" s="1"/>
  <c r="X14" i="6"/>
  <c r="Y14" i="6" s="1"/>
  <c r="V12" i="6"/>
  <c r="W12" i="6" s="1"/>
  <c r="V6" i="6"/>
  <c r="W6" i="6" s="1"/>
  <c r="X7" i="6"/>
  <c r="Y7" i="6" s="1"/>
  <c r="X9" i="6"/>
  <c r="Y9" i="6" s="1"/>
  <c r="V10" i="6"/>
  <c r="W10" i="6" s="1"/>
  <c r="X6" i="6"/>
  <c r="Y6" i="6" s="1"/>
  <c r="X5" i="6"/>
  <c r="Y5" i="6" s="1"/>
  <c r="L69" i="5"/>
  <c r="E54" i="6" l="1"/>
  <c r="E51" i="6"/>
  <c r="E52" i="6" s="1"/>
  <c r="E60" i="6"/>
  <c r="E55" i="6"/>
  <c r="E56" i="6" s="1"/>
  <c r="G49" i="6"/>
  <c r="G48" i="6"/>
  <c r="W11" i="5"/>
  <c r="W12" i="5"/>
  <c r="W13" i="5"/>
  <c r="W14" i="5"/>
  <c r="W15" i="5"/>
  <c r="W16" i="5"/>
  <c r="W17" i="5"/>
  <c r="W18" i="5"/>
  <c r="W19" i="5"/>
  <c r="W20" i="5"/>
  <c r="W21" i="5"/>
  <c r="W22" i="5"/>
  <c r="W23" i="5"/>
  <c r="W24" i="5"/>
  <c r="W25" i="5"/>
  <c r="W26" i="5"/>
  <c r="W27" i="5"/>
  <c r="W28" i="5"/>
  <c r="W29" i="5"/>
  <c r="W10" i="5"/>
  <c r="J22" i="5"/>
  <c r="J23" i="5"/>
  <c r="J24" i="5"/>
  <c r="J25" i="5"/>
  <c r="J26" i="5"/>
  <c r="J27" i="5"/>
  <c r="J28" i="5"/>
  <c r="J21" i="5" l="1"/>
  <c r="J20" i="5"/>
  <c r="M18" i="4"/>
  <c r="J18" i="5"/>
  <c r="J17" i="5"/>
  <c r="J16" i="5"/>
  <c r="J15" i="5"/>
  <c r="J14" i="5"/>
  <c r="J11" i="5"/>
  <c r="H19" i="5"/>
  <c r="J19" i="5" s="1"/>
  <c r="H13" i="5"/>
  <c r="J13" i="5" s="1"/>
  <c r="H12" i="5"/>
  <c r="J12" i="5" s="1"/>
  <c r="H10" i="5"/>
  <c r="J10" i="5" s="1"/>
  <c r="V122" i="4"/>
  <c r="U122" i="4"/>
  <c r="V121" i="4"/>
  <c r="U121" i="4"/>
  <c r="V120" i="4"/>
  <c r="U120" i="4"/>
  <c r="V119" i="4"/>
  <c r="U119" i="4"/>
  <c r="V118" i="4"/>
  <c r="U118" i="4"/>
  <c r="V117" i="4"/>
  <c r="U117" i="4"/>
  <c r="V113" i="4"/>
  <c r="U113" i="4"/>
  <c r="V112" i="4"/>
  <c r="U112" i="4"/>
  <c r="V111" i="4"/>
  <c r="U111" i="4"/>
  <c r="V110" i="4"/>
  <c r="U110" i="4"/>
  <c r="V109" i="4"/>
  <c r="U109" i="4"/>
  <c r="V108" i="4"/>
  <c r="U108" i="4"/>
  <c r="T87" i="4"/>
  <c r="U87" i="4" s="1"/>
  <c r="R87" i="4"/>
  <c r="S87" i="4" s="1"/>
  <c r="T86" i="4"/>
  <c r="R86" i="4"/>
  <c r="S84" i="4" s="1"/>
  <c r="T84" i="4"/>
  <c r="U84" i="4" s="1"/>
  <c r="T83" i="4"/>
  <c r="U83" i="4" s="1"/>
  <c r="R83" i="4"/>
  <c r="S83" i="4" s="1"/>
  <c r="T82" i="4"/>
  <c r="U82" i="4" s="1"/>
  <c r="R82" i="4"/>
  <c r="S82" i="4" s="1"/>
  <c r="T81" i="4"/>
  <c r="U81" i="4" s="1"/>
  <c r="R81" i="4"/>
  <c r="S81" i="4" s="1"/>
  <c r="U80" i="4"/>
  <c r="S80" i="4"/>
  <c r="R80" i="4"/>
  <c r="T79" i="4"/>
  <c r="U79" i="4" s="1"/>
  <c r="S79" i="4"/>
  <c r="R79" i="4"/>
  <c r="T78" i="4"/>
  <c r="U78" i="4" s="1"/>
  <c r="S78" i="4"/>
  <c r="R78" i="4"/>
  <c r="T77" i="4"/>
  <c r="U77" i="4" s="1"/>
  <c r="S77" i="4"/>
  <c r="R77" i="4"/>
  <c r="R85" i="4" s="1"/>
  <c r="S85" i="4" s="1"/>
  <c r="T72" i="4"/>
  <c r="U68" i="4" s="1"/>
  <c r="R71" i="4"/>
  <c r="R72" i="4" s="1"/>
  <c r="T70" i="4"/>
  <c r="U70" i="4" s="1"/>
  <c r="T69" i="4"/>
  <c r="U69" i="4" s="1"/>
  <c r="L69" i="4"/>
  <c r="T68" i="4"/>
  <c r="L61" i="4"/>
  <c r="R48" i="4"/>
  <c r="R47" i="4"/>
  <c r="R46" i="4"/>
  <c r="R45" i="4"/>
  <c r="R49" i="4" s="1"/>
  <c r="T62" i="4"/>
  <c r="R62" i="4"/>
  <c r="T19" i="4"/>
  <c r="S19" i="4"/>
  <c r="T18" i="4"/>
  <c r="N84" i="4" s="1"/>
  <c r="O84" i="4" s="1"/>
  <c r="S18" i="4"/>
  <c r="L84" i="4" s="1"/>
  <c r="N61" i="4"/>
  <c r="T17" i="4"/>
  <c r="N17" i="4"/>
  <c r="S17" i="4"/>
  <c r="T16" i="4"/>
  <c r="S16" i="4"/>
  <c r="T15" i="4"/>
  <c r="S15" i="4"/>
  <c r="T14" i="4"/>
  <c r="N60" i="4"/>
  <c r="L60" i="4"/>
  <c r="T13" i="4"/>
  <c r="N82" i="4" s="1"/>
  <c r="O82" i="4" s="1"/>
  <c r="N59" i="4"/>
  <c r="S13" i="4"/>
  <c r="L82" i="4" s="1"/>
  <c r="T12" i="4"/>
  <c r="N81" i="4" s="1"/>
  <c r="O81" i="4" s="1"/>
  <c r="N58" i="4"/>
  <c r="L58" i="4"/>
  <c r="T11" i="4"/>
  <c r="N80" i="4" s="1"/>
  <c r="O80" i="4" s="1"/>
  <c r="N57" i="4"/>
  <c r="L57" i="4"/>
  <c r="T10" i="4"/>
  <c r="N79" i="4" s="1"/>
  <c r="O79" i="4" s="1"/>
  <c r="N56" i="4"/>
  <c r="L56" i="4"/>
  <c r="T9" i="4"/>
  <c r="N78" i="4" s="1"/>
  <c r="O78" i="4" s="1"/>
  <c r="N9" i="4"/>
  <c r="N55" i="4"/>
  <c r="L68" i="4"/>
  <c r="T8" i="4"/>
  <c r="N8" i="4"/>
  <c r="S8" i="4"/>
  <c r="T7" i="4"/>
  <c r="S7" i="4"/>
  <c r="N7" i="4"/>
  <c r="N70" i="4"/>
  <c r="T6" i="4"/>
  <c r="S6" i="4"/>
  <c r="T5" i="4"/>
  <c r="N77" i="4" s="1"/>
  <c r="N5" i="4"/>
  <c r="L54" i="4"/>
  <c r="N88" i="4"/>
  <c r="O88" i="4" s="1"/>
  <c r="N83" i="4" l="1"/>
  <c r="O83" i="4" s="1"/>
  <c r="T63" i="4"/>
  <c r="S48" i="4"/>
  <c r="S47" i="4"/>
  <c r="S46" i="4"/>
  <c r="S45" i="4"/>
  <c r="R63" i="4"/>
  <c r="S68" i="4"/>
  <c r="S69" i="4"/>
  <c r="S71" i="4"/>
  <c r="S70" i="4"/>
  <c r="K5" i="4" a="1"/>
  <c r="S10" i="4"/>
  <c r="L79" i="4" s="1"/>
  <c r="S11" i="4"/>
  <c r="L80" i="4" s="1"/>
  <c r="N69" i="4"/>
  <c r="T85" i="4"/>
  <c r="U85" i="4" s="1"/>
  <c r="N86" i="4"/>
  <c r="O86" i="4" s="1"/>
  <c r="S5" i="4"/>
  <c r="S12" i="4"/>
  <c r="L81" i="4" s="1"/>
  <c r="L4" i="4"/>
  <c r="S9" i="4"/>
  <c r="L78" i="4" s="1"/>
  <c r="S14" i="4"/>
  <c r="L83" i="4" s="1"/>
  <c r="N54" i="4"/>
  <c r="L55" i="4"/>
  <c r="L62" i="4" s="1"/>
  <c r="L59" i="4"/>
  <c r="N68" i="4"/>
  <c r="L70" i="4"/>
  <c r="T71" i="4"/>
  <c r="U71" i="4" s="1"/>
  <c r="U72" i="4" s="1"/>
  <c r="N87" i="4"/>
  <c r="O87" i="4" s="1"/>
  <c r="K14" i="4" a="1"/>
  <c r="L87" i="4" l="1"/>
  <c r="M87" i="4" s="1"/>
  <c r="M61" i="4"/>
  <c r="M56" i="4"/>
  <c r="M58" i="4"/>
  <c r="M57" i="4"/>
  <c r="M54" i="4"/>
  <c r="M60" i="4"/>
  <c r="S60" i="4"/>
  <c r="S58" i="4"/>
  <c r="S56" i="4"/>
  <c r="S54" i="4"/>
  <c r="S61" i="4"/>
  <c r="S59" i="4"/>
  <c r="S57" i="4"/>
  <c r="S55" i="4"/>
  <c r="U61" i="4"/>
  <c r="U59" i="4"/>
  <c r="U57" i="4"/>
  <c r="U55" i="4"/>
  <c r="U60" i="4"/>
  <c r="U58" i="4"/>
  <c r="U56" i="4"/>
  <c r="U54" i="4"/>
  <c r="K14" i="4"/>
  <c r="N62" i="4"/>
  <c r="L5" i="4" a="1"/>
  <c r="L5" i="4" s="1"/>
  <c r="L14" i="4" a="1"/>
  <c r="L14" i="4" s="1"/>
  <c r="N71" i="4"/>
  <c r="O70" i="4" s="1"/>
  <c r="L71" i="4"/>
  <c r="U62" i="4"/>
  <c r="M10" i="4"/>
  <c r="O10" i="4" s="1"/>
  <c r="K5" i="4"/>
  <c r="S72" i="4"/>
  <c r="M59" i="4"/>
  <c r="L86" i="4"/>
  <c r="M79" i="4" s="1"/>
  <c r="L77" i="4"/>
  <c r="M77" i="4" s="1"/>
  <c r="M55" i="4"/>
  <c r="L88" i="4"/>
  <c r="M88" i="4" s="1"/>
  <c r="S62" i="4"/>
  <c r="S49" i="4"/>
  <c r="O77" i="4"/>
  <c r="O69" i="4" l="1"/>
  <c r="M8" i="4"/>
  <c r="O8" i="4" s="1"/>
  <c r="O68" i="4"/>
  <c r="M86" i="4"/>
  <c r="M84" i="4"/>
  <c r="M82" i="4"/>
  <c r="M13" i="4"/>
  <c r="O13" i="4" s="1"/>
  <c r="M12" i="4"/>
  <c r="O12" i="4" s="1"/>
  <c r="M11" i="4"/>
  <c r="O11" i="4" s="1"/>
  <c r="M81" i="4"/>
  <c r="M78" i="4"/>
  <c r="M83" i="4"/>
  <c r="M6" i="4"/>
  <c r="O6" i="4" s="1"/>
  <c r="M7" i="4"/>
  <c r="O7" i="4" s="1"/>
  <c r="O71" i="4"/>
  <c r="O57" i="4"/>
  <c r="O60" i="4"/>
  <c r="O59" i="4"/>
  <c r="O58" i="4"/>
  <c r="O61" i="4"/>
  <c r="O55" i="4"/>
  <c r="O56" i="4"/>
  <c r="M16" i="4"/>
  <c r="O16" i="4" s="1"/>
  <c r="U63" i="4"/>
  <c r="S63" i="4"/>
  <c r="M80" i="4"/>
  <c r="M5" i="4"/>
  <c r="M9" i="4"/>
  <c r="O9" i="4" s="1"/>
  <c r="M69" i="4"/>
  <c r="M68" i="4"/>
  <c r="O54" i="4"/>
  <c r="M19" i="4"/>
  <c r="M70" i="4"/>
  <c r="M15" i="4"/>
  <c r="O15" i="4" s="1"/>
  <c r="M14" i="4"/>
  <c r="O14" i="4" s="1"/>
  <c r="M17" i="4"/>
  <c r="O17" i="4" s="1"/>
  <c r="M62" i="4"/>
  <c r="J25" i="3"/>
  <c r="C25" i="3"/>
  <c r="J24" i="3"/>
  <c r="C24" i="3"/>
  <c r="H15" i="2"/>
  <c r="H14" i="2"/>
  <c r="H12" i="2"/>
  <c r="H11" i="2"/>
  <c r="C29" i="2" s="1"/>
  <c r="H10" i="2"/>
  <c r="H8" i="2"/>
  <c r="H7" i="2"/>
  <c r="H6" i="2"/>
  <c r="C30" i="2" s="1"/>
  <c r="O62" i="4" l="1"/>
  <c r="L24" i="4"/>
  <c r="L23" i="4"/>
  <c r="O5" i="4"/>
  <c r="L22" i="4"/>
  <c r="M71" i="4"/>
  <c r="O19" i="4"/>
  <c r="O18" i="4"/>
  <c r="L25" i="4" l="1"/>
  <c r="L48" i="4"/>
  <c r="L47" i="4"/>
  <c r="L46" i="4"/>
  <c r="L45" i="4"/>
  <c r="L49" i="4" l="1"/>
  <c r="M45" i="4" s="1"/>
  <c r="M48" i="4" l="1"/>
  <c r="M47" i="4"/>
  <c r="M46" i="4"/>
  <c r="M4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tc={B5DC5291-6A6D-48C7-A6C7-D48CFE382A60}</author>
    <author>tc={554B21F3-EFB7-49C5-962B-7A8B26EF7170}</author>
    <author>tc={8A7D8302-9A73-4C71-B1C6-4B3DCE14D226}</author>
    <author>tc={EC31951F-36DB-4BB9-889B-66C815AE699D}</author>
    <author>tc={0366A16D-EEAC-403F-96A9-4310780EA050}</author>
    <author>tc={4262ED9D-7D4D-4979-A886-69ABD815975C}</author>
    <author>tc={D776B7B1-62B5-4346-9580-94152522D5BD}</author>
    <author>tc={BA761599-396A-49D5-AA6D-4BC19FBDF2BD}</author>
    <author>tc={E320C1C6-DE32-49A6-870A-0918B7BE0E85}</author>
    <author>tc={21204627-F6DC-4143-9567-33068CB8C7FA}</author>
    <author>tc={9873AE17-3FF6-4804-B27E-E3E701DD8B0C}</author>
    <author>tc={56DB3520-C5F7-4FA4-B4D9-82B6B2808C68}</author>
    <author>tc={91993813-061C-47E7-A3AB-2463BC6DB191}</author>
    <author>tc={10EC9C8E-F434-45E3-B814-D8578688DD09}</author>
    <author>tc={2E6F47D5-070C-44D3-BAB1-67ADAE18466B}</author>
    <author>tc={0023FFC6-039A-46E8-8E63-6F287132D253}</author>
    <author>tc={70A75F81-4CAB-4384-A689-206C8CFA0516}</author>
    <author>tc={99DC78EC-4683-44A1-AD26-041BE706B124}</author>
    <author>tc={CD64E6C6-5474-4A71-9BAB-A199E58F34DC}</author>
    <author>tc={D2921E57-2D44-4B35-989E-5AA00252E3C8}</author>
    <author>tc={1371A6D2-3AC0-4404-BBF4-3F45CF4B722B}</author>
    <author>tc={7AF6FB8E-74D6-4C88-BA41-503CE35E7727}</author>
    <author>tc={4D46370C-7FFD-4489-9A9B-2DC1439F982E}</author>
  </authors>
  <commentList>
    <comment ref="P3" authorId="0" shapeId="0" xr:uid="{B5DC5291-6A6D-48C7-A6C7-D48CFE382A60}">
      <text>
        <t>[Comentario encadenado]
Su versión de Excel le permite leer este comentario encadenado; sin embargo, las ediciones que se apliquen se quitarán si el archivo se abre en una versión más reciente de Excel. Más información: https://go.microsoft.com/fwlink/?linkid=870924
Comentario:
    BP is Beam Pump, PCP is Progressive Cavity Pump, ESP is Electrical Submersible Pump</t>
      </text>
    </comment>
    <comment ref="Q3" authorId="1" shapeId="0" xr:uid="{554B21F3-EFB7-49C5-962B-7A8B26EF7170}">
      <text>
        <t>[Comentario encadenado]
Su versión de Excel le permite leer este comentario encadenado; sin embargo, las ediciones que se apliquen se quitarán si el archivo se abre en una versión más reciente de Excel. Más información: https://go.microsoft.com/fwlink/?linkid=870924
Comentario:
    WI is Water Injection; GI is Gas Injection</t>
      </text>
    </comment>
    <comment ref="R3" authorId="2" shapeId="0" xr:uid="{8A7D8302-9A73-4C71-B1C6-4B3DCE14D226}">
      <text>
        <t>[Comentario encadenado]
Su versión de Excel le permite leer este comentario encadenado; sin embargo, las ediciones que se apliquen se quitarán si el archivo se abre en una versión más reciente de Excel. Más información: https://go.microsoft.com/fwlink/?linkid=870924
Comentario:
    SI is Steam Injection; AI is Air Injection; CHI is Chemical Inyection (includes Polymer and/or surfractant injection); nnI is Nanofluids Inections; NI is Nitrogen Injection; SAG is surfractang alternative gas</t>
      </text>
    </comment>
    <comment ref="Q43" authorId="3" shapeId="0" xr:uid="{EC31951F-36DB-4BB9-889B-66C815AE699D}">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ANH (https://www.anh.gov.co/documents/4172/Cuencas_Sedimentarias_de_Colombia_PDF.pdf)</t>
      </text>
    </comment>
    <comment ref="Q66" authorId="4" shapeId="0" xr:uid="{0366A16D-EEAC-403F-96A9-4310780EA05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Upstream Characterization UPME (2021)</t>
      </text>
    </comment>
    <comment ref="T72" authorId="5" shapeId="0" xr:uid="{4262ED9D-7D4D-4979-A886-69ABD815975C}">
      <text>
        <t>[Comentario encadenado]
Su versión de Excel le permite leer este comentario encadenado; sin embargo, las ediciones que se apliquen se quitarán si el archivo se abre en una versión más reciente de Excel. Más información: https://go.microsoft.com/fwlink/?linkid=870924
Comentario:
    ANH use to report de fiscalized gas that includes:  Gas lift + Reinjected gas + Gas to plant + transformed gas + gas to gaseoduct.
In 2018 the fiscalized gas production was 2253 Mscf/d, but the commercialized gas production was 1050 Mscf/d.
in 2010 the commercialized gas was 1040 Mscf/d.
Respuesta:
    https://www.valoraanalitik.com/2019/01/16/colombia-cerro-el-2018-con-record-en-produccion-de-gas-y-petroleo/</t>
      </text>
    </comment>
    <comment ref="R76" authorId="6" shapeId="0" xr:uid="{D776B7B1-62B5-4346-9580-94152522D5BD}">
      <text>
        <t>[Comentario encadenado]
Su versión de Excel le permite leer este comentario encadenado; sin embargo, las ediciones que se apliquen se quitarán si el archivo se abre en una versión más reciente de Excel. Más información: https://go.microsoft.com/fwlink/?linkid=870924
Comentario:
    Data from ANH report: Reserves 2018</t>
      </text>
    </comment>
    <comment ref="T77" authorId="7" shapeId="0" xr:uid="{BA761599-396A-49D5-AA6D-4BC19FBDF2BD}">
      <text>
        <t>[Comentario encadenado]
Su versión de Excel le permite leer este comentario encadenado; sin embargo, las ediciones que se apliquen se quitarán si el archivo se abre en una versión más reciente de Excel. Más información: https://go.microsoft.com/fwlink/?linkid=870924
Comentario:
    Chichimene + Apiay + 10 oilfields</t>
      </text>
    </comment>
    <comment ref="R78" authorId="8" shapeId="0" xr:uid="{E320C1C6-DE32-49A6-870A-0918B7BE0E85}">
      <text>
        <t>[Comentario encadenado]
Su versión de Excel le permite leer este comentario encadenado; sin embargo, las ediciones que se apliquen se quitarán si el archivo se abre en una versión más reciente de Excel. Más información: https://go.microsoft.com/fwlink/?linkid=870924
Comentario:
    Infantas + la Cira + Lisama + LLanito + Yarigui-Cantagallo</t>
      </text>
    </comment>
    <comment ref="T78" authorId="9" shapeId="0" xr:uid="{21204627-F6DC-4143-9567-33068CB8C7FA}">
      <text>
        <t>[Comentario encadenado]
Su versión de Excel le permite leer este comentario encadenado; sin embargo, las ediciones que se apliquen se quitarán si el archivo se abre en una versión más reciente de Excel. Más información: https://go.microsoft.com/fwlink/?linkid=870924
Comentario:
    Cira + Infantas + Yarigui-Cantagallo +12 oilfields</t>
      </text>
    </comment>
    <comment ref="R79" authorId="10" shapeId="0" xr:uid="{9873AE17-3FF6-4804-B27E-E3E701DD8B0C}">
      <text>
        <t>[Comentario encadenado]
Su versión de Excel le permite leer este comentario encadenado; sin embargo, las ediciones que se apliquen se quitarán si el archivo se abre en una versión más reciente de Excel. Más información: https://go.microsoft.com/fwlink/?linkid=870924
Comentario:
    Caño limon + 24 campos</t>
      </text>
    </comment>
    <comment ref="T79" authorId="11" shapeId="0" xr:uid="{56DB3520-C5F7-4FA4-B4D9-82B6B2808C68}">
      <text>
        <t>[Comentario encadenado]
Su versión de Excel le permite leer este comentario encadenado; sin embargo, las ediciones que se apliquen se quitarán si el archivo se abre en una versión más reciente de Excel. Más información: https://go.microsoft.com/fwlink/?linkid=870924
Comentario:
    Andina + Capachos</t>
      </text>
    </comment>
    <comment ref="R80" authorId="12" shapeId="0" xr:uid="{91993813-061C-47E7-A3AB-2463BC6DB191}">
      <text>
        <t>[Comentario encadenado]
Su versión de Excel le permite leer este comentario encadenado; sin embargo, las ediciones que se apliquen se quitarán si el archivo se abre en una versión más reciente de Excel. Más información: https://go.microsoft.com/fwlink/?linkid=870924
Comentario:
    Boquete + cicuco (Yarigui-Cantagallo is not considered as part of Bolivar Department but Santander)</t>
      </text>
    </comment>
    <comment ref="R81" authorId="13" shapeId="0" xr:uid="{10EC9C8E-F434-45E3-B814-D8578688DD09}">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Nare + Peñas Blancas + Teca-Corcona</t>
      </text>
    </comment>
    <comment ref="T81" authorId="14" shapeId="0" xr:uid="{2E6F47D5-070C-44D3-BAB1-67ADAE1846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Peñas Blancas</t>
      </text>
    </comment>
    <comment ref="R82" authorId="15" shapeId="0" xr:uid="{0023FFC6-039A-46E8-8E63-6F287132D253}">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Girasol + Moriche + Velasquez + 8 oilfields</t>
      </text>
    </comment>
    <comment ref="T82" authorId="16" shapeId="0" xr:uid="{70A75F81-4CAB-4384-A689-206C8CFA0516}">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+ 5 gasfields</t>
      </text>
    </comment>
    <comment ref="T83" authorId="17" shapeId="0" xr:uid="{99DC78EC-4683-44A1-AD26-041BE706B124}">
      <text>
        <t>[Comentario encadenado]
Su versión de Excel le permite leer este comentario encadenado; sin embargo, las ediciones que se apliquen se quitarán si el archivo se abre en una versión más reciente de Excel. Más información: https://go.microsoft.com/fwlink/?linkid=870924
Comentario:
    Cupiagua + Cusiana + Pauto + 9 gasfields</t>
      </text>
    </comment>
    <comment ref="T84" authorId="18" shapeId="0" xr:uid="{CD64E6C6-5474-4A71-9BAB-A199E58F34DC}">
      <text>
        <t>[Comentario encadenado]
Su versión de Excel le permite leer este comentario encadenado; sin embargo, las ediciones que se apliquen se quitarán si el archivo se abre en una versión más reciente de Excel. Más información: https://go.microsoft.com/fwlink/?linkid=870924
Comentario:
    Ballena + Chuchupa</t>
      </text>
    </comment>
    <comment ref="R87" authorId="19" shapeId="0" xr:uid="{D2921E57-2D44-4B35-989E-5AA00252E3C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T87" authorId="20" shapeId="0" xr:uid="{1371A6D2-3AC0-4404-BBF4-3F45CF4B722B}">
      <text>
        <t>[Comentario encadenado]
Su versión de Excel le permite leer este comentario encadenado; sin embargo, las ediciones que se apliquen se quitarán si el archivo se abre en una versión más reciente de Excel. Más información: https://go.microsoft.com/fwlink/?linkid=870924
Comentario:
    1 Equivalent oil barrel is about 5800 scf</t>
      </text>
    </comment>
    <comment ref="R97" authorId="21" shapeId="0" xr:uid="{7AF6FB8E-74D6-4C88-BA41-503CE35E772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Q104" authorId="22" shapeId="0" xr:uid="{4D46370C-7FFD-4489-9A9B-2DC1439F982E}">
      <text>
        <t>[Comentario encadenado]
Su versión de Excel le permite leer este comentario encadenado; sin embargo, las ediciones que se apliquen se quitarán si el archivo se abre en una versión más reciente de Excel. Más información: https://go.microsoft.com/fwlink/?linkid=870924
Comentario:
    Boletin Estadistico UPME 2016-2020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14" authorId="0" shapeId="0" xr:uid="{5CE050FF-93C8-4615-962A-5AA0CF055401}">
      <text>
        <r>
          <rPr>
            <b/>
            <sz val="9"/>
            <color indexed="81"/>
            <rFont val="Tahoma"/>
            <family val="2"/>
          </rPr>
          <t>JULIAN:</t>
        </r>
        <r>
          <rPr>
            <sz val="9"/>
            <color indexed="81"/>
            <rFont val="Tahoma"/>
            <family val="2"/>
          </rPr>
          <t xml:space="preserve">
Solo vapor.</t>
        </r>
      </text>
    </comment>
    <comment ref="H19" authorId="0" shapeId="0" xr:uid="{78FA5C3E-FBEC-478B-9831-B39B9B1AFCF3}">
      <text>
        <r>
          <rPr>
            <b/>
            <sz val="9"/>
            <color indexed="81"/>
            <rFont val="Tahoma"/>
            <family val="2"/>
          </rPr>
          <t>JULIAN:</t>
        </r>
        <r>
          <rPr>
            <sz val="9"/>
            <color indexed="81"/>
            <rFont val="Tahoma"/>
            <family val="2"/>
          </rPr>
          <t xml:space="preserve">
spe-165273-ms</t>
        </r>
      </text>
    </comment>
    <comment ref="F20" authorId="0" shapeId="0" xr:uid="{DE8560AF-5AB2-4013-8AF3-6844F3059CD7}">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20" authorId="0" shapeId="0" xr:uid="{01A969F5-E461-4A2F-8FBE-B9028ED47E08}">
      <text>
        <r>
          <rPr>
            <b/>
            <sz val="9"/>
            <color indexed="81"/>
            <rFont val="Tahoma"/>
            <family val="2"/>
          </rPr>
          <t>JULIAN:</t>
        </r>
        <r>
          <rPr>
            <sz val="9"/>
            <color indexed="81"/>
            <rFont val="Tahoma"/>
            <family val="2"/>
          </rPr>
          <t xml:space="preserve">
spe-138979-ms</t>
        </r>
      </text>
    </comment>
    <comment ref="H21" authorId="0" shapeId="0" xr:uid="{6288EEEB-DAF1-45BE-AF4C-04A68E673B2B}">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H27" authorId="0" shapeId="0" xr:uid="{C33829CA-6689-4899-AF2E-8952799C8150}">
      <text>
        <r>
          <rPr>
            <b/>
            <sz val="9"/>
            <color indexed="81"/>
            <rFont val="Tahoma"/>
            <family val="2"/>
          </rPr>
          <t>JULIAN:</t>
        </r>
        <r>
          <rPr>
            <sz val="9"/>
            <color indexed="81"/>
            <rFont val="Tahoma"/>
            <family val="2"/>
          </rPr>
          <t xml:space="preserve">
spe-171080-ms</t>
        </r>
      </text>
    </comment>
    <comment ref="H28" authorId="0" shapeId="0" xr:uid="{27C51FFF-2D42-4B99-A400-DC69AE98C290}">
      <text>
        <r>
          <rPr>
            <b/>
            <sz val="9"/>
            <color indexed="81"/>
            <rFont val="Tahoma"/>
            <family val="2"/>
          </rPr>
          <t>JULIAN:</t>
        </r>
        <r>
          <rPr>
            <sz val="9"/>
            <color indexed="81"/>
            <rFont val="Tahoma"/>
            <family val="2"/>
          </rPr>
          <t xml:space="preserve">
9-16 api</t>
        </r>
      </text>
    </comment>
    <comment ref="H30" authorId="0" shapeId="0" xr:uid="{0F3595B5-5B17-480E-A542-C345D9B61EC8}">
      <text>
        <r>
          <rPr>
            <b/>
            <sz val="9"/>
            <color indexed="81"/>
            <rFont val="Tahoma"/>
            <family val="2"/>
          </rPr>
          <t>JULIAN:</t>
        </r>
        <r>
          <rPr>
            <sz val="9"/>
            <color indexed="81"/>
            <rFont val="Tahoma"/>
            <family val="2"/>
          </rPr>
          <t xml:space="preserve">
http://www.scielo.org.co/scielo.php?script=sci_arttext&amp;pid=S0122-53832001000100009
Usa gas lift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2" authorId="0" shapeId="0" xr:uid="{9A7E7D35-8E04-4306-B9E3-CEF0D97B40FA}">
      <text>
        <r>
          <rPr>
            <b/>
            <sz val="9"/>
            <color indexed="81"/>
            <rFont val="Tahoma"/>
            <family val="2"/>
          </rPr>
          <t>JULIAN:</t>
        </r>
        <r>
          <rPr>
            <sz val="9"/>
            <color indexed="81"/>
            <rFont val="Tahoma"/>
            <family val="2"/>
          </rPr>
          <t xml:space="preserve">
spe-171080-ms</t>
        </r>
      </text>
    </comment>
    <comment ref="H23" authorId="0" shapeId="0" xr:uid="{DEED395F-1D1B-424C-A1A8-2483B506D4A8}">
      <text>
        <r>
          <rPr>
            <b/>
            <sz val="9"/>
            <color indexed="81"/>
            <rFont val="Tahoma"/>
            <family val="2"/>
          </rPr>
          <t>JULIAN:</t>
        </r>
        <r>
          <rPr>
            <sz val="9"/>
            <color indexed="81"/>
            <rFont val="Tahoma"/>
            <family val="2"/>
          </rPr>
          <t xml:space="preserve">
spe-165273-ms</t>
        </r>
      </text>
    </comment>
    <comment ref="F24" authorId="0" shapeId="0" xr:uid="{3AEA3F1E-ACF2-42CF-9928-7D104AA72A5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24" authorId="0" shapeId="0" xr:uid="{721FB5EC-A40A-4A58-9A4A-3D991283EEA3}">
      <text>
        <r>
          <rPr>
            <b/>
            <sz val="9"/>
            <color indexed="81"/>
            <rFont val="Tahoma"/>
            <family val="2"/>
          </rPr>
          <t>JULIAN:</t>
        </r>
        <r>
          <rPr>
            <sz val="9"/>
            <color indexed="81"/>
            <rFont val="Tahoma"/>
            <family val="2"/>
          </rPr>
          <t xml:space="preserve">
spe-138979-ms</t>
        </r>
      </text>
    </comment>
    <comment ref="H25" authorId="0" shapeId="0" xr:uid="{021120BA-4355-4767-B534-349B36E47141}">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H26" authorId="0" shapeId="0" xr:uid="{AB424C1A-019E-4FB3-9CA1-987A9D0ACC1F}">
      <text>
        <r>
          <rPr>
            <b/>
            <sz val="9"/>
            <color indexed="81"/>
            <rFont val="Tahoma"/>
            <family val="2"/>
          </rPr>
          <t>JULIAN:</t>
        </r>
        <r>
          <rPr>
            <sz val="9"/>
            <color indexed="81"/>
            <rFont val="Tahoma"/>
            <family val="2"/>
          </rPr>
          <t xml:space="preserve">
9-16 api</t>
        </r>
      </text>
    </comment>
    <comment ref="H27" authorId="0" shapeId="0" xr:uid="{03F48D67-635D-40EF-8147-C3E6BDC78A04}">
      <text>
        <r>
          <rPr>
            <b/>
            <sz val="9"/>
            <color indexed="81"/>
            <rFont val="Tahoma"/>
            <family val="2"/>
          </rPr>
          <t>JULIAN:</t>
        </r>
        <r>
          <rPr>
            <sz val="9"/>
            <color indexed="81"/>
            <rFont val="Tahoma"/>
            <family val="2"/>
          </rPr>
          <t xml:space="preserve">
Solo vapor.</t>
        </r>
      </text>
    </comment>
    <comment ref="H29" authorId="0" shapeId="0" xr:uid="{8FF7CB05-762A-4817-8177-C646D05EFBD9}">
      <text>
        <r>
          <rPr>
            <b/>
            <sz val="9"/>
            <color indexed="81"/>
            <rFont val="Tahoma"/>
            <family val="2"/>
          </rPr>
          <t>JULIAN:</t>
        </r>
        <r>
          <rPr>
            <sz val="9"/>
            <color indexed="81"/>
            <rFont val="Tahoma"/>
            <family val="2"/>
          </rPr>
          <t xml:space="preserve">
http://www.scielo.org.co/scielo.php?script=sci_arttext&amp;pid=S0122-53832001000100009
Usa gas lift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1272EF-5D77-4F82-AF39-0C76AD9EB519}" keepAlive="1" name="Consulta - Akacias_" description="Conexión a la consulta 'Akacias_' en el libro." type="5" refreshedVersion="8" background="1" saveData="1">
    <dbPr connection="Provider=Microsoft.Mashup.OleDb.1;Data Source=$Workbook$;Location=Akacias_;Extended Properties=&quot;&quot;" command="SELECT * FROM [Akacias_]"/>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0"/>
        </ext>
      </extLst>
    </bk>
    <bk>
      <extLst>
        <ext uri="{3e2802c4-a4d2-4d8b-9148-e3be6c30e623}">
          <xlrd:rvb i="10"/>
        </ext>
      </extLst>
    </bk>
    <bk>
      <extLst>
        <ext uri="{3e2802c4-a4d2-4d8b-9148-e3be6c30e623}">
          <xlrd:rvb i="18"/>
        </ext>
      </extLst>
    </bk>
    <bk>
      <extLst>
        <ext uri="{3e2802c4-a4d2-4d8b-9148-e3be6c30e623}">
          <xlrd:rvb i="26"/>
        </ext>
      </extLst>
    </bk>
    <bk>
      <extLst>
        <ext uri="{3e2802c4-a4d2-4d8b-9148-e3be6c30e623}">
          <xlrd:rvb i="35"/>
        </ext>
      </extLst>
    </bk>
    <bk>
      <extLst>
        <ext uri="{3e2802c4-a4d2-4d8b-9148-e3be6c30e623}">
          <xlrd:rvb i="44"/>
        </ext>
      </extLst>
    </bk>
    <bk>
      <extLst>
        <ext uri="{3e2802c4-a4d2-4d8b-9148-e3be6c30e623}">
          <xlrd:rvb i="52"/>
        </ext>
      </extLst>
    </bk>
    <bk>
      <extLst>
        <ext uri="{3e2802c4-a4d2-4d8b-9148-e3be6c30e623}">
          <xlrd:rvb i="61"/>
        </ext>
      </extLst>
    </bk>
    <bk>
      <extLst>
        <ext uri="{3e2802c4-a4d2-4d8b-9148-e3be6c30e623}">
          <xlrd:rvb i="70"/>
        </ext>
      </extLst>
    </bk>
    <bk>
      <extLst>
        <ext uri="{3e2802c4-a4d2-4d8b-9148-e3be6c30e623}">
          <xlrd:rvb i="78"/>
        </ext>
      </extLst>
    </bk>
    <bk>
      <extLst>
        <ext uri="{3e2802c4-a4d2-4d8b-9148-e3be6c30e623}">
          <xlrd:rvb i="86"/>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sharedStrings.xml><?xml version="1.0" encoding="utf-8"?>
<sst xmlns="http://schemas.openxmlformats.org/spreadsheetml/2006/main" count="1465" uniqueCount="575">
  <si>
    <t>2. Oil and Gas Production by Oilfield (TOP 5) at 2018</t>
  </si>
  <si>
    <t>Characteristic / Main features</t>
  </si>
  <si>
    <t>Order by oil production</t>
  </si>
  <si>
    <t>Department</t>
  </si>
  <si>
    <t>City-town-location</t>
  </si>
  <si>
    <t>Basin</t>
  </si>
  <si>
    <t>Oilfield</t>
  </si>
  <si>
    <t>Company</t>
  </si>
  <si>
    <t>Oil Production [B/d]</t>
  </si>
  <si>
    <t>Gas commercialized [Mscf/d]
= to Plant + to pipelines (Jun/2018)</t>
  </si>
  <si>
    <t>Gas Production [Mscf/d]</t>
  </si>
  <si>
    <t>API Gravity</t>
  </si>
  <si>
    <t>Viscocity</t>
  </si>
  <si>
    <t>Year of initial production</t>
  </si>
  <si>
    <t>Primary production formation</t>
  </si>
  <si>
    <t>Porosity (%)</t>
  </si>
  <si>
    <t>Permeability (mD)</t>
  </si>
  <si>
    <t xml:space="preserve">Reserves </t>
  </si>
  <si>
    <t>FR [%]</t>
  </si>
  <si>
    <t>Primary method</t>
  </si>
  <si>
    <t>Artificial lift method</t>
  </si>
  <si>
    <t>Water production</t>
  </si>
  <si>
    <t>Gas production</t>
  </si>
  <si>
    <t>Secondary production</t>
  </si>
  <si>
    <t>Tertiary production</t>
  </si>
  <si>
    <t>Special considerations</t>
  </si>
  <si>
    <t>Meta</t>
  </si>
  <si>
    <t>Puerto Gaitan</t>
  </si>
  <si>
    <t>Llanos Orientales</t>
  </si>
  <si>
    <t>Rubiales</t>
  </si>
  <si>
    <t>ECP</t>
  </si>
  <si>
    <t>-</t>
  </si>
  <si>
    <t>11.3 - 14.4</t>
  </si>
  <si>
    <t>310 - 730 cP @147F</t>
  </si>
  <si>
    <t>1980 (discovered) 2003-2006 (production)</t>
  </si>
  <si>
    <t>Carbonera "Arenas Basales"</t>
  </si>
  <si>
    <t>0.25 - 0.32</t>
  </si>
  <si>
    <t>5000, 50000 (5 - 13 D RU3)</t>
  </si>
  <si>
    <t>OOIP = 4608 MSTB, Reserves (2011) = 385 MSTB</t>
  </si>
  <si>
    <t>3.7% (2011)</t>
  </si>
  <si>
    <t>Water bottom drive</t>
  </si>
  <si>
    <t>PCP, ESP</t>
  </si>
  <si>
    <t>BS&amp;W = 81% (emulsion state)</t>
  </si>
  <si>
    <t>GOR = 5 - 8 scf/STB</t>
  </si>
  <si>
    <t>88% of wells are horizontals (RU 2). ALS information is contained in RU1</t>
  </si>
  <si>
    <t>Acacias/Castilla Nueva</t>
  </si>
  <si>
    <t>Castilla (c, e, n, n)</t>
  </si>
  <si>
    <t>150 cp</t>
  </si>
  <si>
    <t xml:space="preserve">1969 (discovered) and </t>
  </si>
  <si>
    <t>Guadalupe (K2, k1)</t>
  </si>
  <si>
    <t>0.2, 16-22 (CAS 2)</t>
  </si>
  <si>
    <t>500 - 10000 Md</t>
  </si>
  <si>
    <t>OOIP= 1900 MBBL (K2) OOIP= 900 MSTB (K1)</t>
  </si>
  <si>
    <t>FR=15%  Np= 198 MSTB (2007)</t>
  </si>
  <si>
    <t>Active-bottom aquifer</t>
  </si>
  <si>
    <t>ESP</t>
  </si>
  <si>
    <t>205 MBWPD</t>
  </si>
  <si>
    <t xml:space="preserve">Water injection </t>
  </si>
  <si>
    <t>Nanofluids</t>
  </si>
  <si>
    <t>Multilateral wells reduces water cut and boost oil production. CAS 1 (Some date about drilling costs). CAS2  (Nanofluids)</t>
  </si>
  <si>
    <t>Acacias/Guamal</t>
  </si>
  <si>
    <t>Chichimene</t>
  </si>
  <si>
    <t>20 (Guadalupe) / 7-9 (San Fernando)</t>
  </si>
  <si>
    <t>150-500 cp@150F (Guadalupe) and 2000-7000 cp@180F (San Fernando)</t>
  </si>
  <si>
    <t>1969 (discovered) and 1985 (production). Since 2000 is operated by ECP</t>
  </si>
  <si>
    <t>San Fernando T2, Guadalupe K1-K2</t>
  </si>
  <si>
    <t xml:space="preserve">16-22% (Guadalupe), 16-20% (San Fernando) </t>
  </si>
  <si>
    <t>500 - 10000 mD (Guadalupe) 800 - 4000 mD (San Fernando)</t>
  </si>
  <si>
    <t>OOIP = 247 MSTB (Guadalupe) and OOIP= 2577 MST (San Fernando)</t>
  </si>
  <si>
    <t>FR=16.92% (Np=41.80 MSTB)</t>
  </si>
  <si>
    <t>Gas in solution (San Fernando) and Active Aquifer (Guadalupe)</t>
  </si>
  <si>
    <t>93% of wells uses ESP, the others use PCP</t>
  </si>
  <si>
    <t>BSW=90-95% (Guadalupe) and BSW=10% (San Fernando)</t>
  </si>
  <si>
    <t>GOR= 0 (Guadalupe) GOR=200-500 scf/STB (San Fernando)</t>
  </si>
  <si>
    <t xml:space="preserve">Water injection to pressure maintenance </t>
  </si>
  <si>
    <t>ISC, Nanofluids injection</t>
  </si>
  <si>
    <t>ISC (CHI 1), Reducing skin through ChemInj (CHI 2), 70,000 bbl water is discharged (CHI 8), comparision between ESP - PCP (CHI 7, 3)</t>
  </si>
  <si>
    <t>Santander</t>
  </si>
  <si>
    <t>Barrancabermeja</t>
  </si>
  <si>
    <t>VMM</t>
  </si>
  <si>
    <t>La Cira</t>
  </si>
  <si>
    <t>20 - 25</t>
  </si>
  <si>
    <t>10 - 40cP</t>
  </si>
  <si>
    <t>1918 (discovered and produced)</t>
  </si>
  <si>
    <t>Colorado (Sand A), Mugrosa (Sand B and C). Sand C contributes over 90% oil production and reserves</t>
  </si>
  <si>
    <t xml:space="preserve">22% (Sand C), </t>
  </si>
  <si>
    <t>50 - 2000 Md</t>
  </si>
  <si>
    <t>OOIP=  3900 MSTB (CIRA 11), Reserves = 172 MMSTO (CIRA 10)</t>
  </si>
  <si>
    <t>FR = 13% (Primary production until 1957), FR= 3% (Waterflooding 1959-2005) FR= 3% (Waterflooding 2005-2018)</t>
  </si>
  <si>
    <t>BP 760 wells (76%), PCP 135 wells (14%), ESP 99 wells (10%), ESPCP 6 wells (2014)</t>
  </si>
  <si>
    <t>Produced 506000 BWPD  and Injected 618000 BWIPD (2018), Water-cut=90%.</t>
  </si>
  <si>
    <t>150 scf/STB</t>
  </si>
  <si>
    <t>Gas injection / Water Injection (since 60s) / Water injection optimization (2006)</t>
  </si>
  <si>
    <t>2014 the field has 1000 producing wells and 408 injectors (CIRA 2). 95% producing wells are under waterflooding (CIRA 9)</t>
  </si>
  <si>
    <t>Quifa</t>
  </si>
  <si>
    <t>Frontera</t>
  </si>
  <si>
    <t>13 - 14</t>
  </si>
  <si>
    <t>180 - 300 cP@Reservoir</t>
  </si>
  <si>
    <t>2008 (discovered) 2010 (production)</t>
  </si>
  <si>
    <t>0.25 - 0.33</t>
  </si>
  <si>
    <t>5000 - 10000</t>
  </si>
  <si>
    <t>OOIP= 1500 MBBL</t>
  </si>
  <si>
    <t>12% Vertical wells, 22.3% horizontal wells (all primary production), 30% ISC</t>
  </si>
  <si>
    <t>Mainly ESP. PCP</t>
  </si>
  <si>
    <t>BS&amp;W &gt; 90% (emulsion state)</t>
  </si>
  <si>
    <t>GOR = 7 - 8 scf/STB</t>
  </si>
  <si>
    <t>ISC (2011 - 2014) Pilot</t>
  </si>
  <si>
    <t>QU 2, 3 (ISC) Q5 (Treatment), QU 7 (ALS)</t>
  </si>
  <si>
    <t>Arauca</t>
  </si>
  <si>
    <t>Llanos Orientales*</t>
  </si>
  <si>
    <t>Caño Limon</t>
  </si>
  <si>
    <t>OXY</t>
  </si>
  <si>
    <t>1983 (discovered)</t>
  </si>
  <si>
    <t>Carbonera, Units K1, K2, K3</t>
  </si>
  <si>
    <t>500 - 5000</t>
  </si>
  <si>
    <t>Reserves more than 1 MMSTB, OOIP 1.7 MMSTB</t>
  </si>
  <si>
    <t>FR=58% (1995)</t>
  </si>
  <si>
    <t>Edge-water drive</t>
  </si>
  <si>
    <t>ESP (304 in 2006) nearly 98% of active wells</t>
  </si>
  <si>
    <t>Watercut=80% this is 1 MBWD (1995), Watercut= 93% this is 2.851.721 barrels of fluids  ( CAÑO 3, 2012)</t>
  </si>
  <si>
    <t>GOR = 6 scf/STB</t>
  </si>
  <si>
    <t>Waterflooding</t>
  </si>
  <si>
    <t>394 productor wells, 9 injection wells (2012 according to CAÑO 3).  Waterflooding (CAÑO 7)
ALS consumes nearly 75% of the energy in the oilfield, and the 25% is consumed by production facilities, injection water.  Nearly 50% of the energy generated is based on diesel (CAÑO 3). Cost of energy generated is U S86/MWh and purchased energy 83 UAS/MWh, for a total an annual 96,000,000 USD</t>
  </si>
  <si>
    <t>Bolivar</t>
  </si>
  <si>
    <t>Puerto Wilches</t>
  </si>
  <si>
    <t>Yarigui-Cantagallo</t>
  </si>
  <si>
    <t>24 cP@ReservoirTemperature</t>
  </si>
  <si>
    <t>1940 (discovered) 1941 (production)</t>
  </si>
  <si>
    <t>Mainly Cantagallo sands. Mugrosa, La Paz</t>
  </si>
  <si>
    <t>0.18 - 20</t>
  </si>
  <si>
    <t>50 - 182 Md</t>
  </si>
  <si>
    <t>OOIP= 1,048 MMSTB (77% of the total)in 2015. YARI 7OOIP= 750 MMSTB in 1974.</t>
  </si>
  <si>
    <t>FR= 20.7%, Np= 155 MMSTB in 1999</t>
  </si>
  <si>
    <t xml:space="preserve">Gas in solution / water drive </t>
  </si>
  <si>
    <t>WaterCut&gt;90% (YARI 3)</t>
  </si>
  <si>
    <t>Waterflooding since 2008</t>
  </si>
  <si>
    <t>Polymer Injection</t>
  </si>
  <si>
    <t>Sand production represents costs about 913,860 USD/y (YARI 4). Waterflooding will incorporate 35  MMSTB of reserves (YARI 5). Cost data about PI is in YARI 7.</t>
  </si>
  <si>
    <t>Antioquia</t>
  </si>
  <si>
    <t>Yondo</t>
  </si>
  <si>
    <t>Casabe</t>
  </si>
  <si>
    <t>1941 (discovered)</t>
  </si>
  <si>
    <t>La Paz, Mugrosa, Colorado</t>
  </si>
  <si>
    <t>10 - 300 mD</t>
  </si>
  <si>
    <t>OOIP= 1,700 MSTB. Np= 350 MMSTB (CASA 3)</t>
  </si>
  <si>
    <t>FR@ Primary= 13% (CASA 7). FR@ Secondary=3.4%, FR@ SecondarySelective= 5.4% (CASA 5).
FR=19% (CASA 3)</t>
  </si>
  <si>
    <t>Fluid and rock expansion, solution gas drive</t>
  </si>
  <si>
    <t>PCP (61%) BP (35%)</t>
  </si>
  <si>
    <t xml:space="preserve">Watercut= 80% </t>
  </si>
  <si>
    <t>Waterflooding since 1985. Water Injection 125,000 BWPD (CASA 6). 1 BOPD to 6 BWPD (CASA 5)</t>
  </si>
  <si>
    <t>Oil, water produced and injected data (CASA 1). Water Injection Plant energy consumption (CASA 1).
ALS data  in (CASA 4)</t>
  </si>
  <si>
    <t>Boyaca</t>
  </si>
  <si>
    <t>Puerto Boyaca</t>
  </si>
  <si>
    <t>Moriche</t>
  </si>
  <si>
    <t>Mansarovar</t>
  </si>
  <si>
    <t>800 - 2600cP</t>
  </si>
  <si>
    <t>1983 (discovered) and 2008 (produced)</t>
  </si>
  <si>
    <t>Sand A and B (Chuspas Group)</t>
  </si>
  <si>
    <t>0.2 - 0.28</t>
  </si>
  <si>
    <t>300 - 2000 Md</t>
  </si>
  <si>
    <t>Np= 7 MMSTB (MORI 1), Reserves (2021)= 46 MMBL, OOIP= 1072 MMBL</t>
  </si>
  <si>
    <t>FR= 2% (MORI 1), FR= 6.3% (MORI 6)</t>
  </si>
  <si>
    <t>Gas solution, parcial water drive</t>
  </si>
  <si>
    <t>BP</t>
  </si>
  <si>
    <t>CSS (OSR)&lt; 1 STB/MMBTU</t>
  </si>
  <si>
    <t>604 wells: 522 producers and 13 injectors (MORI 2 - 2016). Energy requirements for CSS 10900 MMBTU/D (MORI 2). GHG Emissions 420.404 CO2eq (MORI 2), 10% by flaring. Steam injected is abouyt 27,000 MMBTU at 80% quality (MARI 3)</t>
  </si>
  <si>
    <t>Casanare</t>
  </si>
  <si>
    <t>Jacana + Tigana (t+ n + s +s )</t>
  </si>
  <si>
    <t>GEOPARK</t>
  </si>
  <si>
    <t>19 (Jacana)</t>
  </si>
  <si>
    <t>Jacana was discovered in 2015. Tigana was discovered in 2014.</t>
  </si>
  <si>
    <t>Cesar</t>
  </si>
  <si>
    <t>Acordionero</t>
  </si>
  <si>
    <t>GRAN TIERRA</t>
  </si>
  <si>
    <t>7 - 487cP</t>
  </si>
  <si>
    <t>2013 (production)</t>
  </si>
  <si>
    <t>Mugrosa, Colorado, Esmeralddas</t>
  </si>
  <si>
    <t>0.15-0.2</t>
  </si>
  <si>
    <t>20-6000 mD</t>
  </si>
  <si>
    <t>Waterflooding (40,000 bwpd)</t>
  </si>
  <si>
    <t>21 wells in 2018  (ARCO 1). Energy generated is based on diesel, there are data and analysis to reuse the gas produced (ARCO 1)</t>
  </si>
  <si>
    <t>All production data is taken from https://www.anh.gov.co/es/operaciones-y-regal%C3%ADas/sistemas-integrados-operaciones/estad%C3%ADsticas-de-producci%C3%B3n/</t>
  </si>
  <si>
    <t>RU2</t>
  </si>
  <si>
    <t xml:space="preserve"> RU 1, RU 2</t>
  </si>
  <si>
    <t>RU1</t>
  </si>
  <si>
    <t>RU1 (review information about AL)</t>
  </si>
  <si>
    <t>RU3</t>
  </si>
  <si>
    <t>Castilla also includes Castilla Norte and Castilla Este</t>
  </si>
  <si>
    <t>CAS 1</t>
  </si>
  <si>
    <t>CAS 2</t>
  </si>
  <si>
    <t>CAS1</t>
  </si>
  <si>
    <t>CAS 6</t>
  </si>
  <si>
    <t>CAS 3</t>
  </si>
  <si>
    <t>Chichimene also includes Chichimene SW</t>
  </si>
  <si>
    <t>CHI 6</t>
  </si>
  <si>
    <t>CHI 9, CHI 7</t>
  </si>
  <si>
    <t>CHI 4</t>
  </si>
  <si>
    <t>CHI 9</t>
  </si>
  <si>
    <t>CHI 7</t>
  </si>
  <si>
    <t>CHI 5</t>
  </si>
  <si>
    <t>CHI 8, CHI 5</t>
  </si>
  <si>
    <t>CHI 1, CHI 4</t>
  </si>
  <si>
    <t>La Cira also includes Infantas</t>
  </si>
  <si>
    <t>CIRA 11</t>
  </si>
  <si>
    <t>CIRA 1</t>
  </si>
  <si>
    <t>CIRA 11, 10</t>
  </si>
  <si>
    <t>CIRA 11, 10, 9</t>
  </si>
  <si>
    <t>CIRA 8</t>
  </si>
  <si>
    <t>CIRA 11, 9</t>
  </si>
  <si>
    <t>Tigana includes Tigana sur and tigana norte</t>
  </si>
  <si>
    <t>QU 5</t>
  </si>
  <si>
    <t>QU 2</t>
  </si>
  <si>
    <t>QU 2, QU 4</t>
  </si>
  <si>
    <t>QU 7</t>
  </si>
  <si>
    <t>QU 3</t>
  </si>
  <si>
    <t>QU5</t>
  </si>
  <si>
    <t>Acordionero also includes Acordionero-24</t>
  </si>
  <si>
    <t>CAÑO 1</t>
  </si>
  <si>
    <t>CAÑO 2</t>
  </si>
  <si>
    <t>CAÑO 1, CAÑO 3</t>
  </si>
  <si>
    <t>CAÑO 7</t>
  </si>
  <si>
    <t>Casabe also includes Casabe Sur</t>
  </si>
  <si>
    <t>https://www.geo-park.com/files/releases/Jacana_Press_Release_ESP.pdf</t>
  </si>
  <si>
    <t>https://www.grantierra.com/operations/company-snapshot</t>
  </si>
  <si>
    <t>ARCO 3</t>
  </si>
  <si>
    <t>ARCO 1</t>
  </si>
  <si>
    <t>ARCO 2</t>
  </si>
  <si>
    <t>Observation (Pending): most of gas is flared or used in oilfield. The gas is not reinjected.</t>
  </si>
  <si>
    <t>YARI 7</t>
  </si>
  <si>
    <t>YARI 3</t>
  </si>
  <si>
    <t>YARI 5, 7</t>
  </si>
  <si>
    <t>YARI 5</t>
  </si>
  <si>
    <t>YARI 3, 5</t>
  </si>
  <si>
    <t>YARI 3, 6</t>
  </si>
  <si>
    <t>CASA 3</t>
  </si>
  <si>
    <t>CASA 1</t>
  </si>
  <si>
    <t>CASA 15</t>
  </si>
  <si>
    <t>CASA 6, CASA 3</t>
  </si>
  <si>
    <t>CASA 7</t>
  </si>
  <si>
    <t>CASA 6</t>
  </si>
  <si>
    <t>CASA 7, 6</t>
  </si>
  <si>
    <t>MORI 1</t>
  </si>
  <si>
    <t>MORI 6</t>
  </si>
  <si>
    <t>MORI 3</t>
  </si>
  <si>
    <t>Oil production</t>
  </si>
  <si>
    <t>Total [B/d]</t>
  </si>
  <si>
    <t>% respect to national production</t>
  </si>
  <si>
    <t>Total [Mscf/d]</t>
  </si>
  <si>
    <t>% respect to ECP production</t>
  </si>
  <si>
    <t>Total ECP [Mscf/d]</t>
  </si>
  <si>
    <t>BP is Beam Pump, PCP is Progressive Cavity Pump, ESP is Electrical Submersible Pump</t>
  </si>
  <si>
    <t>Order by gas production</t>
  </si>
  <si>
    <t>Gas Production* [Mscf/d] June 2018</t>
  </si>
  <si>
    <t>SG gas</t>
  </si>
  <si>
    <t>Heating Value</t>
  </si>
  <si>
    <t>Aguazul</t>
  </si>
  <si>
    <t>Cupiagua (Cupiagua + Liria + Sur)</t>
  </si>
  <si>
    <t>37 (initially), 48 (current)</t>
  </si>
  <si>
    <t>HHV= 42.67 MJ/kg, LHV= 38.62 MJ/kg</t>
  </si>
  <si>
    <t>1992 (discovered) and 1996 (produced)</t>
  </si>
  <si>
    <t>Mirador, Barco, Guadalupe</t>
  </si>
  <si>
    <t>1 - 10 mD</t>
  </si>
  <si>
    <t>OOIP= 1000 MMSTB and OGIP= 4 Tcf (CUPI 3)</t>
  </si>
  <si>
    <t>FR= 42%, Frsomelayers=60%</t>
  </si>
  <si>
    <t>Gas cap expansion, solution gas drive</t>
  </si>
  <si>
    <t>280 stb/MMscf</t>
  </si>
  <si>
    <t>Gas injection, 450 MMscfd (stars 1998)</t>
  </si>
  <si>
    <t>Nanofluids and Foams, SAG</t>
  </si>
  <si>
    <t>CPF has the capacity of 16,000 BOPD and 850 MMscfd (660 from Cupiagua and 180  from Pauto/Receptor)(CUPI 1)</t>
  </si>
  <si>
    <t>Tauramena</t>
  </si>
  <si>
    <t>Cusiana (Cusiana + Norte)</t>
  </si>
  <si>
    <t>1988 (discovered) and 1994 (production)</t>
  </si>
  <si>
    <t xml:space="preserve">OOIP= 1500 MMSTB OGIP= 3 Tcf </t>
  </si>
  <si>
    <t>RF= 50% (Mirador) RF=25% (Barco, Guadalupe)</t>
  </si>
  <si>
    <t>Water injection (Barco and Guadalupe) / Gas injection (Mirador)</t>
  </si>
  <si>
    <t>SAG</t>
  </si>
  <si>
    <t>Yopal</t>
  </si>
  <si>
    <t>Pauto Sur (Sur + Recetor)</t>
  </si>
  <si>
    <t>EQUION*</t>
  </si>
  <si>
    <t>Gross= 1210 BTU/ft3, Net= 1098  BTU/ft3</t>
  </si>
  <si>
    <t>1995 (Discovered) and 2001 (production)</t>
  </si>
  <si>
    <t>Z</t>
  </si>
  <si>
    <t>0.03 - 0.05</t>
  </si>
  <si>
    <t>&lt; 10mD</t>
  </si>
  <si>
    <t>IGIP&gt; 1 Tcf. 
Reserves (Pauto&amp;Floreña)= 70 MSTB  (Light Oil)
Reserves (Pauto&amp;Floreña)= 5000 Gcf  (Gas)</t>
  </si>
  <si>
    <t>Np= 180,000 Bl &amp; Gp= 12,000 Mcf (2016)</t>
  </si>
  <si>
    <t>Natural flow</t>
  </si>
  <si>
    <t>30 - 350 STB/MMscf</t>
  </si>
  <si>
    <t>Nitrogen Injection</t>
  </si>
  <si>
    <t>Between Pauto&amp;Floreña: 25 wells: 1 water injection, 4 gas injection, 20 producer wells (PAU 8). 
Gas composition and Gas distribution in PAU 9</t>
  </si>
  <si>
    <t>Floreña (Floreña + Mirador)</t>
  </si>
  <si>
    <t>44 - 47</t>
  </si>
  <si>
    <t>Gross= 1158 BTU/ft3, Net= 1049  BTU/ft3</t>
  </si>
  <si>
    <t>Reserves (Pauto&amp;Floreña)= 70 MSTB  (Light Oil)
Reserves (Pauto&amp;Floreña)= 5000 Gcf  (Gas)</t>
  </si>
  <si>
    <t>Np= 80,000 Bl &amp; Gp=5,500 Mcf (2016)</t>
  </si>
  <si>
    <t xml:space="preserve"> P&amp;F =3000 BWPD, BSW&lt;0.5</t>
  </si>
  <si>
    <t>P&amp;F= 30000 BOPD / 180 MMscfd</t>
  </si>
  <si>
    <t>Gas injection 80 MMsfcd</t>
  </si>
  <si>
    <t>Between Pauto&amp;Floreña: 25 wells: 1 water injection, 4 gas injection, 20 producer wells (PAU 8).
Treatment in site (FLO 1, 2)
Gas composition in PAU 9</t>
  </si>
  <si>
    <t>Guajira</t>
  </si>
  <si>
    <t>Manaure</t>
  </si>
  <si>
    <t>Chuchupa</t>
  </si>
  <si>
    <t>CHEVRON</t>
  </si>
  <si>
    <t>HHV= 37.13 MJ/kg, LHV= 33.44 MJ/kg</t>
  </si>
  <si>
    <t>1973 (discovered) and 1979 (production)</t>
  </si>
  <si>
    <t>Units A, B1, B2, C</t>
  </si>
  <si>
    <t>0.2-0.3</t>
  </si>
  <si>
    <t>210mD - &gt;1 D</t>
  </si>
  <si>
    <t>OGIP: P10= 4.1 Tcf,  P50= 4.7 Tcf   P90= 5.3 Tcf</t>
  </si>
  <si>
    <t>FR=45% (2009)</t>
  </si>
  <si>
    <t>WGR= 0.2 bwpd/MMscfd</t>
  </si>
  <si>
    <t>Ballena</t>
  </si>
  <si>
    <t>OGIP= 1.5 Tcf</t>
  </si>
  <si>
    <t>FR=30% (1996)</t>
  </si>
  <si>
    <t>Cordoba</t>
  </si>
  <si>
    <t>Nelson</t>
  </si>
  <si>
    <t>GEOPRODUCTION OIL AND GAS COMPANY</t>
  </si>
  <si>
    <t>Norte de Santander</t>
  </si>
  <si>
    <t>Gibraltar</t>
  </si>
  <si>
    <t>PAU 7</t>
  </si>
  <si>
    <t>PAU 8</t>
  </si>
  <si>
    <t>PAU 5</t>
  </si>
  <si>
    <t>CUPI 8,9, PAU 10</t>
  </si>
  <si>
    <t>CUPI 1</t>
  </si>
  <si>
    <t>CUSI 7</t>
  </si>
  <si>
    <t>CUPI</t>
  </si>
  <si>
    <t>CUPI 6</t>
  </si>
  <si>
    <t>CUSI 5</t>
  </si>
  <si>
    <t>CUPI 4</t>
  </si>
  <si>
    <t>CUPI 3</t>
  </si>
  <si>
    <t>CUPI 1, 6</t>
  </si>
  <si>
    <t>CHU 3</t>
  </si>
  <si>
    <t>CUSI 7,8</t>
  </si>
  <si>
    <t>CHU 1</t>
  </si>
  <si>
    <t>CHU 5</t>
  </si>
  <si>
    <t>CUSI 8</t>
  </si>
  <si>
    <t>CUSI 2</t>
  </si>
  <si>
    <t>PAU 1, CUSI 2, CUSI 6</t>
  </si>
  <si>
    <t>CUSI 2, 4</t>
  </si>
  <si>
    <t>FLO 5</t>
  </si>
  <si>
    <t>PAU 1, FLO 5</t>
  </si>
  <si>
    <t>Deparment</t>
  </si>
  <si>
    <t>Akacias</t>
  </si>
  <si>
    <t>Dina</t>
  </si>
  <si>
    <t>San Francisco</t>
  </si>
  <si>
    <t>Tello</t>
  </si>
  <si>
    <t>Apiay</t>
  </si>
  <si>
    <t>Area Teca-Corcona</t>
  </si>
  <si>
    <t>Type of Oil producing</t>
  </si>
  <si>
    <t>Primary Recovery - SLA*</t>
  </si>
  <si>
    <t>Secondary Recovery</t>
  </si>
  <si>
    <t>Tertiary Recovery</t>
  </si>
  <si>
    <t>WI</t>
  </si>
  <si>
    <t>nnI</t>
  </si>
  <si>
    <t>AI, nnl</t>
  </si>
  <si>
    <t>ESP, PCP</t>
  </si>
  <si>
    <t>AI</t>
  </si>
  <si>
    <t>BP, PCP,. ESP</t>
  </si>
  <si>
    <t>GI, WI</t>
  </si>
  <si>
    <t>CHI</t>
  </si>
  <si>
    <t>PCP, BP</t>
  </si>
  <si>
    <t>SI</t>
  </si>
  <si>
    <t>GI</t>
  </si>
  <si>
    <t>nnI, SAG</t>
  </si>
  <si>
    <t>WI, GI</t>
  </si>
  <si>
    <t>NI</t>
  </si>
  <si>
    <t>Chichimene quema y usa el gas en campo</t>
  </si>
  <si>
    <t>Cira solo envia un pequeño porcentaje a planta para el aprovechamiento del gas</t>
  </si>
  <si>
    <t>Yarigui-Cantagallo sí envia un % del gas a oleducto</t>
  </si>
  <si>
    <t>Gas commercialized [Mscf/d]</t>
  </si>
  <si>
    <t>Oil production (&gt; 1% modeled production)</t>
  </si>
  <si>
    <t>Gas production (&gt; 1% modeled production )</t>
  </si>
  <si>
    <t>Clasification by production</t>
  </si>
  <si>
    <t>Cummulative Production in R/P@Oil (MSTB) =</t>
  </si>
  <si>
    <t>Cummulative Production en R/P GAS (Gscf - MMScf) =</t>
  </si>
  <si>
    <t>STB/d</t>
  </si>
  <si>
    <t>Mscf/d</t>
  </si>
  <si>
    <t>Oil producers</t>
  </si>
  <si>
    <t>Gas producers</t>
  </si>
  <si>
    <t>Oil and gas producers</t>
  </si>
  <si>
    <t>Total</t>
  </si>
  <si>
    <t>Oil classification by API gravity</t>
  </si>
  <si>
    <t>Lower limit</t>
  </si>
  <si>
    <t>Upper Limit</t>
  </si>
  <si>
    <t>Extra Heavy Oil</t>
  </si>
  <si>
    <t>Heavy Oil</t>
  </si>
  <si>
    <t>Medium Oil</t>
  </si>
  <si>
    <t>Light Oil</t>
  </si>
  <si>
    <t>Oil and gas production in the model and Colombia in 2018</t>
  </si>
  <si>
    <t xml:space="preserve">Colombia </t>
  </si>
  <si>
    <t>Model</t>
  </si>
  <si>
    <t>Model/Colombia</t>
  </si>
  <si>
    <t>Oil and gas production in the model (oilfields operated by ECP) and ECP in 2018</t>
  </si>
  <si>
    <t>Oil Production (STB/d)</t>
  </si>
  <si>
    <t>Oilfield in the model  by ECP</t>
  </si>
  <si>
    <t>ECP/ Model ECP</t>
  </si>
  <si>
    <t>Gas production (Mscf/d)</t>
  </si>
  <si>
    <t>Gas commercialized (Mscf/d)</t>
  </si>
  <si>
    <t>Production of the model according API gravity</t>
  </si>
  <si>
    <r>
      <t xml:space="preserve">Production of the Colombia according API gravity </t>
    </r>
    <r>
      <rPr>
        <b/>
        <sz val="11"/>
        <color rgb="FFFF0000"/>
        <rFont val="Calibri"/>
        <family val="2"/>
        <scheme val="minor"/>
      </rPr>
      <t>in 2010</t>
    </r>
  </si>
  <si>
    <t>Oil production STB/d</t>
  </si>
  <si>
    <t>Production of the model according Deparment in 2018</t>
  </si>
  <si>
    <t>Production of Colombia 2018</t>
  </si>
  <si>
    <t>%</t>
  </si>
  <si>
    <t>Gas production Mscf/d</t>
  </si>
  <si>
    <t>Other Deparments</t>
  </si>
  <si>
    <t>Production of the model according sedimentary basin in 2018</t>
  </si>
  <si>
    <t>Production of Colombia 2010 according sedimentary basins in 2018</t>
  </si>
  <si>
    <t>Other bains</t>
  </si>
  <si>
    <t xml:space="preserve">Reserves in model </t>
  </si>
  <si>
    <t>Reserves in Colombia at the end of 2018</t>
  </si>
  <si>
    <t>Oil Reserves (MSTB)</t>
  </si>
  <si>
    <t>Gas Reserves ( Gscf - MMscf)</t>
  </si>
  <si>
    <t>Model/Reality</t>
  </si>
  <si>
    <t>Colombia</t>
  </si>
  <si>
    <t>Oifields by ECP in the model</t>
  </si>
  <si>
    <t>Oifields by ECP&amp;EQUION in the model</t>
  </si>
  <si>
    <t>reserve-replacement ratio (RRR) in Colombia 2018</t>
  </si>
  <si>
    <t>Oil Reserves added (MSTB)</t>
  </si>
  <si>
    <t>Gas Reserves added (Gscf - MMscf)</t>
  </si>
  <si>
    <t>New discoveries</t>
  </si>
  <si>
    <t>EOR and new projects</t>
  </si>
  <si>
    <t>Re-evaluations</t>
  </si>
  <si>
    <t>General balance last years in Colombia</t>
  </si>
  <si>
    <t>Oil</t>
  </si>
  <si>
    <t>Reserves P1 (MSTB)</t>
  </si>
  <si>
    <t>Annual Production  (MSTB)</t>
  </si>
  <si>
    <t>Reserves added (MSTB)</t>
  </si>
  <si>
    <t>RRR</t>
  </si>
  <si>
    <t>R/P</t>
  </si>
  <si>
    <t>R</t>
  </si>
  <si>
    <t>P</t>
  </si>
  <si>
    <t>I</t>
  </si>
  <si>
    <t>I/P</t>
  </si>
  <si>
    <t>Gas</t>
  </si>
  <si>
    <t>GAS</t>
  </si>
  <si>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</si>
  <si>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</si>
  <si>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FISCA</t>
    </r>
  </si>
  <si>
    <r>
      <t>G</t>
    </r>
    <r>
      <rPr>
        <b/>
        <vertAlign val="subscript"/>
        <sz val="14"/>
        <color theme="1"/>
        <rFont val="Calibri"/>
        <family val="2"/>
        <scheme val="minor"/>
      </rPr>
      <t>sla</t>
    </r>
  </si>
  <si>
    <r>
      <t>G</t>
    </r>
    <r>
      <rPr>
        <b/>
        <vertAlign val="subscript"/>
        <sz val="14"/>
        <color theme="1"/>
        <rFont val="Calibri"/>
        <family val="2"/>
        <scheme val="minor"/>
      </rPr>
      <t>REI</t>
    </r>
  </si>
  <si>
    <r>
      <t>O</t>
    </r>
    <r>
      <rPr>
        <b/>
        <vertAlign val="subscript"/>
        <sz val="14"/>
        <color theme="1"/>
        <rFont val="Calibri"/>
        <family val="2"/>
        <scheme val="minor"/>
      </rPr>
      <t>FISCA</t>
    </r>
  </si>
  <si>
    <r>
      <t>G</t>
    </r>
    <r>
      <rPr>
        <b/>
        <vertAlign val="subscript"/>
        <sz val="14"/>
        <color theme="1"/>
        <rFont val="Calibri"/>
        <family val="2"/>
        <scheme val="minor"/>
      </rPr>
      <t>FISC</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</si>
  <si>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</si>
  <si>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</si>
  <si>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</si>
  <si>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</si>
  <si>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</si>
  <si>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t>2019, MPC/D</t>
  </si>
  <si>
    <t>Orito</t>
  </si>
  <si>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</si>
  <si>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PUTUMAYO</t>
  </si>
  <si>
    <t>Aipe</t>
  </si>
  <si>
    <t>Neiva/Palermo</t>
  </si>
  <si>
    <t>Neiva</t>
  </si>
  <si>
    <t>Villavicencio</t>
  </si>
  <si>
    <t>Puerto Nare</t>
  </si>
  <si>
    <t>Toledo</t>
  </si>
  <si>
    <t>VSM</t>
  </si>
  <si>
    <t>Cordillera Oriental</t>
  </si>
  <si>
    <t>LLO</t>
  </si>
  <si>
    <t>Putumayo</t>
  </si>
  <si>
    <t>ANTIOQUIA</t>
  </si>
  <si>
    <t>CASANARE</t>
  </si>
  <si>
    <t>CESAR</t>
  </si>
  <si>
    <t>CUNDINAMARCA</t>
  </si>
  <si>
    <t>HUILA</t>
  </si>
  <si>
    <t>META</t>
  </si>
  <si>
    <t>NORTE DE SANTANDER</t>
  </si>
  <si>
    <t>SANTANDER</t>
  </si>
  <si>
    <t>SUCRE</t>
  </si>
  <si>
    <t>TOLIMA</t>
  </si>
  <si>
    <t>BOLIVAR</t>
  </si>
  <si>
    <t>MI MODELO</t>
  </si>
  <si>
    <t>offshore</t>
  </si>
  <si>
    <t>RR (Mmboe)</t>
  </si>
  <si>
    <t>G</t>
  </si>
  <si>
    <t>O</t>
  </si>
  <si>
    <t>G (bcf)</t>
  </si>
  <si>
    <t>Total production, boed</t>
  </si>
  <si>
    <t>FR</t>
  </si>
  <si>
    <t>EC year</t>
  </si>
  <si>
    <t>Intercepto</t>
  </si>
  <si>
    <t>Pendiente</t>
  </si>
  <si>
    <t>boe =</t>
  </si>
  <si>
    <t>scf</t>
  </si>
  <si>
    <t>Produccion@LE (boed)</t>
  </si>
  <si>
    <t>Potencial estimado</t>
  </si>
  <si>
    <t>Mmboe</t>
  </si>
  <si>
    <t>Integral</t>
  </si>
  <si>
    <t>Error</t>
  </si>
  <si>
    <t>Apiay Este</t>
  </si>
  <si>
    <t>Castilla</t>
  </si>
  <si>
    <t>Castilla Este</t>
  </si>
  <si>
    <t>Castilla Norte</t>
  </si>
  <si>
    <t>Casabe Sur</t>
  </si>
  <si>
    <t>Chichimene SW</t>
  </si>
  <si>
    <t>Cupiagua</t>
  </si>
  <si>
    <t>Cupiagua Liria</t>
  </si>
  <si>
    <t>Cupiagua Sur</t>
  </si>
  <si>
    <t>Cusiana Norte</t>
  </si>
  <si>
    <t>Cusiana</t>
  </si>
  <si>
    <t>Dina Terciarios</t>
  </si>
  <si>
    <t>Dina Cretaceos</t>
  </si>
  <si>
    <t>Dina Norte</t>
  </si>
  <si>
    <t>Florena</t>
  </si>
  <si>
    <t>Florena Mirador</t>
  </si>
  <si>
    <t>Según ellos</t>
  </si>
  <si>
    <t>Infantas</t>
  </si>
  <si>
    <t>Pauto Sur Recetor</t>
  </si>
  <si>
    <t>Pauto Sur</t>
  </si>
  <si>
    <t>Teca</t>
  </si>
  <si>
    <t>Yarigui</t>
  </si>
  <si>
    <t>RESERVAS TOTAL</t>
  </si>
  <si>
    <t>RESSERVAS CRUDO</t>
  </si>
  <si>
    <t>RESREVAS GAS</t>
  </si>
  <si>
    <t>Bscf</t>
  </si>
  <si>
    <t>RESERVAS DE GAS</t>
  </si>
  <si>
    <t>según ecp</t>
  </si>
  <si>
    <t>Bonga</t>
  </si>
  <si>
    <t>Provincia</t>
  </si>
  <si>
    <t>Mamey</t>
  </si>
  <si>
    <t>Bonanza</t>
  </si>
  <si>
    <t>Mscf</t>
  </si>
  <si>
    <t>años</t>
  </si>
  <si>
    <t>scf/boe</t>
  </si>
  <si>
    <t>Scf</t>
  </si>
  <si>
    <t>ca</t>
  </si>
  <si>
    <t>be/d</t>
  </si>
  <si>
    <t>Mbe/d</t>
  </si>
  <si>
    <t>g</t>
  </si>
  <si>
    <t>o</t>
  </si>
  <si>
    <t>Según yo</t>
  </si>
  <si>
    <t>ECP, 2019</t>
  </si>
  <si>
    <t>G, Mpc</t>
  </si>
  <si>
    <t>O, bl</t>
  </si>
  <si>
    <t>Barriles</t>
  </si>
  <si>
    <t>%O</t>
  </si>
  <si>
    <t>%O, global</t>
  </si>
  <si>
    <t xml:space="preserve">  </t>
  </si>
  <si>
    <t>Total Reservas</t>
  </si>
  <si>
    <t>Total O</t>
  </si>
  <si>
    <t>O (Mmboe)</t>
  </si>
  <si>
    <t>G (Mmboe)</t>
  </si>
  <si>
    <t>O PJ</t>
  </si>
  <si>
    <t>TJ/kbl</t>
  </si>
  <si>
    <t>PJ</t>
  </si>
  <si>
    <t>G, PJ</t>
  </si>
  <si>
    <t>TJ/MPC</t>
  </si>
  <si>
    <t>PJ/MPC</t>
  </si>
  <si>
    <t>J/bl</t>
  </si>
  <si>
    <t>PJ/bl</t>
  </si>
  <si>
    <t>R, totales, PJ</t>
  </si>
  <si>
    <t>Error calculado</t>
  </si>
  <si>
    <t>GOR</t>
  </si>
  <si>
    <t>AKACIAS</t>
  </si>
  <si>
    <t>2018,0231850117098; 8114,754098360656</t>
  </si>
  <si>
    <t>2018,9135831381734; 19754,09836065574</t>
  </si>
  <si>
    <t>2020,027400468384; 9590,163934426233</t>
  </si>
  <si>
    <t>2021,0482435597191; 16885,245901639348</t>
  </si>
  <si>
    <t>2022,0573770491803; 20081,967213114756</t>
  </si>
  <si>
    <t>2023,125761124122; 19016,393442622953</t>
  </si>
  <si>
    <t>2023,9777517564403; 17213,114754098362</t>
  </si>
  <si>
    <t>2024,9744730679158; 16065,573770491805</t>
  </si>
  <si>
    <t>2029,96018735363; 11065,573770491806</t>
  </si>
  <si>
    <t>2035,0222482435597; 7786,885245901642</t>
  </si>
  <si>
    <t>2039,9440281030445; 5409,836065573771</t>
  </si>
  <si>
    <t>2045,0110070257613; 3852,4590163934445</t>
  </si>
  <si>
    <t>2047,9374707259954; 3114,754098360656</t>
  </si>
  <si>
    <t>Column1</t>
  </si>
  <si>
    <t>Column2</t>
  </si>
  <si>
    <t>Pesado</t>
  </si>
  <si>
    <t>Legislacion colombiana, API</t>
  </si>
  <si>
    <t>American Petroleum Institute</t>
  </si>
  <si>
    <t>Plan de Abastecimiento Liquido,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</si>
</sst>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_-* #,##0.0_-;\-* #,##0.0_-;_-* &quot;-&quot;??_-;_-@_-"/>
    <numFmt numFmtId="166" formatCode="0.0"/>
    <numFmt numFmtId="167" formatCode="0.0%"/>
    <numFmt numFmtId="168" formatCode="0.0000"/>
    <numFmt numFmtId="169" formatCode="0.000"/>
    <numFmt numFmtId="170" formatCode="_-* #,##0.0_-;\-* #,##0.0_-;_-* &quot;-&quot;?_-;_-@_-"/>
  </numFmts>
  <fonts count="22"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sz val="5"/>
      <color theme="1"/>
      <name val="Calibri"/>
      <family val="2"/>
      <scheme val="minor"/>
    </font>
    <font>
      <sz val="8"/>
      <color theme="0" tint="-0.249977111117893"/>
      <name val="Calibri"/>
      <family val="2"/>
      <scheme val="minor"/>
    </font>
    <font>
      <b/>
      <sz val="8"/>
      <color theme="1"/>
      <name val="Calibri"/>
      <family val="2"/>
      <scheme val="minor"/>
    </font>
    <font>
      <b/>
      <sz val="9"/>
      <color theme="1"/>
      <name val="Calibri"/>
      <family val="2"/>
      <scheme val="minor"/>
    </font>
    <font>
      <sz val="11"/>
      <color theme="0" tint="-4.9989318521683403E-2"/>
      <name val="Calibri"/>
      <family val="2"/>
      <scheme val="minor"/>
    </font>
    <font>
      <b/>
      <sz val="11"/>
      <color rgb="FFFF0000"/>
      <name val="Calibri"/>
      <family val="2"/>
      <scheme val="minor"/>
    </font>
    <font>
      <sz val="11"/>
      <color theme="0" tint="-0.34998626667073579"/>
      <name val="Calibri"/>
      <family val="2"/>
      <scheme val="minor"/>
    </font>
    <font>
      <b/>
      <sz val="12"/>
      <color rgb="FF202124"/>
      <name val="Arial"/>
      <family val="2"/>
    </font>
    <font>
      <b/>
      <sz val="14"/>
      <color theme="1"/>
      <name val="Calibri"/>
      <family val="2"/>
      <scheme val="minor"/>
    </font>
    <font>
      <b/>
      <vertAlign val="subscript"/>
      <sz val="14"/>
      <color theme="1"/>
      <name val="Calibri"/>
      <family val="2"/>
      <scheme val="minor"/>
    </font>
    <font>
      <b/>
      <sz val="12"/>
      <color rgb="FFFF0000"/>
      <name val="Calibri"/>
      <family val="2"/>
      <scheme val="minor"/>
    </font>
    <font>
      <sz val="9"/>
      <color indexed="81"/>
      <name val="Tahoma"/>
      <family val="2"/>
    </font>
    <font>
      <b/>
      <sz val="9"/>
      <color indexed="81"/>
      <name val="Tahoma"/>
      <family val="2"/>
    </font>
    <font>
      <sz val="11"/>
      <color rgb="FFFF0000"/>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s>
  <borders count="2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top style="double">
        <color indexed="64"/>
      </top>
      <bottom/>
      <diagonal/>
    </border>
    <border>
      <left style="double">
        <color indexed="64"/>
      </left>
      <right/>
      <top style="double">
        <color indexed="64"/>
      </top>
      <bottom/>
      <diagonal/>
    </border>
    <border>
      <left/>
      <right style="double">
        <color indexed="64"/>
      </right>
      <top/>
      <bottom/>
      <diagonal/>
    </border>
    <border>
      <left style="double">
        <color indexed="64"/>
      </left>
      <right/>
      <top/>
      <bottom/>
      <diagonal/>
    </border>
    <border>
      <left style="double">
        <color indexed="64"/>
      </left>
      <right/>
      <top/>
      <bottom style="double">
        <color indexed="64"/>
      </bottom>
      <diagonal/>
    </border>
    <border>
      <left/>
      <right style="double">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double">
        <color indexed="64"/>
      </bottom>
      <diagonal/>
    </border>
    <border>
      <left/>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281">
    <xf numFmtId="0" fontId="0" fillId="0" borderId="0" xfId="0"/>
    <xf numFmtId="0" fontId="0" fillId="2" borderId="0" xfId="0" applyFill="1"/>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2"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5" fillId="2" borderId="2" xfId="0" applyFont="1" applyFill="1" applyBorder="1" applyAlignment="1">
      <alignment horizontal="center" vertical="center" wrapText="1"/>
    </xf>
    <xf numFmtId="164" fontId="5" fillId="2" borderId="2" xfId="1" applyNumberFormat="1" applyFont="1" applyFill="1" applyBorder="1" applyAlignment="1">
      <alignment horizontal="center" vertical="center" wrapText="1"/>
    </xf>
    <xf numFmtId="43" fontId="5" fillId="2" borderId="2" xfId="1" applyFont="1" applyFill="1" applyBorder="1" applyAlignment="1">
      <alignment horizontal="center" vertical="center" wrapText="1"/>
    </xf>
    <xf numFmtId="17" fontId="5" fillId="2" borderId="2" xfId="0" applyNumberFormat="1" applyFont="1" applyFill="1" applyBorder="1" applyAlignment="1">
      <alignment horizontal="center" vertical="center" wrapText="1"/>
    </xf>
    <xf numFmtId="0" fontId="5" fillId="2" borderId="3" xfId="0" applyFont="1" applyFill="1" applyBorder="1" applyAlignment="1">
      <alignment horizontal="center" vertical="center" wrapText="1"/>
    </xf>
    <xf numFmtId="0" fontId="6" fillId="2" borderId="0" xfId="0" applyFont="1" applyFill="1" applyAlignment="1">
      <alignment horizontal="left" vertical="top"/>
    </xf>
    <xf numFmtId="10" fontId="5" fillId="2" borderId="2" xfId="0" applyNumberFormat="1" applyFont="1" applyFill="1" applyBorder="1" applyAlignment="1">
      <alignment horizontal="center" vertical="center" wrapText="1"/>
    </xf>
    <xf numFmtId="15" fontId="5" fillId="2" borderId="2" xfId="0" applyNumberFormat="1" applyFont="1" applyFill="1" applyBorder="1" applyAlignment="1">
      <alignment horizontal="center" vertical="center" wrapText="1"/>
    </xf>
    <xf numFmtId="9" fontId="5" fillId="2" borderId="2" xfId="0" applyNumberFormat="1" applyFont="1" applyFill="1" applyBorder="1" applyAlignment="1">
      <alignment horizontal="center" vertical="center" wrapText="1"/>
    </xf>
    <xf numFmtId="0" fontId="5" fillId="2" borderId="2" xfId="3"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164" fontId="5" fillId="2" borderId="5" xfId="1" applyNumberFormat="1" applyFont="1" applyFill="1" applyBorder="1" applyAlignment="1">
      <alignment horizontal="center" vertical="center" wrapText="1"/>
    </xf>
    <xf numFmtId="43" fontId="5" fillId="2" borderId="5" xfId="1" applyFont="1" applyFill="1" applyBorder="1" applyAlignment="1">
      <alignment horizontal="center" vertical="center" wrapText="1"/>
    </xf>
    <xf numFmtId="0" fontId="5" fillId="2" borderId="6" xfId="0" applyFont="1" applyFill="1" applyBorder="1" applyAlignment="1">
      <alignment horizontal="center" vertical="center" wrapText="1"/>
    </xf>
    <xf numFmtId="15" fontId="6" fillId="2" borderId="0" xfId="0" applyNumberFormat="1" applyFont="1" applyFill="1" applyAlignment="1">
      <alignment horizontal="left" vertical="top"/>
    </xf>
    <xf numFmtId="0" fontId="5" fillId="4" borderId="1" xfId="0" applyFont="1" applyFill="1" applyBorder="1" applyAlignment="1">
      <alignment horizontal="center" vertical="center" wrapText="1"/>
    </xf>
    <xf numFmtId="0" fontId="5" fillId="4" borderId="2" xfId="0"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5" fillId="4" borderId="3" xfId="0" applyFont="1" applyFill="1" applyBorder="1" applyAlignment="1">
      <alignment horizontal="center" vertical="center" wrapText="1"/>
    </xf>
    <xf numFmtId="0" fontId="7" fillId="2" borderId="4" xfId="0" applyFont="1" applyFill="1" applyBorder="1" applyAlignment="1">
      <alignment horizontal="left" vertical="center"/>
    </xf>
    <xf numFmtId="0" fontId="0" fillId="2" borderId="5" xfId="0" applyFill="1" applyBorder="1"/>
    <xf numFmtId="0" fontId="8" fillId="2" borderId="5" xfId="0" applyFont="1" applyFill="1" applyBorder="1" applyAlignment="1">
      <alignment horizontal="center" vertical="center"/>
    </xf>
    <xf numFmtId="0" fontId="6" fillId="2" borderId="5" xfId="0" applyFont="1" applyFill="1" applyBorder="1" applyAlignment="1">
      <alignment horizontal="center"/>
    </xf>
    <xf numFmtId="0" fontId="8" fillId="2" borderId="6" xfId="0" applyFont="1" applyFill="1" applyBorder="1" applyAlignment="1">
      <alignment horizontal="center" vertical="center"/>
    </xf>
    <xf numFmtId="0" fontId="7" fillId="2" borderId="0" xfId="0" applyFont="1" applyFill="1" applyAlignment="1">
      <alignment horizontal="center" vertical="center"/>
    </xf>
    <xf numFmtId="0" fontId="7" fillId="2" borderId="7" xfId="0" applyFont="1" applyFill="1" applyBorder="1"/>
    <xf numFmtId="0" fontId="8" fillId="2" borderId="0" xfId="0" applyFont="1" applyFill="1" applyAlignment="1">
      <alignment horizontal="center" vertical="center"/>
    </xf>
    <xf numFmtId="0" fontId="6" fillId="2" borderId="0" xfId="0" applyFont="1" applyFill="1" applyAlignment="1">
      <alignment horizontal="center"/>
    </xf>
    <xf numFmtId="0" fontId="8" fillId="2" borderId="8" xfId="0" applyFont="1" applyFill="1" applyBorder="1" applyAlignment="1">
      <alignment horizontal="center" vertical="center"/>
    </xf>
    <xf numFmtId="0" fontId="8" fillId="2" borderId="0" xfId="0" applyFont="1" applyFill="1" applyAlignment="1">
      <alignment horizontal="center"/>
    </xf>
    <xf numFmtId="0" fontId="8" fillId="2" borderId="8" xfId="0" applyFont="1" applyFill="1" applyBorder="1" applyAlignment="1">
      <alignment horizontal="center"/>
    </xf>
    <xf numFmtId="0" fontId="7" fillId="2" borderId="9" xfId="0" applyFont="1" applyFill="1" applyBorder="1"/>
    <xf numFmtId="0" fontId="0" fillId="2" borderId="10" xfId="0" applyFill="1" applyBorder="1"/>
    <xf numFmtId="0" fontId="6" fillId="2" borderId="10" xfId="0" applyFont="1" applyFill="1" applyBorder="1" applyAlignment="1">
      <alignment horizontal="center"/>
    </xf>
    <xf numFmtId="0" fontId="6" fillId="2" borderId="11" xfId="0" applyFont="1" applyFill="1" applyBorder="1" applyAlignment="1">
      <alignment horizontal="center"/>
    </xf>
    <xf numFmtId="0" fontId="2" fillId="3" borderId="9" xfId="0" applyFont="1" applyFill="1" applyBorder="1" applyAlignment="1">
      <alignment horizontal="centerContinuous"/>
    </xf>
    <xf numFmtId="0" fontId="0" fillId="3" borderId="10" xfId="0" applyFill="1" applyBorder="1" applyAlignment="1">
      <alignment horizontal="centerContinuous"/>
    </xf>
    <xf numFmtId="0" fontId="0" fillId="3" borderId="10" xfId="0" applyFill="1" applyBorder="1" applyAlignment="1">
      <alignment horizontal="center"/>
    </xf>
    <xf numFmtId="0" fontId="6" fillId="3" borderId="11" xfId="0" applyFont="1" applyFill="1" applyBorder="1" applyAlignment="1">
      <alignment horizontal="center"/>
    </xf>
    <xf numFmtId="0" fontId="2" fillId="3" borderId="10" xfId="0" applyFont="1" applyFill="1" applyBorder="1" applyAlignment="1">
      <alignment horizontal="left"/>
    </xf>
    <xf numFmtId="0" fontId="2" fillId="2" borderId="0" xfId="0" applyFont="1" applyFill="1" applyAlignment="1">
      <alignment horizontal="centerContinuous"/>
    </xf>
    <xf numFmtId="0" fontId="6" fillId="2" borderId="0" xfId="0" applyFont="1" applyFill="1" applyAlignment="1">
      <alignment horizontal="centerContinuous"/>
    </xf>
    <xf numFmtId="0" fontId="2" fillId="3" borderId="7" xfId="0" applyFont="1" applyFill="1" applyBorder="1"/>
    <xf numFmtId="164" fontId="2" fillId="3" borderId="8" xfId="0" applyNumberFormat="1" applyFont="1" applyFill="1" applyBorder="1"/>
    <xf numFmtId="0" fontId="2" fillId="3" borderId="7" xfId="0" applyFont="1" applyFill="1" applyBorder="1" applyAlignment="1">
      <alignment horizontal="left"/>
    </xf>
    <xf numFmtId="0" fontId="2" fillId="3" borderId="0" xfId="0" applyFont="1" applyFill="1" applyAlignment="1">
      <alignment horizontal="left"/>
    </xf>
    <xf numFmtId="0" fontId="2" fillId="3" borderId="5" xfId="0" applyFont="1" applyFill="1" applyBorder="1" applyAlignment="1">
      <alignment horizontal="left"/>
    </xf>
    <xf numFmtId="0" fontId="2" fillId="3" borderId="0" xfId="0" applyFont="1" applyFill="1"/>
    <xf numFmtId="9" fontId="2" fillId="3" borderId="8" xfId="2" applyFont="1" applyFill="1" applyBorder="1"/>
    <xf numFmtId="9" fontId="2" fillId="3" borderId="0" xfId="2" applyFont="1" applyFill="1" applyBorder="1"/>
    <xf numFmtId="2" fontId="2" fillId="3" borderId="0" xfId="2" applyNumberFormat="1" applyFont="1" applyFill="1" applyBorder="1"/>
    <xf numFmtId="10" fontId="2" fillId="3" borderId="12" xfId="0" applyNumberFormat="1" applyFont="1" applyFill="1" applyBorder="1" applyAlignment="1">
      <alignment horizontal="left"/>
    </xf>
    <xf numFmtId="0" fontId="2" fillId="2" borderId="0" xfId="0" applyFont="1" applyFill="1"/>
    <xf numFmtId="9" fontId="2" fillId="2" borderId="0" xfId="2" applyFont="1" applyFill="1" applyBorder="1"/>
    <xf numFmtId="0" fontId="2" fillId="3" borderId="9" xfId="0" applyFont="1" applyFill="1" applyBorder="1"/>
    <xf numFmtId="164" fontId="2" fillId="3" borderId="11" xfId="0" applyNumberFormat="1" applyFont="1" applyFill="1" applyBorder="1"/>
    <xf numFmtId="0" fontId="2" fillId="3" borderId="10" xfId="0" applyFont="1" applyFill="1" applyBorder="1"/>
    <xf numFmtId="9" fontId="2" fillId="3" borderId="11" xfId="2" applyFont="1" applyFill="1" applyBorder="1"/>
    <xf numFmtId="9" fontId="2" fillId="3" borderId="10" xfId="2" applyFont="1" applyFill="1" applyBorder="1"/>
    <xf numFmtId="2" fontId="2" fillId="3" borderId="10" xfId="2" applyNumberFormat="1" applyFont="1" applyFill="1" applyBorder="1"/>
    <xf numFmtId="10" fontId="2" fillId="3" borderId="13" xfId="0" applyNumberFormat="1" applyFont="1" applyFill="1" applyBorder="1" applyAlignment="1">
      <alignment horizontal="left"/>
    </xf>
    <xf numFmtId="165" fontId="5" fillId="2" borderId="2" xfId="1" applyNumberFormat="1"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164" fontId="5" fillId="5" borderId="2" xfId="1" applyNumberFormat="1" applyFont="1" applyFill="1" applyBorder="1" applyAlignment="1">
      <alignment horizontal="center" vertical="center" wrapText="1"/>
    </xf>
    <xf numFmtId="165" fontId="5" fillId="5" borderId="2" xfId="1" applyNumberFormat="1" applyFont="1" applyFill="1" applyBorder="1" applyAlignment="1">
      <alignment horizontal="center" vertical="center" wrapText="1"/>
    </xf>
    <xf numFmtId="0" fontId="2" fillId="3" borderId="11" xfId="0" applyFont="1" applyFill="1" applyBorder="1"/>
    <xf numFmtId="0" fontId="2" fillId="2" borderId="0" xfId="0" applyFont="1" applyFill="1" applyAlignment="1">
      <alignment horizontal="center" wrapText="1"/>
    </xf>
    <xf numFmtId="0" fontId="5" fillId="2" borderId="5" xfId="0" applyFont="1" applyFill="1" applyBorder="1" applyAlignment="1">
      <alignment horizontal="center" vertical="center"/>
    </xf>
    <xf numFmtId="0" fontId="2" fillId="2" borderId="0" xfId="0" applyFont="1" applyFill="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5" xfId="0" applyFill="1" applyBorder="1" applyAlignment="1">
      <alignment horizontal="center"/>
    </xf>
    <xf numFmtId="0" fontId="0" fillId="2" borderId="5" xfId="0" applyFill="1" applyBorder="1" applyAlignment="1">
      <alignment horizontal="center" vertical="center" wrapText="1"/>
    </xf>
    <xf numFmtId="0" fontId="9" fillId="2" borderId="0" xfId="0" applyFont="1" applyFill="1" applyAlignment="1">
      <alignment horizontal="center" vertical="center"/>
    </xf>
    <xf numFmtId="0" fontId="9" fillId="2" borderId="0" xfId="0" applyFont="1" applyFill="1"/>
    <xf numFmtId="0" fontId="0" fillId="2" borderId="0" xfId="0" applyFill="1" applyAlignment="1">
      <alignment horizontal="right"/>
    </xf>
    <xf numFmtId="0" fontId="0" fillId="2" borderId="0" xfId="0" applyFill="1" applyAlignment="1">
      <alignment horizontal="left"/>
    </xf>
    <xf numFmtId="0" fontId="2" fillId="2" borderId="0" xfId="0" applyFont="1" applyFill="1" applyAlignment="1">
      <alignment horizontal="center"/>
    </xf>
    <xf numFmtId="0" fontId="10" fillId="2" borderId="0" xfId="0" applyFont="1" applyFill="1" applyAlignment="1">
      <alignment horizontal="center" wrapText="1"/>
    </xf>
    <xf numFmtId="164" fontId="6" fillId="2" borderId="0" xfId="1" applyNumberFormat="1" applyFont="1" applyFill="1" applyAlignment="1">
      <alignment horizontal="center" vertical="center"/>
    </xf>
    <xf numFmtId="164" fontId="6" fillId="2" borderId="0" xfId="1" applyNumberFormat="1" applyFont="1" applyFill="1" applyAlignment="1">
      <alignment horizontal="center" vertical="center" wrapText="1"/>
    </xf>
    <xf numFmtId="0" fontId="11" fillId="2" borderId="0" xfId="0" applyFont="1" applyFill="1" applyAlignment="1">
      <alignment horizontal="center"/>
    </xf>
    <xf numFmtId="0" fontId="12" fillId="2" borderId="0" xfId="0" applyFont="1" applyFill="1"/>
    <xf numFmtId="164" fontId="7" fillId="2" borderId="5" xfId="1" applyNumberFormat="1" applyFont="1" applyFill="1" applyBorder="1" applyAlignment="1">
      <alignment horizontal="center" vertical="center" wrapText="1"/>
    </xf>
    <xf numFmtId="166" fontId="0" fillId="6" borderId="5" xfId="0" applyNumberFormat="1" applyFill="1" applyBorder="1"/>
    <xf numFmtId="164" fontId="0" fillId="2" borderId="0" xfId="0" applyNumberFormat="1" applyFill="1"/>
    <xf numFmtId="2" fontId="0" fillId="2" borderId="0" xfId="0" applyNumberFormat="1" applyFill="1"/>
    <xf numFmtId="0" fontId="5" fillId="2" borderId="0" xfId="0" applyFont="1" applyFill="1"/>
    <xf numFmtId="0" fontId="0" fillId="2" borderId="14" xfId="0" applyFill="1" applyBorder="1" applyAlignment="1">
      <alignment horizontal="center" vertical="center"/>
    </xf>
    <xf numFmtId="0" fontId="0" fillId="2" borderId="0" xfId="0" applyFill="1" applyAlignment="1">
      <alignment horizontal="center"/>
    </xf>
    <xf numFmtId="0" fontId="12" fillId="2" borderId="0" xfId="0" applyFont="1" applyFill="1" applyAlignment="1">
      <alignment horizontal="center"/>
    </xf>
    <xf numFmtId="0" fontId="0" fillId="2" borderId="0" xfId="0" applyFill="1" applyAlignment="1">
      <alignment horizontal="right" vertical="center"/>
    </xf>
    <xf numFmtId="164" fontId="0" fillId="2" borderId="0" xfId="1" applyNumberFormat="1" applyFont="1" applyFill="1" applyAlignment="1">
      <alignment vertical="center"/>
    </xf>
    <xf numFmtId="167" fontId="0" fillId="2" borderId="0" xfId="0" applyNumberFormat="1" applyFill="1"/>
    <xf numFmtId="0" fontId="0" fillId="2" borderId="0" xfId="0" applyFill="1" applyAlignment="1">
      <alignment horizontal="right" wrapText="1"/>
    </xf>
    <xf numFmtId="167" fontId="0" fillId="2" borderId="0" xfId="0" applyNumberFormat="1" applyFill="1" applyAlignment="1">
      <alignment horizontal="center" vertical="center"/>
    </xf>
    <xf numFmtId="164" fontId="0" fillId="2" borderId="0" xfId="1" applyNumberFormat="1" applyFont="1" applyFill="1"/>
    <xf numFmtId="43" fontId="0" fillId="2" borderId="0" xfId="0" applyNumberFormat="1" applyFill="1"/>
    <xf numFmtId="164" fontId="0" fillId="2" borderId="0" xfId="1" applyNumberFormat="1" applyFont="1" applyFill="1" applyBorder="1" applyAlignment="1">
      <alignment horizontal="center" vertical="center"/>
    </xf>
    <xf numFmtId="167" fontId="0" fillId="2" borderId="0" xfId="1" applyNumberFormat="1" applyFont="1" applyFill="1" applyBorder="1" applyAlignment="1">
      <alignment horizontal="center" vertical="center"/>
    </xf>
    <xf numFmtId="164" fontId="0" fillId="2" borderId="0" xfId="1" applyNumberFormat="1" applyFont="1" applyFill="1" applyAlignment="1">
      <alignment horizontal="center" vertical="center"/>
    </xf>
    <xf numFmtId="10" fontId="0" fillId="2" borderId="0" xfId="0" applyNumberFormat="1" applyFill="1" applyAlignment="1">
      <alignment horizontal="center" vertical="center"/>
    </xf>
    <xf numFmtId="9" fontId="0" fillId="2" borderId="0" xfId="0" applyNumberFormat="1" applyFill="1" applyAlignment="1">
      <alignment horizontal="center" vertical="center"/>
    </xf>
    <xf numFmtId="164" fontId="0" fillId="2" borderId="14" xfId="1" applyNumberFormat="1" applyFont="1" applyFill="1" applyBorder="1" applyAlignment="1">
      <alignment horizontal="center" vertical="center"/>
    </xf>
    <xf numFmtId="9" fontId="0" fillId="2" borderId="14" xfId="0" applyNumberFormat="1" applyFill="1" applyBorder="1" applyAlignment="1">
      <alignment horizontal="center" vertical="center"/>
    </xf>
    <xf numFmtId="0" fontId="0" fillId="2" borderId="16" xfId="0" applyFill="1" applyBorder="1"/>
    <xf numFmtId="9" fontId="0" fillId="2" borderId="0" xfId="0" applyNumberFormat="1" applyFill="1" applyAlignment="1">
      <alignment horizontal="center"/>
    </xf>
    <xf numFmtId="164" fontId="0" fillId="2" borderId="17" xfId="1" applyNumberFormat="1" applyFont="1" applyFill="1" applyBorder="1"/>
    <xf numFmtId="167" fontId="0" fillId="2" borderId="18" xfId="0" applyNumberFormat="1" applyFill="1" applyBorder="1" applyAlignment="1">
      <alignment horizontal="center" vertical="center"/>
    </xf>
    <xf numFmtId="164" fontId="0" fillId="2" borderId="0" xfId="1" applyNumberFormat="1" applyFont="1" applyFill="1" applyBorder="1"/>
    <xf numFmtId="167" fontId="0" fillId="2" borderId="0" xfId="0" applyNumberFormat="1" applyFill="1" applyAlignment="1">
      <alignment horizontal="center"/>
    </xf>
    <xf numFmtId="0" fontId="0" fillId="2" borderId="0" xfId="0" applyFill="1" applyAlignment="1">
      <alignment vertical="center"/>
    </xf>
    <xf numFmtId="164" fontId="0" fillId="2" borderId="19" xfId="1" applyNumberFormat="1" applyFont="1" applyFill="1" applyBorder="1"/>
    <xf numFmtId="164" fontId="0" fillId="2" borderId="14" xfId="1" applyNumberFormat="1" applyFont="1" applyFill="1" applyBorder="1"/>
    <xf numFmtId="167" fontId="0" fillId="2" borderId="14" xfId="0" applyNumberFormat="1" applyFill="1" applyBorder="1" applyAlignment="1">
      <alignment horizontal="center" vertical="center"/>
    </xf>
    <xf numFmtId="164" fontId="0" fillId="2" borderId="20" xfId="1" applyNumberFormat="1" applyFont="1" applyFill="1" applyBorder="1"/>
    <xf numFmtId="167" fontId="0" fillId="2" borderId="14" xfId="1" applyNumberFormat="1" applyFont="1" applyFill="1" applyBorder="1" applyAlignment="1">
      <alignment horizontal="center"/>
    </xf>
    <xf numFmtId="167" fontId="0" fillId="2" borderId="21" xfId="0" applyNumberFormat="1" applyFill="1" applyBorder="1" applyAlignment="1">
      <alignment horizontal="center" vertical="center"/>
    </xf>
    <xf numFmtId="164" fontId="0" fillId="2" borderId="16" xfId="0" applyNumberFormat="1" applyFill="1" applyBorder="1"/>
    <xf numFmtId="0" fontId="0" fillId="7" borderId="15" xfId="0" applyFill="1" applyBorder="1"/>
    <xf numFmtId="164" fontId="0" fillId="7" borderId="15" xfId="0" applyNumberFormat="1" applyFill="1" applyBorder="1"/>
    <xf numFmtId="167" fontId="0" fillId="7" borderId="22" xfId="0" applyNumberFormat="1" applyFill="1" applyBorder="1" applyAlignment="1">
      <alignment horizontal="center" vertical="center"/>
    </xf>
    <xf numFmtId="0" fontId="0" fillId="2" borderId="21" xfId="0" applyFill="1" applyBorder="1" applyAlignment="1">
      <alignment horizontal="center" vertical="center"/>
    </xf>
    <xf numFmtId="9" fontId="0" fillId="2" borderId="18" xfId="0" applyNumberFormat="1" applyFill="1" applyBorder="1" applyAlignment="1">
      <alignment horizontal="center" vertical="center"/>
    </xf>
    <xf numFmtId="43" fontId="0" fillId="2" borderId="0" xfId="0" applyNumberFormat="1" applyFill="1" applyAlignment="1">
      <alignment horizontal="center" vertical="center"/>
    </xf>
    <xf numFmtId="164" fontId="14" fillId="2" borderId="0" xfId="1" applyNumberFormat="1" applyFont="1" applyFill="1" applyAlignment="1">
      <alignment horizontal="center" vertical="center"/>
    </xf>
    <xf numFmtId="167" fontId="0" fillId="2" borderId="0" xfId="0" applyNumberFormat="1" applyFill="1" applyAlignment="1">
      <alignment vertical="center"/>
    </xf>
    <xf numFmtId="0" fontId="0" fillId="2" borderId="14" xfId="0" applyFill="1" applyBorder="1"/>
    <xf numFmtId="9" fontId="0" fillId="2" borderId="23" xfId="0" applyNumberFormat="1" applyFill="1" applyBorder="1" applyAlignment="1">
      <alignment horizontal="center" vertical="center"/>
    </xf>
    <xf numFmtId="43" fontId="0" fillId="2" borderId="14" xfId="0" applyNumberFormat="1" applyFill="1" applyBorder="1" applyAlignment="1">
      <alignment horizontal="center" vertical="center"/>
    </xf>
    <xf numFmtId="0" fontId="14" fillId="2" borderId="0" xfId="0" applyFont="1" applyFill="1"/>
    <xf numFmtId="166" fontId="14" fillId="2" borderId="0" xfId="0" applyNumberFormat="1" applyFont="1" applyFill="1"/>
    <xf numFmtId="164" fontId="0" fillId="2" borderId="0" xfId="0" applyNumberFormat="1" applyFill="1" applyAlignment="1">
      <alignment horizontal="center" vertical="center"/>
    </xf>
    <xf numFmtId="0" fontId="0" fillId="7" borderId="14" xfId="0" applyFill="1" applyBorder="1"/>
    <xf numFmtId="164" fontId="14" fillId="7" borderId="14" xfId="1" applyNumberFormat="1" applyFont="1" applyFill="1" applyBorder="1" applyAlignment="1">
      <alignment horizontal="center" vertical="center"/>
    </xf>
    <xf numFmtId="9" fontId="0" fillId="7" borderId="23" xfId="0" applyNumberFormat="1" applyFill="1" applyBorder="1" applyAlignment="1">
      <alignment horizontal="center" vertical="center"/>
    </xf>
    <xf numFmtId="167" fontId="0" fillId="7" borderId="14" xfId="0" applyNumberFormat="1" applyFill="1" applyBorder="1" applyAlignment="1">
      <alignment vertical="center"/>
    </xf>
    <xf numFmtId="164" fontId="14" fillId="2" borderId="0" xfId="0" applyNumberFormat="1" applyFont="1" applyFill="1"/>
    <xf numFmtId="9" fontId="0" fillId="2" borderId="0" xfId="0" applyNumberFormat="1" applyFill="1"/>
    <xf numFmtId="2" fontId="14" fillId="8" borderId="0" xfId="0" applyNumberFormat="1" applyFont="1" applyFill="1"/>
    <xf numFmtId="0" fontId="0" fillId="2" borderId="24" xfId="0" applyFill="1" applyBorder="1"/>
    <xf numFmtId="0" fontId="2" fillId="2" borderId="24" xfId="0" applyFont="1" applyFill="1" applyBorder="1" applyAlignment="1">
      <alignment horizontal="center" vertical="center"/>
    </xf>
    <xf numFmtId="0" fontId="0" fillId="2" borderId="24" xfId="0" applyFill="1" applyBorder="1" applyAlignment="1">
      <alignment horizontal="center" vertical="center"/>
    </xf>
    <xf numFmtId="1" fontId="0" fillId="2" borderId="0" xfId="0" applyNumberFormat="1" applyFill="1" applyAlignment="1">
      <alignment horizontal="center"/>
    </xf>
    <xf numFmtId="9" fontId="0" fillId="2" borderId="0" xfId="2" applyFont="1" applyFill="1" applyAlignment="1">
      <alignment horizontal="center"/>
    </xf>
    <xf numFmtId="1" fontId="0" fillId="2" borderId="0" xfId="0" applyNumberFormat="1" applyFill="1" applyAlignment="1">
      <alignment horizontal="center" vertical="center"/>
    </xf>
    <xf numFmtId="2" fontId="0" fillId="2" borderId="0" xfId="0" applyNumberFormat="1" applyFill="1" applyAlignment="1">
      <alignment horizontal="center"/>
    </xf>
    <xf numFmtId="166" fontId="0" fillId="2" borderId="0" xfId="0" applyNumberFormat="1" applyFill="1" applyAlignment="1">
      <alignment horizontal="center" vertical="center"/>
    </xf>
    <xf numFmtId="0" fontId="0" fillId="2" borderId="14" xfId="0" applyFill="1" applyBorder="1" applyAlignment="1">
      <alignment vertical="center"/>
    </xf>
    <xf numFmtId="1" fontId="0" fillId="2" borderId="14" xfId="0" applyNumberFormat="1" applyFill="1" applyBorder="1" applyAlignment="1">
      <alignment horizontal="center"/>
    </xf>
    <xf numFmtId="9" fontId="0" fillId="2" borderId="14" xfId="2" applyFont="1" applyFill="1" applyBorder="1" applyAlignment="1">
      <alignment horizontal="center"/>
    </xf>
    <xf numFmtId="1" fontId="0" fillId="2" borderId="14" xfId="0" applyNumberFormat="1" applyFill="1" applyBorder="1" applyAlignment="1">
      <alignment horizontal="center" vertical="center"/>
    </xf>
    <xf numFmtId="167" fontId="0" fillId="2" borderId="14" xfId="0" applyNumberFormat="1" applyFill="1" applyBorder="1" applyAlignment="1">
      <alignment horizontal="center"/>
    </xf>
    <xf numFmtId="2" fontId="0" fillId="7" borderId="15" xfId="0" applyNumberFormat="1" applyFill="1" applyBorder="1" applyAlignment="1">
      <alignment horizontal="center"/>
    </xf>
    <xf numFmtId="9" fontId="0" fillId="7" borderId="15" xfId="2" applyFont="1" applyFill="1" applyBorder="1" applyAlignment="1">
      <alignment horizontal="center"/>
    </xf>
    <xf numFmtId="166" fontId="0" fillId="7" borderId="15" xfId="0" applyNumberFormat="1" applyFill="1" applyBorder="1" applyAlignment="1">
      <alignment horizontal="center" vertical="center"/>
    </xf>
    <xf numFmtId="167" fontId="0" fillId="7" borderId="15" xfId="0" applyNumberFormat="1" applyFill="1" applyBorder="1" applyAlignment="1">
      <alignment horizontal="center"/>
    </xf>
    <xf numFmtId="1" fontId="0" fillId="2" borderId="5" xfId="0" applyNumberFormat="1" applyFill="1" applyBorder="1" applyAlignment="1">
      <alignment horizontal="center" vertical="center"/>
    </xf>
    <xf numFmtId="9" fontId="0" fillId="2" borderId="5" xfId="0" applyNumberFormat="1" applyFill="1" applyBorder="1" applyAlignment="1">
      <alignment horizontal="center" vertical="center"/>
    </xf>
    <xf numFmtId="2" fontId="0" fillId="2" borderId="5" xfId="0" applyNumberFormat="1" applyFill="1" applyBorder="1" applyAlignment="1">
      <alignment horizontal="center" vertical="center"/>
    </xf>
    <xf numFmtId="166" fontId="0" fillId="2" borderId="5" xfId="0" applyNumberFormat="1" applyFill="1" applyBorder="1" applyAlignment="1">
      <alignment horizontal="center" vertical="center"/>
    </xf>
    <xf numFmtId="0" fontId="0" fillId="2" borderId="15" xfId="0" applyFill="1" applyBorder="1"/>
    <xf numFmtId="1" fontId="0" fillId="2" borderId="15" xfId="0" applyNumberFormat="1" applyFill="1" applyBorder="1" applyAlignment="1">
      <alignment horizontal="center" vertical="center"/>
    </xf>
    <xf numFmtId="9" fontId="0" fillId="2" borderId="15" xfId="0" applyNumberFormat="1" applyFill="1" applyBorder="1" applyAlignment="1">
      <alignment horizontal="center" vertical="center"/>
    </xf>
    <xf numFmtId="2" fontId="0" fillId="2" borderId="15" xfId="0" applyNumberFormat="1" applyFill="1" applyBorder="1" applyAlignment="1">
      <alignment horizontal="center" vertical="center"/>
    </xf>
    <xf numFmtId="166" fontId="0" fillId="2" borderId="15" xfId="0" applyNumberFormat="1" applyFill="1" applyBorder="1" applyAlignment="1">
      <alignment horizontal="center" vertical="center"/>
    </xf>
    <xf numFmtId="0" fontId="0" fillId="2" borderId="14" xfId="0" applyFill="1" applyBorder="1" applyAlignment="1">
      <alignment horizontal="right"/>
    </xf>
    <xf numFmtId="9" fontId="0" fillId="2" borderId="0" xfId="2" applyFont="1" applyFill="1" applyAlignment="1">
      <alignment horizontal="center" vertical="center"/>
    </xf>
    <xf numFmtId="9" fontId="0" fillId="2" borderId="14" xfId="2" applyFont="1" applyFill="1" applyBorder="1" applyAlignment="1">
      <alignment horizontal="center" vertical="center"/>
    </xf>
    <xf numFmtId="2" fontId="0" fillId="2" borderId="14" xfId="0" applyNumberFormat="1" applyFill="1" applyBorder="1" applyAlignment="1">
      <alignment horizontal="center"/>
    </xf>
    <xf numFmtId="0" fontId="16" fillId="2" borderId="0" xfId="0" applyFont="1" applyFill="1" applyAlignment="1">
      <alignment horizontal="center" vertical="center" wrapText="1"/>
    </xf>
    <xf numFmtId="0" fontId="0" fillId="9" borderId="0" xfId="0" applyFill="1"/>
    <xf numFmtId="0" fontId="16" fillId="6" borderId="0" xfId="0" applyFont="1" applyFill="1" applyAlignment="1">
      <alignment horizontal="center" vertical="center" wrapText="1"/>
    </xf>
    <xf numFmtId="0" fontId="5" fillId="6" borderId="5" xfId="0" applyFont="1" applyFill="1" applyBorder="1" applyAlignment="1">
      <alignment horizontal="center" vertical="center" wrapText="1"/>
    </xf>
    <xf numFmtId="0" fontId="2" fillId="0" borderId="0" xfId="0" applyFont="1"/>
    <xf numFmtId="1" fontId="5" fillId="6" borderId="5" xfId="0" applyNumberFormat="1" applyFont="1" applyFill="1" applyBorder="1" applyAlignment="1">
      <alignment horizontal="center" vertical="center" wrapText="1"/>
    </xf>
    <xf numFmtId="166" fontId="5" fillId="2" borderId="5" xfId="0" applyNumberFormat="1" applyFont="1" applyFill="1" applyBorder="1" applyAlignment="1">
      <alignment horizontal="center" vertical="center" wrapText="1"/>
    </xf>
    <xf numFmtId="9" fontId="0" fillId="0" borderId="0" xfId="2" applyFont="1"/>
    <xf numFmtId="164" fontId="0" fillId="0" borderId="0" xfId="1" applyNumberFormat="1" applyFont="1"/>
    <xf numFmtId="164" fontId="0" fillId="0" borderId="0" xfId="0" applyNumberFormat="1"/>
    <xf numFmtId="0" fontId="5" fillId="9" borderId="5" xfId="0" applyFont="1" applyFill="1" applyBorder="1" applyAlignment="1">
      <alignment horizontal="center" vertical="center"/>
    </xf>
    <xf numFmtId="164" fontId="0" fillId="9" borderId="0" xfId="1" applyNumberFormat="1" applyFont="1" applyFill="1"/>
    <xf numFmtId="9" fontId="0" fillId="9" borderId="0" xfId="2" applyFont="1" applyFill="1"/>
    <xf numFmtId="164" fontId="0" fillId="9" borderId="0" xfId="0" applyNumberFormat="1" applyFill="1"/>
    <xf numFmtId="0" fontId="0" fillId="9" borderId="5" xfId="0" applyFill="1" applyBorder="1" applyAlignment="1">
      <alignment horizontal="center" vertical="center" wrapText="1"/>
    </xf>
    <xf numFmtId="0" fontId="0" fillId="0" borderId="0" xfId="0" applyAlignment="1">
      <alignment horizontal="center" vertical="center"/>
    </xf>
    <xf numFmtId="43" fontId="0" fillId="0" borderId="0" xfId="1" applyFont="1" applyAlignment="1">
      <alignment horizontal="center" vertical="center"/>
    </xf>
    <xf numFmtId="10" fontId="0" fillId="0" borderId="0" xfId="0" applyNumberFormat="1" applyAlignment="1">
      <alignment horizontal="center" vertical="center"/>
    </xf>
    <xf numFmtId="165" fontId="0" fillId="0" borderId="9" xfId="1" applyNumberFormat="1" applyFont="1" applyBorder="1" applyAlignment="1">
      <alignment horizontal="center" vertical="center"/>
    </xf>
    <xf numFmtId="165" fontId="0" fillId="0" borderId="10" xfId="1" applyNumberFormat="1" applyFont="1" applyBorder="1" applyAlignment="1">
      <alignment horizontal="center" vertical="center"/>
    </xf>
    <xf numFmtId="0" fontId="0" fillId="0" borderId="11" xfId="0" applyBorder="1" applyAlignment="1">
      <alignment horizontal="center" vertical="center"/>
    </xf>
    <xf numFmtId="10" fontId="0" fillId="0" borderId="13" xfId="0" applyNumberFormat="1" applyBorder="1" applyAlignment="1">
      <alignment horizontal="center" vertical="center"/>
    </xf>
    <xf numFmtId="1" fontId="0" fillId="0" borderId="9" xfId="1" applyNumberFormat="1" applyFont="1" applyBorder="1" applyAlignment="1">
      <alignment horizontal="center" vertical="center"/>
    </xf>
    <xf numFmtId="164" fontId="0" fillId="0" borderId="9" xfId="1" applyNumberFormat="1" applyFont="1" applyBorder="1" applyAlignment="1">
      <alignment horizontal="center" vertical="center"/>
    </xf>
    <xf numFmtId="164" fontId="0" fillId="0" borderId="10" xfId="1" applyNumberFormat="1" applyFont="1" applyBorder="1" applyAlignment="1">
      <alignment horizontal="center" vertical="center"/>
    </xf>
    <xf numFmtId="0" fontId="0" fillId="0" borderId="11" xfId="0" applyBorder="1"/>
    <xf numFmtId="0" fontId="0" fillId="0" borderId="0" xfId="0" applyAlignment="1">
      <alignment horizontal="center"/>
    </xf>
    <xf numFmtId="0" fontId="0" fillId="0" borderId="10" xfId="0" applyBorder="1" applyAlignment="1">
      <alignment horizontal="center" vertical="center"/>
    </xf>
    <xf numFmtId="0" fontId="0" fillId="0" borderId="4" xfId="0" applyBorder="1" applyAlignment="1">
      <alignment horizontal="centerContinuous" vertical="center"/>
    </xf>
    <xf numFmtId="0" fontId="0" fillId="0" borderId="5" xfId="0" applyBorder="1" applyAlignment="1">
      <alignment horizontal="centerContinuous" vertical="center"/>
    </xf>
    <xf numFmtId="0" fontId="0" fillId="0" borderId="6" xfId="0" applyBorder="1" applyAlignment="1">
      <alignment horizontal="centerContinuous" vertical="center"/>
    </xf>
    <xf numFmtId="0" fontId="0" fillId="0" borderId="9" xfId="0" applyBorder="1"/>
    <xf numFmtId="1" fontId="0" fillId="0" borderId="13" xfId="0" applyNumberFormat="1" applyBorder="1"/>
    <xf numFmtId="165" fontId="0" fillId="0" borderId="0" xfId="0" applyNumberFormat="1"/>
    <xf numFmtId="164" fontId="0" fillId="0" borderId="0" xfId="1" applyNumberFormat="1" applyFont="1" applyBorder="1" applyAlignment="1">
      <alignment horizontal="center" vertical="center"/>
    </xf>
    <xf numFmtId="164" fontId="0" fillId="0" borderId="0" xfId="0" applyNumberFormat="1" applyAlignment="1">
      <alignment horizontal="center"/>
    </xf>
    <xf numFmtId="164" fontId="0" fillId="0" borderId="0" xfId="1" applyNumberFormat="1" applyFont="1" applyBorder="1" applyAlignment="1">
      <alignment horizont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5" xfId="0" applyFont="1" applyBorder="1" applyAlignment="1">
      <alignment horizontal="center" vertical="center"/>
    </xf>
    <xf numFmtId="0" fontId="2" fillId="0" borderId="1" xfId="0" applyFont="1" applyBorder="1"/>
    <xf numFmtId="0" fontId="2" fillId="0" borderId="3" xfId="0" applyFont="1" applyBorder="1"/>
    <xf numFmtId="0" fontId="2" fillId="0" borderId="25" xfId="0" applyFont="1" applyBorder="1"/>
    <xf numFmtId="168" fontId="0" fillId="0" borderId="0" xfId="0" applyNumberFormat="1"/>
    <xf numFmtId="168" fontId="0" fillId="0" borderId="7" xfId="0" applyNumberFormat="1" applyBorder="1"/>
    <xf numFmtId="168" fontId="0" fillId="0" borderId="8" xfId="0" applyNumberFormat="1" applyBorder="1"/>
    <xf numFmtId="168" fontId="0" fillId="0" borderId="9" xfId="0" applyNumberFormat="1" applyBorder="1"/>
    <xf numFmtId="168" fontId="0" fillId="0" borderId="11" xfId="0" applyNumberFormat="1" applyBorder="1"/>
    <xf numFmtId="10" fontId="0" fillId="0" borderId="0" xfId="0" applyNumberFormat="1"/>
    <xf numFmtId="166" fontId="0" fillId="0" borderId="0" xfId="0" applyNumberFormat="1"/>
    <xf numFmtId="166" fontId="0" fillId="0" borderId="0" xfId="0" applyNumberFormat="1" applyAlignment="1">
      <alignment horizontal="center" vertical="center"/>
    </xf>
    <xf numFmtId="1" fontId="0" fillId="0" borderId="0" xfId="0" applyNumberFormat="1" applyAlignment="1">
      <alignment horizontal="center" vertical="center"/>
    </xf>
    <xf numFmtId="0" fontId="0" fillId="0" borderId="7" xfId="0" applyBorder="1"/>
    <xf numFmtId="0" fontId="0" fillId="0" borderId="8" xfId="0" applyBorder="1"/>
    <xf numFmtId="1" fontId="0" fillId="0" borderId="26" xfId="0" applyNumberFormat="1" applyBorder="1"/>
    <xf numFmtId="9" fontId="21" fillId="10" borderId="0" xfId="2" applyFont="1" applyFill="1"/>
    <xf numFmtId="169" fontId="2" fillId="0" borderId="25" xfId="0" applyNumberFormat="1" applyFont="1" applyBorder="1" applyAlignment="1">
      <alignment horizontal="center" vertical="center"/>
    </xf>
    <xf numFmtId="1" fontId="2" fillId="0" borderId="25" xfId="0" applyNumberFormat="1" applyFont="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1" fontId="2" fillId="3" borderId="9" xfId="1" applyNumberFormat="1" applyFont="1" applyFill="1" applyBorder="1" applyAlignment="1">
      <alignment horizontal="center" vertical="center"/>
    </xf>
    <xf numFmtId="1" fontId="0" fillId="3" borderId="0" xfId="0" applyNumberFormat="1" applyFill="1" applyAlignment="1">
      <alignment horizontal="center" vertical="center"/>
    </xf>
    <xf numFmtId="9" fontId="0" fillId="3" borderId="0" xfId="2" applyFont="1" applyFill="1" applyAlignment="1">
      <alignment horizontal="center" vertical="center"/>
    </xf>
    <xf numFmtId="9" fontId="0" fillId="0" borderId="0" xfId="0" applyNumberFormat="1"/>
    <xf numFmtId="170" fontId="0" fillId="0" borderId="0" xfId="0" applyNumberFormat="1"/>
    <xf numFmtId="166" fontId="0" fillId="0" borderId="0" xfId="0" applyNumberFormat="1" applyAlignment="1">
      <alignment horizontal="center"/>
    </xf>
    <xf numFmtId="0" fontId="2" fillId="0" borderId="0" xfId="0" applyFont="1" applyAlignment="1">
      <alignment horizontal="center" vertical="center"/>
    </xf>
    <xf numFmtId="1" fontId="0" fillId="0" borderId="0" xfId="0" applyNumberFormat="1"/>
    <xf numFmtId="1" fontId="0" fillId="0" borderId="0" xfId="0" applyNumberFormat="1" applyAlignment="1">
      <alignment horizontal="center"/>
    </xf>
    <xf numFmtId="2" fontId="0" fillId="0" borderId="5" xfId="0" applyNumberFormat="1" applyBorder="1"/>
    <xf numFmtId="0" fontId="0" fillId="10" borderId="0" xfId="0" applyFill="1" applyAlignment="1">
      <alignment horizontal="center" vertical="center"/>
    </xf>
    <xf numFmtId="1" fontId="0" fillId="10" borderId="0" xfId="0" applyNumberFormat="1" applyFill="1" applyAlignment="1">
      <alignment horizontal="center" vertical="center"/>
    </xf>
    <xf numFmtId="169" fontId="0" fillId="0" borderId="0" xfId="0" applyNumberFormat="1"/>
    <xf numFmtId="2" fontId="2" fillId="0" borderId="0" xfId="1" applyNumberFormat="1" applyFont="1" applyBorder="1" applyAlignment="1">
      <alignment horizontal="center" vertical="center"/>
    </xf>
    <xf numFmtId="1" fontId="2" fillId="0" borderId="0" xfId="0" applyNumberFormat="1" applyFont="1" applyAlignment="1">
      <alignment horizontal="center" vertical="center"/>
    </xf>
    <xf numFmtId="1" fontId="2" fillId="0" borderId="0" xfId="1" applyNumberFormat="1" applyFont="1" applyBorder="1" applyAlignment="1">
      <alignment horizontal="center" vertical="center"/>
    </xf>
    <xf numFmtId="166" fontId="5" fillId="6" borderId="5" xfId="0" applyNumberFormat="1" applyFont="1" applyFill="1" applyBorder="1" applyAlignment="1">
      <alignment horizontal="center" vertical="center" wrapText="1"/>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3" borderId="5" xfId="0" applyFill="1" applyBorder="1" applyAlignment="1">
      <alignment horizontal="center"/>
    </xf>
    <xf numFmtId="0" fontId="2" fillId="3" borderId="7" xfId="0" applyFont="1" applyFill="1" applyBorder="1" applyAlignment="1">
      <alignment horizontal="left"/>
    </xf>
    <xf numFmtId="0" fontId="2" fillId="3" borderId="0" xfId="0" applyFont="1" applyFill="1" applyAlignment="1">
      <alignment horizontal="left"/>
    </xf>
    <xf numFmtId="0" fontId="2" fillId="2" borderId="0" xfId="0" applyFont="1" applyFill="1" applyAlignment="1">
      <alignment horizontal="center" vertical="center" wrapText="1"/>
    </xf>
    <xf numFmtId="0" fontId="2" fillId="2" borderId="15" xfId="0" applyFont="1" applyFill="1" applyBorder="1" applyAlignment="1">
      <alignment horizontal="center" vertical="center"/>
    </xf>
    <xf numFmtId="0" fontId="2" fillId="2" borderId="15" xfId="0" applyFont="1" applyFill="1" applyBorder="1" applyAlignment="1">
      <alignment horizontal="center"/>
    </xf>
    <xf numFmtId="0" fontId="2" fillId="2" borderId="15" xfId="0" applyFont="1" applyFill="1" applyBorder="1" applyAlignment="1">
      <alignment horizontal="center" wrapText="1"/>
    </xf>
    <xf numFmtId="0" fontId="15" fillId="0" borderId="5" xfId="0" applyFont="1" applyBorder="1" applyAlignment="1">
      <alignment horizontal="center"/>
    </xf>
    <xf numFmtId="0" fontId="15" fillId="0" borderId="5" xfId="0" applyFont="1" applyBorder="1" applyAlignment="1">
      <alignment horizontal="center" vertical="center"/>
    </xf>
    <xf numFmtId="0" fontId="15" fillId="2" borderId="15" xfId="0" applyFont="1" applyFill="1" applyBorder="1" applyAlignment="1">
      <alignment horizontal="center" vertical="center"/>
    </xf>
    <xf numFmtId="0" fontId="2" fillId="2" borderId="14" xfId="0" applyFont="1" applyFill="1" applyBorder="1" applyAlignment="1">
      <alignment horizontal="center"/>
    </xf>
    <xf numFmtId="0" fontId="18" fillId="0" borderId="0" xfId="0" applyFont="1" applyAlignment="1">
      <alignment horizontal="center"/>
    </xf>
    <xf numFmtId="0" fontId="2" fillId="2" borderId="16" xfId="0" applyFont="1" applyFill="1" applyBorder="1" applyAlignment="1">
      <alignment horizontal="center" vertical="center"/>
    </xf>
    <xf numFmtId="0" fontId="2" fillId="2" borderId="14" xfId="0" applyFont="1" applyFill="1" applyBorder="1" applyAlignment="1">
      <alignment horizontal="center" vertical="center"/>
    </xf>
    <xf numFmtId="0" fontId="0" fillId="0" borderId="10" xfId="0" applyBorder="1" applyAlignment="1">
      <alignment horizontal="center"/>
    </xf>
    <xf numFmtId="0" fontId="0" fillId="0" borderId="9" xfId="0" applyBorder="1" applyAlignment="1">
      <alignment horizontal="center" vertical="center"/>
    </xf>
    <xf numFmtId="165" fontId="0" fillId="0" borderId="0" xfId="1" applyNumberFormat="1" applyFont="1" applyBorder="1" applyAlignment="1">
      <alignment horizontal="center" vertical="center"/>
    </xf>
    <xf numFmtId="0" fontId="0" fillId="0" borderId="0" xfId="0" applyBorder="1" applyAlignment="1">
      <alignment horizontal="center" vertical="center"/>
    </xf>
    <xf numFmtId="10" fontId="0" fillId="0" borderId="0" xfId="0" applyNumberFormat="1" applyBorder="1" applyAlignment="1">
      <alignment horizontal="center" vertical="center"/>
    </xf>
    <xf numFmtId="1" fontId="0" fillId="0" borderId="0" xfId="1" applyNumberFormat="1" applyFont="1" applyBorder="1" applyAlignment="1">
      <alignment horizontal="center" vertical="center"/>
    </xf>
  </cellXfs>
  <cellStyles count="4">
    <cellStyle name="Hipervínculo" xfId="3" builtinId="8"/>
    <cellStyle name="Millares" xfId="1" builtinId="3"/>
    <cellStyle name="Normal" xfId="0" builtinId="0"/>
    <cellStyle name="Porcentaje" xfId="2" builtinId="5"/>
  </cellStyles>
  <dxfs count="58">
    <dxf>
      <fill>
        <patternFill>
          <bgColor rgb="FFFF0000"/>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20/07/relationships/rdRichValueWebImage" Target="richData/rdRichValueWebImage.xml"/><Relationship Id="rId26" Type="http://schemas.microsoft.com/office/2017/10/relationships/person" Target="persons/person.xml"/><Relationship Id="rId3" Type="http://schemas.openxmlformats.org/officeDocument/2006/relationships/worksheet" Target="worksheets/sheet3.xml"/><Relationship Id="rId21" Type="http://schemas.microsoft.com/office/2017/06/relationships/rdArray" Target="richData/rdarray.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SupportingPropertyBag" Target="richData/rdsupportingpropertybag.xml"/><Relationship Id="rId5" Type="http://schemas.openxmlformats.org/officeDocument/2006/relationships/worksheet" Target="worksheets/sheet5.xml"/><Relationship Id="rId15" Type="http://schemas.openxmlformats.org/officeDocument/2006/relationships/styles" Target="styles.xml"/><Relationship Id="rId23" Type="http://schemas.microsoft.com/office/2017/06/relationships/rdSupportingPropertyBagStructure" Target="richData/rdsupportingpropertybagstructure.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microsoft.com/office/2017/06/relationships/richStyles" Target="richData/richStyles.xml"/><Relationship Id="rId27"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_xlchart.v6.13</cx:f>
        <cx:nf>_xlchart.v6.12</cx:nf>
      </cx:strDim>
      <cx:numDim type="colorVal">
        <cx:f>_xlchart.v6.15</cx:f>
        <cx:nf>_xlchart.v6.14</cx:nf>
      </cx:numDim>
    </cx:data>
  </cx:chartData>
  <cx:chart>
    <cx:title pos="t" align="ctr" overlay="0">
      <cx:tx>
        <cx:txData>
          <cx:v>Oil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a:t>
          </a:r>
        </a:p>
      </cx:txPr>
    </cx:title>
    <cx:plotArea>
      <cx:plotAreaRegion>
        <cx:series layoutId="regionMap" uniqueId="{4E3DC997-3E87-41FC-ACE6-F30E991338C0}" formatIdx="0">
          <cx:tx>
            <cx:txData>
              <cx:f>_xlchart.v6.14</cx:f>
              <cx:v>Oil production STB/d</cx:v>
            </cx:txData>
          </cx:tx>
          <cx:spPr>
            <a:solidFill>
              <a:schemeClr val="bg1">
                <a:lumMod val="95000"/>
              </a:schemeClr>
            </a:solidFill>
          </cx:spPr>
          <cx:dataPt idx="7">
            <cx:spPr>
              <a:solidFill>
                <a:sysClr val="window" lastClr="FFFFFF">
                  <a:lumMod val="95000"/>
                </a:sys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lHpZb+Q4tuZfKeTzqIqkqIWNrvtAhWJ1eLczK18Ep9PJVaQkUuuvn5O3a7q77sxczACGgQgtQZGH
33b09/flb+/24234ZWmtC397X37/JGPs/vbbb+FdfrRv4ddWvQ8++B/x13ff/uZ//FDvH799H95m
5cRvBGH627t8G+LH8uk//g53Ex9+9xbfahdVXB/Gj2F9/AijjeG/Pfp/OfjLx3/e5nntPn7/9Pa9
VW6nQhzUe/z056HT998/pWlW0k+//PbvN/nz8O1bC1c+e6vat//DJR9vIf7+KSnor7TISkxLzOBm
LC0//TJ//ONQ/itGRZFnmBVFljKUf/rF+SHK3z9lv6aYkYzlNM0ympdF9umX4Mefh8ivZYEoYyVl
cA7Nyn/Ozb23q/Dun7Px5+df3Njee+VigMdB6NMv3T/O+/l4WVaiDJcE/heozNMcMzj+/vYICwCn
4/9h11GynpB5J/22njslClxn2Iad7IJ8mSKdQy1MLl+TniZ/ELH1nodBIFoR0xa7tlj1bSHdcMSW
JaKyZsG32nl6t6m5v0xTgkVV2H5+mXXRZedemO6SbcjdUDkkh37QZWX7Yuk5mUpyntdVnlCxyr1M
SHseEBV3GrWZ46lTyf3SFPIkxmW8s3l/py06tgTdmKlLvqrYDn+Mdh62Kh1XfRiYkS2fe9c9SS/b
a7GtserHmFdpn8UDY33+QGbhb0jM6CHgptkF7MzrUvqRnoYZudt1xdkZZZmpO9xbxfN+jWs1ZwV5
iZI1RYUJ6s8pttPrknt0x9JhGeBhWZFWskSz5p3SQ8VQkHjHPJXzvgjW11h1bcuZI91TD+e+JsLn
F5HjTnLLFvZjWKO8W0wmbzrikl3he1bDg9DT0pWq4XrN6bJLWSHEznWLmarYlV3LF+yNrpsu0eO+
XYpQqcn7Jz2P/ROj7mQ3ldxlMiQHtHE6wPxWY4nIR65HcddJJGgllE4nvrU9vbT5NN/H3MaaNiSK
SpeDeuqsWjpuQmsfqUPmOC9T/pm48rHZBD4oaravQrH8NcHryGU2rn1lXTce0BzdpQj9eDFuU3uK
srgLs1PnMdrmtejssBvQOL/jNZkYd2H2r7LV6ouywR/S0OQw4F7IF+eS8o5sJDkTmicDJ6tLXsd2
cLYaben2vZN9z2eTJV+ayMhV5TM6p64ItS2y/lELDCCQpPP6FghF32Wj7VX7dKzbYbBf/ea268hK
96yn3H0jaMC7NrHxudOrek8p1YJTytSlUclyVavR51mmVvN+tLngCTLl1yxz8dBqndQqNpvh+cTi
HjehSY8hyfrPq0HL3aZ1vnJlpuxaxGQ6LsVWON4sc5/wNjENzJ8ajxmi3UvJIvsWcyle2DK3b1kc
/VCrPGVyR2g7PPhg1IUwr/fULPKa5Q15suNqm9qwQr1nrAu7dm6aqw2UfQTZ270o1/QrbSmMzrek
v5+KcVyrJOp54q0hUVWFz9lzA/XCuM+n9HFIlhTqtczaq4JLGp6tQp7ntu3uilShM5tp2KpmW5mu
hMuQr5yLy9O4+uzsVoYPphiKrhZ4LX+gzidfxLgVL4ntN30aiWAznxM6VZS5wdbltJUFD3JOXB3n
fPpspCEXkZpmbynuX+2UjDnXo2s+JwmZKz9ZsndNafuqQ1685QaNDyrL8GHyU19baWw1L2k8x9IW
95PH4aU1ME27sttCTXVZVo6V5nXLXfu44D59EaPOHnHfm70uU4H5KNDw6JPetftxkoWpHezUy+ZD
2HhfbsuPZRH+Y1oaUscyL89LudITVL+5TdvCDtxoZhOOCZsoNySf6pQUsq1GZ9u3Bn77umUSjZVx
rDe7Phr1Egq5fW+z0b9HLeVpaFh52LAZDnmU06EvvbrKPsW3WNhhP8whvZlxwfZTGVHJZxG7N4Yp
+wLEsh4tMMgXN63maYCK/dKZDCcV7CgtuSl0oXhTFupzo+bZcpLj4ZZtFtcdaZqq93FeOED9elhE
3L6kQ5M8/idX/vYPsv4LIb37bh2UkH+y9T8//sf1f4mAv/+87F/f/2T8f3266z7cUxw+PuL1rfuv
Z/7lQuC/P3//p1j4y4f/TTn8O63/vx78i3B496OLP3WIUN79uwrI8H+nGipvfftN/UU3/LziT9GQ
57+WGcY/ZQNBJVA9SJA/RUOJfy1SgDeECMgGkmf/Eg04/TUtM1YyDH+0YBS4/E/RkNBfSYrzkjHC
WE7gzuT/RzbAIMh/0Q1Fxij++WskTQlGrPirbggmKN02yuzQMJM71U5KFmctU2XbB9k5KJWVI5ws
ri5RH4qn0E0zPZImGbJbbJIl8kJMd7jrf2zbdEqL6YeOi0gelowJVbVdM827OOXqR5tumGfLmKz7
1eNifaQMC2DxpkHuZIRzxHCnCLH7DaMu40kQZq1dGuP07KQW245Y1C+vbTnbMFSNxgt5m0rvbdUb
Fn2VaZTPVbfYjPE+66y9jAB9CVcOi+FxkJMIp2UjcuPETU36bfJo7H5MwanpkKXKUD5LUyx7gHKg
vYJNna2bMSnc49TpjQIY6viIDMxCZSPrbQVyZM72KE2KwFtbtCCwPDIdnzc9kQNmI7JcbnleVL4f
PYCGYRjt9NDnvqJGL8m5mYVkFQwttydJXdFyOXVNVzdW+KYal156bkQxDjCTk0NDwZfEqLZeu410
uxBtFGdtZ61vdWTr9uqlQUq8o9Cyr4UbnOZAgQNQcd8mD1mfCcX94suEJ8aFt67JLHwzesckTyWa
JB8SW5RfhdQz5T2Z5ubr0DXKIb4Euqz7MbhGf6ErVvbaD5kUp0ip8Ts3+a2raEhVC0AlA9lJRpNh
15SL3z4PeapxveYj87vcxQRbzpIeaJqDpNoebeOxODAS0fY8zqj/Q6E4pYgXwDuydnRq01oCSco6
YE/6qpcxjUdfglY5tnqlOvDEwuhvbSjb6dJi1NgLaPHeVO26jegwplti6jIRcjobKgKtN9Eqc6LL
pul5ymU/P1DaL+WFrKACd1ssUnkd6bauUFSOKY7KJD/R0OL+KJizdJd22Yg4yN/1xxxLs+zaODVZ
dgoN7eUZCkVnfA7Kh5/MMm+PLgs5nGTQMNTB5gzfd+3YjPWY2DK/MQtN1lPawr7Yhcxk3nM5rPM6
cTWNqLiJayxopTu6qGrYusmcWaeV35syX2U9y2FY34oCNd033A293+FpUv1lwz1M+wY8W1xC6Jrm
TSSe+eekAeGyj0wNoi6Cx5/HpJnHLzJgMgmuoACmB1D2pX5fm5SVdQgzGap1ZkxVTiBcnuawzdkl
y/xY7NaEeZXxbe2XjQeUzbHOU7vZB1NKK08uuia7T7YlUTdNUHBOnzdMH1DeO0Z2SYtUx7ux1WZX
lq7oOh4JXvMdaYbR12hbGDrpcWx9F3kYyzwcVdOs800cp8Y8GhHWdGctyvLzGJp+3lObaLojfun1
ZyHX9RJMB3PX0sm+im4luF4ap+cK1OSoTgEX0cLqlsN6yfNpmd62ttRptY3W9TXDISl2jJTLj7KE
DXwjdeugPDrbNgOHdR/csRzXBvYQYWCiDhJDOdYondJsP3kY8x/ErENXtQoM3xkVS4lOfSGj/WNZ
dId3U9u36iIy3NgzNQKqxbuu62tVUNR/G1G6iOc2DmVXTQstQ7/b5tYBv9sFj8Nju3VdeC+GsnxG
mtiu2lwuLgIvOIWy7bLPjZ1GXImOtuIUXB7WHdgftvHZDvNUjzlKijp4WgLWdl3yh5Gg3DgawFrN
JDYLR22hD5MBxc0AahyUXqNjlVHhI7cRDRMX+UQurUzsXANuDWqHTTCX0QkZeNdN5SUlxN00cSGO
ZyhtQb9b/F1Sun7LlgEpPuXddEOjXIadTsL8NFBB6nVqlvsADhzMx9x5QXicdRN2HW3yZLeNJm2u
vZWh2CW0i2uNDTFNnRsRw5udaOmqjKBl2w2UhoYrAuL6WKCNmeM20VDkfCBonQ9a5FpoDi4TdvjQ
NOkKGFF00zmflXXHpsnyr3NLiLhpM8msOELdDf2P2KtkfQlQBLGtYhZwNehN1m2MLyVpKkHYvUDy
MWp8WVjeV8jN5wJ2Et88eV768rEv6FwVE8BfgUnkms5qv2RJUYEhy3keOnRENFFHcJP9uWmnWKMR
5Gvnsy/RZfehKw8uxAcNWMiVh6JJ0Dbt5mbLYT1Sy7WL14TiG9OqHkA0nU+lcHeFx6+DkU8ZqHeO
V/sxq+Wh38K02zIiYCHCh1iSN5HndzoFZmrXuZIr6G0cQsYjJeUNmgf6OSUu5cbh6TxYc3STlJcy
3dAh61OgFVu2e9GDpZtDL6s0MU9zxy6lphPH0RA+QIHX2RLFF5SJsSphTToBViszTXG2XcsOmHjx
EGGLip12oHL5OLv2bsa5RGDAIj0g2X0XWesqmSxgtGF31JPJ31RixI1cgq8L2PxwZ2Z2cmyBx9BG
S1528W6VUgJRQyCwrAsfjFCPXql8X9rs1tomvoGc+ZKsOK+0TsEXmedESVvPsNYH2LCSN5l8Y77H
d7Jd4qHxc+BM0ZYPhWd7lA3kI+rF/ExMfhTrIvcMrRocbXFOWvlItpZd82V6mAgCze5dejDjsh4G
3zXg/Ls36w19XOUMEU07tucos27nIT74ssbEXNzms0PiIj2mzieVwu7bOgyBF914syV9AalH63Zb
ipsqxERwNyDzLUzoaq29KXF7GzeATdeDxZyarq8Sn+U1W8s3aUTPczdpTraBVWvaXgqx6RrYfNen
yleRWX9c6Lono7qHqZtvKNSUn+PKx777aGEn8Bl3x8GVxzjY12Ej37zsj7qnMyfBXlW2nQvKsh0z
4Wbrpa4MGfQpZm6vrbs3Ep1GUbzTGE4BTXuZMsFZs+znZdlLIg9EyvZNJ2Y4zlJ8B7eDuVva7DAv
oT3olX2Z2ALGbMWHYt7ySqT+sEz6UBaikiMilZnLeQcw8Aih3ZPB6SXrhpsgmpX7ZjB8LcNl0RB5
jYChRIukjnmWVmDRzL5JDDomEDWci6mD+ELQNj9gh/p9xwR7ppvyT17q8BlRMj2JNKIP5mTzpFY3
6mpJh/w0aS8Fx80agbUdNi9jF0ElFTnbt16XKw8plheWLvSmWUGiTsM4vo1Tt7wUqjSPcIq9L2MZ
ISPK5FXGIeXSLt0eZHf50RVIHVMQWUcw6N3t2G7iyxSb9dasJlYNdvmPnJbmProx7vK17/0taFFD
4WExbvg2TLGK2xi+eMkSefSWlNl1mbpVc2GbtQU4A4NczXrdhr0FAzueHOjob20CqhScvon9rswT
YWs6rNNTtkoFyD/FYj3BNpziboJMRR2ySTl9TvNxyb5CDlvEGx1xrgElqP9DrUk+fpQWqeLQe+sw
3fWrcKKrmB+SvAqYiZIXJRYPECTBSvse5BsnxpQLV+uiwg7NI3oY0ThcXTGg11UNEZigo2e09m7l
ph/KER4ibvluLEJD+NZhBerKgiPabaAtw6EIY5yqYRhhGqiwELBA8hTZcQFdQ3g5NvibT/LPusSu
pmQpOM7ZqMGljHdzstYJWHq+pWOsJnAVO9iyy0u7DOZiZ9cddYgBcNEAA89dsm9Fm1dZDlTsTcpO
c+MRz7TGZwCEZ1tQ+bgsQ3/vxJpelFgzAGKkT8OETn5EXxzO0W7piaqUDpZ7mr7GIftKbZffkcI/
tb7EXyXphrNvEdBzHPwuy/r5iJPkg/VLfrfh6c1vxbd5CkvdzmY9a6VkJXPk7rLYxkvbTe0Bkqbs
KkkZgE6lqths55duXctd3Lzag8Jof2zMrnsA8a3SrYKs1y72p5MY8UO36ewY6ShrTYfkERwFqmc2
2Z0C/wTSsS13lHWmBYICUQe2ByXnIEBScpSSFigiJKd8SdEVhFw4uN4VFRX0anvd8b4ophtSNEPV
DiU2nCIvn5lD/pKNXQNS3NgDcZ29lnnTA+/M3/vI5notF31QrllOzLVl5dP4Csgg4cHKvf1JF80y
3rY0+170rKIpO2ZNVk2rxbzH6lGk6Qde6R8um55GDJkwUV5XIPsW3kzsj9hQx1WnLND8yGrbZ5S7
lvxBUsi8i4RhiGr9OS8AZ2Y5bZXLwVdvTX5MVH67dOntkMRX0H4rb4PcDYt40V04NmEyHLLua5Kb
t5GEL9SBbNAI3zWU3DD4MuLp5FB5mLGfeYNXf8yZsOcMZ1XfWSAWQhMerM72pZlvl9U8u2n8vqKA
+TZ3V1Be12FF8VooEAFpY1KeG/qD+UTxcs5nYEl0JSQ/mYKlECtuaT2lQ89jCSgq0kMnAwS1KoNs
Cz1HoQ5jDuPI6Qiek8V4GJKG8on6d4m3fj9G5XcN0EhV5OARhQIM1LlKIUPNLMcCBp0sJOVrXL6m
S74boIHADTSZKtQNL0rkLzEEzf2qbBX9+NzE9jAaNvEUxe7glmI6QaA/8gEg9tTN9iFuy24w0VYG
2KHGQ7PvNAHQSPQtm5wHzmBLNUya1cFB06Nr11etxxsUB1L3LIFSSsDlzURzNdjnIfYPKA/o4L1A
fJ0dqTPUv0N7J/C5TB82sVR4Qc9Us/vJ6jOR4Y5mrJJOLzuIycVDN6TdXs8uHokB/NEkgdgi9CUk
LNbc99TRKoTBVLkm48xtOxY3Vocc7qRUJVC+3niVt9xmbuNolKhqrLqZ2hK+kmirxgTdbllxR9dw
ShcHoykHWmUrNBVmVF6YzyCzX+nBrqo9DQmUOQGL1th23W24eM16BpFvmoy8zNmjL+abSdjraloM
PYn0qFPxmtG1RgmR3G3mK8QG15Ctn+0UXlbTz7XcEr/TiFgo/fIImNcdod2A6mJs7A6k0VwFtyUV
nkGlrgAvfIG54D1tBMBpnN21WyE0MLZ5nvxi6651LzjpblqRsgeKfXNaR7hlb8m69xSaDaNg/gah
pDuBjusPPZ4pEE4xvoJaTQWHplQLQrAcTkOYulDhnmaQf6Ml3WfbZDqIcdrQVpp1jai2eWi+9Ws3
naSJWOyzbp0UmNGueYujWca6FN2WHVGaAStmzkyoZrJfFj4ZrPZMNdNjohtyoVvAIGES6HtCWvWs
SthEjVp/JLBohxVNSy1Sut61OW32YzIFBknT2hrADjruBbXxWPgpHLM8tj8sTrJzhCTjFFEPnivH
40GSEfYfUdvqeBS5KuEiMGp8BHNadRMsc7LN8sBQCTH1aBsEMIOaNjuzjen0YloTrpQk45cW54M/
aIMBskkB2caJYcj4FVPsAuHNzK4WW3Fydjawo5hphpNrm1jlWxruUCDobiMNu5cyX9Vjp5ewnGzc
0ptNUWlhgt1wXtqBHHqxoFuNQdEcklmJnx1AavHOQNIFScGKeQ6G7gISYqkHFZcfsilcDbYKH83m
MYSH6QYhfxYTgIOC8CTRD1myrTcKt899SrZLRzLxats53zVUqzsxoPCEB/Hgt+myqvKFDGE4eQJy
dc0HuneqeZZ628N6g5PO07dVz2TfJ7nidBETX0r80rb6oRH97RhTBW3IcE9HrPmSladFk1u6tHvj
09oXqD/kIftudXfG4A2mIfnaLpngcRnOm7So1rn/PLT6rsPO12Wp1gpDYrbL2+Aq0rcj2L3FQJXl
wHt5vheprC040R0pRrQHcXodVQkaP9d/DJO6MSAiK8gZPfTGxmO++mtu2DkpsjoZlpJP5bTuBwuJ
Ytsw/0AzGSHcm8wOC4SAJZmoS9/MdVKCb9B0m3kcivRsCFZ3DJzBXeaI1qCNOs/j6hSAHoXRUeho
Qm7n465no72ZJaRybYvQbYKohu7xdJ0Y+LQE0mKYljbjRiaH3PqbkcpjuU1PKbQzhegeBtI4PiaJ
4Qu1R0jdTBVVciFNeEm7SCu8GVM3ecHqPIkAgpSqU5dDywqauqc57yhf8uSexe1zmHvGoVPzrFPg
X0ril2RI7rSJkXeQslSBdg13iBy0cjPIvHg7ugKYrWl/moo7iGa/+QnquWig590+6IXUmGQHsa6P
dqYZb10HTbQCcH00yQmP5Bv0qC4QFQu+5ckbZuVXrMh20kr73ZCAF/bmvlmLmzVfr1Gg0ybLz8u8
1qOwL8GSIwSmu4GEE5XbwW2z4AS5WpfDcQten5oGk6oo5utK5Q8iwrndlqvV/UPIsgeAnYciES+i
6H9kmT17yABECgLEtOtdT4w76A2cyVoMPyZTxoql0yus7Y4NJVB7WZNmhGeZ3Oe11A/92nScuuRE
7cibTd5P0X/v/FRDaxC2X9hnc38M3kM0C2ubpelO+3Y3LURWIROgOIZHkvTgIGO9LemJQIBPtb+f
CX2yKhs4zULkm8nvZ5fcQlJ3LdpJV5i27yZBX2wu78zaH8fAgKizF8D8sAs+9NW2xFh1c/m5Gwdu
S2hUk3ZCELYW+R0GewduZPW8aZKUh8aQQ2zQSUwJrYwEgu1w0b2GCHE79mHg3QBise9eYAbvSj2d
x22sYrkctUcXNoGi6pvlrHO7L2l3MWVfUwrZyYZLtdt6I6tlRS2Hnf+5RSzjwnVizwQduR/kCdJF
Pmf+Laj5AKLyRZTpYdP+m12HW4jEboQd39UaMyhK+2z0UA8brYelu9NDegcvH0ggvmUHAeHOJPoG
9OlXnesHq5vKbpC+tPGtmLOEo4zBxiPyp4ALh3TeFG/BR9mpv4tSfi469ezNoPjienGUfvjwk4CI
G4wgyBm861p1KqEvWamFfVtC8y2abA+d9+c0sDd4UH3JxXKrAhTmT6WEmhvZjDeQnFdLm3RVamla
E5nIOiPdsyPsMC3Ov9E2Y+exVQMPPzULmTFsTe0eFhOaHVMdXJ0tsp628b5oIP4gxN+red27JGEV
UnZPmu7Z5OGV+jmrie+3PbxV873o8uQwhpZW3ZD5PU3EI6Q/7/COwHVOoMkJL5z8FJzbRTX4OpS9
5PPUPWSQFlVrPx4jnmFSs/FhlAtUhxfPcZ6+wFaVR9WxQ9mT51LZ07hZz4clmfey2KZyv8DrCecM
Mf1NRLJeyRbhNZPSREV2PSkNLEmbXsemC3uYFnKGbgpEAtAyAj2Eemg1K/NOpwlXE9jkL6VIstPa
YRD9abPRmxzi5Sfo12yP1K/bNbUjvIcTcggbaFOOT4ka8el/snNmO3bj2pb9l3pXgq0oPZak3UXf
OSIcL4LDDdVREtVQov6mvqV+rOa2z7npdJ6TiVu4DxeoAhIGEnaE9pYocq05x1zQsdYrE5Lhcwk1
a0oX24se1Unu9vlM1o9TY/TRovG/jLeVfhwGMXyCrPLurIesos6iiytyOCMSp3hREvyvydPcl3dD
w8oEgMhT5Hh7aHEad0o2KTz+nV7m+TparDqiEb2VPRCScfYs3QjdkthIu7PlktFAQRk+m8qa4S3N
CbaBMIZQHuM1gdrhErQE96IWF5QPj/D9sExV5PdhW/O7kvMpgS5K4DrZJsPtKvCcwjWpoaknxqo6
gSL7EHR9lHSNzeItevEmHHDz67ewUu8d6uN0LmqZ8t5ZWI35ix6KrIm60aD3Wd/DUr36Igpe5dgd
YCQNOyK2o5nIQ07p+2D5l0KtaRxuQcYVlALh6he/riTtYZdklWVd0ucotSlcjpM8N6FrgP58KPH4
VsdPzbw9qSIIoRVOr1MdXCnNbkdHbybLfKbNGB712MRpq+mYhTjUk6EwTRKUI9gidFq07S9VXB67
AKQJs9srtItbo4ZPDSGPpbRbQufufQs9uaGDO1IhHvN1A3kyQrlfeXMqeHjiWHSrtyIpVtQwJifD
UUKo2M1iYlkp+zKrnfMHJfDxoZXcCd/Z1K89pDM4SG9kOEsMrRJ7y4z82tmyvYr4DApiXeyp0ax4
5P1SPq7t5i4kw0vPomW9jaa8gdrbC/BEWMgZzKDqFraRzAGLhZ2Ekxm3EIeL6tFZpm/oHHSXYzyi
3xsJC7CBCtt8hVdHWsAgOXmPh8YlkY3h/2G1psA7lruwKSQk7JntuDH6WQclv5oiABJ041jzoVl7
usfhG95IqLKnQHXibptCkS3LVtRBstYGvXazErxO1dJAYcfHY3yz2ViGKKCKaN1ByII605XTfM/W
eYVIv9mpxx7BVQ/1EHpH0hBPT2s5QOa06KDMGlffhrjEIc5bfmX52D40a9tecdepC955dozjwHxj
C9eXjnp7n9M4lElR1iMuSlvRX3sXBXhMRfRUR3o91VtrTzEvlguaW7mrp5h8gHDGpww7IH3l9UzS
ph/Cs/jU3kysCw45dcsx5914oGIYLjsKr2zUrZoSHxue5X0f7s+s3l3ge2zElZzYlOIuzR8M7/hz
eO65xqjHDXUczUK7TRAQAlneuKUXJzFP826JwvIS4hXZLxRuVGK46/fRhrK3JmN1kgudwqSwrMpc
F+FML1U9pmGfN6c80EEasMgsKdGLuLS+4N+M1B1LfDNxk4oprnd00qjFN9nE3QMARE8SjRcosRtK
Mag9Hyj8mih1einfqCPFcyenemdgPPQZzFMoQvWyfdFwXLPZNvy+PQu7hgKSi2pevRQNDE4bV+S6
MuuIWjaKUKMIecsqtdwNAGK2rOm7KtwRKF97P696V49ywNYXyQc/3AYRdBKdKDYOsOrjyNdww9Vy
waZRH+k6HVsgU3WSt9DrEpALVVbAi2wepLXS7POpropdoF37leacfsnHeLnwWtVfBQ/zMnNtPr7l
UCKeHa+7MJk6K7bEbWV03Te8oMmZlnoDoLi+tQXp5A7lzCQvQx8H416YeFhNMlZ4l/EB0DQkbglH
B7XIoBD3/bBo1HcDxTmhHM93oJtaSLVoh5rwTqsCe0GY62E5bl2BQs+SnKqTZ8tRlme5sBe1w10s
WHkp8y7+EKFX7zIvGg6eosWBs5u7HGAh1T4O92r+7ge3CyqpZZrqQwPAjO96Hk9N1sQQAJNRtsLs
yqGFXV/HC8rQwcPhS4yXnU61VZE+SuabC7pGxbSfhJveIcCOdWboCJdmnsDFQcNl9hXkCk6YUuqg
SPO+WYf9xDSPLpqoL25KiuMvK5U7QAFW9Kh8UG0PAFHOq6noQb0azre2hp7R0i9dG8ChjIIWO20Y
zvO612aGiiq1QCuLvwS7wcPhLEPlGyrKOee12FGBAzob21mEu4pErbkscORGsJmksdeh01F53a3Q
gT+BJG3k9dLN63o91rL9OFbzsuJTswbeCJ2p94m20qU5UA1j16mD0ZLHX1nr5bc8RE2RbFAJx8u4
XM19VLjApCPEorQawECkQdRt0ExAi8wJH6eoP0gytS4bc113O7ZAQzrNMZm+ioDB4iAb8SRriu1D
vsQ+kVEPGzUWG3YMMGifzSrmftdP8RxDQWg5aBATx/6BTiioSTeZ+XJmPPoMk8OvKeCfec3mPAeA
Q8IgIvuB5PW1jt32bapXNP0h6YnNghw4+IGYQEW7Ym2GPgsIfI5kKueyyLrF9Fdi8Wy9cmdk5IDK
ewBFq9YCzWgVjfxy7kaoZVhD0u8XLxSQhzDOt/VKBHOnHpXLVZAta2lue+gZehdqIBWp0Y0ebueS
a77zMQeQoGYIPAfnQJ1cDVMQy8u5Nv2dWvONp4bRywnH7IIOa17rxwo133DNZu1Q0GwBA7YT5liG
MN6WAGV9G4FHWklvcTurrU/AQgEcWUSMnZiGKBR21LXc7J0K6Aqv3pp411Zj8LnoCeFXPeAcKB/U
QU7qclt9WTdV5MkUdjyNZIUvarvo3gUdABKQOqEDYlMXPMUKhgxZlzFsJUPyOE97v6yPQINGjbbL
Vx9AJ7Lo3uulea/kNm6nRRWFfTIAH+h+CgO082TU4I4rFG35cxOy1VzTYiynxOG3rDDMihln9Jrz
EWWQa81HFZxLIBEUukIVPkYQqNkY+hc5SFKmJFoKBaW6GkKA0EXxjFqXR4kNCqvvw5ZtXxY751sG
ihT4zRSU22tdhXBOfd5GIgGfP79Tu5k6LU0BzXBalBhue924b7A/KyCrBX7jro+3cU0oBTy9MWNQ
fimLw7SHmlGn4LKC9SuBi2T3GnSNOpDY6SIlRRQqvGCFM6jDq0pfNKzy34QB7XDiQyOiXdc3AJAb
v27glUnXDmmz9GCpWlmJZg+WtwiT0lTs2YkFVKQF+e93isn8UwGRd36TgDTGCxDYbMh0JS32cTUs
cTqh3IFgHJjgCm152SYh1gxPYqfGh9YN5MZ3uamzUgetzEY/dHPi5wacDTZztNTAVZrjChhqj90w
TEviXJ/WNavghHv0haj1DJdXoV3tkJUFacaLhutYYFscsH3C3IBLMTWKwu6Hp99mcyXgxstiE+s+
d9bOL/Awo085jEboqrRhn5mJg5e8lr3LYt8INPpYHHAE+liYfefWQd5D8eB1SqSvi5PNRyWuqiUY
bkXVt1ValuMGwLwRA0unYFnlCTvtxC+nGA1EtgAxG7Op1dLijOu2PGtoCAoZL+9UXHU850DKVllf
Nxp/cWkGasq0tr6GPx1FK16LflxuUdOt5Z6PHKBX2QbNcDn1G1Qy2nfbOaTA6+JqhDyygXENp8/G
287sW5vrMR0bz2XqYaTYg+dWlIcCNcqEb7MtnyesnxjiGpHRgZU1gKlC67U/0LzO32Ohg+0ABspE
h2AWQ7wPHYHtC6DWgtoa1hZ12Fx0ZbqUJoRSWLjh2sYlr3e2ktLhBFy220k5tqbN2KgqGYQfAJr0
AFHQQXekvBiYmdYdqBnsHLyaxHjauonPkL+GeNyF+ax8avCzciegCo6pWrrJHUYLVgwddwNDsOgg
zqWCmb4UKwD11X+oO3/WjQIvPAjvkfqLpmIyKJJINBovkwn9dkOVsNVBxItEhoDkzGCXwYkdJj/B
rv8idnKGQ38PnUQoaVRMaMiVZBGaGAby9efQCdDJImhNwdBU5QPehmmk2Jr4sBdz0Ce4k/XR28Nf
X/McZPnDNRUyLsBfEcOJFTjYM9D6U9CFclFCmq95JpQhDyqC6sitBZJad+MesnS+b7XwWY0bgYzH
sM1/852R2Pn1+iFnEuYnF0wR/st3hopXbF7i+pNttz0tC3dUzIOXIMX69a+/6r+6lCAqlpECB6x+
ZXO3BYVnX/Q8o2xobhhBQx4AmMtqXUcPf30pev7Yf7ytDDCxCAFGhsAbJP/jbdUl3m4HyRVlhgdp
O0NR1BYFpsxyG5Crah4hfNUDSiCPzbeHBJ/MJCTpX38MQM+/fopIRJCiCQ4LiAi/fApU62bGrsEz
PRn2XqMwdelaB03S26a9H9GObX9zxT8tYYXvGsYqYqCgqQp/WU5ojvMS7yS+ZhcWSVe5r4BvSAYI
+LUYyL3VAAT/+jv++alyKYTkiofQDyN2vgc/LeDBrIWwbpEZbJk2Q0m6JbwBJESUm/7mXfnT7YyE
imQYxjyUgnOBzNrPl+IOvNuCcM4up5V9LdaouthmQZNIQ0noEPQ6/vVXA87+x8eHi4lQMSFAu3MR
//LVLC/6SuoWLUFkebULbAkAboW2GP3NU/sXF1KU40RGdYfN59d7GK8zjpu1AygwEPcIJra4WYVT
u7/+OvTPl4kiqHtMAhgUKhTnxfPTo5o94PhVi2rXGsn3bVexQ01FjSNhrNIB0lGqh2hL8CGefavz
HUiONqlFW6QqKs4dwQqDWuX6b1bQ+bH94V1FU/vzx/rlsbZ1ji/rZLXzbQH4owaIsM1G47UM6lRu
crquta7umjxmf7Og/nRDsN/iseKV4ZRS/v2G/XRD+hI8Aed1A5GFt1dd7uM7XxL1N1f59Q0RETb2
iCEagVWLyvmX70egVzQw2Si8exASQ1Sutx3qvCSq8iL760f86xfC+xdxQXGmMGQ0Of9lxQ4cdDu6
d+SuAgqnbAvrAdD+2qvlb9bSr98JKxX5CpwcigHtkuE5v/nTnRsJ6Bck54o9XT0brmXnqgcRrgRw
D5gT9+Nr/b+Tx/m3QV5KKAEfj9v777O8/9N82rr20/hzjuf3n/tnNif+jcfYOvBui5gw5P7+I5uD
rC9SvBQbGccDQ12Dq/0j0Et+w7pHZiZG7UHOizP8LwvnhOp82v3+nuMtwwVCgdcMVYbEf78szr/M
5rRBr5rNJtb0g0lQoSmTukkCSNAtv9li173BGiu/1CwAH7Py7lVT6pAjafrNpFSV+sHEdXgOj0b9
cxdNQ9b5vqv3ZlMTuMdxuNuQi73MHV2RKCsbNPpAU25ggcCMWnL4uQZZnvsaaOAV2UxXJh4Q77XD
nnkZkaIMEk+3dT/WSPCk06TMIwdgjJdYgZYuYytuWBHJ8pDnbAMOiRoD/kl9GBARmq/WhZKbrh/E
TcSN+NTrHF2lDFj12AQ+fGJV2d93M4BG4LNcHXHaGHh3kS13ofTsHZoDHHXt1vphKjboAxDN28yH
YN7yutUHE5iKJLTp4kMeu2I3D1FsU1rm8nNVVQgx57blOztv4dUQK3sfAW+AELoF5gQcBzYTnJUi
7RvffAoaPpZZgyzEB7ze7UcJB/BS2M3e0VlJZD46DrJggHP/Ad2ku2sG4r/VcgRcokgbXGBTopej
hOgJFwJpgD6iK8gXmu9WSLhgqCue08QheIALQqQ5QtCKXyww3GdADu2nduZwpbGQ5G6GkOJ3dWuI
BxoomwNZmawTSH3qENRsufLKzhltyAidG/pS0i4DfRIFlBrcq6D8GNZz/nkzrjtM00YvWrcNB5jB
ESDUdp5B5lU43kKQnoDMHcRrYCFx/M1YZL/xm9vdotR8Xw0dkGqYqa8NMs1wm5etvySSFPstZPG7
63V57VdasIQNJrrnAF+fICyzIyQKf4rNAIaOQsN5c/CAjgupdIwU1VK+AhNZL6KthXowuBHRk2iE
uLEzm/U3ue6G+9CCcAgLNdxH8JMOTa1clMl8Rutdw9cMEpiHHIFyJESPBr3vbizL4ZGEQ/Gcj726
gsK3ZPBNEPAqeoBR8RZW+z6wZL2qsK1/o3SsPmI8QJFBw+d4fnhKJ1kPCrqln5GRZRKk1bQ29i4X
Cp6qlNUh7troWga2PyErV3yyepiQJ9KdvsXBs51q0o53edibV07M/ACXY7g2UG+/jF6W8GR0hwSW
7z/Mta8O0wyeMQ+a9wnEyR4SfpSFzSKREtLLvpEMEbnZT6ctjtsrXYUTSzpRw4dH5GtJwzmiWVFu
8tCvzL9uQ149diYqL+vRr0eQlDDLSeefahhTTwsS2AYKIIe6EVGkow89AHy6d6KgJpP9EkO+CIfh
FhRNxxPSikmmCzgt8Gx17kwmEIGD3B8Rd29jJKoTbjqi9nPeDWD1ZyfgchLfHOG65h/9hiIiHdha
VMBUIEQCX7JnDG5pZQzQTpsKLPOS76qmKhAc9/UzgpUVykwEsG6nwefDXgbrdvRBs94RqtyFW2IJ
cqBs4g8cefEJGCGEgLQQDHFvgvz0BVikAgtVBNsL3zYEFMZw0mcYpbmnrBRX8G7wEZa4XAbAucV0
P84WQYKg59AKGazJT1EMiyPpw8lB/oTX9xY0xtEE3BGULYJmKumB/8HuHMfpo9gaJCIMBkE08Ig1
zv3YtMNXVyz2uhpLAsZuqkqdYT/zcyYj2XwIESSUCEfNy9PUt9FjuUTluENshQMI4R1Ny4B0SdNT
/gGQlD91eb196aKw+YrQk8B1pW1uHXZmi8SQmyg2MLc95yv0Z0n6fshPnYqah8aW/OOfdLsN5T08
JUnfmq2rDgVf+zatoat9QN49RB5gHY5IFaqsbajMZtDjn8YaNreoJ34inRrvXDs31wLzKorElnmL
zFwlSxgXSGokPwl/vhfkgBXSfIxznQNzFEN9ZjjOEuAGfPBlQWOEWFhpbJtNXdTrHQ5nkERxGC/P
+WLHHahocxFAJmJJDqka6msvttdBVsF7GUTtI5Km1VdFI3roAOBdx3aSH0lLFfI+XciA03ctS76L
iJIu9YrwPtcnwnv1WkITPCJ6RdNVLyxbN4Q+UrkKmrZkNiARFHJi2A+7224KEHrqWhx6MH2k+fBD
dwy2ar6GMcJeZhpBja14c6sUVjg02HxLXQ7iVxUUyYnSxZcGdOf+uzCp9bgdCoCoZWL1Flw1QRfh
HVyKz3GFZVvkXCQ5wF0QZLUIj9XQV5eO9XRXw9T+RHtkpdJAG/3iciSYAcuX5LghnGeyxvagVy0J
gXpZNGhPPwuczQIWtJsl3tGtlpk7Y5UY3EJOrFrNha3dcPlD8gRsD0NuHINL5FKDrPZUXAbGg0fn
HoGFnxXQ2fsN+mLUu5fvMqiomuE4VDUH3oM5EJpRmMWiykGT/K6NFr51p2VwiE78LJBiT3NHkNtI
B2FBtxhygbfyw0iH9q7BdSH9zNOUeWtqME/bxEBQGXPBaGUuMJSgv2kbrb9iqsH2GkcakqEbAQzM
tNlz3phDIYfqrlKgwNYBZFzScd4df2isYJCaUxdF9o3wSb2zuetA2QQqT3hkepxIQRz3hwh1xZMs
HL8fUcvsi8Xld7XjNjMqn69JA5++AURzyaD/AdGI2foCGuH8ptL2YW7K9kKOmJcRDVN8EvBYnjE8
BbvPBkc/sctMP5NiDoDEl248rHxV72r1+acwd9tFua24V4Xg2/VIVnIXiFWcdAk5OgX6EH7DdBR2
HY85uf2u7pK6ak5RjkWb/JB4sVmQnV3GCC8nbu1J5LF+a+fQADax0fAaVuc8atO0soMA3pELgRL8
pJFkYEihcfUZLO9wkoqvuwp7xV2/tPFhZAohvVgrFBiBnAHCbMsxLkew8osha9qpCXa8rhZsqaaM
9ZMI2fwpLob1Kl7mYR/pqMhATZ0P2wLYN2amLBMIxDAHjFnGFzm37WkeuIKfYEHy+K24Gb3odsOw
1BlmtKwSyS9IzD6aOnSqg5lT/l1nRlzGELjc0dmrkbM7lXG7HSZvEOXIybymTk360OIDX5Srp2+m
NT3LYOMjNfNDiy46JZ4UyhVYcrB3gTus8yfEEWqfVGHB0hYg0w6C93ywBqh9kheuPGBsxXirdVG0
aZircgdHTDQ7Oop4HzcDRORxJuXJlKp4ZLUY96qVKgJagfXQ50XTJ1GpsA/TKOJDtsiNopyZQFlH
o452y9ybfVyMxYWOJ3MjZAi2wVdEHpq2UgqtQhy+xSYeZbZOfDn+ELyDjam7rRX1EbSFmNKO5Rss
HUX6U4Q/36O5rW69ic3DdwmcEDfdykZU2CYrzm6gRfTfkClkCkNv/kMRzxFphcUv7AdERuUl+ChQ
qRXI1p36ro/bQYVfYZE5vPOm1Z9/KOUzj5hLtTNIInUhDh1Y0A+rjtcnDAEaXmvWx/ty5sF7PFXd
7oeK7orJPYelzJ/GaIPhvjZGvJBJ6ctceP3RQ/FLW1ptNwvrI5sAVaneYXv626rCzCHYa3F8mKna
3lrm0DxJgPJV8kN23wbC76oe/EcBUZ7TZU7DEamw+fRdiI+ZpT5pFTefZ+cReOpFCQ2mtvIqZ36B
2+UaDLSBjfp5aEekkrfSDqiM5qYDRsoasOg/JPtBD7BOcxOMr7Ptxj77Wb33JB63nQ2i2O2qcqIj
0EZrp+uStd1n5ma7/94p/3/l4H/8UAA4hJd/rxwgO/Lp8//+X38WDs4/9s9JYPS3GF0ZiyKpBFTj
80yvf04CE7+FGA12ltGxbiDvQlP4h3CgfiNSRDwOKYWNJMIQotY/hnqcf0hGBEpmDKoLUrT8z8z0
gJT8B9ng/KvOoi8j8GfQ9kv1i6QNJjrwDHVHVlDmXhEsiq9gipFniSxZnE0i3C5wpPeZdFs1otXt
8huEvsCGNbqKICVihNV8HjvBeTq0LshWdNP3ZTw9TbSBHi+DWlbJrKb1NM8trLxQGXtYFUd909HI
fFaSjldTw0FZos0qDsjFEJLaFnxCJtmg46uyLJuPmFfQ28NURpweejqEAFyMz1/sFspXZ6XkWTB5
jvRerDHvw7k22tWhNK9ltxQXUing+6NZdbmfVJVL9EWEQVho+tFAy/f+hvq8280uDN71liMs1omc
iiNcUH2DE0MeOnREV0WMMiGxnS72vN8KAb4x7xHTg/mKUJvERCrALfHVuHhE5+yII10PqTQrcrOQ
YO2uM1X/UNPa3W59zFJXdoNNp9wWGZcrHH7MOxp8gsq3/0RCh0sB6qH7kYYWwdpV5ZeeIZmyIHc4
gnFe3VUkQHNU5ahPUSftp1FC1Y77wX1dkEl86tkqrmm55XeAieyV6Gq57oouJEkXbDUotGKt9u00
+WuzIMqCmUvTEa6zSno9BxcGpdRuK9BoQDAK3UWr/AabfLA54Axk0xrUTMH85Ou+WDDRwS+v4PPZ
jYvNPB/qqWd7FQPeQFqvmarjTFlRYWpDL78BDQTbSisMMiqSAEzVSy+H8XoI5tygRY1wGIP1ZhrD
pVYMM9iq+CpCS3VmFSV9ycHVQUzR+mbeuu5QhwM7YUpc+7aG67I7N6oZMrUigyE9P3Wronf5iolJ
xzBA+jK1s7VZPlniIDjBPkI6qgL+w6RHAMYG+fCMuXHIk0EGxPgU7s0n7Vh9hZZ1+YiBB9NjSbb6
Igec8k7aCbzbyKcSQ9ewsm+dHesvE5hGQMB6eoXgH33oGqgWRVTqnQB6ysFcRjCMiYH9n0y5zO9C
Vhm92+Y+iDO/WXG7sq1NZ0e6D440FshhizBPsbXTHvNjzKnhHn0nW/EmLWNIv7Qr/iZolbpvNA6g
EjnJIYmnmXzs/KAvPNH2agGGopA33dw9nF6biSWsoAVi05pAg7XNS0CL+cKseVdkcz1rFHVhU10T
X7DrwMHlyxFoQfMt3X0LHgdoPQRqBJX6ufIQmwbUtV1phm+kK7dvWltbJQ0Gg533ifymlK0/kLKs
rwqE5fdzmAfPDlGqm6K283VINr0lwSTxTE0A7CeK5/zejKsEHaJ8+03NrvnQkiJ8UFsNxtt7FaQF
ZDiFyV+TF6jlPJBuwFDTsZldu3MtpS+xycGcRx76SzYUyOwlhEFI3LpAX2I6QXWp/AKok4a+/Rxr
p5/xpNF7b0HTfIBnUzToNib3ETm1zh/tGNdpjykDF6wFOnRQM0boiHr5ns7C1ppCj4tRqgztlwaF
cJ0gnaz7pKmD4pAPDBNbmJKvzKF/2Eu54A2eIXZBcTSm2+keU0xiUZAxoXY2TwR4HhRTVHeXZMvN
81bj3DjIalZgOpv5uqm9PkGsWvHpFakOGtv3TmEEyXMjwCU2grgqq9cyeJdosIJkguO+m8cBJmUc
bF8i7NkJH1qJYQidttfrxBjLRlzjEQWOCtEoiRDZzViJU1vIFbsPwoIolJaOWHCX0j42tq0fpPfn
MntuizipauCICfCp8iWai/4FeUAkkb1uypRa2j2VcxE8TWVRV5iHKLstaTGbBsFvsI5NEjLZYC2W
tsBOgalPWwphZdt7JlbETCzmWWhKtptKUXJQBYrCXcfI/A2gNSD1zTURmBFKIpK4wdR3anHnJBEG
3KFutwhFYQVgTQVtj7cJ4Eii2r565qwO8UQhbd604wby12CM37e17AHHxmGTCTiuewDaNapCg02j
IXN9tyjMwMScljAB0VFc8G1RGAG1TTvGhuIuxsgZ6A1te2GggGSLJu2cgXxu7vs51G02Yp4hjswB
eoSsy+VGoUU/W+Qa0ws0X8clAcNG7kqkAJAMR23+JLC/PLq4Cr6M0lYgFG2tHiYJcDmd5whzUAaA
tW5d9BOyzfKYb6bv99SJEIgXRr5VzjmSBGst0JKPGtlcUiGmi1d2uWIrz78uZGiuGtB833QYlxjx
AFT0xhcTfZsnzW6wDW3XGDuFuTohogjphNz9TVwrbK/C8PAtgJL1hu01OLBg6PZeV1C3isHQtxxY
/lU9reamwAJ/qvR5HOO5ZzHQ8Q5LG+UIyETxySH//1ZuUQd0b2GhzjDDTyKK7dovNaa94B+V9FK4
lb4OIdZEOlqgZnnFo6tQifbQSXC5JDIYC1m19WO8hvwjWvsYhGhjRpECUGIhkgZF/i0v8xmx5jIv
dwNG7Dyi0SxfFP7ZEVxQvO+acMVusrjlspZAwkETFw8ELOIxMoKZpN88AypJq+56RtJxzGaQLKCG
0I7dlZsAk2xHi752EYVFg9+I62Ca4TVEfa/+L5y6/6Yz8f7Gg2Mobv99JX39dfr05zL6/DO/l9FE
KeAtEfALKsiZvPi9jMaMXTA+AnU26ulzhf2PMlr8FqO6BvmDOVOCY5AhLPl/lNH0t5BQeHn4UQYy
Bwbdf6qMVn+aqIsuGkqiIgCNojPl9EfH9v9Qd2a5lRtrl51KTYAGgz0f65A8rY56pZoXQinJ7IN9
O6d/FDWxWpTTdjrta8OFerkGDBgwMk9HMiL2t/faE4rcaIP78iMdv4OP7EOIZUgzgBJOa/e5x8am
ea3LelSQADXr2mXX+HOMAHtBwLkaLoaQ64VZGpL/yWr16Hoqk+mxMLv0HfBP+MqBc7mfC60vMPjh
61eNatw2zuxe9gReZt9I7AJSQFfPnjXY6RHLZ3enCU1Cz2rKfY287SOqjwHglhprUN3q29kMw7eK
6NeHA2M40MO+uSomvTstcaceFWlNV1U1ZlA8AKuoUWQ/Mkmxt0niyKuutpKvFjwv7HNT9yT0LLmy
ytJGCzFIFCU6afJNFK3Y1cTQobI681VYMqZoDFTyTWIQpWPTQAQtXYDZjnl+GCIz3c+l036MRhQF
kWakD3i08dTnTfwymT0ItDgkXmAZxrmXhXWbpmzb9Hxun4twtF6Z0eEnLytct+gU2mFyFetLNif6
EhRaXF50ojJOKePJuxSXf4pH3qoIatbRLmMCcUi6xjoqGSeeyDBZhSt4wB/QcFriwwTDA1WDOoAn
v8pvhdrY5zix2RH3mjJdJ30xgMMBN3Weo0hc97ZE3YwAOfp8WfrRHbLiNI9O/+70sEuwVObhCRm8
QG0hzw5eCWSDO2uXetLXl5bGY0jpq/qZqZp2YwPUekjCziEeokIGLAiRVWLOnhkSRTdFnhfv7Eby
4+LG4Y5wm/OzkWcDj+PFnUAKZSnpJCl55CmWqwLuEcMF5kFgP2GmHqbe1Q+JWIy7QeH69aJOlafE
ctEUnaEnGzAMd3wRCsGhTh33DMDF7cLomG3OEplv7DHcO9J/CRbwVqtKT3fZvHq4Uet7dVzGbZ3a
1c6oM/KfGjQR0xidLwivbPI1vVjubKdMb8DhzdeYkthGZJIpw4aUQxjg++IQsKAfIp1XSk+QwgEY
V1uN+UjcFnVoruRpmKJiXysumS45MywADFc/8uuzzQZoU/WbyIHPbGDPu6lxk2+sUWMQXpVJdlSi
LLqtpcPYU4L0xoMrQLUx40G9LuJRbCeoNA9u6zpXDks7Fw0mUgL35RogMs0ro1Wt/SDT/DQXto5N
2Tb1vWMaacFgSoPWPMbxXsi4uyy0znl3CItvs0i1T8sc6WAqjMg+jYzzTkaU6vqmMXEJb2yVkS2f
OOrVJq6OSwbtdRyU4aJiR3VWtFycQi5rcSwFZIAlNxZj60xqyvzPqMzrUXH0wHJj8S6kYxP+Krm/
t6DgrFtt9dl6rNQc2ztAbsWRUFPL1wRO5SkmQsfMOJSEXbV6eDZyeD14TGUbYgYVnWR8mzPrbpeZ
uenidFDNipL3G+GwfQcDR1iVUFT/OA95PW15GthMSaZkeinIgJO96nLji1T19kJtw9jZ5HziA1PL
8dW2lOLDKM3qnp872sPlS8g6tOHFDDcE42ZSi5uYdKjgeq7k11Cpx1NEKPDCQj/eCiWynmVjym6j
D6KaSbzgo+VAhz+Ys+MUBiEnGC/Jc/MCnRMGOBOOA4CA1MMNLP2KoBf5sD4bsUHNRBOt8WnQRHw3
VUXvw00ozxMqwGkwUvNlSoF8l7MxvAAtKdrNnE+W9pTObCr9oTYgbmazuaaX5ChetIRg+OiRd6mU
e8Al9bCBeC4Yc9rjtG/MPkkvkQvYAztlkce+rWPRCByCl7UftVr+2LUKTKw+i4np5Rjob2BMylNb
oej7XCPt7eBY4romf8weOExdSNkTsfd6SgSTRzIdE8+VMn5oR5EIYvF5E7iJmZ4ZgpUu90HHc4h5
c3odNobyoTcLAeRkwD3sczTj9mHy01zDaAIC2Qhzh5FbAwdYhT2SfvRop4lzYydJUfKxGEx5aVuH
8HxUYkfcc7O65rv18cJsMwdLg9FFV6HdkHbF+Hxwqia/EqRyF38WdnsyQjvzzb4pbude13cI/3YA
wcoKQoZ6e6jVANTSKb2IYo2khkm64qikWPQhF0y7RLMZIs6gJjMrJe2kpG257XHV8wcjQEswlWrf
DgfriAMagaoo2QIPBvHEhhHtFHfZldvmw84y2SC3Hcfajah0ZcvD0z5GEeeMWCbtntBatquTqt6X
gjHqrcxtZHK3mhnJNF1BOFUamnshx1kquyyfWgYseYtzxITHASVABf3LJE3ty41ZRe0F2YOqChwX
2ORGNkz6IgL9z3LsIUxXraNNwbC0+Z2jl/l1xxaA+2tUuUc5zdfzVsli8WjqWjwSXKltuatnq4cu
VM9sje3M+WqHbfaVr1C6fp4kPc/YGTO5WcAo3bj1vPiETrhsQ2jrl6CmycsMaP1IDXmf3jTJxJO7
z1Q14H5c5N7ManUvCxfSQhXye7bhNDyOi55D6UuR3wg2VsWwCztVZD6wOJYdBZ4T3oWcbQaWe488
0niwFtTCQKiDcYthg6OZhdx0ARKoEaAVa5QgBSu2l8G3JHvVuHpJBtqOeh/cXX+Z5WN5nZJvtHj9
ikAOx3wOVHj+16Rh1bGQzH14LS1J+iKbECD9Whkrx2OO0l90Vu4+gXrMvkYJn1nE8fLzaiHmUd8B
0jLmcddaqnK7GFWteLZC8GwTlVN8ipYMCNi/F87/SzfyWNj+80b+fzev/dtfbeX5U79b6TAYGQjP
loPjmC3Q71t57ac1JIC6ba5e+e+cdDalGca6XWfw+IvP7redvPUTnk/8BZYGMRs/OFvvXwHf17/4
4/6uG4OZ4g+COGcBMgqEcS3eG3v1H3byA+NVgJ+gOoQBTzMwlhgthA1pWW0sGJ2tcjlBJCnCQyHV
iRy/0QNlNcYqyGy9bBAB7IV0/KAi9hnVFHsyL83nqnKLs5yQqUs9nvdjUmu37HRir7ZgDurkUDfc
RhNBe0CDOafSk1vp+nuVacXPijK2x7B0iP92LdRGZ9K8dp4TL9VKRoWd1oRBtCypvuq06ntndQBz
pFm/L63ML5MhNA4Mvm3MH6lIHlwtq19lDbEntN2I8gAL4JsR9l9bJRm9CVSwzyeed9mssZua65HN
fGbLfN/rdbzXItHuQo35XdZxuBcgWa/i2I0uEiiz3rIamcJ2zj5kZYVX02CxFM+5DC+nKEp8m8D1
nv1edDEAZCUIm6pbN6ttUj5oUfgSl265no1OXpalaftZKm6bwr1pzG5oDwjCIQN6lN7Pz7HVLJKv
G7bdGci0SC5X8yTRDKdkPGRt7e4HuyzekVbsvaLm4mbRHEBUa+/L62LO+nuXk+7bwHSq/FRY1hGI
Wfo622VkelNZ1xczVsJTOrqL3CUEn55rpP4vBZsPcnN1Q0Z5M5VGAdhttKLUZ3iHxi0d2eqbsBsb
hG67tHb9KojruPWe6kmgwcCz6u/duUY7n5glIpMqzFrZWOftoWRbig0hCkXQJblydLKSIekqyWtl
PBzMJtO3peAgBjFFSw+Dms4KM5u+yjcYoN3HRJ2KU6f1xk1XZCVMVdHqCVRBbfoQaa4onLvGottC
3jX1gHMgEa0qrpVjrDXNtYJ/tQWP0tQmRRZckitjrL7E96delTMaXwxC6yUup+JQDyVHs3C2aHUx
Qr/mnr0kNEomeClVH5yA8QhmjpxZphaBKkkp0Lqib9Vay+F4xckQON0Y3yx4Ay4E9sFzOppsfjjs
BXk6O2d3cs2PqVGYjEs7nXFrxvo1bSTOLtMbfd8bCp4BQ2rbiHwgBlAYsgsKGxjOgjYJFsFdMqmE
sfV5rrd2Uq3ElXghieJMFm77BgCscMly8XsQrIst0uspd1Wm6d1Npi2JrwkAfrNh2MeBbfbWsY30
lVjygHMO8ezSLUfLU2KnYmm0iuS5qw3KZnBzgv/R2npHz0QPV6ka9rgYl4tWLdpbZ1Gjg6bb4c6Z
+nSbaSZbtp71dju7cfVmjZmNhi+1Xe4Skd6oiUF+KzZUGPFm1n1JQU5f6tXU7whW9bDiwavqYo62
bbKUR3eWNUTQBsAvF1N2GPj1L2rEvqBRWmYbA4hUv3XaCng7aj8NGZmqbMj8mRc6LUcbcNCRz7Io
j1HFzr1oW/2W0Ju4Lmswv2bXAM/R4xWsqsqvdp81d7mEzFfmdnejI9/eJYU5vvIdGsewTnikzT3R
I1MJrW07DcUV5Nb+kQghHjYG2zfZuqkwl8oAuDC44l5WibvNxwmijFbxg8pY+arEZO9gMU94fYrI
EfuWEp5DC1rtSU9t1HxTQLTcLbNSZkEy2sr0S6bgX821/9uWZ5fxMqvf363OIFL+z/8Mr833Uttv
f+xXpU3/yV7jY6xyBiuxsVrWf1XaqK7Cx24YLs4ah9QVItw3pU2oPzkkMFg2id+uy/d3yzO2XuYs
tsk/hiCD92+W5x9CNiYT6rWBwl4DNg7b27Xt4vtkxO+hoVgH+hvFlfBMsy6PmDY6f6LdwBNmZO3c
IulhvbnTXiG7/y1bZOYNKEQirYKnzDIE332V33YS/0v2v7Vqrf763/33vDPr03lvqjzb13wI4uX3
7+z/c3zql9dz1DWOAsJ1zcD98fWWojcZ3YZ5YI4KB7El4CT1i9xMxQqlan/xkTD5/MWHYs/FC6iE
tFR3DQJ+F0SpkB/gBUqDxXjJDllfWvjAKvU1EnJuvKwfe1XZ2q02O3tjVrqPqrFiDlb9Uu8VNgMP
CD/ZA6B7+2owYTkEkmjNM07A/N5BgmNpn6TYpMXQXri1snzAg+AcZU6qDXXPHfUgFWqebdx5ju5B
N8bXzOMjLFMaZ1q/NfCielkXG5xH6K+6j+cKBGiMBVRj0GNkN1I6WeIb7K7eqPtIr806pIeoiPvS
Y0eDeS1uwvi+CrtU8/MuyeoNTxyAWtM0gRqaBBYfJ61YURm7M7FmoMu6Uoc42uHmdeMm6xuMsipM
YmM3INCBh7X1qMAUEQ4vmOrJVReq0j2LYup/Bp4/B6iE8XZ2EgA+RH+Ka90NK1CbEht7OxfRlVVF
+j0HnO65wix6TKmCCICX5v4aX7itkQWeXAbz1whIIgg1vb7QElAoKbyW504X+v2EXnrIxrw4yGWZ
BsCqtrgVbEQu7dF0MAcoMHALWsmWwGAIWvjcUcBa0db7dzQDdjRzGSkYP0GevS6ahj8CYli0Swe2
E8GIcvBcOQWYQdSZ9qwNLgUtTLphnqamcaf2BoytOTQg2qf5swmi9mh2NCW0FUgWE8PLVb5gPkYi
xFCqdTYcij4p4Ri1kC/7ZJTnvp7CYYPAyEysqWq+cTx5CvSHqNDeUbDSizLtm5izH57sTeno8sad
2+pL3bV1i+5eFvC/ugjNJ6+V/hnTgrNTR4fdjEDu1XzbjNS7kFPtlQICdPImrJ2jrypu0WAGl8l7
mLDceZNFQNdaCdkhU75h00v2301C9pLdcJUfCyn7B3tF5Rruql9rvcDBPUXDLYUA9ZH99QStJXXO
RL5Brxhd9UZ/xPJgLG71Npqu+hBXdXyrYZDrNoY9dee00bqERLjdXyi4X2CBGP2nGwbnLaCoW8tp
oVKNmDChAisz9hIGd8DTpqmEKGRYzaNeyYqelgIu8qh0MoigVx4IoIAhM4f245OETHRHR4boqtr2
ipV93MFbRUAUOEy10dx9co+BRltoDol1TqMJkLwOU690sUA3Dpn+T3Bx2ndtxwAUOjHj8jUONOWe
ORvRw0AaCNrRr3Bhd1GBQP8GFs6W0fQyngKBg6n0q+YWVHg5mX2K2tI5fQKBp9psrsPUAsm/coDT
XJV3n/RfRe2RMD4RvyOuXhiK6sjZYeg4CGgARQL+FXAuhHFeVgwv0xpKhJpQoleWHMSMMNzPk6pv
x5EUxidoN5oL7Jsdrv/t72hdZQmNE81rnb1zwZ+ftXEqbhdnwPXTxfldZmbxPTD49hZMH/PcFYTb
RQ5aa9Tbl1mNqQbjwDfAbaE1bLY4B9LHYVjAXx2GndllarXhCPkmI5+iqkX9pnX1Qsda1A2INAy6
6aTLi7OTKtgv6R05CgmNb9fzW4O87Xl8dH0B/VbGDhgG/FG5GPKfnYF5EYabLN0p6dgHA86EgqRF
HL0ZMpFPGU6Ugz42PXOlgVqALjFuEkZr14o1d6ew1vSLpMvdoxXDP8UqHnKaiUy4YWFj+/TJTM/Y
Wxuvt3qX+4gQiDfCXvgiYWe8hHHUH0nGjB9Lg7PcWSz10FqVxu1apZeFWhr7tjXVnR7nSOWogNwv
gGTrfGMwhvqqQ026w/ADcNHkiHzZx1YXmPNiYRMrZgN8/BA2b7MRQkqbSmL7esfzfMW5xEPaNRv6
iOhcEJTNvDBwYeo22ol6GWW9da61Trw1XRhDN9fmk6maSZCEunwu2WH6lO3lb06fhKex1ZR0z4mq
57wzz9lTrAum8ZGbVx8WrMcrpm0pKnGDWLVg3cUk1lGV2FKJV/hJv7Q/h2NHW0dk0MdilvbkRS41
gyEhIW8so+gU0cxxnSepeiOUZoz9ri2acxNn9tWUquVFo0ZAfZPVMxxpg8b4YloOepvGx7QNUQ2Z
U1Ce5KLjbfKkZsVoooElB8wKyOppKS5lU9Q3uVKlu14uEeFedyBJMc1JdQ0lBHNaKKYLjRDyvph7
xLmZSb4nAU+dpSGUW+HgZamwAd4P7hjvwKGEj6M6MEBMgC5Ta8kQxhvSwr1CtCxvKgm0RqBR3uLp
ce/rkdaaqZERoKDObQ5abms9HiWjKD1cevGJyT/LhD6Gyrak54vvOM+tL3a6tCT+UqP9cDHsijAu
D3Gj8W5bODuxZ0Vacdnq8I46XEjvmMcdmktEoQT86sqdwTKeEq8AjYO/r+rXMF7eAesnS94yXyzD
a75bcRtxOdxHnTnfVCrUpFHW8SUjCvUUi6590+we6zGX2ZYrPTtZSQ8zZmyb8hYpseCI3A8fOU1O
gQDEfl7UtqUgo8num6zMf27bGCg52QvjwcX8ZO3kKMcLQF3pfdxOC9b3mjaSSrCqHEJ4WFcQA+Rr
yXImNnNaLQcaUfLLCM7OthF992DHX/5+Y6r9MRn6y07x+03cDwlp4DPKTOi9CDCM+PngtZcvDup8
QA/EKYPz49UHzfcyOkc943RMtqn392/gz5t2m34CNDoHs6n2512kTc0U1tC2CBqfBhmfIfnxPjoP
nvCey637/E/b1j9aWpn0f4IMaNd1VdXmzLH+/+82rUkZdZEyAjLgKcegud6YzuVaBfD3n+qPOuG3
V7GwF3DcMTVyt398ldlRKH2ZeipfsvKdRhS/UaptXtr3RZccufL+YS/+x534+nLQEjR15c9wwuAM
9seX65jQ9joGtaC2n6b5KQRVQsWG74r933+sH36sby+EocJwOWXRR7x+7u++vRimuxorXRG0AVGX
ZI+k4TFQeysKT/UbT/H/6fL44fr89RWx/CK5cqJRf3jFdFixE5TJBSm6kxIYAW0+HoDGzg/FTg3A
PPu2x8I7BaUfb22vD8/GVt1Tl/P3H309of1+gvvz+/jhPqktTZepy/tg/IytgSqMDevEPxwTxV/+
kCAvyPdTwmz96BRpUKJojuVu7HyxFX4SZHvGMNd2UB5EQM6VLrvD338u8ccHwLcPZjlcqYahQRP4
4VJ1esDNwi6KwNh1h6Ly0q3jt76yc7+EX5Fl/+FKFcgAf/oe0QgR8BHrOfH/8HLAHGNwW1FBQsiP
9nIb+t2GMSGiqs9pIvgnvMcnxOfH3+3711t/1++uWMvq8VkbvF4bjMF0D6JtV3qH5JT7xc71mOIG
1inm2mF8zeT0Hx4D6333dy/+w8PGIaK9GDMUE6uvsLh1r3A81goK/a41AH7SMHAWTQvsXBb6P7z0
X1yv2B45NHE+ZyjirL/Dd5+bkMmaiuVKWgh5eNrksvfQ839/U+ClcJBadOxXuvXDj/n/CE/500f5
RIXYSDuYdwg8rFfwdx/l71Eh/0rW+68unv0Hk93a4/6fZ3O7/nVIXpuP79W/b6AL/tzv0zmXR/+q
KgmeFbbD7/2r/Kf/ZJFSsRi1AUJZ53O/yX/aarQjr4K8wcpkr0/wbz47lbgKOiKDOx7tPH6gRv0b
/e/zr/rufiOvAsgHiwTvELkA+NMPN/vQwgFo8zzy8cTXt0XdFp3vhoVuUPJdqdVZt1aFY+2PDojW
tM/1OFoXkaIDkE76MCMF4TJ4KalwCzd1jgmDypyhu2GK4z61NgZyujdczyTi6YX6YgaTnfM4KcV8
0YRae0PDIWjv3IBYUWHNv60sob/j1SVYbxIrPFV9UnxR7QX7QAFszGk7BCijW06zWw/nrJbmPlEz
MyBQneMNyYbtEurh85j34VGgZmzMdtF3ThYRsojK8QQuXV5auakfy9QsvJjP4ZsUl8HlNylrlhTR
WiT2A4YJH6HjUo5k9O0l9jT+lG4Ot1Ur5aOiF5Al5zA7lHOHS1tPxpBKSgrithzC06Mgyxdt+rRK
jk5TGvdjbDjHLJM1PDsM0shajGYe0CLxd6nZyDY+VtQxKDNRN7smEboSzNGEk0UpJiQVCtbw7DUx
lqDYMLNHJncE0Rq8KYuiq74liLe1rpR7dV4QTWpMU8ocH/iS7X0Rx/2FFJPiu2qfBHpMZYPOxghW
LAJvOozwLzRow+U49m9RmndfHAIIoMeJDgH2BJSRDEvkLxG8asLANdTAMGPToMPWY+a1fJ37QdyY
1E+c2w6bQtk12jFbQiDQBlImfph8V7hgtSsqRzxZYVXiAoepQeR3Pxi5vdGqbtpjp2NTkjtDMJn2
vLVTqJHVQnCJGadxdNsRhAKjZUzmLRGbMFyIXmIbM7DBs7GgrSiSWbzvR1V9WmEdB9k3ErGnG30d
x93epiHpZUhrlDLgF3cNPTHIvJnzkkZqvUsJ8u5bWOLHUReUbhqVszOmWt8weV44aRC9lQL6iJrx
rqwupdWY25rPtjIw8bIfGgH+wKKE6rLJx3BXZynp7TZWPJ0bD+JnHhJCWuxtNNLVZvcdX21P6aag
ksWzBY4w9IGK5gOJ+M4ekXKBNACRIX1RFtUuRuyMbYL1/NBoccWkPI+V/ELZp7Wr1jY8WmLqg6n1
dkC2PbqQZRve2dxnOHfK3NeI92+seuyA6QJ4rmgx5avFho/1NwJsaxk5VRJAhjfQOzJPQdvBIDeX
W7pu8mAFcD0BaCDbbjEnZwCJaQn+xrBt01w/2/qQHHXFmraV3kkKFOXkU0lY7ZauIvNqR4wiAdru
Itesvy5ltZziKbQ2JY0Gewe815ZLyj63g6kd9cYyD5GTuTAB6ljskA9gLILt3FPI1L1bHPWgW+vZ
vldEui3kmtnKkvhyrpXoOmkceZgLs7pzLGfkdwQTH2vFeGK9nwMx5tW1GZMaqurS3AMSp0MJuupu
0qxlR4i1oLR6CbF4VprFfxZj+ChwGX/AjKeUS226MeA0Fr0UxTTfk6zN73ubDXSjufUxisNYbuix
zwPJqC5wQgHxMkV7TLTZfIysYbxkPOf4kr/mGs6z2KiVKF9Aidh+gWaBfOfQUGDFYttQjPQytUvJ
ZqfQdjyzIdQmVte/2VO1dIfYSXuOmGrzNMV5eAypWH1T9K64rfhag0Ltp0cd0M2urBIeKib6nt8V
Kh4jHtL3qKDGrSZ7eZ1MDrTocsydow3p8mKG8l1vmkGvPHxH5J/3U1e0p24wo/cY4X+9kDN5CAkk
nQedZkzE2+GIEwjSYzGlFEClyystvEwZnIVnYKXxOEdrnHzZVsoXDenraoDPmYO8FdKvs1w5h7W9
fNBnUEI3X+Co4h92Gk+2ru0lGn60pOjlqZ4T+8ESMyap2HlgsllUFIHgG8uwveyIH4bX8EhMBqUq
wldE2cbbuDD8SCwlf65Ds6JksaifdB0P7mR3hLld1d6XOMMuMYmrO6WhmWLT44ClFkcoLFGza+wb
Mar0sZmFWAtDmhAJ7dNQagOmxXWqotqgd1Cm7ACGzMicbnsZ2u+Vo7WXaCwxk2qEsAw8K7fb6mFd
Pu2s4+psbWU644keKPApFGgXvBfW2083rEjj3cg7xexbW3s4keJOusQ9vXYZBwmHdGGIm+V5FpCw
oi3x02gbxXhuXc1Mj/anEbemy5b7E3duNHWEJRVEnA0Q/9W+W1jZnZ2Tydi4oijPTkQPEg+Q5EtD
dC3Qene8iuLVElzWZh/Mn0ZhNYfXjlEG/3Crtm6+QSDAVtyuDmN9cpMb/dN1DCg4863Vi1xYhUUp
I27xJFLBva6eZUD08JLdcSKDGFvV8wgh/ov+aXJeVr9z20/Gm8qMglFKVIvbVLTjvvw0SdtUCtON
VVuntgiN/ZyIbo+xybwLjUylYX01WrusmId49WOqHblB0LTDBezYtt8ME1cJn730YPZAaOCFp8Fb
Vku3HCx3l682bzpai3d7bYgjUp49Y0Wan6gqwfnJDXJgx5E/NK7UbmAZ1c9zJOKgMdL6su9L7dJl
Fb4L44Z02YDv3O7wkk4zqzu253XxhIgKNIoYKViB3tgL5mdfdXeBtiHTOtkpuetQxapq74bMzFdT
VWAFddQ0sO4x1iHoX1F0hr2BCKK+duaAXj8oasL+oC+cK6XR5X7KEnEhzbG8wy45XWLhk/eQxusL
NzSBJLMixTdAKQp6JckqpbGiWUFLP/bzNCbNfrTDhHRps4bkcgewy6w40y32fYMRgLFc20NsXlW2
DR9d0RcouFQDPJKMG5lgmj0qZlYaB579K6ARmryt6Cv7oy/3ekaZyYaAWkK1JVmFVun0c7zmF+ZB
EmWASY0TCvQ4UaGMaqJRzYcvurEKrHAsvyaohydKXNpjNs7WI3dAvKvX7ATxX0GZcN0hjvfdyZZZ
c+WuaQtSLsXHsiYwQMJgZP6MZRiLoHtS41ep4WnfLXYUPRI4wM/aGvqWdldK5j+DHqHZRrM/KdLd
Log4t2ReoWcBMaDPCwzEhmyreGgw5L9SdpZ9JQbVbJU1WzJFS6w9zNqg9E5QlabDw4h9E35gYb+C
KIronBqNMdu0CgrsJlVSIrfZNARJQuQvaJGhElTgKH7hFZavRFWWG8xN0/0ExMNz+l74NpvpQ5LQ
eLhQ5nFMw6w5SiLju1YW01M1LvUhVbSMxS0d7thEG5Enwig6LBP4eHpUxv5chaP+KlgANsA2Nfo4
hvm6FGUS4AwusWWP2hVel+mVyXHsG/lcBwpbPK/Wev15yLPRp5hdQY0L6WeNNX3bQUk5Lmw8P1KO
PocmccT1Mi3NmVpWetN0c/bowWHyCxzbGxMxXXVEzQL6dRKyHpF7NQ4OEsIwJpc0JMzb1ITfbXah
FXukAlTAciwWQ0Ezl1O3+cmdjeUWvnF+zfaa+uMoZxhdh92TGOrhEfwL0iv7jA1pHgV/1yIPYrSX
V6ZE8hLufBqoCyAOi6z6Fasejl5Hi17x4qUPshPzrhUxulxs6P5UOe4WnlLxskyjsbNixWIoC8DG
tMf0bIcWoKfcISxqdNgpvBJQKLfy4kwU2iiixGvYLcmxDCVDRblQkh4JpcsopaG0ZYPHXF4JO4yv
DZt2QgfF2saPq+OfL531wEDHOyXMDblENlhMtOshPLAXrIjb1l22Gnrco5GKiaqVsrzOq9HZW1mW
Y5SGw4OBsIPNoU9XFJiOO7PtKGaj9voRXg9LApcOmp9qXS+L1d9aLK8CPEbbf5WGG92a/WQFeIu1
R0fp5fuYyepI70H1YVMz+OJGPSFW7MoYFpmV4ZhShnNZZsOJjLh1Zvquv36epP+VsvDfZhj6hrhA
n/zPmsHdq+xe5ftH82fRYKWf/uoZ0n7Cj2MQfjNsDePsatz9VTQwfsIMQxQDO5HhAsBAVP3mGXJ+
EmvsRkUixLrE3OZ31cD8yVYt/joCDPiGdLSIfyMa6D8ohExA7JUzbFoOIG7H0db397281K9rQWwU
C6g0Oz8Qzo0rioGsiIQYmepygE+tV6rT72EzODdjk2WnRVmD2OqayXY+49lE3KmAIZUV5IM15uTn
Qe15sR3r4PQ026RVkKw3xZrJTq0KXsAKcQAGxOEI8IC91bzRqIUa6LWTn6FRkSTvwiE9ztLMPLfv
inEfUcP22hZpmuxJP2QP2mcqnTrX6At0QPmWMgF/51nlnOc1ye60lCvWn/F2zexmy3f6Epx8kznF
l2LNwlMhQ0PNZ0A+d4mqMstcg/NG2TtskY3eOZdrsh59OH9Y1rS9Bk0eVh/m19fYTlsC7zQ4T7HC
8HooO6qoarshuLB2CVr1ctfUo7lX+bqgF5LyB+TPJIxuHgAAOBWtDz3srI/c0WtyEiFyJRJDOQGL
SPqO7MaoEeUYR+OFxmODdoKhv14URRyxDtsfhYGjaxuudILZqWgjMT+hBc7KL1B1SAZR1NHSONdC
sMfDwfOMKzajS+zTsho7w52NRWE7rYyEsem7t643yzMyTXEQOf/DTS24CtCPqUtdYQu4Q/FuEx8/
z/3KYjA/uQwmGd+r1p1ooxkm9bVuB8owaZpsdS+f8MFydHRuOjk5D3JFPgAfr7cj5sQXDB/OjcNP
2XpqqMCJAMBKFxmeoyNUQnWgO0UpLt0ilq+GqcGawCQzvVhSsW5ApplkYWz3a1sndEmWNNZmZIn2
SdnV4DyKeSfgP1y5Tm2AO1T7m1xP+yNs+ejsdlF+veREeTaWkPZ7mVPZbtYM+ZCyukP/f8k7kyTJ
kTQ734V7pACKecEFDbDJzec5fAMJjwgHoJhHBfROfQpejB+ihs4qsilSFCEXzV0u0j3MzA2q//De
90hXq50lOeRLOZ3wneaXtLH0qemH4FeKQ/+SObNBcGDeYpdoNKvO1H33aLlOSJ2mI/VMcmfLpeMF
yfHLrMPiaMvWIN1taG+6BE9eakKQ9eeme3NRCoP65NR14pVgitO6tgpXEVyik9PbBr1WUJFgXdmE
+Ay+hdeptFuDErmpixhRBdPzJpMA7QevEQ9OKydnZyhP/cR6lH2kOTe6rHTxCUIkySLhDOSq6s0n
1i5MxlFeSXGj8rKjxQoLLEgLeRKw7SYK4qmvEja8bUE+YOf5KJBKX5frLvcEn1U/ETYOUMAz3oPM
da7NDJ5kVE8AsTpOrHHHNn6VZ8I4w3u76doPy03UTTLmyYNYm/md4IW0QppuFiJKzBkVhU+UFQ8P
z/huThvMOsXkvEEkAFWIy6p9n2wwFqy18y3UGoW+3pEd1NECbkW67BOfKV9Tl5AyskrfLr9FcHrT
w7VNlT7nv0VybS/LIPZh1X7ldlN0cbAp6mycmNc4C5DZmZbT4yUdyueR/u61RSCPEreqiYAG1vrC
NZu8NG6Pv+m3iI9havFa+9nSXZVFOb8NhJ00sUhr9zuq7vpNenP1DScoAbz5bMPXMZFM3Q+Ixxg+
VMwEzyWZS/2VO7sIszIaS8ir05LPMdFv8IZ0WK/YO9Mk4+E2c/U2hhq/ZxEo8RRMyYA8JkGsFfmT
JtWVgLA+QNhlyItVhOMxQNxzkGa2BpE7OZWJhcDIvyrphgYyZxm8Mf1cD07Qd6gLsJi5O1H3DA02
jT5NxmTy38FvGsXwm0yRbZCKDMDnC3GLTMz8DWJhN4i8+J1whmQzY350sqmPUKmPnzgO9D1JAVs6
tELB3P/GZNilP3kH9v2C4GkgGnBRag4TDxTuQ04gghdj98rulqXMv3LVfDmyVvvQKtJrpismeVLA
Opzf3I5gXozPzFBKxkpOC8THNX+n5fX/skP6/6FwYUf0Hxcu/60mHr6bcuq4X/znuJ5//tf/8teK
hx/8W+Fi/8FEEz4qJQqEeszL/164YDkSlCA4lRx+jqLmT4ULXn8BaoC1mP9XHfRf1x3uH9sKS2wr
ORu+AOz2f6Vw+add/AbnYslhbrppXgCv5J/WYv+vIgVC8Y+4AzbKHpUb02A8UkgSsKb+Y0E1upTj
TTuJGJ54lVwPaGXSqFvXscWliMIxMFee5R4b380CID92rTm4mUoHul8dKKzag/7UoVMBBM0MTj7t
oezbgr+iQi+AVnBeua910gHFCifC7tJl7qi+Kqv9SpUcTgumlL3Rkt1rmrn3AXWwZf5rz4/Wapgf
NMTLdQfV9tE152BPqGl6CPpkgTm0MHs1FgI4u9zM33sTO8kOSUL7IuYRyeD4F2yMl/X3duo217Py
7UujoaYCaLGAzUy/wTM4+Un6QP0LbW+ZQDeaUKBOJbB+89CsdTDvEjEnBtEZs/xCpV3DDsxRAUYz
GdxneCQVmSGJr/cIfzF8MI3joDOLFU2xV4rythf1yMpkOxXrdCGYyzATDsvJQtAGr2yWczx6OJzR
sTdAe1rUcj2XYeka55QtlUKdN8mbERfnSf7lbP59Thfbkd1shzcpG+mDNWeMxlJP9z+AbhSfhLmA
Zz1ozuc2wsipP4csRfCd9iyODNN+TbmEDsPc4iob0aYp7B8bbRw5U+e18z2qKkucMnu217Ox6Z8I
Z1XX/mx278DC5SlPhLeS6qg2b/Mmmho2/dRSG/J5bvPhFv3ycE0WHjm1FLK/iCIZrhiq1Y8eoQe0
hEleXIzfMi09BLcJWo2f5abhItc4u7UqV7OXQOEFZlc+Q7K0HtcZ9tlIR7DEyqxa/m2VQG1LgLt9
WnbW3EnbN7/6pdyq7lRolCVozII+7CM7H9abAOCnjMJwXMtIbMo08nUwYAW/NWvzHCaP6cz1V9gp
GdBSM3FYfovcgIBnl+W39I0bARmctSni1t/iOIJy0qt5U8x585jcg3UmxVsB1wnm1EOAvi1johXe
QH5ue4TLjJyYXZ5ZTYzEskt/WA+V29u/REZykm/SqhwmEg5vKNdmvWdG010zd6gCpoGq/ZWqwH4j
TAoBNdHbIgafZ31O2MFIObStb5MMMShPJsuoyK4R9zPkXD7GPkze4YV7P2xjnG8MK5yjKmPGC6sN
51lStOwcoFQe6foxNi9re0noZNydmhz9JcXqPHWqcwEcp0l9P1Zddc86YLphx6KeQ7/WLyF6sbNl
Jz7pMoU93CxGWGAEs9sXoxpRqKXDpmIka2x4dHLTK0gILfLhm5FsrIaU1OQLKlIia1d2DSSlufnZ
dft+x81dQipy5+90P2vsubpjlZrRrAkAxdOOQsDjgJpzEGvIOpnJzIaJop9007yYkVAQPA/RlbC7
nQx7dz8uguxxy7WiQCs49yajZYhXFJMk3NcvxdLz60rRpiBRF+ukySR4DOvy56ypMbNEg87ziXG9
Lc0efl7ODY9FrGSWqIfwsniMmkxC3q7CqdN7/p5rNIWTGwVjnkeLQfniV5wkGBKQyoIjFASMZsyp
VlVEXdIiJe7JZzQxpGUR1LwNqe0slynw+3cLj+CdveZvMJLvEzLJNnRXieZPDdskPrNSM4IMrX/k
jhTXBS7+p1kKz6QadfJHDjPWz2vqybeAPpXg7dS1mgi6mx33RDTEpbDTlhH1bBG5CZz1w80Zl94K
AmTPLPfIzXSHAamx4k6LemLNINcXCS11YD0La/LlvZ4ImbsCgmLd2qhjwkMw8Uf0WPCd2rQbbpVO
nXjMPXWYAz+xTmwe0xrTGgZc4N4MFQvWs3vPXq2dB+r/YoBD3MMj8T/6xXxg4YzJvoAsJ1PbPKwg
/N5RZoqvTJFeH0B/iHsfkwgc9geyqVb4LtUzPDx9gYs4Pms3s0jn2YLPC5FENmu7szF5kCL1Ghwb
gTh69XrnwA4Ym4o+gLXHEeLZ31epxKHvMIG2DBgPE2OxyJ6Ge4cvJgzi4LxIcess1aFo7H3js8r1
Bvcno/4rFmff5974qBYXaffSX2lmX3vpNW99Je/AQDb7gOzoKGx6QhkKFtICIS2AoRl5ar2aR1nP
MzP8LD9SieJ+T4FlyyD5mGbILIoTnVG3JeLVUOcpU3eeLIs4oRWL1EQ0UNB5vIVc45tdk2Rt8bSw
Xw3llqGta++gM1f85Ds/0pdNJUxlBg9uYfPMYtS7GGzTeUuVi+zCOHrlhmDD6KvnJ7uQe56ph17w
SE0GhmKs06es4xsMLHLj57/Y7cgsUheo/NiR7T3Gj6zOHU4/LjioFQnfIpQDi2fch6N+G1QXsiZJ
nqWNMsARzAx7447OH1imvwTR4LTJDj3wUeYkCOfleDsxJvCKpDqoZbmzwumzmftz7Se3flY9yEXs
8aEfUzDeHDecZnXLQoAl93bTn62JBtwQMIKIzdCe8R0O0IeVC32WOQ7x3pivmPxiRPCvV2+9GVPz
rLPgbVHrfkrLl6EUJysv414MZydjsE44KSuWes/q8KTpH4kaZWTs++oG9sOXSIerSi83pexwOrsP
CHdh96cvqd99uW551dTufWorCQGIAYwo6qPU7EVXv/8SSwpveBxfHa1iOqWbfmVDlky8l7lmgiIf
unVbENTG2SmnXaKzezSBP1seB2Ox930OmlB1J/I7oEM4ctO/EJRcxfMiaM7d9Dr0+kfBdGNOxr1e
gPmk3naj3CvhPJXwG3YOA1ysyR5VACESSXLjVzNmPKf6URjme8nGpFi70zRwoGbuC4DPIR6aoYv0
QuILk+G3dsKPHQB6E9Vswl/0vTtkkusuKcieJdGAciEpBDMz/Kiz4eBWRqcDcal91YgzdlZD6MpW
EDodEcSSfAo5X016isZgOVFZXsIZb0GXwLfZFlNOeykgUDkOUhpN/giBMNyBCzAVasD8rUL0SzZO
m4KhcyZ2uNnZkBzcbvN9yNVxDNWLVeKVtrvPcu1vR7O/TsvpR76OLl/K8rmApdJrZ98v7R0ukTuw
5NtudolZR8eFIa9bwcrWzKfrcsFL4XVVjD/L2JlbBIQjCD8fBfcrrPBd5eVMZLo7oHj1zu3y8TFr
+l/NnBb7YGngZ81W3FacUGNb4WbyPtkqf46Fe+jS7BnTyHfeHidZutzmgzhVznQWfXpjafWc4W5h
yC89yktPRb1PTIorkM0Tl3o2cJ0wIglr45SWTQdTKO/uZeXYD8zVNN+BFhpfs1WpnrbetTU5TwRz
mpe2wYgsK8YoDTZS9m9DR16Mw+FZl/bPAL5itEiZ3YoK5B/LvHDjfD0XZQEAcAIFOdu4oSOm9uNb
mqc8qQP52jZeLire+V0RdPyA5v9bGmBtLq3FubJ9CUszYHe+jibQFfYzMmaz9JokQW9GhpOoO7dt
g0c+rPTdycvkMbNHHoLZxacyMrU9ZmMNNSDIBauv3sBjxUEgUEaTVWSCyYmgPiAqdZTJfYKhhhgI
LIDLyslzlWcEZEf4tYY48f1f8NAqxljqfjGHz9nxGXYkQfc0mWrdkOfyi2JFRsrSm5/Bzm6oFx2m
osH3HI/eUdgDyJKCmsaUk4mSSRVv0Mu9Vw7lhTgS67YJ8WlQFr6xuZ0jMqQhHg/6dRhIVKIsnHez
aHDP1WFAirxz11F47BAZvdbY8ZA1+5t/kfjUjPuZjWeid1Vvf7C5x+7IED4irry8ePBiYlg4EJIM
8uoMf+IG2YapBZPce8tc7F3n5m9QJp/90OChBxsGk4GhZurP4jue87qjjUG91QS6PTd6JPx5lcEZ
Xnl61wZlxb+oM8A4s9LG01AUwS3ugSWyFUdQkZPRzjsfHquMr1OF2P/I2gdEV5kib4NhsVzGRovb
ts2JGaJ7bK8D5Q4Rkyz5WKiqOi2N8B5cqvhfJOuq+7QTvtqlbK2fqEr7PcG4VVx0Hs3E2ujfhW93
l9GOnUJ7yMhB4vgHZ5p2O1E2/ZEI3frokY/7MSqwA75YiX5kz0ZOCrOBeOWmvGcb1u9HG9XBDmYm
ou5RVT9apuEw4ib7MqZ5fQylO6D7adtrSJ0mX6WJLKyeTufTah0bFA2KnChoBIdTnuZnAOF8lcw1
hCYqjfm2IKCCSAE1HEVndxcQxksk27X7gbbDu/hQe+79dKmfxl5xFtW5eVAYvK+dIZ32JGIV75xd
ZkTNPZI4H45vRF00ih16X+1Tg+9e4+nlFKh0ObhLP16z3SYrnsEZG+zaL344tsznyOgCooEtPR6H
Ualmt/ZTn0aVNbRPinXCbeCvvmQUV7tvqzT0GWBeFkSFb5YPpVM8iYTI6wqF48FC5kHirZ6OeF3l
vrJ0eyBZr0iiYUKNVVI1p8eWYuOtNStumV6qnwxcwmM3yelWBO0ELVmIc8/f+pI6GqgioMcHkmS2
WTvjbHkapNBUSKpxf6Zrry7EU4R3ZCG23yu12eRmwoezm03k9FhjHkci6DYT5OVMfpZVxS68yoNb
q8GXGGEpwj4CWRctItqUPZoP86MC6Pht6p029uvMZ7JIEsIZK6PBmj4YbwI4XTfLWvQFF0HFBraA
gX7rdqLlpgXQqqErnHonKw4dVHDi0oChxWQwmvezWupr6OMQnzzEiyk2WNczaHvYU8QNeIYfPZbd
U1YRTx2PFrKCqK5SwEVajXgVW/MNn9l84br1T3WQmQ8cstZPk9d8i2MmZUM7tNtVTSiEXRBZTuZ3
jnRrHT/q3BclUC0HG/WaZ87bJMT49qcx3P1flPF/tslvJop/1MsHvu158O4tN7SwJPzj5Oj/Zhwl
QZhc2ywaPUo6exNL/3kJKGk64ZpxbS4W5Wf/Kdebf30J/J9ZXu4wHf2PJ65P04//lbZ8+6G/TVvZ
Bdt87i5bWI/z689oCTa+Ft13yJqYDM/fNIN/R0vAtXA2CbkwAx9y4t/F5cEfgvkjP0Cz9nv37P8r
01bP56X96bvJmvj30BaOFJVJ4FjeP2nLu4XtCKj7MK5YBO7qbq0iGdjZsVxGE8i2Q/SARAJrsvM5
AT0aokWou1rb4TmfejvydfWNUp/AxG5yIttGBY2/r43XBni9iVdjZ5TW16jBBHfKQi+yqvNce/Y+
JLmHQ6Wb45wFKDp23X03tTZ39VKJ2Omh98iCXJpBEjmOfHPPOwkPmAvfZo0GF3TRnXYqEDxlUp4K
L6xuZTIZFPKsnlvrd+4i/jS88eoYNOG9WgQLtsxGpD2CXNftAK6cxR+hfX74YYruSNDcicS5656e
h1/vgvHz1a2ccZZbRiKjQHjnCes9aTihjoqauCMc9O5VCFOKrhrdEDDaZjfxgVPFwKWzDLQmvgxf
RcUYC6I4fndpvVYputp1rVDdIhffOyXNmy6X+qcrkOP2mTD2LdcSsUffq6RaYmh8iLtq+JqMavZz
NpDhJXuPZCwPLLNpIC4a7maP/U1YYFmeqBsjcHXq0Er2ztxF4VXlt3YketaEZcZfqQItfTvKyYi7
1kgfWbgtTyuXZuwtpEeDri1YOsGGo7i0amYxjroIFvTHuggBgyf9y4SdYuf46MRzkquQdPNZZptl
uCRneZvOkPiezlmEOoF2ijPYNvvw2CBgiaRWN1gSEuyo5oujmu+MQ+Gbu/KrGrVgZQsFiIQxOA98
1YwZ5pTBJcH0SH2h/UVN3q/fs6q8U6pEQRfokzC8IF5XIz0YMBsi0ivXmOll+QPb7FNmcenB0bP2
y0AlkCzEEBVtHUbNHNzbxQoofKQXgZClI0Ew2HU5ApLN7R+j9kEfzBrU2IpQDPw6gUyb9kHWrEnJ
BcmPXe+uJ9/w5tj2nflKtn0YW5PE7TUxdoPXrU/BGNTxlBDRJObm1gXoBPEsf03Jo7hBPwrLEMiX
0RoS0CikJs+VP+wwfUvHYdozwQuiaWjWfeJC4CTPoT2owB+QFvvNhSyFG86PjLSO4IU/y9Vsek68
yC3dlLQcxO9IqTZPeeuM3IjSdqKgZLxkCsO5MtqBTClkcwfXbMqzJuF3N6YNxq2lfexmk7xmxtJx
StkaO4PzNo5htq8y+7aB2h4Zcu3w20t8ypkJr6BGmz4l/jMmaW+f9aj1Am97R84SHJOiewxW/6mo
eBSctsjixVuvWHpeMf6twT0Q3CBVeWhbhloEER9BPmaMv5yW/kNLkjGAc+BAeHShu27KTQIjqvW7
oX1r3/r6B3EAeKD95NlqnCAKzQyX/ZB/42s9H6DT/5KSutWexHRVWJKaAAM4Q0Uwi0SsRslU3KnF
VN/qsfJj4Szr0bNaKpBiKZ4aCJnpEpwzlIiM24i/06vzmuuSR8rIy8jw7PrIDuVaJyZqPFPfNXRU
EbEk8rgao/NQb7QB2CLm3jFmcRzsgOUNqbHPiEJhm651cmbQgH1ubNzzpPP8pA0ltu8NJOFwvYFb
oHeanCQYCtV9AMw1qtq0/5WgzY/4qvcHM8RxUXjoC1Cs8oEznj6VGxwBU04fD1C/bFhgO9OppyfR
BmeR+A/eIm86bTY/KL14rIZiM8U044dKrTvPVK/rxl1AUM/w2bCv6wUFtbBLK+rX6qZbrSlG8IhC
fC4eELU0xwqf/T5LQ5Mlj5uetFNyJMheH+i60n1nbLNMDzWvmGmz7Txg7t5BoQ399AEvDNzsjJV3
OIykLwSjxXLFh1VUSMj1S+cUt7UQQPGnIR92fs+QkKUAgFDX5GNm0k91OTRXVWqTEhhMiFBdW55A
8ayYM8buSO4U3sDZTK+Jf+vOq6/bI9lV6R4YbnslZs87bNz1wxAEhJBqnwGus3FYDUxKljaGIwuF
NpraKjwveLJOrr0yhijMgbut/0aIrnHJRDfGpt+rKOynNi595MFGOsQM79FaKdO7QtABga1a+gMv
ez2iIcyvWzZdEfwWqPt05vEscpY/JhxZBZ/t1LRz8p0rmaBWQhfPojWXLxItu1dzRVceJSIkA8AO
EnGtm470ttRK9XXrD+PRzbG/zN7turrYNTSrEmstUSGP1mVGYg+yloLeoWHPkiRFJmA60FqM7Itn
Ob0G7cBabLDuUXz96ihjYyrk5tUvGq6upNd7o5l1zOyhii2L7FgES96xGZwhboXD1bMQRkfKkM2j
zHQJqwMBMagz4xSzwdUSuNNFt3lzQm+BApxpLCtDeg4bTfK8tsd2TV403//YpFGKpOf8mgciWmBL
sgrq+H3u9OEWApG5x+awb9DbQ3vbeXJsIiXGae+IBZxRZj6VWy4Hb9KKLdt7zrLqCSfGsBM9KgOh
mi7q/GGKc0kwWaJUcVeymGt9x+HKlivq3PBGhjM9YmF5RMl1L0FQ/DLs7laNQ3HLwPgBMXuym5KF
uZSum0gbTKhar76f5hbNp8H8aEGNv1/qeYLlYXLb5QFGNA9Ms0zFTV5b1yCbPEb1aMPSfi1iKCDs
GPr+Z7nAGZ7W6ZXFDM6QrMgP4DFQ6DRrg0h1Xm4NnppdN4d3g5gIR1ddTNjIV4F8Nlb0MswIfpQZ
kmQeHhIjS0PsJmYCj3NesMkoLCwBzEZQUQ9Ri6hxHwjGsQYKKSwifnEc2/GFIOFbAjHR7ARzAtOF
DEg+niwqSgpDPpXyQKIsaHV0L5GarfWcVeJjWJq3rOQ1ryjACCnOT+E4fibK+Cz6XoP1FkQiApI6
qaJD9xc4JLGO3T7Is+CqMez6imyW4gW53rdc2tm3RBoHi/jMPeVzSgKK/QNmpBnzl6uOXqh7FNf+
B1BV/4jBDhhIJXg/A1PWAGI0oxkvOZgBau6GxEdWAFwRSz/g7Gph9hhDfucXk3cPRh71rq6Dc+tD
FGGWsDnXBB+vUK9N1rzrwJnPDHSdaJ7b5r3v8YWZxoJdX4EVtFGKc9HN62macvvod9kcZQk4FvbD
tynbrKMPQItFEOkHMfsifqw1flpU0XtYT8M33yudt0CRcb+06Tt0HfZQuA4fPbervxavtH652P3Q
DRK885GYPjYXyzTuJ6WbC9tRB+TzSpqXPwQACrhLr/rJflACvidB3vy/MzNVI8i2Yio8pAAW7hTC
uChRgYi8vH82bCbglnsjyVONIixWHMpVsleV/eEwXEu14jNNcm7thRoexRUFp7FuZx82MyPHjWiq
4ZywH7l4IiMIMfTOSR9yO1YVvJfg1ejHN7M2H/Olr1BXMljhRQBKlC0lPuauS+7z9RwcgwrAqV58
yoX/A5nPf+bWVPxvW1Ocz3n93//t+/+sBdp+7q/dqef9EbjobAILTTLgIIfu728iZpMQP0tQyTNt
9DeB89+1QM4fpgO5AsShwzAjgE749+7U+sPywBiDPwRdDE4x/JciRmiQ/7E79UxuVuYWrsBoTQft
/5MYaB7p51y0KlFuEvYOJmJtWMMJBuyXwkjQJRBqa18Wx1ue2BKB7OrCML/NpVd/rLMdLBHpD4az
sxBOokXuJ+PB4Lk/yNG2P2a2pWWssl6Pj6ARLWDBatI3smoNEPzo6exTO/Tr7bb22myevilileMS
LuVgEig2lK/+qIlcRjY675mMuceNVlLs597Vb2w2kltSLpMXEmiLj8JJB2dPSLnwWWgaAe1wkTfl
YerD4n3xAv+ttubx2Sjs5DUUrH4Zu6vpIvvO/qEr3R9shnS0mK3X3Lh2GT7NXcArTmaf6Tlr20dQ
vzWiC3QajNBCs3pDl7BiznTC+7UvkZgGLS6Vyio4Gw3vvEqJay2H/nQuJGHfCG1DSQ9U5U8IwOpP
QoXy/RqCV8xCp7slYrO6cPix5q1IrnDd85A4XXZVy3HTQFAq4DcrCwddJCrmX7bfYeaUJiWcO3hL
XBVm3+/pPZYhFv1szvuwtvTVMhXiMTEJULJrNdyWXlne8m3NX1EjVMzXiVj8ppcwfQBSon+5KbKj
yK7WxopTPbNp69zU4SBhwGdEnkxp0mcUl6dxydviaCJODeK0m8CgpSrpa8YRM5u5ri9zIGIMLmAq
WuVjEerpwyzR3PKHLg4Sx9IZE3B3PRrEXx00EtrYE1T5O2Kfy6vaKBqW9jL7uazTePLrxt93gfLw
hS7pS5X3Hi9o9PfKwA9FKK/tfYf5PNyt7GwuOCuLOqoAU5NHyEA3RN2iNCdgrvs3JD34q61m+mLo
Qc1iqKx8W/LVvDD3Hoo4ZPdOb2R4h9owwNkS0uIclQVi3rLC4tcSrN5hyYX/NKfZHC9jy3lveknw
MAm32IcY6o6kcy/f8NCQJrwmpt7b9egcVikW5Kj2wIe7JPmO4G0mJFL7LHlZi9063WrQI23/UzZO
08egQT/mPLlAsSf3S6fU+5kixDGExfZMUwpIph4xmYN3dPqLmqei2s35gNS+HPqTOVDU7ALWy8e+
H0FB9fCAI6vlzWNrCSxa/KE9sN9MjsT3dv0WMt1dewNm9nAyi0vKhpfFj+gJRa+9AuO4nWw/lBgv
Xd7nn409OzjhXINQdkJ/vcuMvOYVbSl4r4GY8dKuyke6khIl0YwrOEOMHE1GAZK7kwFDkKzMn7u+
Kml1m9RDlgJd78wkG502e17CddpOJTTeGM2XZvLO4CwdemFXfBhs+g6IB3ruScdMrkOtNyGUuVgv
jjEmu9xAjwXyzD0bZUD3IwLjzYRoVFIT1fPBHavqoTH1/IF1ZH3rQyu8bjPps+MdZ4ckNp8ohEmN
2Uc2atQN2OtnPHOtCSRA2dWXSKAUQ0jCA94r2Z+Emo1nh9nYNYiT4Zqlbf4AM9Fjx8HOiPpoWfrP
iv79OLU26jBBwLV23PaIJEXc+NIPyBDuiEQZ5aC+LWg/RSw7B7dCYA0XHBF8Y2hTxSNgdv+maTOb
T3PS8j0xSSjZLWGP+jDIjJ88N+l+5UXgO0hWO3YxcVzNbFLpGK3p3Wun4ps/rw45aw5aHciq27Ez
BHszzORPZ0HZgczCml6caeZYgmmmr3xTLeTXjct3ZH/eDbY0PHmyxAWQ9IuNTw0Orl0azrXyTffb
SuF84YHEO6VDebO2lfVrDP3hnCdBcT3gBz+7YZAdJ8CLUOcmj/5Be8kNsz0jrhBtRYHVzq9gAjKO
naaRd+Dz9BEh+/SUpAmN3uJ1B3Iw3edhnRXJ6O3ina18FF+J4bvvEmeHtZ+XPGc0JDEB4GV3IQWE
SAzvKwe1GheRSU3WLMkrsXk3HRQHWzKTKwyhjvTEgehOtKsS8aExSSI3MIZjo6dhtja7eLIZx5vN
Qp71ToGMcuIOyzQOcyExmxPnt7yFcFz3yWZFD53Nhb3Z0+VmVKdVGi9dUNuvDHjYe2ebm93+bWwH
Tjse7WTI3jExJN8mLVag/9kIO5ah7zSlfqw3p7yLgXCzfat7gz9fbLDnvO2oGt/sNjePHKzJqdmc
90Pplnu0eCV4JKSV+6UwR9K6hXM1bZb9cjPv67DLPjS/a7+s3Bww/wJEWiS8BsjqvlsKrAgTU1kj
igEnAMizz8+FE+CraLzqGIqa5FEmUtf1VOBLCtV6JbuguXL6Rp1B5a3PUgbOSW9MAq9emzudIn2p
2J8dxMYu8NYw3DMTyr7Kmk533hgHlm6so+O5gA/ExkAYLCWuAmvN7jNcRwcVkrySbtQESKUoqgK3
+6TVTY79RldQU6gRMEz0ZRuAYaGIOXiTHV7ZODduBuZBR1iIMH7ZapoRAaLQwDLTP7gGDn6S06dH
WQhYD37ASMcJif0ZGwSm3CCS6tloXYX3uLE9ChMPQKOVGlaka+Ud07QeHlOXA3Xn5Q5dCx3vdKi8
Te+YJyELr8oYOzaeYwXRtqLdQOaTp1EKqZYhU9DLD8uaSCIRjEggfdhxrWb/ZFSs4NGSpsdy3UR/
KPteB9kkTFuKeZe1aE5WrcPrYlmcQ1eCijXm1Dj6mnfJkBqgpDMMzAoHuJozD9gRLwYcxaXrThai
6p1a1XJmvSyO/gQo0TEYau3aql6QNLrM31UV7ivD8+85wJjqpb6Ku17nqHwM/AplzrvnOj/2qmQI
77MixRGRRtQe7YWciOYyeoO3s+vCpIex1JGw8OkwjvUGN6EiEwUokDJxewAR+C+7fsDf5JMgNey1
bY+qucjCRxbLu76pkPMcbKPKL6IrnTNrlOQ2TUxmTJao7xy0DHxThDylhbZPrJD9k0vNwhlNEsvR
nrT5yyLOJ5YulepsMWheoNOd9UQ6spcAsogMTMwpM0sdghUL3cTdTU3NH87GT4WNp3O8n12fjK8V
IZ0xKZw6IC9IKizEbbMAIdCLi6wD+Me3odbN21IQQByXTp3WETwU9xrjRflSep7xc24NHF50rszy
DRxS59Voiwc1Ibo8keuXBPuSoeUvxhMMZdoteg5tR9u+pNpnkLEgxn6sJ8e4pyLl65jzUH45WRqc
tZ36j0OXzJ8Kb9CbHpPhOAMuPsylTBoe/XI+kP1Fsipb3vqFL5l48X2jOSk7txjehNo99Z4tLUh5
QfW9Lxzy3ObOnB+GcmxYEQMw+iqZ8AEKGufuEa+X/N5kLdp61YSEImB1YySUezq0qL+UizNJJuTo
mP+DvTNLjttat/RUagJQbDR7A3jNBLJjJvtG5AuCIiX0fY8Z3XHUxOqDjn3to3OOI/xYdSvC4bAs
UUlmA/z7X2t9q13uMa93PUbXpXijeGF56kcrAdgGkOnKsXBJbqDV1K//XzH9c9TEQP3+z4rp9r19
L/4tkGv9ut+Ppe4X1DQEUOUIwrD2nyMq5heiFwb4SUrNSMquivZvoqn6AkaRzSQETMK3nBj/EE2t
LwbH1LWr0uLLyKv9rb4cgh//fCyVDqA/Qi+g+MnrClP+kq2N8Ym31SIbD2sFl2NjWFvYEhxJuJgY
fV7VHFu7aC1sY6AYr7rGKr6FP/vcaDrT7+LWJsfurIVvsdaJq4UF3m40svoxltRraE6oQRFZ2+Kg
lufIMV2LC1IgQOT6jBucruPpLcHIjz06t7VoR6t59qqZLe6Txu2ucEc3n46ycNJRa07/mFC17ZtI
Mig3K11mU4RJF3CrwNi+xWo9vLpwwcHkrIV4UROHr2kzYEVVhcyMU10rgLOBaUDF4rrWPaU5AF+f
W5YcfYig9U43KPyz0oQTbqjLW1FF0oZsRLpkTxpkuclNegBPC0mDK7erswsXwew6n6mgjWFTMYRx
U9gViqTjpkOjrbcCAfhGDFOzlxUrRAInTUNsmPRR5AM67ZNXkrCYYUVVBjgiSTOVGxJ85imlcHGH
y4WiSExMb5aZDZhXG/rTa33QJk+jXSbxbGhdxrEO8bNt46TSb9LQaJOtoDDzSS6N5L6Ry77wa2uK
vw7gkcsr1pTm9w6o04PKK+txbNiXbdjagt+lq8m4ErLGs7pJG0O+B3US3fPj1J+EF1iLdmuLRzop
nOKhox84b7E0JnvKBtIs5+Cb21tip8moO5drM4jljvqjgkeE6zXqha/j5L1ECSombybjVp8CA4ZX
aV81OXtGXKXGlhE0g8GfF/kxWatJrLWkpFrrSvK1uASYR/3APaP4Zlkq3HPUM0+cLLKPie3KbcGV
9557/rTT10qUNp9C+BLUpNRrYQqn5onq57Q/2XUSPreMUrSqRBSssAfgzd+stSvLEtRnm9aw41RK
YoakauorB/PbqbJsuDix0R1kW3EpNxoHun/n3kiqYx/itfAlTTHxbyJ8nEeQxUuHUhGPZCWpiSG1
jqs6HafPNiuTnbn2yYilDY/d2jGjh9Z8btfeGWNc+t2wdtHoo9lhZK5pqAkCyuXCeK2tkSOKebJ2
2eBjJMDRdnXyHpnc/aco0o4kROL7hXHO1xonu4tKk+aWn0U5Tr2sxj41+MYQOqemmJBmIWDZnGhN
0jJr2Y611u7MoMtQhtcynlZRy8NtLyf3buS7uGh1Ol2pTMp+tvlUubNnwjVvG+6SBxA+1P44awNQ
TsryUkDT8dORfqCIcP5FrJ1BTaIIObRy2E5FJibSsenop+TN9oNRwzC24NRqgQ5yG+jdnmI/2+um
0d0lqmouQDGyfRnX6jSn7NTjtdDIjersrVhLjoIhEFea0UNT+dmBRPVQJakPoih823G0v+2g0Zx0
e+1OanouW37ZYn3wRWEiCo/shn6w3aBjoAaO1e/7nz1MUaWsu3AcwyMX63H1edLYVFu1GXmllPNz
l9SztS0IHvgdfsJNaFkDp39yQHcmftqb0pisC52a2WMFpvp7IwewaaWs3/n08tL3Zc8yJLSx/AUQ
xlBRcUJmc0BJaDzzZptT4hudi0U4Mtrvw2Kk4ybgeAehXzAStgHjVQii4ECY2wi5yDlo1sLO70Iy
yfewCvBLIffYn7oCeF5VUpx4U+HI67m+V6VKl63GemH2jArCAjLDEkBBnbSS6GvmnGtbgxMIqvEu
zGZhHaIlCBh0B6V9CwW7BerZDcmQIZidp7rHdF0ZaSj9suzJ20ZcvE9p3uZfAUo5FP0h9W6bCiEY
DRSOqIc/RX5d8pmArt6odGMXYYZ7xc0M/MXuWkVEh+M2iWMA+aMInHOlG/yAIVfQl7Fr0gaaXxnt
28wcnB35ixb0oJN/dEbq0Cfa1dVe456BAbAwomzDaOT0W53a0I1YYsweRGQQ0CejwfQ4JLHdsSmy
KBGttAq/bvKzC5RPH3zCvElbd0uyfSxe5c/u0GKmRlTvDHPbW4l8c52KGtm+wdxKNY+vZqXflKr8
PqoiBC6v4JfUXUXVmRNi7NCDyjemODnIEnEWkDrlpgOVFwkDsK//7D79+4Pa/518E51o6n8ewZ7f
++p//1f7r8LA+mV/TGAsWhXXPaabNQj8J7qJQfmgQQgWPyNtn+aqGfw2gfE7jlj/MQ1Qe4pJ67+F
AU3/YmBco0OZNkMmMUM5f8e3Zv+CN1FIAvSXA1qWP/9a0syMaH+i5yqYbNbQtzatNnJ4lTp0JqKn
Y99tJ32Z2O1FoI0w95g/+r7XKUvAW3B2YAJcESfAVM+ejXMYic9ro+aWpA36BIxRGcUTB1vI+rVL
2Co14nA/RBiz9VIOzyPnbi+d7cqDeOnsIpOOVhXxRwi4pV7vOD21fMMNu8wfyzIcTU4maxLMY/Sj
VG22jDPqiX5EQk741xyT4myHbSEnbvSVpbjgUqA+NdXkU9SR+oWeVOy7u5hjGVv2JoyTPXtsPlN9
hzZBByINvIsAzmeZJ62xaRUZxhxKR+Fs8oq+AS/Wh/41ShUjZsjpruCBt5MW76SZ7lo2W3UmrrDY
doeRqPgOQzU6ga60u3gReMYNHfB5aZIYqaoUv21p7UA/0H1rUI2chFL6UWK42HPZWlg5R2wuguZG
V1zsM2OMbx2Cv5tWMSFljSr2labh1AB46lHrPG5Hrey5Rhg1WMXRvA7DJtuNlkFEJk97v5OO2pKY
sS5dX0QHIICcCCmFvA1tTfuRxUp8sJU0X0VOuAR8RPgDQXXy67otXngWDF9jeGflSTDDZCnfb8Hl
guHGCnvFy+vuiqhhEc9O8n7SSSwtuqgkoATL+i6XVvdNNB7W8k4YU+2QCInNUFk8ZWX8FAoRfnUD
Goh0AuCXIkrCxTMyUU/PInOs4OscOkF9E2DaJxgwN91x6EsXTAkTk9sY3eO4VCyZxq6HSarhp8x6
QIREsdffCJ+n1ISYYVm9veUZbjgW22Q2PISf/Ds2IVAPaTVRbFkjsYB1qY1j24zF80Bl31e34EA8
64O9g7TVgGGD9ggpBF3I4Bbj2xj+WeQP6RWlUHznZALOaac5Z0r+8u9YKJcHkjk6mbOu+arqiWPz
oCftLjUrHViDFdyyUFx8ShrlUwu24a1mrOx2OD1/lEJDocbvE+9M3Ib4u/HNkX6zc6zzudgTcO6O
MsHHPnJ0mHZwgoI79hTtjRTV8Em00qQTcnbl3jLrpKDqpCbcAvBP3VV9Pz6ZMZpAGeTUdiA53Q+T
5OOuy6E6DdFi3xFaUPe6FusMTaRrVDnbIH0Ma9nPjNn3fET5tOocdLZhKVJMfdzE6x0gVjZ7iApw
PIrZ3CRiHH12OKxasNA+YMKlln1RdeOnLsWUboASRBZHF96QjGyNdVt7ZxsffOvnhp6cmNLeDcWg
mMwC+mdc1miG9jYtdrubgDPemz1LUHZU81NkcXgh280hSJ9Ue05sKYtNkIXs0OjJmrdIg8EzZDFJ
dzqvJD3nVEHb1saMSbvyTM9v0c8Vnc1oQzty28bYOkK8UsvPhZ5qIrJ7TVMUH2Y3mT/GcU79BRnY
2IRJ3l23emwdRmx6+hbmCn6KdXkY1usekbATG8GWADdjrxbgxx3XoAcGFmx+pEg0opgZmYF6XBG1
sniFSAHxpjLyTdsIui5CVs7lSrd1qsS4wjRU7xS8tX29UnAdNqP7cqmeozjRXhfTwCZlLyFWof7H
0Nb5nqhA5bmV1Ly+EDvUSmrMV+7uoIpgu8qi24XMm1csGXU4o8p8RS5uJ0OpbSAYI/G2EH1rfNMe
u9WAEh94v6ZdLQfe3NGJ67q5ScFdQqZnpYgnqMVbLKtjkXKUjhebNSgPubHZJew16JR7KovEUYvq
+aAEeZYgjcUbNkZOA2Ok3TdZKo4G2eX3rHfyQ9rGzISZK3d5JeE1hFX9mpv0v+od9GNW7uGWK0iw
aXRzoWtWmh+U+YSbJBU9FfVDuXVWpDLuLaquM2PwOboFHlnR6bAsWIOlNONjkvFhWwnNFKTCal6p
zbWZOLvYUeU+s6vSJ063XDUr51mtxGfcLRVT5Nx7AuucJ8zZXBUTc+uujOgkRWfQWgtFjVorOigc
CNSbETTP3l4Z02Votc8j1s6Phj0mqZwuvWLXBrrKZktqDYLFuRGUxJBb4EYrx3qs2XKWk1T7NE8J
ZHTzFlCW6yVzT467658ro9S8MB4oss0CBGoyKs+GUKREVVU2B5saoolqmVnwMe3xPm6optIughay
ffUTvh1WM1bXzoQmq5sWeO6J7pyn4Se0O00w52yRGfOTsoLmeVj53hN+TJ7mBOo3a1IKYdsWNiqX
my5+iWimOoZV/to7xDr5q6ICsTttr+OyQaMPqBBj27FrVui4ueLH1QoiD1ckebXCyeWKKZ9XYDlZ
JvdEBQQCVOWEKzyq2RRGqF0Nqgpelx4ex6DRGV8l1giWG1b1tOLRzRWUjn0v9iIrLnbLilHvSseh
YrTtbpJeRY85W4fLEI7qW2+FsH/Ql1ZIx+qGrmycniujvW6lCYrXzvfotNLHyZhtk0a4JByBotW5
7nztuqG7q/HyYn8f08XZZIuG7agoQrCdXLrxwMlcnYWq2lckVwAktYVHlPQ1JQtKQSuxPJmM7lNp
6NWRoljtQrov3Vms+O+tQEy3IJXABLA7v0bOz1Ae5uYKN7l9z7uIKDteEl15+BJ6niMMn8XG0Jbl
qebt4aNtFDeNOwdn6cxYGCDa6bejTjQPspR2nwbhx8wTspuADd0FYyCeaya4b3A5gg8OXcsT2mv6
wgRm3JS8HTB0JNZVZmfVI7/UD8Vojk8JAs0tOiLvqaSvmkPSzMVRtE3tB5Mkhcet0je10Dk0ScKa
mBdmMD3NjpPbxEGdbssAe31m1Lel2xRPZW5ZZzsgArDBvj6fcC3jPksmF52Co2t9nkge7zC14SZ3
V6z70ET+nKbaIYbOc4KunWxxBTv7RlRkFCHG2jdmOJW417PVKDnx5lqkPKO+p19FqmkvlBRQEtfU
IFk02JDE/SbnOcrBKakZO96sJu0hyUzzwVHJKniUjrxvM31+zKgtu3FSBcM9d+Irra3TB7dMl69x
vMg9xgDumwD1scvmKrjWAEwYBCkyGsVCfOeP0u0h4ukVqrxJ3rZjWbcHYVM90XhXvDX487dID9Gn
BBJ3sUTe35tuET06k5M+gpSaj0u4hiAhscabYOqid4tK6SO4D+fCiMNMq03BuZ+yNWtbVjlFZL08
WWkDHd3qEnDzjeSYKUwr8oTeJq+D1Rg/Sg1XxJkxAHInpu1j4c5Nu6XsbcTjV9lnR1rRc5r3VPeC
afdrVxU5CPvZ3Kd4RDU0lZ6jZZrag+ONMMS9ACfRM/3cke+GZQNPQZ+vaQsvez+WRVn5vbJbHAxO
cagHNSS7vo/Sg0jz6s2Kg+gNPlv8EEBtOzRZZj2aDZS8uIFmt+mrML5gV2VAGvIAJzIVxmxd27kC
mhEvH+Xo1Bf2rVzPFpVMr0zuFS08fG7VZlRL12+asnSIuiFG9t2inwouoRgh0+itTLSaHVrMD1ig
ddCrx97mx7xkvRcygp/dKbL3LA5rTuxTJq9arD3sjMeZWk7qh6UPh4JJoXImlJVpHp8HXUsvUH+D
i0oG5nMsxwb3Gr1JD1GYsFsyxXioUe6PkN74q9u1ElpfBrFd+Ia2otO7FzKf3E6Ibs8/Ysw+t0FK
ymBj6pH+oLOf0TxNF9pZkR2/woIfP+tw+196GuNpPxJh/m4PdFHigyeEKMDF7FLk8WYT2f184TiT
XscxTitBwzXDQ9mpj65x3BqjF+CGaVY1O9YlnbYw+AI8z8EIzLyNFmev9VN671RcN7F4RuY3IPoN
RUSdQx9oaRKSWJwKG9cUk3mpZk09Ks1IHuowIK2ctrr1XlSNdT2OxFlgy/X92cWRvWf9Ls55NiyH
XLNoRtRhTxxmmNVf/6csI+Rf2hTP7/8Lp2ISN//GqLh+5W/7CBtjIcwZYSmbgz+sMWSf342Ka0WL
Th0QZC5rFY3+2EfoMFrxDLIpkGhC6yrjv/cRuvhCiRCsM+s3Duvfqmj+xaZI9AzxXTngXDkT4ML4
BQ0GNCErRmhVftncB2m/FZj7JZ0Rf1rT3P5rjFT/lUCGjEFpBTsXymUUD/mLGzKzRZgtgLT9seOd
xsQUlObOgUSehBkpeHMfhPMuGNzrrjj/9UP/WuD16yPzHP9521K6IRd4fcLXrp/bzgOBBcmARty/
fhTWQxykAH8XK6mOV+6Xn+8XWU3nFRMaZGSfWWQze4ARPdfTdn/9IP/8Wq0Poru8X2xWUVherV/D
uOhIELkxFdKcZctix3HCj77/9UMgRP7LT2IIl55qx4SMZ9ir5fbPz1fqMMVI6nYINIT2XtiQKYa6
H1kjNFq/peAGaluC6ACVsW+E3wVu8gamM79Kc6v+COeW4hfBsvOx0ZrsZuaNd5aTafxgUU4/HXHI
izalUA+SYl4Oi4SerUYsC2skJrxRai6AocbBcrGVlr9WdaN9nYKyOfeBEZ8M0EfkDFhdvxaNaW+h
z+NCSbT2k1UNzg5g9Gv3aJDqN2NWd3v4n+ktk6zcd4YDMsfsZ5dvPAho7VhWWkkdZNmuTqauPLEA
yIpDEEj1NuaGEZ5zSTAwPATz2NQ/1sB167NzmybJcicgLdTJVmfHlU3EmYIAQpPFCgESupC7rqeh
gU0RS+FOhQfk/uKcR4Y4NUtpMdJW1bYlhrJZmiVic73EKImJXmv1AUMuNDdQ60QeljSc5GOtGQOl
EZErTnMrrNIHYh/bW6VH/XEsU8AGYnEXQpIdSu2EgnJl181IXMmsVjddKa0nA073ZawBEulqnl9S
2eKH0cioBNuJgqUfU25CerXYzIUsBjlYakhLG1cOAwkIckA+lB86X7Lc3NEzMGwT/Mk1Hcsywz6h
6ZQcUuX7MEdD+JZ1WXmpKx1lxB1qorhMkwPG04ueauO1EwT5fjTKyuupStmVLkYW1Ix8i1eK1YGW
9L6DLXhDZ1WLOphCgNY+iRXwgdU5uWktnkZU4vFRC02aUggNnEvQvLsZoeCMZlw+ZHk7v9hWWD9o
QqZXY2Jj7y1g2Ccrbc46Lm2TfaYi7K40i9P8I9ul6JBWGC4Z12wOdip3T7zpePktYz46omzeWUaw
c2jU6FmEl+7TdMo/GqBrx75Q8XUUhda3MeoAOEHcujGVo98bRa526RBZDMJ0lNxOTNBeXQ1FdT1h
FgNH3OswbymmYuebSWDxlsgIJTGxyEvONKyfRG6hsTpzJDd6PbT36KzivpFm91BRy+CXdSpydGya
JI5hOFofYO8n6C5u2tUoVTHh5HZI3G9yjoigVUNnz0e7nIbOG/oMRM1op6RxR2NeNw+s5uj8HkD7
nJNOx2Q5tlb5qmWL2Xr1NJs3AaG49NJ1+AVX1n2Y7koTK9Emj7UGU6FugE6rFyh2hWYaA1qenT24
ekydNrZ01nqt64nMAqNsu6wy7GTemuwUrnvLwsUKMcx8qWqQw8tcRNeyjadn5l7jFoqJs4OF4Z7o
665vDHceIc9goqVwxuy7jW7wYm5TGMsoY60Jxz5oUPS2muEiBZux9Aplm+12CLv5zu4S/XvltMZ3
mw3eJ6bg4DwPFAKPo4W/tcTfzjkojk8rrRm3vsjdXVT3E4sEYXS7kIWE36kIxi6rg4VriLGCZLT4
UVdL2exwH8lzGpXzkeK/9tRoSXykZ8iF4NPNEYXTst46MqBTZDQG4yEhtfdd1wTrKFCNxXd6ST5/
Xsj/B5BiV8HmP0tAW/oB4uKdof7j38xd69f+Pndht5HCAQprKBJVP1H2v89d1he0Weo8+Z+/BETk
F8dcpR5XcWeUjCp/6EDmF9uQjGL4egDUQzj4W06cf/Ta/jEyrLRYF53JUIaFtWeF3f/zjXbC41xR
iTZwBWS3YsqmvVvI3j12EcTuHuHzeehqSCQZdPpmg6lrXIgsSyfbZkq2L7EBvoyEff++TMH4gWbQ
HlRjQzGAXbBa56pAv4msVrI5isNLOOgdPLB6ReKxTvNrCHCX0Oi1e6BwEzeVkh1/RKQqdsb6ARpi
dNENk9hUXFkODpU8TtY6aJ3Y5ETa+2gWg7PRyiz/2kXLckG0b5Ciy1qcgxHhwq6t1xh54OKCOfMQ
4aJ9XGnT9dzrLpVTwQ/66DFb8imq7kv41vs4smk5nSpzY862uNZqCxMo5TQPlHSOO5S+AOJepD3w
MZ7QDeLZh86HgzeYZzAP7LQCN5gh7lD/tygkaSW45GJeYatIN8i26rL8RDC7uxJVZV7TFK6fQNMS
by+06COGxbKvKhHexjZotw39ZfIrroUeK5BRRnfTLK3tyLLqWE6delgWoEfTOE5+KxfxosfuSrWx
JBWBfRSiKtTRI2U5VKIlw3Q0TDMldqjZ3DNVqNd+G1XjhU3KsKti2O13LNyXt6LNx/NiFuTW8b76
epOHvjbPATOK0PNvKNUJRF6DYtZqWubPMO4s3cOsG5xDg+7kctSTG5tASsnLr2c30pqbo2Y31hkD
TXjDs+aQ/JPmeA7nDE3RtmyGcMLIhHe5vfHamSFfvOFlmW+5WxIYNVNvEjFdJJw+EURaO9phdmoe
61A0tybHc+y3usW0ZwGwb3xr6rnAQnS/nbNAxFDEYsCjERTYC+7+xneSGge4ZYroqcH3Td4J7xNq
XzHBC6yDxH1SJftKki2DfstKrr0HlURqBpc15cldGlVkzwcxfc8XGXI8tvGj4YkK8sWfi8l0iUAs
QwPripLIa1JJ43SwkN/02s62diQvJqQzenNymEc3IrKM6lXLRVe/VJGQJ0Ef322kjyLzVxwrdTKA
4bOVJepFdJfs2wWGAI1auHRTUWOlToBlfDRmX90hZlZnLcYBDkaNuqEptNUtSRJ93JCA0d66GsMy
gVwsE/U4jFcsPkZ7W9YBFM2YlsLOsOOXogyaB8b75ECzJJhHcOUUtmQVfqU5xnC4TRhsLNL1UYB1
vAfzIauVtTj34bW7xOnOBZF4MwA1OuDJds9dLeJtqxR8PjlM+tcgjHViZx0aVzEUn3jGWJ7lCukj
nJr+nrRv4Y2M1XyPely+B6HjHsdaR6kYrAE78uQi54zi5FqyeMy6aUWWiPk8u03zZkQJ46OpNeUO
eU/bL1HbvVmqVG+Rw+HA69lIUMNTpNskmfoSg3G1XIYuNK5jMxBvwJyaaxXPNOGAJn7TR0d+G52J
Ls2ADMioVPLUCoxamyFrQ0Kac2rt2eACXOthmn3laKd2FNGw4iviVB7sPA0fRyeiPL13hnNVYIPd
smCy7xf+fMUL56bfUJXmrwVC6KMi5c3nPS3024gEAfJlMyJsOJlWwg/MU+16sXrldy3JBiATRks/
6NQOd0CE89mD8U9PsR7kJxuzsdfOen0zpwZUUau1Nz3a3cEkSw5BJUlvDbNDzGUni4hp1Xz4h7Lw
B1mEb6D/AR8WJkutCUGTolPRgmdN8ufRNlcfHN2RQZu3L2zmidRgBdZfZ9zD95Gl1NuSkToibWv3
uznK7FfOdOGWSGIO+6A38ZZpTn7vZDrvqGS0o6u2n5OneeAgEhp1fzZ1rT+nQcCgqeq+/+xTTmoA
bFTPUsq1nL0SobgJKWZUm7aKm6tGk/ULGWSgVmgYrZdMCYeQXjqBTxlGt19Kw36rmDJxf5d5Rvvo
nCannJYmFAM3vrLNMgk3ZTLHHyHwGS5LRlN868exeAxn8BF55qZvMROeTywuu3C9Fp+BSbNXUTEu
enZsmDfVJINdF9XuVamq5LqsOCZWRVTXaDp6sVOdYItcV8bwNRhnSLqB65RnuxLOjcXz8JRENSTO
3OQty0O2b3k7ls+pQB3aWHlZrnoOgeuuy4JnRwui0+gEnVeVI07Uvh5J43TFVdSN/Z7b71zzaZU3
fFv190lG6l1re9AMXce4WN8BPza+RhqZvCAs47sir/FzRsrAGdUqpk/seeNtn6XLMbPhJHd5pt2W
kQitLZCLQh4bWJ8e1XL5jRW12r5J+/LGBPjW9iV36aHkxAMGaUupLCgwBzsFsWlNqttMxuaBkNT0
EFXW+BwDSbkLyAdcKhVx446WOnsIUg73f3/q/H8zuCyl/ddz6Xv2+f5PzqR/fMXv06j1hUFPgjT7
WTNgrm3Mv0+jkjrm1ZXE/s0y/mEZ/82VBGYLdIztOgbbHs4qDmuz36oLGGGJFwvXxmpOmhnL0t8y
Jf2cNv95GlWYfdnOYRBnwhXrAu9PpqQY/6Vh5ZrwsrRmz04idhOH/efUum+NTrFYGyFZY3u2dxm0
923Ku/fKAG7gm2MjTguVJbvAzYqtmsPoZCQD3jcj5pd98sSWYniqaES6OB1ydNZpDxNsbw7I4r3s
EvOav5CQDlHhbb3QXVM4d2wQiStpXLrZJVSHbBKJlwJnvO6a+JmpCSgn8y2NSWCjpJsBvmmzu9hJ
7yQBfZAo2cdc1f2WG17+CDuyPuYaamuo6DGZMv4jwA3c5ud4lu2xHt1DXc2vNTEWHAJrdWlVPpil
cxSihp2EUA3fCF+U6jBXO/lT2nQ+SG2GEodtVDKlbxbQ1s0Uuk/T2L3LETsTGnuzacwYoRdLK/jT
A2aQYWOaKw2rkuCLaOjFCAgzciJE2dngKdyg+KG6/Ia2xGcAE0Q4wmoXMF5vmKiMfRx2h3yUp3kc
H/pweM/ZGFiudmU22jep2p0jsj3OzM7Ha+PHGA89h/rbDaoyMAcAX1tzBK8QjTG2MDPZ5nXyOZhg
FMbePUxde7YIxWzrdtwnYUx/jgO/KCiwMrUOVoqw1294YBuMuMJXJHkIOw3ExmDL4znuCMVzAuLM
zcvVjY9qGtlbObvAyl6Sqmq8sLSxYurYnKqU3lAt749p3Mynsssfgyl9L2tGNQ4OT0OwNIhaOM/Z
Jn3llsnQl8qj1QwvYgzOKk4fCJd+BnrcHzRH3Va69X1iEmqG9mkwggfT1oPt4LoewYWXtOrgz6fi
MmURk+FMAmuhyOtaE23xYBRBdaHBUBxwIWE1Nk+JTTsADUjXQ4J/ve/4aSOXeUtny4jKm+BeE/GL
CJfGp/7qHbo7wdZQz+/aIXoUukbeCwy5h6HnhVEXjibyNRKj4cmhF+94wRaf9AVFy+livxYxJcdV
b+FroRfzCmyr4WEJJn4bIn33DG2ctlzlUWxQnlsFv4h+E3AgQmLUsOv5mLiVdZANE6k5kh5onGFZ
oaq4NX6+CjTIejFligx0ORnfAFopPjuiuLXq9yDsAz9uCqpXVTb6mUvxQpQUb21pvaPlP4SkmjYt
lQP4OlpQw4ydm8JMsCK6VHXAxba33CbvKUdQG451sGH77ptVBD+00P5ukHDaQHh76c2169mWjjfg
yiT+lcYMC7m9ndc6EIKrOHVTrAD09ZL4DEugsevY2+iYLxymDVW497Eq0jPsz8obJNFTbV4+C4XZ
pxegvKg3rSFZ19kzHb+4kFP1SCCy9wrc9Hy4Oph9Yax5JixVLy5pK1Fphrmq5RuutKjcsv5Z6OPE
Kyiw9CHhZSs5be3kXIedfuT0G0Sj6eM1vYEtTya+7p8kG0dYgCy5BwRFizg/giE0s6SHabDkFxmm
p7wfjQ2xaZ4wPfxm4yUIx+UYRARyQ/EAjP4xou95g0z9jA/F3KiGtwzEnw2bVWox7fg02OVdG7v3
wcBRauxQJa2UgY5bzOSbZgzAGz12V9n1u6U6rBLCYr5vp/fepuVaZJ2H+ZJ5rdNnGOUlBrOGFgI9
Ge9cahi5MEXdJaK4a5MObrmL48ncRoQ03HG661fTWtxm7IZp2fJqAQF5rtAXJ3e0sUOO9HaoiGay
GWU7M91mk9M/uemqFkNNl15WwsoO/sA5WN/+fOIJcPtAeXW/ERClNF37dFlVb4itvATmGn7JzB+Z
XV/pxvCCi+Ajz5eXKIaDjxPoFkt74xku3OIma2ePouhl25U0w6YtuLOZcg6tAc2WN68u9OhJGg9W
DwSwVOZNNxDsjx1MC93w3MvimBbtU1NjThAN3O98VD9CEigbABt7eHleRG+uXySi8qZA8K4U7DGw
Ws63QkwaPOAOdKOdPiRKUe8VRXSrc5uAN6Zv7QyiDiv7ntiJfKJbYtfHOdvD0PRgRWpeqddYXaPy
hULYnthfKn2uVaDbOw40dQZzSa/lrQ25Hwet2HPp/cHxY2/ZzTlyq2+zyu8gTZxTDhEY8HMPtsD3
Pk1/VIozcV5O8Vbay4vhrvkKq9Qh6gK6GenHGdtiPJD7fMjtTO64U1VHgCrNxiVSe4y4a3n5Yjx0
gl7AMeGT0uvxm9CTW+yI+S7M+FkC5Dr6GNQmYF/gS6160RvON10DTjiQK18QkpWXV8NZy+cXk9jF
NtYWaweSn26sytH2A3b7HU/hI1fdu0jLAKJF0ePCnfcFRHi147jabuY09pMF73IaEWInG3PbrE4C
Ngv5fokHzef8fR+Dpt/RkFbuYZbtYJNkByNLDxl1ZNvSmZat0IYOahAYzVSBDaTdLfF0MlfeYMXf
sYyjRKj9gK7F4/0f9s5jx3LszNavImjOAr256O7BOeTx4X1MiMgw9OSmN+90B/cZ+sX621lVUmSo
qxI17MaFAKkkIfM4kvs3a30rzgCzqDwtU0OHMLHYGyYJCPhSq+bmI3oOTHIKhnowNpCCHi0iv3k7
4nGqW1Df6fjUKLHMAVDGs6Iiv0LMy7e6JTC8Y2Gm1oHI7RNHLLLKqL9HMHRQRo6fxPNubCXbu1bM
3WJlr86CMZZooacqzL11bhFVrnuVvkZIAgq8ogtxMidaWVrJEBlR0boyog8eqeaOP/SAVhZwu6aM
W0dLb5niw6lOp3fmIViRJ/GCpoQ8NXd8wysNOnCRh3kyrUKlerdrRl5kbiC8SLBiTfRHsBAuAS+9
N2UzbdWouqkrMFgDRqmow0+hRTqo71nYOz3sHmKw0chYNTAOhAWt1Wlu/MrTK+Zw0YWh1gSvyyzx
ZSRYZhBMXhylOR+7BWncWIhv9kRctc0lWjoNk465RiAh76uF1rBV0jJgK/AQDQ0NOXm+GO65QNxm
fBtVrd853XhjCEg2iG+TAF0Eu4ASrDzLxefc6k0wbR3fXs8Sq7WX2h/RwrNfhIvp5LbYANre4SUE
z2hwJOu92W7VnLgFr5iPKB/ToC2xrKBSDeaZO9Bp78U476K63OvD/Bi7xQbQmnIKWwrlrMDvaFTi
0h1LKBz1sqwSA2RE2CMC1sb43GQzxnjigGIY6HRmXOfwDnbCspSDNxWPCUMuX3OF9J0Nr3nPN6Kb
nJ9Tl1bbnjCuoGlAQ6oRd22fzJeGGE9Ib9DsKi5Z0L3cXmk8rXAestiEgb+uFsSaTlM/6gUsSyeB
G8rw9Lyss53RsJ22EdLP4SJJq1HHggkfwMyJpbRPCQ9tfC2H0KZECvmlhMBtXkB1MzRks01xwrrz
wSl5R/zhBztHceYk0Vsun8TACa7DUBfU/xWMGi27m8q4J5FZ0VaUJ8yrJi8MokZjMA3GBuYQy73x
uxDS9qI1I+QPDWTa2qqt1zg3z6RYgvRvvWP8WB+SqNghihq5umUKuBV+tAQZbvraQwDHXcx6VExn
izdtDDJRzKJ9dKrmmVgcjnIjv+8rZVc4IV7C5YZoI39OF6nre4wn74T99bqN9RHbeb8bY8/jWwxf
mgQDeYyPsMhKzD4AvnIJ5hxMfXiGsuIE1mACk8dbtjYU746z+zbEBFBq8SmtkstUmc4scBu44l4X
4hdpqmy/1JqboRh4XCxPmuMeExxxa2KFnHU5TQSnhTrYCSCoJtN+navYt/Xpg4YIPqYibH8YoBTM
E4t44ju3wzylAY5alTk06qs5pzasexZXlcjVlWI06taCOguLdPLOIzyu5L4XBx2jAUSWDu2AWVV7
q0vMvRmn6vmcFXeWsN+VKPuoOkMS6yDBMp0p1jquimNnpB/qlCq4nwjf+Oszg/+ZZiXp7PnjTdVV
n5Rv//l/q391K8k/9/tcwPqFrh56GIQwlakAM4Z/jgVcvOIqFnL5v/42ETBZQmnIgmwWWLrlkmf4
aSKAvRxfEZNvTdVcnOR/ZSKAtZyO/8eJAH+HyVORfyFc0r9IdnpTa2sk6oufgr0/UZ25iG/1y6XA
uTSWUX/ASp2vaz09AFt9ZTorlQjkptjAINcRs+5VhLoCzBl8KG38JkIr29iRnksgkfcw5AQHWGkB
D4UJPdUt4ntglienV95IRduGGiFMKdQcX42IBjJqWjIT1S/HB+MHdcrJt0mEv1TOW1PMc1AMy1vK
DJVFS4zQM4mfDMFjZMGuDCzptmYWhoHcGVa9W92BkkB8YRtA2AyNuDGvPDM8LD600QP7aVTOuaE+
4cru1oX3fbCGnSnBMCpouNfdFGVrthYCjEl+q9R0eAPDGvnsuuMwhNvg5mTytD2RK2P83BGrttcX
cUooTYMoXawzWu5hXUfWqzk72obySweQXBS4AZx6B7ml9BPHjs8Hd6ath2a3x8YCAtMdHrWojXaa
XhjbaHJgMtNAr6wwo8pT9ewtMoGktWHe3UdVPj4WbfZe0LisMU2/k41irAdB8PVQlFvYXPGmMNmN
9Kp+6TmG2KtYTAluJd1rKHVxSamNbgG3VVeV1cFRRHdp5ew30n6KLqTCch2GVCb89hpqgupk0fs0
8Up3Y5u5r+mgc2+IKVFPRE1kG/wWr0NGFdFa7FR0mE5jOPiuWqsrb4kCTP3fMwzY/gEfyhsquqLM
n50ehHFVdQx5XPOqqxgmY8w/Lbl9MI2EyJgS/FZTHwj5euxQLmMKYa1JHDOeTwXouZ02YyCXwGd4
WZ7NUn8BWiJWLk6wImxZ2PS3nmCZhJ7026goGEG06W0uofUR4n1V5+Ux75LeT4vhaA6udhUvGFXU
rnkdveKYwj5YJXW64YCOgyTFB9Nb47jqTctAAVXskCGdGz1rszFPCbCo023jShIZ7rM+NI+DB+59
GkvZTLwbBozlHr1NnC237YInrOyOoa5czV19Xk7mq9FHIJYhHQyd7ZHsgS3AwFrdeUr+yGDxSGoa
G4dYoHSSDaUHkwcryE4ZlkeELs+hAe4vWurbgrzqM6GBzY3FDiJbRtrhsnZb7gykxNDNbMT4sbLL
C32rNjj6I+/aG3A0hEV5tCpi25zwkI/p9RTP2rpoifDxBu8xSs3XCFkxvvFSwnm7HZb1E15fB2IX
JX0x0W8vdvFAWkYGyohEcFNc1sTv8RUCYTYN86mZrGOc6GeNWjfwyvRsHbbunity17j4iWPCNILS
qnBN0HltwnK49uhHEse9nRPrKWfhCswFMxSrUCwxakM+lmuex1qubmevTwPSez90Qty5dmYd6DRz
JdfOy7OupkWwciMLBEYI34mS9kqN0x6fojKDpmlP4QTHMVbrjroiClc1Fnw2LKINXHu++Oun4f/O
CTo6U4vT6o8PzOukfWnkGP3zifnbn/p0XCKjhaAC3VNjJv5pjG7/oiO0NVUdSyrZc1Jn+48xOvIK
0J5oJtHh4vH9fGjSrtvyb8OTi7TR/CtnJi3jv5yZAEkcpL4M5U2LN/PjFJ2RHCLY1FEJ0LaetGRw
zvEisOjF04LLLar34WJe5vKxO3s2D4YRbdAchRfYAtAw1ZqxLkB/aB4WQWI08k2LVH3tZr2zLTru
hVaeuK1o6k0qPIspVPnQy0m96At95S5WEpQ1zxCyzpKHKAKrYVdeT8FHQYfb4AOhwvsiKz1Z8oUl
d7tusqPXG/e1HZoaVZp1U8vq0JB1Yk/BCLqCvhH6HTH093iDcH/KqtKh0iSDBguObUcqRDOqz1nW
oZa0I4yyNlVklRrLenWkcEX8bvuzisPIoag1ZHWLrb4BOuEQvmiewaIeVrOshdPvVfEYHkvK5JFy
GQ7kY2+Z0r3svpquhW2PAjuKTshLN7MT3iy6czePbbM2v9fk0L0R4VKnA0MdNqGs3SFXPldZzuOd
sn4Q8bdJ1vl52O6675V/q163beqsdHjGSl/7djKecNDIPKR9gQV3O1jds0VXYdJdqHQZKDimM91o
7V2ImSvIanaOg+J8JLI98XBB4DGmY6FzqWQLU6fOt2acr/ukZxeMFplGf/ywLFKEB9kCTSPPGXiR
eaDUNEh5ZdAq5QBeMnCF8NGcLsBldQd8LfFBx4o18OtrLEXAtFrvNZSNmKAja+nMdDKAV7aWUUdh
z6Z1q2UPFyl0cwptHXwPxtz1qRjrJ4e2r63bLcyejrx6s17PtCzsv+FC0CzaNI3o4VyOp+iFXqhG
CMfks5U9pim7zVz2nYrsQBc390DkVPHGlO0pbWpbm81qIO2W9rGEfjnUEPdRzq0y2eEqtLoWQkUe
0gxqY6V6hK2hHDLZGRe0yInslRO3Omeudz4hRkENxeZe9tVoL5ZVtuArZUpxmcvum2wEHQm5pZy0
qNo0wrjS3PoApeGAlvZmTiaGZvT00DtWdUNQ4lLrl5rs9wmcarejnAEkchqgNu7OlfOBXE4KJjkz
AMBbI5hkjuC61LPo9yjgGDLEHVIZ1sHwk+QEAoqH6mdOFtgF5RtmGW+qxy122Ldczi0MOcFQemYZ
ahU/Ig0sg7kv+NvlxEOv27NGZ6DJs05u/nHHs/HicqEoFkgdXcYmi8E4w3AQrdsoGVhF9NU6tBJo
4DIPxMxkwltWoLspzVUqBzTcme9kw0p+OdIdojyYqjPL4fu5aeVwB2HVOyb+S4KLT5oc/7QKYixM
xyrTQvehk0OixsQ6LsdGdWI+l7a8kZXiheTcimK8f49b5mAKiw+IG4yfPHI+FSZSgwc2RDCjIjEF
K4wcW4UGpXvkqO53YtLKkOMtkfCmTW4nMHHLk0F0LGEt2WtTtRjE6FhT5mSL6RE2wOQsr8f7Uo7S
amZqySJQdFmbhllbV+jfUM5U9LsKYm4N+RihJ7az50Zhls7ScKuovF9XxN2xGAaMcrG2n2pIlhUs
4I1lJyiUnIyLKemfChpyDLPd4iOcfnTmTtnA6+kO/YSX2pvGl5m0T1ny68fZnG70rs62/YzChgnm
vJpAA/uoKtIdYuL0FrKLuPESb34aRyUIW51WxVVZT411oHuGtkF+XWwT5vNrnGNpUKXqfEMxxRPL
AIKp2tatFkKMGrKUsWvt3Dn18MGMFhwMpOKoHW4zU8aCTcY3rWuZFZj5S8xmRxmMG4cAWgR74evc
Oc/WlH84zDmGPDkzY1dZWaAIIBYV32c+/bYbXM9f1Ko8CdRy26wW5kkp6+ZK1B0jlEQdIDkvyWW9
JPaFBe4PYxu2ckPFltuFtXLP99efl1kS+SJyEyY5mccot3tz1aH34ypDzR453zwHJlWqG8Nekz7i
qbBbVrjcNqo0P+HFrMmCXUoicpV7Q6jeedE0zEJU8LeApfYaa8vViOjbB5xzM7thu9ZdbYJK3YKY
iAH8AycbTxkoHzYMgDi7lrsZoit4mZAhzYisHA3VWAWhqHCyNyxg4e8UsN/BPrvN3tNRoamAJn3m
kPO21/QE1aKMDuzVBzIe2AyHjPyJaIAF3RxFZ10CHr8QTe4vDcB+XFb7cKQEVxhJJep4Gzps5kB9
nPGMYsyms6IUBbQkt3wea6NCFw6MdpofFTM6mmO16wRh62NWH8mAC1D9RHBwqjPFS5hL9qXmA9Yq
6RTt1I9QyG9Dt3oarOmNRxj+Pf1bOmrXU2OKNe9GrKeF6z/TRbov0/yKKBRtS8xj46d5/YAsL1+P
GstZO3uKPebeUUcQUgIcn6fIhh6BWxABdUnGn4sH0VLNY2ViRg11Pm7CuNfzeUJt56Q/soTDjmFl
ayG91+VUnreDe+fq+TFCV85Fv9HK5SYkHUOoY2BVLYu2aTt69fUARJmnFq9lxckhowwyxXLk5EvX
JaEcjgsSKW629L6XKHHPejXajZ27YZx7aJtma5f2oR05FDpQ2SytaRhU+sBZsD4zhvJupkNs6RTb
7y1jaF8Rhuz4tmwnc/pKHH7c8+TN8InZhrkICGKVr122o6M7+hr9aVaS7dXLlrXr61czp7N26Wa9
uvUN2d4OI2ATk6ZXj9DxYPd+I06Lpswl4C+RPbIpu2Vb9s2t7KBH2Uv/9V7hf9rk7FchC3XxH/cB
54xX//P//TA3+8ef+r0PgP5vSGeco2FT+lHc7f2iYrbDkG2B60Ho+c/hmf6L7RombS/pqOSo6Ciu
f1PTYKlD7u3IXABTt03+Q/tLjcCXNsCxAA+hEndQdVvYqb6Y6lKCbXLOdN3vyKfKxbQqtX3o3n76
Uv4bTx2f48t8js+i0rvQ8bgSBvtjr1FGSR4RhcasYW4ZKz12GvqwZf3nL6JJFfoPU0DYGqZLDKCr
4/XCd/bjq8yYfBQSpaGkBaDJNuPWOA5HGu21ttbOqpvI71d//oryu/nnC7qmQT8m0Uh8JouT0JQf
+5MQKU5j7GD4eVgqfgAP3iZNdUy6iidIe/L6pz9/MVP92cvJKeinl0vNPE08bep8BXYvdXsXcR6J
zJ4LQO/ouk1DVVB9k+Pu0JgGxrwUN8h+OKl4Pl0vI1gzYcweWiFQNv0wZ9dR26SXXuRYPOxJqxu8
iKBbZF/7nufHwwRG2q/rfNspgGPhwZF5l2djduUZ4CNiWXoTfZKJcfTW7ezG51FPePQqGTMWSn0a
qcdpivNvaRuH74g/xKYd2b/Dq3eW647++BrmsP2IlnSYt0rXiEs4Ky46nbpYgNca/N1NV+oX2lQb
GiW1TGIHTtMdW5ndnltWfFlaBdlSHvrPjZ1lLX6nKjngCHO/kUsGB8/FeO1H6pDcDKFLGqytVQr+
lxaJDQL08KoYOwJnm757Sh1c6yu9yOwDFGWGg2Y7KonvdmLGgaTkwy3sq2Vj9Gr7pDh6dcVurQJy
Gyss8+wuHkofKBtjOQTmw4FNZHurjUNGycSZdZfYUXWhCvIL6r5xdnaPoAWUSrx4e0WflLvW0RY/
MhXrRpuM8GUU2pytI+yVB7swjXMXh/2z2VgmQBRlug01MgxWpXA6bSXti6+kVceXkwVVECxXr97x
SI/7VapE3VMz6B57Gh0JWE4441k1sS1hZDtmN3ECtQOXo7LNLGz2UK6i/K5GYHMbY7h/y8t6+UjR
S23n2lgOcarE55rb9TcFH5Ht1tA/enHL54gWEVPXhoAbyMfJwIhrMWaDFfrC+klXUR6QUAgbz6IB
O8GloM23K4ufNC49gtbRrgxXfVM0b2aXa48QaaxLq04Z8HZxlZKhDugfeF9mWbcMM4S+EgbrKYB0
fb4LlX5h2JxPDfIs27kQVV2c4nqcbibcjldpbOjXtTCaNXWnxZC6c5kFGyq0HiYFKZs0aIhof0nT
Uq5Uznzof15nIWsZ++xotmV1Jj2ml6QWvPeeGN77IQrZ9TUTVxXmYRRDjg5t0VQqBACohqOg6DVe
DlWaJJyRW1a3abGNgUz6yA6ze91wG4LZU6LPLVKc2ta1yzVbRiaatD8HJEBQNsvZ+mjDKb5for7x
EQ11VC1aqcN5AWXJl1Ce48aiR5t01Eiu0+b7SoknvzOZ2OA9mMmws5xTkQDt6ie+EW20+iuXe+/F
KIaSHd5oPLCcwRUGHDu8nkWZnqkI3brVbGbY/EpTfWeY2hMb5YgT4V1rEoFLHz+tOIZGzradItcn
9VlOlRn3H0IucPpn25lfw2JoLyI71i+Bz+Bt0fBeWFPSMKfWFWXLspgci7lu9k7OvVdHbnHP/sDZ
RgQ+EXDhRG+tKIsDHCztfRRsXrjE4+aQi967yDVtvolhpZ0xmCaokf2xoHWHZlYj+Vjn8XIXjjQ4
livGG4Uvky0+PUmq6u0TiIH5ok9UYkZo68BbRvF+jlFLsXXNoWK1wjMPscfvSyFktoJfsk0J4PCq
bZs41c00qnguY4EKaCRhgGSxqDgBYKeOjdGar9R5ImTVUzKCKmOvW3lKjISRxBGOIS2x9hbvdpuz
4thVeeKRAA7k7cVqZ/qvxmnvCmVKdwwLu0OVWNaOgndgpuuG+64tvS1sBtyGqs3yaUq5JDBn7JtR
unIhkPvCJrLUHSDxsf7lCYSzcg1f6tHUuFtCUbZ7ZNbVVhcAU9nfN89hJKJp3ddz7HsFwE9bFWpN
NDpJfErWoYbrPYKoJHCD7dRQnhdRofhsipLbLLHsK32Uz3K3TZBxGGJbT3GyG/RueuidecZkypiJ
0Vh2QTJMdecZoFW5MF1YESS6Mvrvt0avhBgdwuTGak37I8ZE/Q08qME3H7lXkE+ULdpkFe5IpUl5
iXtqhMdIoZWkUCXSYmIHmb9hKxuRGqIPIjq28Keyyc7GqCIQM5XAolnyqhxR0FexMGfx7HlQnc2k
Hi9hxaLZ4iz0VgkCunsHMezFQi95OapueWPpNYNQnN4+Kw4lXqvmwL6/j1wiFG0vXKZTHSfqZV1W
2etiyaJpTufwPCT5fQSQXOIMG2JHIfcyKS4yjKdrjsgYob051ZiNleIbT1SEC2h8IrQfZilbuRKS
/EiO+W5SWKaulzm2NzPD5QTFfI9ZJKvsDzzhtAWCJRquBPgrz7SpyYsgNo4uugOScwT5HG3KUi0D
i16m86kkU18sA/IpXTvy4dUHV20WvDtxJMV1WXURL/waFU6syz8vWH5cylKdsu5jiA1LwgQFrltf
qiMH/41tdmgPFqtD/nwvGlR+ZmCW6U8Kv6910a8vBHFAMzHX2V+3v2HBurNbeCHnGF3BZ752TN/5
dfP/Ov2f6L36aQUrP4xcYnusvynJVc1kLP+59lIVK2HQXGh+k4VoOJg6XTA7wX2ThvFPXurHMvbX
lzIg9mjc7prjydL/80uVrZoMC4Idv5rBDVFdMq7+NU/8Dz/Nz17iy0/TixZhm+Al6nYB6W9Q4DKs
/1l5/GPVL8tjh68KLwBtjEM8+petfJlCDkTxpEJ3uhZAOqvGd+E0/PlV9vXH//oiX76ttsRUDyVR
ZubI9KmFMb0fNs1whacUfmbMeHiuf33Nv2RY/t+5+DKkwffTD+C/dC9/ey+7pJvPX4r3f//7/Uue
v//t7T3/2/ql/9HW/Nuf/b3txRCCSPZ31zLXxm9iEVf7xdZsOjV6TtfQUZJ8Wn6pBs821kU0VcQ/
qPxfv3W9OKQ92dTBtOXfTNf5Sx4SaWH51LlZGJplLy7xZjTXrMC+NKQ28c0zggbDHx45tXfLTgnM
Vf5irDlf/J89n368D359MWLkVYsOUb7cl0uU+iRGQ5oZfleXy0ZLYtK09DkNTDWe3j/9GP/NY8p0
//WTmdxzNqBtk36P0cKPTw/iSttEH6fF7ziCOd5DxW8UR0G/PwGObsIhIKRD2yLVd4MmIujVJiLv
G0k44UXipuqxXPo6cBh5BbrJTLGj6iCDNUSsOsMnyOf5ht80gcZOBF/vzqnkb+rrYRr780HQXHpt
Wq5nl03OAoQTbDcFZwUdHga5o+1sYgB2NWPcbJg/GrUA4CDweCNJyJSDO/cEo4ulZ0s1D7C1bHcz
tmpP+aPNmzGJ0/MR25qvOpQ6ThcS697q5lFYhXJ0FVXdRnbuHB02cBc1AB9yyebhrGwd91SUkXVn
IXu8UIQ7YhZxB0Deak22CTsw2CkrEVkk/jbxxEaiyZZ3r59QsOYwGQ+97VWvnRMvb3YyJXcsSaHB
T0PP2Lt1naMEnWNa6GFiYAn4aFoGmutch2Vfk4xirBbN6UFSolBKKNjthU3GbO7xGHmHVM+MoEvH
6r1xl+ljmKJuWTFdjwkfNSeJybcjjPCYmK/LoY21lVrXkACbwbqmTzTulGkprmddjLfVkBDkKpY2
GBty64NCz9NHNcznqwJO8Wa0O7zsXpyzMJgnCORF1ffjuptr5Ui4/TLsGJX217qqoXnOkyi8IUpL
3DY0zXvPUrrNaDXlsckm1mg2i6znmTe8ykmSuOZYzi67BYuQ5ZgEtuVh9kYotLITYVzhMu+6hB88
1K8E6NtdmenLFAywgxw/r83WZXUrtTBalDVnSulhHiCqDYBm7bgIQnqX5ZjWvBSRUj4suXRo5nJU
nAlnPDaxPb1lqUagngbGVE1ZXDS2wHcryPRhi6vjQUghcBChETQ6JAxzKAc8J7m36csemIjQ7r1W
+DVroaCF33NtcS4KUCFF+Iz5tv0G7lp5iHSG9NXU6h8We/tuTf4I0pocuOFZXebcD+HQ7HKMJ89e
USlkBHh9YZy38FwJY8y8sFsTx4ZdE36awUx3Dr1AVaVHd57Ubqv2o4JwaJJ2+rhdZvabtlltkZOL
b6UWRg9O34aWH5Z9tCfeQDN9Isvr5zpmiEMueVUY6ySWRiIieagtMeCuqP64JPuii+4AC6dkf4/c
cuvSIdJR6QrzDOqn89RnhA8HZhqmaGqSyLtMB0sc+4GMLYWZzBXnuXIeh5pb+q6xQBIQGI1RPeOj
2DSL1jmbfmmVq6kg1HIV0ll9pFObvLmK096U+OPvIsE/EU5lk8WpmOAgy6QxL2f4vtBLiPlm190O
lzFEwIsqqdiOqos+3jHyQU5bmlqe8PHG9iqbCdqUKMkUCCwV7qBNynrIsnhrAhK/TpZeHCZUAgcD
ZP19xrWFFSgZqncmK0j8lCVC/aqPBC6xns+JTpkVP+wsNpiwEsWVl4/tK4MHYHdsz47jqPdPte2i
1iJ2PfUJh0N3Rs4SfoukzNnAqPY27/dG79UfDGNGzBSNcwEKMkccb3rTEwhnJYBsTfhV2FTbVF0g
PsZtiIIMe51JaDTrFR0PSbLUAUlf8aFXM20dTVoVZA1emrAJaYcNrpuQAByecQjUcaihpbO8cqcP
/XBCAoH/rc7cQA9jAs+yLL82e0xKXtrmB8tNxWlZ5m/NwPJJ2C6k1wGjn2koNKuxwjqTMc8qKYVL
+nBKInwxZJsyK1gS2Pju+2qJfSNUsEZxiALnqUmBz3nS2mq6nGmaYwZlthBGYJDmiAcsw+XRdc9F
GcNdLYdhs4yVdXTMbjjrnIH7bFDNg9OZWJKn0DowF0muSY5a9sKbtX2aOnjAyxwP9TCBvNLjhdRE
j+nYYY4LrPIRRvY+n9wtBF+clr2nXg0cgEFZ6H0wC3hULdHXOYrIRDk1VTffypbEH6FInS9KbZyp
oOUPBujf7STGkEyqWt0bMXOZCG/JKs0TNKAqWI6xpK1a8Pj7BVDPYFG94Wjkg3KtMY25xsCUMejg
cYM7Ut9NZTScYLpwdoR42cHoxAAUOl0NjNAeQfXULlDVDvZhbvY8dStCNywH73sGgADnyB17yPm+
EWEXeLGBmG5yMY4OZdPcQrJ0Vy6pmvXKyed2leGVPlcHjew9zC7aOo8S/KKtwZbaGbbuUqV4mqDj
7QoyAY4lYW9YKYfFAFpg1SzpiUFBvTGa7p091DDOFLF0Zw3ox/2kzxEeC5VJmExxNNf9NGSXPHyt
g2Y1mR/HXdQdcAoZe4dTombnWU5n+MChfxs14g4Vo5tbqepucKx2C5NzgdrNTAPrFDxXL09e9blX
Av435TgVYXm1EAaKOiRxdh7itQMPw1eFWLV7uxP8MmVlQOyqIvwRU9b7rQu5fc4AxuZkPHL/Um44
mhmttdlWA45hUAtZZsBxSD3lIq1sZI0RQEt9QWcfozfdzGExbzDCAq7mZoR7tqCJ1dv5qRqJJ5k1
ZwxMvTRfsUTE7zOzj8tlVNv3aEq1B2VsptOUmMUxDAUP29jV4pd2wkaxRoJDRLxulnO0nid+foIr
a8RNVBTDFs9kej+Pfb8V2mBcDWM4MVkGIQ75wG6Nq8JbvKfKSNgXGEOyU+ae9103ln0oQ8AIwuy9
n3AF9a9NEotPl7Au1UQaTZTE96Lx0+YgFA1sAdD/0PjKYdXcZkF7t492ZpAEynrZelesbjFt7FUf
NaLf7nbJ5mcNtBSCfyq5WS7J90Bzbqlsu2Dvfim5Y+AGKTNlnsBEIEP+2BbEXXk2/9HvUTUV9bzK
uldP0YJIeOvMA8+dMBRvQbkk6VXhhmwg7oR51Zq5XzH46cKTAUmj1jH+WXdVpq3+vJSWSvc/fcNf
2td2hPfrRrxh8n+VYLpp76yL4twMIIAfrXkdrJQX5ojnlrQC+VhWf92Y/mGPrv3sC/vSNqA9AFQu
vzDsDaBd1bUalJv4As3xqrzPX5rzbtvv/vwzf1mh/euPJN/TpwvFbeAcs0HPg/BM23DBUpNsmBL7
6XVzXm1w3f3sS5Zzk88rtO9XhaPTD6qAqgDOfXnBtBbZknFlstW66Pxotxk2cwBEZnOR7dp1FIDZ
XC2Hep/v1uYGn7e6S38yQfg6pzIcNpO6w2VJ8wmFRN48nz5zGdkD4pfc8CvnaAMiFgIZS/xWt/P+
z79d/esrfb0Nv3xYje+2MbEf8WGzl0fh21s9aLfY4s7HFzYKAU/sExPNNSOze7QCWLZ8YPG/Tsv+
//Di73Lzbqncpn+yryccV44v/nbzUnYv5dt781nA+4+/4PcZBlE7pmMBMeXJ+dt+/nfLCzxcg7kB
zAtmdVLe+48phveLDjjAUOmWMMBQbnLj/jbFQArgGKrlMWQBYaE73PP/8W8/PBHaL//9b2VfXFZJ
2bX//ndDjko+3T1QOzwWz/BVMdJ8H2N80fCW6oAkyhaz77FTVdDW1jURYZZM26TnYG9QG/PlNDT2
bWG4w1laNSFy3K56RsBZkIIslhOehOhct9FEgQ3UH5yUI39FvLR3ms1FrF1yctmOmHrzze1n2Ew4
ULKC+jTL1DuMlcgFVWMwrM2sLtaTunTFyS5HcXSJLeTUywuN9Q8jEVZLGCzudahcgmNY4QEKgX18
oBymx+vq4W5wwDkx9k4TA4d2D8zAGRxhgEMb+GdrcTG1N6jrEeiPeXbHMwXgmFbY2nYyR+8lNUJi
fMzYCLJ2tq9MDIH3xVShbEOM7+sw23AJC/0RzUXuexPinFnRwhqLPXFtDUbsDclv4R6eKBI6bZgk
IV2zJ7/sNCpPQGSPamfqZIbVNBVdqjhrAKtmACTVQYcThQmLCYuKSC+NrVBT+xGUaMwcApNa2QlC
1xlNqE6l37daLPx8wLHdpeRrWDXB6G3aWJu41PW9Po62uy2QJUaYUStvWRnJEK8LOGcroZqgfazK
3CkGWBGv88A81Op439ItpN9ydr/Ndaqj6Lwn2WXYYMl0A6sc5sBy45b3G0L+0Nt2rSb5tA+1hs0+
ay9/coG09pU+HRYWEsdImxB3W6mwHsJ8IJyXdBdxVEJ4DUgOVM3PXU29dd2sxreUz+e2FTJSGWCG
+u4yoJuuVcIqbS21fFPJIozivec3UVxgPUqd81GrWqARDv7+wXKu+Q2Gnbp49qMihPKUxUgpEUh1
xOxhgCB7snDS7ZBZ9bXXdkBbmiVMu7UFg4EGkojPS010rh9lubG17FpbVoQTObu2Lsb7GsEeO7HQ
CC9w8EznjL3Ffd1ZopWBns5+1MbqjhEQe/VGq92bTG3KbeQSE9DPGcvQoY67eztyuicqOGWjGRoe
w4n3+1i12rgzvCiyV//F3pkkR26lW3ovNUcYgIt2UBN4T6eT7uzJCYxNBPruor+7qTXUEt7G6kNI
eopUWmZa1uyZ5UiShRhOdwdw/+ac7zReA0BGOQ4SM/qrba68xYSqnEvqj/ZjmCd46aeooVxNcMf2
RjheNZ5tEKJixPumCpv7MYysD9m3NlU4jeKjCx326EQY4VfkBokXKDY4gTDkOPvOr/vr2LPI9onD
lFzT0nyapFMQqgyDC0xUlZ0csg63gpAu2l5bf05qrzi6iR1/ZuR0fUcmoT2X6QwHtPXbg27m7r0b
y+zN6P3oI2Qud9dRql5p9qSzfghN4GLhBJS+tMpsO1QjKyvPhlzH/auFXzW70W6n8ZDCL0VDuS5F
C6w+L/SrfI4JqhwXFIqTTezt+RX55KU745gLJ4TwcXara+gdmhnu4wovEgYzo/V5WTFnT2PsiB+p
ZZFArjHOuu7KLH21CiiENZqmKGhaR7x6oiqOKibZJq5pWYHsOwbjLRaYb4rhxbhq5WBd99LRXggB
rDMYM2xcArftkARzIX/aJRER69gWQLvyqaHxsvuFLTcZGOsJ8s6TgJxG561kHXgzMjb8zJM6PRqh
hX/KbI36CmAXi1KCGvOP0Gjbgw1K5pNE5fJFV451PY2pcZ/S0xAQK2IEiT6YYho5kBbryey0oE0T
a8QvZVcRNOWBXjASEySGNOn2YK8HshdF5O8HWmSsCM1QeStnqJpnzQcTrRWC4Owywd/c++FFlX62
MwUzTe5CX9tXYxbeChb6OyvH/GZkdf+aqKI41Zqsr/2q0nZaHJM2g3z6SyeS6qD8qmQwiTncqRNx
Yb05Hyymg4taWQsSy9a+CyZQaYBgKD/XZH2dMpH2ECrDgloYckmhqfYMuXba0YI1pzQpyn2a4dpL
clwKATk4Ju1eMjKTy1ljl1TxwdzlBDCMMxAcUhAxLf885P9T8yw1DwJAyvR/XPOc3qOv9/x7+f6X
Uue3n/uj1BHfbAvNh+MD8TKgqiOe+6PUsb7B7+cPPZSKTDh/Rf8b3wTbVyy3eIh03/iTQOt9g8/P
38Pe1PrtT/5S2PyzQufnyvPPLoE6Z0ma/skb485e6qe/LdF7xZikB8298TG3dlgiK3EoTWwbGXlI
yjpMtsOm/8oBLwJp77FOfVg59UPRxUfRwf0a9O2Q9gcnESvXv0lsxAAKtIixT5nX5LH4F60bH9nf
FGasPj2DxSSbD0HLa3p/XRcDT2krTiNvrTmJ824gUn4awjFbe6ng1sytxj5FM3RFHKn+pjFJOfVE
iDK8jLvwUDmeutiwFTYkdg488vxpMwkU81aa+4fYIw2JAKyEoD3PkCdXl85baIBrYxltxsnaIUf6
NWXdYgZM5KofVlm1bxDvxxfA5PixknhMb80pzp5ze6G9ENZe5/u47l9YyEUzMPfepQ8hmvloGmZJ
HlkC9rye4aIU46QBP3fCCiNqDDI2CAG1Fdfom7EpOt6Qxjv8Y/NrSXwxQ7AwxGGiIm24AN1tD6Xu
xD8cyYAz6IkxPkSd3dcB78zbMmsthk1dVAkq9AzdSevpW6sfu62dTS1YqqL1mS/VuFs1D7clx/hW
St06abqzYlx9kImFt2K8I4PoliRqeZsjvz8YvTHvjK4ID4QxouDGb6nuWRz4cVA7mv7SlBNutqko
ayg0Uwjll4I330RZQ54k5w1sFZrmaw9LzFarmvpYCYXEpQ+jGwlqbt8ObnJmXp+eETpMD2jwCF+W
FgGTUZOGGK3C6b7QLQaYeuI9wjQ3rxmOhCuD3djXIgYzgl6aM1MoveT0IiKFusNIIhxupa15T2Oj
5D6OlXM3pQthnLvk7CzU8ayczRspm2ovImg9nIIFSjyrVCAntA/IZGpvY9Y9Jr2NCTVqjArXitYB
10zlxAhsYNnVaPHbiGROX7fwjrExRXxHuV7gnk9cpd4nKy8m6DCRghDmdbAb9bCu9WDu+5yoXXwU
G0wz/q6vw/whaRCka7GYt+2czbwft7rL2fKectV5e5DqjPM1wL6D29msywDn1XDnntnD+gx87HHt
IIO6h3Ulz4UZ+gg4CfFJMf0BkkvHg9vDZqYYbTcT2UdPKPHDa3NOqp8qVChvY69fer2XJDtL/amb
vPY9gtp7leshuk7sDEDdyFVTJGO5RHkFqsbyGCwnEiZAJGvtjvQuYkKdoZNMHxPLHW59BQYfm3iL
0m3Fxrov98OoPGJEK7opYDYdjDJgPhTYhAwWPdDiZljCvlvG/k2MZxDDtv/qR6W6uGnoPWKyBEM0
p2E/Y34IFXS/jKVFUHZR8u6TB3eaCY/0bkksI6qeBI08gbTXjLcOsYP3OnYp7Ps1aURsTar0O54E
O1+7sZk3GCfxx60x4ddPpSfKC4gDLoOpQjLmaF16bSjT+HLrVptWIrUpcVt7QcjKhhxJSh48Isx/
KUCLMixXLHfUYyFSeB4ZewR4n7NzK2swfYYGfh/d6nzVkvT22s6hdZfPqt9NjuY/mQkXY+BLsh2J
0jJOfsbWFOQYvpRo1PSzNbe9S0yDjHazabZItgrG5zKtFW0LrnHi6zLcbWYypdyJlT7xISO2K9Zm
JMtu00DA4+2MNvNgzZ9hhTjuHaJW+sAYRe1+pMA8tMIQD8lYW69FCB/LNwUZYZEwCHtltF23Zv5i
xmVzR8eer8GWtoQJjc1V4TrdK9lT4kHOBVQgZ1lNN2wYrjE/lWdaJHBv5YCKK2lsn1xp2DS48rr+
NcZNT+pa3Y5vNP9RQcuswn8xwDX+ttFfzhOxKKhMRFOs1+2ff/7rjMrsGczV2Pa6NTuEdbuCsrt1
d+YaMMW/mlL9q9da5qK/vBbXUJJYEa81rvSVuSrX+HiyzdbagB7kFscF+9FvyXX01lwea3SOwb8S
TBjLaPXP854KwxImojGmxRBFGc393RgyH1qMC9lm2AKbBCadMYlEar6y35qBPniFweW3EvFvhiu/
DlP+Ign5/TVdA90V0cqwTP8ybq0UXykzi2xjB2gP9jGuzcA7dIG7i4+ML9x/92P++R5/eb2/vEfS
wyyaXcLZozxYD9E6vJgreAqreK2xldsE8TqDhbm2tliIoiD+bej5n4r4fxk6msOfpeg/LolX79g+
u//6P79WxH/+3B8lMcWtiSAJsoyDGBqP3J8lsfONMR76JcaNFhq9Xwz85jefOR1sWrA3XLk6d8/v
wz9NRxHl2MiXbAf8DRBd3/93xn+OuYz3/rxNHGFTXhqk1urILF2Davtv79TC9DLXqHSk+9hrepDb
88yaP+XOFAVZhKpIwttUjPXZred2wi/HAGND2siIyyccxpMao4JMFLY1flATvpJhwi91tc0H6B3I
E9oUczEn6CvpMfk+Iath2IKbl867CnuouI3bEC6EDdU5+ebwYacDi8TcBnq5cFFDkuVYbtlMOhSK
2AhpQRtoaePIQHVLym/sWhA2h8rCMgMHIL6OyB55aLXWh62C5hh6ou6fSevW7nG/LrmJSwjjEseo
kml6GmoRf82R1V9S0dYPftXFF5oC88Wucu8tMkh61HoLaoheM8LroPbAsZk84mpM7TzHiwgnmcXn
vARIFkuUpGbUpEqCpsLFTVO+l5FZP1eznt4NMsT0Xy+BlKAOCFZxSA8nWZu5lieSs/0zw5ITccmz
XKIt9RJnqRjt8NhMnX5t1TI66F2KBsKIEvNZNU18O449eigvKs7dUOdB4Vb9Tg1pdYclq7tlbNG+
cFka16k/a4FKTMJhlyzOwpTGE9UMMuzYIL+mKfkIl/DOyGzyI9Yo4wx0ifRRSzXaIWnHZqvKatk0
6+JNK5Y80F5lQGuHoYcgwr4Z7FBqAZ2PlyDRamzzO+Re4rFHEv8wFpO6K/C8bkfN0U7j1NWHubaK
uw4rxh0szvaeiwrzAzqca+FUwxEA5nAyxzbaCWmR7Zg2Yx1o9ei/eX40/SB4yDoUeB6J8hmGj0Wi
/iwl2PrK8qO7zmubTw/9vA6xp5CXKNeds6zx+0+GBxtAL/xnqAzQBE3N39VlMt/mXdF9YEFvHpMC
6DlJXcbW1mL70sXdsAIq2R+JpI5OOWUGqSC2IAuJkeqSVyRcvlhFk5Ag1sExL4oD+/vYDyw7zO9N
N4zP41yrExo0P2MarHWECakWRnIzReSwE7h8ZWpGtajcvMnCo6GTUoCvwxYrbFiYBLzQIWXHHbFX
dIAxkinTzmVRWztYOMXbXHv+tplnPBwZ+cUVDuudasYUO1BefGZ5W4MPdNNbvezsXVISP9ZZWnFj
jq56NypVIkIptL1LamrQaL7aA4UfnlN97F7KKM8upe8gjWjRdSM4U3e4QfOjmkbEetCJUAOR292h
QI9XmS31m7Kv5w2ptvPdNGDrrXnG3epgcO94oJmbAXPLrZ8wEawNlukM/PHzKJv3NSl50tzROGc8
KA9CU+J778nuyo5NIriqMN6TFsLwNAdFXGOfuU9rNFRMlRC/oGlbwyKY3kXnmrdOVQ0HhBjlcx55
fdBTfcFczMeeFwF+HJhhFB3SEpwQ0pd0uB/APm2aUTWHjqy5l6rrDRzUmbzSvQZtXVKaMG+i9NDX
GbOmJYgsz+P87PA2LmVvqA9Z9YR71lVhwTNpc5oW6WYeOS2FzZjXC/G2j5b8KPwqUjveovuuNQMF
PMPjag+NC7S9IvvJxaXygg2dK7Vq2BQnRiff/dbtyQZORozUVucuDWHuwDbBc073EVdTjGSxbUmk
zfoaTQKRfHe1Zo87JgDTQxoO2bUZmdUnT+Xqxuqb7kOV5Cczve+vHdtgBhgSFUa0nM6YMpombSDS
ugJbHsXyEQsfkv6wCNlkdmFtsklghOEEOa7yc6z3PclVhSR8i6gSyTQiW9xhlmegWxwYsAaxP+Ej
4QrztgyYCTpDjhUFpj5Yd65yjH4TVu14UDMaIKDI5pZOhjj20TBTMOYEz60x3/fNgac+6AirayG+
6FIbnu0ZXwa6zszCP2MLdIhGIzv9SKs3vY5+a3dBr4vMXoFerW7KGvEcPW0ynIEnZ7S3PFCeUnw8
D15Sl4thW7chOWYQKYasHekmYnLFCLtyyh048WZGW5EMzQoCSk0EA+riilgWhcedYUJ3h65OHOrC
1+5LPZrx3LMFxNhRtO/EK9TmPnGLlmcMRX2ghNt+ecPClYNOHE5QRWA0sgDwq5UWG/YZtgY9FV5R
NA2cyATiJNkoQC3oVYIPphdHAhr56dkjAeNgkOKKGIV3dePijHmi6x9AcJYqGlbK5Cm6I4y677eR
i1XE7CrryaVRiyBtIvAL4Lwy0+pDqCqruDSSBcVREurnlAIguV22drGxRhaU8BBd7Z6tD/d842rG
h5xN+jMDOO3Oc0c3CWrlR9CqdOlCox+jA5/9AsicSaNVqgx3rRuSM0+ABVMcfvEfTCK0o+VQZ9DF
JchOPRZ6oDITokaMSrzUmm6s+oRpl2ynAguNosck8DVGp9M43a5sYeJ7GaDeEH3MM2GE1gMumoh4
ukFcT4201mXdi3vNrjggZk8BQgj5Mrn+sdCg9QrCXK/3BsJVDm8gMZmuMU/Tk2a6yrKw/mI7N1EB
6ah/Sayx9j6Q4bWbKvkWRaJcIF+HOgWbxs7dy6pD0ZXjPcFS5ncSsDAxgh9xr5u0tF8r5Q5npM3l
HXh/tHuqTvRAR+mE7EefUckSzuO4JMn1Fok53YJfMDWrvweNqnIUykJ/gQjX7PrK8Z8QFs57enXz
KRWO/EqdIjPXogQZwcc8ROcOXtcH3reRn5m9I88f55aI5eiWVRkwDjfKdqKzF0hJVIxbGIdw7Qnh
tScslIZ98hhKnZPYDtdTaqF+NI14QCZp2VvLLfurbNQ1ghuxga+AdzpEzEyTs1Gdyi9x5okboYGI
Q3xp4dTLcwSPV7iZRjsgwoZHbdyN3ie86AItqz1DovGx3/lWWzy15KIs71oipW3hGcqtnzYaKxxX
0TrVfdREG9Ys848GnmrCrKXMt7D+PGCM/CoIy/QblXn6E/kM9VUxt809e4r2BjvJcN11lg9c2gPz
jwUruQKSO20rQm5KLIoluGYOb5dRgMRn2lveRDBrW8CddhM6RYk4MC+Gac+0tdhOQEw3k15jrIrS
7LPDlnozDG4Kzc3u0xesusPW9RP17FJjHNvebMrVpDVZup4auHGBQeT4JSsK0pezauw/QXNPx6k1
tBfgkPmlLCXcZUJSxr3GKOLGLasY+1vj3NRpUz2XnWMyQtNyRJaN9majgXovrSRLt02MujvIjLD7
5EicaKtdKay7Vg3A4DXlMqI0oJUL6G1JTOFozuoW9g+DPGzT7bXV6OqrZRp5iLtKPMYaxkQBUcdY
JZEjLvHoJe3GnpV3n6NHfCCRbWFAMDt+LCND9Wuckez8tYSZb7DE5Jy8opTfOWN1e5UDDGOdBxaA
EgaRrYJdwfAlMIhhsfD7GsOy4RsMZORZfGulDtgsmHv2Ia2G9sL7SC9GZDD6peZycABaEHv6tDCJ
5vaTUcJihgu/khpHu9lY+cXDn3yUeWmDXrY09dwTMw/VuDclyM24wRdrmeTypCPl2f+HGuZ/HpeC
YtensfwnDe5//V/5VX38ZeXz+4/90d8CaGXRzHYGucpfVj7ON/JacO8tTTEqF4PO8ndAnf/NstgS
+Zj62HH4hAv+d4PrfhM2ihe6YUe3LH/5qX9j6cPf80tzy87HXbSK/INMade0fja/v4yhRhfNNSSA
bIN8uTwk++RKuUH8g5i1Xz6Y82/t8q+Dn59v5u9fidte0OzbjrEoiH4deBF5bfLgr8O1TeLHHUes
TMl4hkIUuFJNDyVqdlBqcByJBiDkCYXMKWYObECVd/wDAh31qHeYMMpJ9Scib40Ta434nvJgJrhh
9HWSAB3tgGTaRYeaE3GF00FDtUjgaBbGiJrt0IF/EzfOHjXyuLI0pNOxId1PqGLaiyjj5LNvaRvC
PmQ3EgF4hxnlGwKkflpECKMz80OkFYdKNGP/trTaep6TqPmuK5eoU0iTzXWiGyMPwqltWdc0WYN8
H6pnbkvx3fKift7WLo9kdMChNh8qqY9sAaRZJYd2RqBHHoWN/7nFyXPx0QxpKyOxQgovfUAzgYcV
xbPb7lMrjB/j2RRvfuzPZHUNIGlncOxs27oo3aJCxUIylPqqD4XYmf08fqFAIMs7qlq6DG1at6NW
Xnm13541xA9YI2ZXOivLxyS/id15ivc6C7OVrJ1MQyzcgOhqCwrvtfBGImAYAkNkYzK7dKE8mJhH
DPbFt2scEZnmnCGEOGfV1tlraihxpUdOuJ0oqB5IQAMTr+sM36HSRVG40oy2QFZO4XPEnDZe8Ahh
1PfBme3R6mRX6AJ8DwpiR43vt0PBw37s39y2n+7SBqR4ACqObQHzkGZd9jRV1C5Q/0vZTTcgl9wH
LFniIRLS2Lqa0zQ8Ed36BByCtVPq+sW9UrV/rB1hnbVxzG5j2ggjcDmdYS9mg2Ib0TTXQodmRzJL
m972fWc8EOLTQK5yIfbpBB4cyjFFLWtPmSrIpUvEMWyT6smpNB9VfZseSCiKrtvI4jpJwjDa6vz7
OvWGZSxQ9V3DoseAJJsM401sFwctDSGNqBZ5qNDmyzR55hsh1dMetWxnbnWbFV0WuuLNLDnv7XbR
8tIjMM9P/OzewiHPm8MQxhZ0NIgJm1mesnbJ/fQEFgEkWWgVDhWVQO5V+S1fUeLmaXOM2qmXK53y
39wqr3bqgIcUuK0sRRh/VcZFz1qLAc28ccshV9umKbNn1QFWDyp6CBYMGjragmC+59hKzWvNa9Rn
ExuRTtgQMLOVmHxEKLSD+UaFvo8sv7HTfmuGZnET1k7ygOMqMbdGXZvnaW7aJ6IiZ7j+ksjTFQs0
pEY10opnvU3B7pPCGNZc35p8MuepehyVHD5ahHzvmkdvDpZhZs8iYvARDWuyazeLR1LRkhIQk9/p
fXkFN6RH/e5O6VYkugOU8t/XRPwPPPnQH/xTtcPf2VI5xX77mT+OPYyplouKwFjSytBvsv/4Q+ng
Em/GQeCwtEdk8HPi+/uxJ5gFM9BdvN+LtpOJ8H8fe/o31Owg0fVlVkyLZ3Ak/hvnHsfpX04+zKkL
LWnROZBuZrjLyfjLyYeqEvNPZJBnS236kjRu/51StDjYhpzvdLNOzmYjygNi5vKx8TTrzWW6i9Mf
hmBVxO0m6Xr7OopHiB3UtRu3nmw2d44jf4BzDW/mMrEwRpj5s6RRuKltQCoRBEbOFbquaum/pi53
tzFQm6NcurNMztYD1Vr/zBNNbirfTR+bBiUaXrzhdTYsmQbt0vBp7LEeyByv1owoxMvIhG49Irdg
tCL68cHwrBHbIBTIo0P5+Aosmkcu43dwcoKCfwTiQvBjzTABEWl0MErhXmjGpwg5h4IVbVqIrNxw
6C9THTE0VYrRXpD7gj0R0iTkCAYGlYCmQ2w9R6FJ6Och7hZPoQ4dnHhZRO017AdbQ1PhzSUBEzi1
0rdUE5zVrYlub50VAxLRTsvmN25K/tIG2uANrkvzu1ZW+r0vTPMUor3Y5nXbnSabzWYOqhBCeuO9
zvoYX3dy8umzLIchS5uoidVhCG51zGoUKqLzsIK64L/vGt+LPoauhgmEYFc/s6yuW6ZGjveCW49M
UAu0IBkYhsV0IWpZiJFKWjZbMHC+uxv6wanWltWLfhVRB7QrL3Isa5sw9Oap51cQEYq0fmHypPPA
t+KvLpnLfejb/aHXCrmStDUtUTHN/DnisCp3cpQAV4iwEPuUxyuIToBdBzwdGMeMsZe4EGY7vMxt
WHXwJ+3wdqaX0CBg25PYSJI5kJ6SwGStfAwn7xWMqfvCsr2XfE7UHpGK/4LHtX6XfkoKXTQn4Zb6
wT+VkZexWBXGTRVl47GTXrP1R2sRFOTODeFeNm9tSq+x+lt0MdlIblsINdV3Kr7/8KeDFwMObl7t
p7M3ahaXr7MYfsvF+lstJmBKjOE0YjTejZ7ZngvM00fd7PRdtRiIQaxgcFtMxboXUqIsRuNhsRxX
vUgB1Ytky0rCCiji6k26+JNbrgvcXUqtGgIxr5rFx+wiV0UiXWsvnlwowp4HzZcEMZut6qqYWIOg
THCCuMAnysDVP5S21Z1MD29SaJFNIxZbNbVwsisUzMiuhNsa8zQKTJcEAGEU5aZaDNr4H50rIT3/
jCst+RAeg2e5WLrTxdxNjjLuY6oL4qslHbApp1Obu5B2J5LcrKzH8jd4TcOCu0pAoGJFKhdTkpgj
7UanJPrpQmbIU+RxcW2mVRoGbRb2O5I7oTW2NdKlVd7NlLNtYXsgvcIq11YIFM23ma18wbgJ9GjE
DPw6XqxU+oipamaWefYiK/puL5arxDDGTb3YsMh8mV4FaQqrcjFpYQJk4bEYt9D4FtvebJ39sNi6
5nwC+o4NeD8WMl5B7dR24U8T2DTo+sZbnGGZ4FMsm3m6uGQfrHp9BMkyzalYzQNBChJR7ZNp98Qa
LR40fXGjgXwpTqjHybFFD7nJFtdaZOJfc3FxPnDtz+txcbe5i88tHMlBtBfvW1I2/mZc/HDeT2tc
ljRMzNl02GskNRB/UATpX3ZqUDSYeWl8zRTQCe7D4S0lwvZAPxye3AK3N9+cp206mvCD2WjEIFmS
wVhQDX29thnowpa3SO5yNMbFJSqkHB1OY22JpkVxqY/JqR+5QtxK6IdS872bGfnSthk9nWo/yq/7
GcH5qLnW7WBk0cp0ZjJtrNh+HTsDOaopM6y33Owz6zqtPhQRKOZ8tCz27UnR0PU3jtghdCqo5IuO
/83Adw6dawF1iQXZVUD8+ZI69N/Z52EPGMqG7gWNCtKXtUC/Jsz1/cqKXaD0OlAwPV74YCzaYIW5
pau5V9q8MMRsmwIu6ExTewrTpmBAkxh3kfFq2mNy61hKHHobnkecOepHsjDKGrPWH/qFW8bAGYTZ
PObAN0NUaDZYpxfuOrNbp3HlnDSxINDENON7Xbhovez4786J9Uf0JNils4WhRgE5vLtpEqJScfEd
ggOz1S1Kvm7rC1k983LZrYzL4h50AbEe5mgg/EU0bLtV+F5NZvFQSNK05aTLTbiQ3cx0nugRfwLf
kla5e7VQ4JxBVrfJQoaLcyT0tDHw4rSaRA+OaiByc0Ei3ToiN4xQIXa5pAkNmXndKHP6su1CbaNh
Hh7cboHT+WGE/pu4ouJHKGFkixkQO04JoHZhU3Q7bwHdVbQDktFZrG37nyS8SqXJvWukkLcdzWCn
kbfJqS6gvAVloauLTuqVs5odVkidoSkCikAF7hzNjOhAOBreZZRVPHdANbeZINkpDOWpMvVpM7vN
BCy9InGqpVt9rMpBp0wJmwjLXs8dDDCxJqMiAVNQzl38Oip/2A2qKkhAQtTerWb8myUO0FR7QEJZ
nychmxP854kY1mG8TEC3dkUaltdtnqinvnH6rc0Q8z/pBlBcDl//+3eFxIJJ+scDJMI6yaftKjAv
ddK953+vlFh+/o+SWnwjsAB2KNFAS/m7KIT/KKmtb0stK4gGIhOYYpux1e8lNbHAWKcAlQgPGznV
OHX971IJQXSQx0iK/wHa5GKw+rcq6p/e0j+FEguBxcfiZzrkEdEOmPYiefqloh4jF1H6lIF6kfip
NfCRAwK/rWO30drOZmJwivbLqR0istgaMEc1TmzwB1LRhBcMGJi9wYJh1ajzzEIy6Lv5lU72iEX6
zffH49CJi2+xWa9MY59RnTAUGDaSWLjUt8H9ps2tLj2WF7X31M1UDZE/PbLMfuGg9oLCUvaqISYo
cCG3rxkFHPFj1Rti0VVgt9piFYH0TyEoSOwqLnGIHCps5mNO67z2/eIix5izXJKgS9WPYR/6x6Me
hd5hJvqH9rfBM96k80ZDv8btTc0XtuJaWcVXAVJ+VbF3PMULy7sfxnOc1c16Vvq0rupGY4OFudWU
V1bMQEO2DqaIqEHyOrWk4XhyP/UtQa1LelJhwykM4/hidCXoQrLq7WRElFtUZ74Whjfk4BYWhK5a
2MGoxINTsHfQUh/gsO5vWJuT0FrmyZrPuthxLvRry+yeQDWzBIDwmBHwwHaP1IY+WZLGiddAzQ1+
sxp9i+OeSjBF/7E1bX5T3UBsUggxMoAz71WHDKS1UqR/2s4K51Oc9ZcZxAtC8vCYNkyMFCeJWYt9
MVA2WxHskIk1mkk+1CzBRbo9p8HIepgVHuIJ+rZyZRnwJozkSIoCtOxcPGeFSo+9bN6ViYKhMWS7
zkdSmIrEeyXbsV6XiTI2M0CYlTs4uHsiXSPQMf1kLUd87iRvUPlgNLeNTY/YlFlF+SNHZ4kBpxh2
iTWTUpfgntbn8r6toEkWdX0kP4pLOolexryQFCnwtlrO4aAsS41f1sgOfqyLOxvYP+TxpApmjXnR
VA83/mB8qojEJryDaD6jgbFL2iyp9Zso5utLbeeSSYZxOrsPYEpjUHFW3+pePB50C29WjRFw0shX
BryLKbmKH/sxe6r95BEUvLERjGSETjCPlAUprzm4tCSt1IowSQQdlbrDSGNjpnPzR7t1h6teCmfd
9eoY1+ZnbGmEDbbZVo+deiNHlEVVOK8pE2ouMitcsdDmDYXyhs5RrJi0wL4J+zexAFltEMSESODX
tqH6x1H4oaX9M3povMyD/FRW9lko7tc0zE9URs+uLH4k3ThsxnmedjnzxaD0VBIYU3Ks6vGRSpOe
JT8WPXsRNxm6DeHMOz3Wd6NvgBmviHXKL/ANBkL8PGgAY3Kxq/6D59EWwOI6L91wxWPqrOp036HB
j6N2a6r0PAzZqWviK8XGbu7j60ZLD3Vd3s+pfUwx3wW8e2gx4PN7U+xCMLChb37HIvPJAOnB9bgy
TW1i51VaoHbK60YsH/LYfodt2NIedzsfwRDTxPmBQdZz15qkN5b50egSbWMZ6Z1lCnbsRfFaxTyp
Knf4EDESfEDDN1OXnTIT8EXaUQ51JAB2rWA3H2Ufiek9jF37AyEn4YzEMtvkANvaQAFIXeNWV5Hy
ToNmX/qYqFDHKqZV5BGb5ZXztQf+dJXGxotSLq2t7zKZLrn/tOoua7Kj3nlvMnE+LC28EK+AJdyT
d650X2d3+GxM91JICP9dfxUi9JnIi3bhlCo59zdhV93bJXhVXam9SJP6ykpYOeVGS+KUzogQs54c
vVXZhZ+qkadl6aRm/1aTZBQP7LBBuewqWd5Rphx1wwNoOpnhVYjwpTUCndHCqk8JlXT6zUCQc5Dh
9itqaComxvi2aY6oqujrC6irhS3eqM3aNcEvNwAnm0OpsOcxYToSzu2t/IQ9s19aiJ8Vu7MMNuuK
AuwrS0KT4NWUTW1aX1LDT/Y5G21Yv0mxqTGTUqLX9hJyfYRBjIss66aNYReXoXTLhdFyg4/t7M5K
W5uqfW+cRMcOEt6HZncwsBoSMg2bJGSOS9xZ661i4dzlvZRXJZnrLgPRLlevoec/8hA8NL1tr7Jk
Ivd30rCamQY5DHPXbfGgYecNXblD2XK0E89dG8ye8iH7IHMKYyTovdsCdRPZkLq6BSJibytDPZpo
80kh4b6bcz62VpJZlxC8ckOLeHaJhCY+aMhW/kAspEsW3CZ16b2AH19CV0+ObUqdmvf8Jk7p2gGh
HUeNgyeAu4YxUVbJDsYGSF+m8cIU5aob8x+57G4hz6B0GGzrWgDmIAnuC1nOLqbJGMqi4UkcqmuF
yqVNmBdplbu3W25G+f/YO7MkWZE0S6+IK8oMj23YbObz7C+Ij8yjAgrsptfQS6iN9YdHRGZEdWWJ
xGNV9WtGulx3M1D9h3O+oz2NOigbXBQwQ60tjQAvoe0XD1GK4aaZ2PLAwb7i0yIyxORjAcLzohb/
q647r5mfEUukCMGoE/ylMEGSda2FWy6T34TL/1/Ji7dtQaujuv3XZer/6vJ/+9/gCT/+HYL/9x/8
oz61qCfZ7mGS93+EvBShf9Sn9i/DoV8hghK5OSUnpevv9amu/0JJDGEfzxsjWa7ef9Snuvhl0MPS
/UEzcTHg/62J728T3T/Xpy6AVPT9DHJ0ABTOD7/lT/Wpm9APt3BRNtYIEHnlNg5ZdSD7ib3KsqHb
y3ZU8Fk0VKVGyB5MWlp9l0Pf3iol04dyae5otEW17DLaK9tpa6ZtLQs2as81Ba56ZfaYbBMbPY7u
k4FOSi+svUk0iMv9T2wajxr8rG3iV29ZHr43CXWkqKZ470NLxy0nyZwgUjc+MSiymBvpxjFUUequ
CKssgsrDOtOMoXklwxaPOorWs4Wc4TwOtXVou5ATvy2RROCwXfd8GwcK8fqY4nMhPm+oidZLtbDb
qdSAgoFgiGAw0nhzrzXT1dgCUXJCDt1hM0iRrpgecCkCSQ3w6pYQ7trslCv4R2FtvSYj814nMrH/
ZCRVqRpxb1Q4AavaeWVMZrdKdAt9MvaSlZ2m+jHrx/vcteJb/pLmuowm85REE6plk1sLePK0agdx
qHrxXOoOGbYN2OwEzNaqsszHrrVfZeKHe2kynzPgRIOO0l9jo4ZIXgjjVGAnWtt2o/aVOx2mNL3x
m9G5QkLx5kXdoUsEpmI5bgqVTWgWSa0iHbpYNzq3jI209VTUA7niJSonHw3MjoHWOzi2ceVIhBuk
UHH3TljfCs0uNyGA8KAxBxngw73WISbupii2m8B0x+5CFwME/ahu4ltQzPEhTrEdRhIPvNTJNs3j
5DM1iSbXy3HnxtOePLJ6laXztzvlnHdY5MDcv3mzHhOmIss1kEiXEAJS12TUqIAZTXPUuvwF8Fy+
K7vxyet0Z4f7K75ORcZUVA2frjm9sM9keugmHyjVUnZ2OMcHj6SWvB0OkCpfGKxdQuPrVnaZExzM
V3y9uJLQME6vZk4012rQe9S2MBY3yNpmnH56uEv0crgy9FwhSC6TT5eeZts1nb/Bk4c3yCSU9TeX
5986eP+rLdAWPQfd9H96pl73XV+8TX85Uf/5c38cqeYv/MMARlGAmDZiEPZhfxyp7i+EJuzWWIb9
ERT8x5H6a+HrwCvBSexA8Hb+eaTijmC8Z7Jhg1Tl0qvbjvF3mn5yEf+yRnNYxrHK87hBaBw515fx
wp+b/l4HfKfGHJcZ3q2NL62xBaf+I69qfqRWRNYhu8oXBRaHMkSB6keY5Rsie6tsN3xtFt0WOylj
0yxarmxRdWlABTcAAfxL6ne1j5EU2xxNlnfWtZysjXyRh8k87j/yH80YmlHrJheSXpPKMU3XHhEQ
ZeAtYjNvkZ1JlySthMnbc1o19Hr9IlArNdO6nHrdfpEF4XqzNxdb9lLjnvso2qofrVuR9hPdyI8G
Thkxerh5kcapwkIlNyyCuWSRzrE76uUaV0i24jMbzv6UdJdMcZq7fBHeDVovHvtFjMdK1Am0EoGe
gx1/y3y0u4qSJnJXvj962drphxTG4Y/Gr/vR+xHviAbRhnd2XbpRDh6q1BkiyJYIv2yRDNJTeR/d
j45wBLdLzSw6f4ckcln70ZouqmgV7eSydV+lrcbdp88FsLsfcWLbOht9YdgF1o96MV+EjBFkteNM
b7EN05CNvjMbk4NWDB47wD+cwn5nYFf90Ui6i1wSRT2RTWIRURazRSloEf9xAcyGWPNFcpmVofOJ
sKO4gtzBXDv7UWdmi1DTmS390ZsIPqtdlp+pV8V7ozGiZznm/bxekIZ3pFqx8cn7voaTm4QciVj5
UDZXfpnWq8ad+SPNRUIaDjMQ+hG99iEBPHjPnFe7sHJpfIHDN74mn02CVebzofPLk2FOIbPgrnuH
ZV+tvcI393zAlblLZMypu2hdM2i1+FsXAWw3Ddalsahi+xHXQKQTn4LT1kLDuOx5p96lD112v7bW
tN+jgr+DFrTJ9xURoGuIKFXgtQ1vhzN4BPOIdDskWbJum0F9kBtUPgxNFjGjxV/dOdp4Oy3r6Mlo
+6/JsvtnZ5m+hsbcb7tlIruMb3+iEcjqS9UNGS0wZuoqvrVEbgfCgnsaRFFiXpU/4171M/qtYOfv
UiKIX6y+NsoNSg9x6n8bGGv+AsiQY3RQiSceumWsDP2GCTM7nu6WfbTcjyjS9qzJx0/XUeETGXTi
u6qqqaVbiMfhLGZp7xl9JH7QYp646cyGNZNtp4z+PZ4ryo/xQV+mDhMIIgftzhItQ3Rze+xaE9q7
48tTqY+ywzmOng7lZmRdJ06XIRfC8bmVuWMZK+Sz9TUt4DDtzCXdRi45N7IvAdwRcMgwUa8TlkBR
n3zWhJmckhJNPEk6FiJ22U7xZVor5SN2VoAZ6zk0WFYyVvjQWFm+T53BA1qg3V7JGC6jDtcZn794
ytrZg6ShJ7cuWI7LGkM8QnWyfbol5UeQ/ozGnG3jtGQA5dIdr/TOrI+NValtTlXJcYFboRXD8JgM
GYYWjUDoIwWrvFY8UBfRYEUboluSe7zs1ms6a3gKUjEyDcSEMTA0m7Bn5Wm17axGovX1wuKDkMKJ
kDGkt83az8p+XcoifUzRZe+rwkDXahbx3nQW25mn98Z7TXb7sWN8e6eTM0hmhGmefYy8z3EYZWjw
vbC6lYbNEqweRkRaA5J2PqNBMc7wHPa9bVwkO8rueJ3w5W3Syu0OTZsmB1I7hHkexCh9Rj6z8TaK
uNjP5WKMKCMT+LHlvRfCTy9bIMLvQjqMZ207P3cOQErPTqFPN5V3s0CMrmoM37elEVprzpD0tWIb
hUTAyGIzGLvB2um1Ja/S2Yr3aaclFI4D2jxHx+CA+pwY0Mrbml7YnuuJmJoo9mXE8da4l5jf9D0B
bdM1igGbAdQg5C0iInFbEsNyNBxc3IYoh4cu8vRdVw3VfS8nCMpT2+r3npzcEzmQMX11yiyMwByv
fh8awzvPg24+x14FjKjjvsuYvyLBmozill1luuWFhjDjSO9a4LfDstBHZbXuZnM6ja5wOfdd2DFE
YwtOtU75NQGJznxfGHgysFMM5QcDQ4cVWNyVEjF2P5wY29kvbhy5HrtivR6D1jR9dYSCPE8wKfoe
mgysy/u0nNunmi78Bb8KEyzs3WC3BK0BXYHVaVg+dC+/MWTLAExrotTbRV2LQ6Ez7PnBnxXu9smM
uo8aQfEtO3XnonEGXOtuHsePDgf5g97Z/kkRdaMQKcgCxT5f8a5qJvOaCfV8QXCOz6RADjejrafY
wIeYibwRQirSMbqtdYwdt51mmcf//uqr34rARYj7rxvyfZ/kb//Bsogf+qNyZCPEBATXGAyInzrv
n5Wj88tB6YtD1lo4eT9F5T/0V2yV2Gfgy/YZ6NB4/7MZp3BcClBWULTEjo6b/G/IrwjS+0vdyBQW
dAs3smm4bBCQdS3//U/NuDbkecJ8qlujWUEUVbX5Xk9N5xRTKQIqd77bzriLediCITZeVGK9dHhe
Lxvw1tew3ONnjHfps8o06wLEF5Xn6KlTY8/Rri3nfD+VaPXZ5kPKoKmSZ1OW3540gNgioAzatiwe
65TXzvUSceXGSbppcELd5MnEtmTMvGrTFyK6ZPxpPaIFKd87T9nbss/slXDqGBoprp615tW8Jzi7
6iZAhJ9cak08fKhcyjVJdfODpCe9nGf2QSYOhksGIGTj6KnmbTu/C9e9XpvWxk1x2KHmxbhkVXYf
zFGkDnyAkG3n2LzvmhGie4WCsp3zGniVj3YynLJiZQLFeRGk8W4KQqGy1QT6jBlYy9C7TPTDNLkx
JtMcXLMko0ZGof4myAjcdK7QeIW1ge1O2qDLJf/TwhG0tiSTilS3D1ZYN1eeW1X7ymAdVHrdXdbN
kI7HD1b6t3Gd5nf5XGmHwTbjr0aYxt5HNUwG1NCfauwJfITauFeOpQVw1K0Ls5TlHZqeKzmZ86Xm
gJgfIsxdtlZYa9B10RYkg/9InjS7Dsg17E/yUJErznzzXbXSfZ6bLr6SjuaVW5DaFak6YCAwyvXo
XvBIbnISZG96TYkL3y6bi75vWVx0lSa30rdDhHo9nxrhoPBuXXMjzLLlG66soPKLbmswG+JmxcsG
ylleGZacFjogU+waoFE+4kTUKjjgiCbSfYHfZdWSqH5FUrLYAt4hp44V+vPgoKFp4/65SNAXzWl1
hViEbGx3tK6mOn/TomEIMnfMb6QlQI/hUhtX7JWmXR8aOinAldjSt1RrYbG/yau2PcD/w76XO+Ea
Ukazh8TCUDgEu3hRMQjFBIQqok7Bz5MzZRH6iEjvalS6tfHatr4ZJs+4/PkMWp2R/UgNfbAMSx2n
ir98bPx6jUiGYcnkOWelm8iunfacZMT3qWF8z8Lm0ao9c50O/qGJ+FZdHa7kpLcpVQYAurqwzK0/
hE+z5QxBZ7XVUShIvbHJ90NnI4OGgOw1PMPqZtA054NQMGOdqZQlhxE/lTOVQkcEwgEC0ryB2HKy
vM7is23JLTY07DNTqgJH7+7QLL8NTXck7/7S7VvxLmzSeu1xgdyAh0zFJ37fbIfOaS8jBMZ+3dxX
DZR+EdrzSdcpve1CSFq8ZBuJGHeXvMEr8zLHzLEbPkbSM/q7qYLH4TL2C0JNlju/GhwWxbbLoAeB
npThSU6DuQlb1wEFU5yBi2tUlfa3Lt1LH9noSNDb8laLFbKlMw/ayG6ivnGyjh0MLqqg5z1foUll
Od0baosI844S4xRlkpIQ9Y5ncRKh1GQJnIXvg+fsR8DjOPnBPBLMlKyL2Xweu3I61WXfrLCVHNPO
OMZJyWrJYsdq3Ooif/ZE1jMna0EL4/xZ1V4RBoWqd7LkkNEJ9nX7YudHrKAyVEdFwwHQGO1j2eEC
Gat0hpjfGnzHJkb9zPLfiDU9mT6A7Ul15D3WJn3PEF9ETblxu/g6REu3Ku10N5bGRZ3XX0rkx2lI
9wit66BV6qyUh+RJOzh2kl2iwSNaOeJTQujkgFsCj9VnJvR0A00qXVyx6qF0ooAC2hGaAL1UTq+b
lypcNtPNMccqiwfX6e4HN6Kg0bN90WvpJoXClObjcprp1zDps2B0GCbOpniHgofSaibJr/JHIEU9
hK2Ic4QhK3lsoeYXJxhVnxYU/KKyX/NIWoFu2xzM0PTBMRDQTMnd7oHhkJvA3bYHTGXjMpjhCXLN
HPSsR4eFaXir2/F9TIFNZifr1GlwhjWxatdUPiAXBz/ctGiP9zNSjZVhWBdW5bUUasxNZZ++GZb1
KmRP3GahTCyXLJxcGV9mSNoJkdgmYXGVh+7MBGGEx+Q21TrOiThGpHDs8cwFQzGHGCMBlKHkzPCT
Rg8uh2BgDO7WjodrZp8XhaaJlbNgFFTvvqWOa+BqzdtbbOTXmYzexz685qk8oEfeIP28Fe50ToW7
2Fw+W6yc6HGv7DmugkrYeWAgwmtTMi9Cg11N8YjN8h51gw0foL7U4/w8V/6poRJZu3b2QDIzYRb5
pRmOYFJRk67xM5xg3l4Zqm5Pw8gVjQ3jrnNm7Iek2/nhsTbx7QLKDEjqvU5AKQQMenJsmths0R0f
dXeKmUKyOTKN3Ahi/vpVj6vYsNnUsU8u/bZdgXe780IFySrpF3BGlq9To3ECZwzdwI5bQhNrn+4w
pL/WPeLAcWeuBBOfNZTcaidE/OCZKURQLTyYmGave7u7qH2ABLaTd1sK63idFsUmRvpM8oOJeGTZ
9QKaggEGTZ0XCclZTsW/csaRZZYyb0plZBtz5AnqDK/CeX0/hjOtxsyUzCQPcUNGKplxvB5IOb11
A8C9xwqEuhVIVJEm9sZ1kHixskjznetEJac7c5w+7EioQysAhMwK2in/jv16XEOlMLcZO3NX5Jjm
M0QXHi/sWo5hsWurukTMEDMYQS6+UUInfpJ/ShpTC7pWxKuMAgmrvyCu1Sm+9KG68Ok52VDO1yYJ
tEFrmQsqEJkYDaK15vlQBGW0uMlSnw45oiRqla9WcdhXOx+Q0z4qhyjgvkQ3maQIHueO01ef75Cq
G5vEtb8NvQe7USak0BsNHiASGwIocGJPwrjiwOnf8X698oWy2AYcGpSi/vQm8GcNFvyV0SF7GMP+
3WbChOCdEUIYD/HerRVRhEumZTO+CyQymyyKmitrRJlgtYiPcThx68y2sWoQY7HwJVrCKkUfFMW8
pKrosAC6ouGa5sjAzB9/MnVqNsCtoovhR6M9hWnlg01WKCHCVOzaqUn3ZWy725BAx1XmUajFpUlK
ZZuQa57n+RZCuxMA2Qq3BsrrdW0hpmVQkwReM81IHat5VTc991FaeidNZM1G6xrJ3NSaj2xwm/to
uRGLuIU80XTq4ECp3fXj/F3QA2xsg68k7Opo1yAS26MGKi4ckov2idW+QV3R72WMSKpEOb+x4ulc
yaQJpEJ05Ejsob2l3bikxpPR0kONSfFRRxaRPqYMj0SdaBsGk/5RL/o+GIZWbHUGGKuY8MXGFrwN
KhVrbcyHINWqKcgdOVFXptrWhviHmHvmNIqgvKiBjJCpCbubSWum16jO8AjXFLp2xEXQV+pADAuR
BEX1niEruCsoBGm01adJCA0i0oYazpmJz8jNcm/VoYc6O3yhBXbdnfpR9FvzkG2SyR5Oc1TzZqM9
Zl7sYrp1wzrdTfijz6XC/CfVdFs71WUdOvllLgd1tlSdPPiAhwhaCb8arb3u8ZrTScCf8zv3kDCc
WA11gzGkN6ARiBQh0uKxCGub/BbNQPWWk8o0I9q5qIWZLZ9Ifmjr3L5pQWdS5gwsdQbzcoyHQzPH
X1z16aYamKrLTH8fOaevuD0yaHKuFXiTbZ56no1gGAc0xal8q83mLcG7EYCnLe/i2uk2k+aWmzos
4cGOwt5hKazvZlXfGpo0whXngLExSKVBEI+nAtQ3slTEeivhIcWIcl0EOiPxXZNzk9ZN0l2wwSTT
1yc5RkZcrJyrZlD6SXTMloockHZxNMF2QDzxvQODhFt2Vjd+VPircSz7ZzzM2SFyJws9nU3hGk8h
yOrqZORVE2RF3F/numo3srKyDSEi4bmA8f1tDyirXQfnIpm8/X0DhWKf4lHYaeEcXRtdZm+10LQg
LmBMLJT2rKwa5zvRtoznsuJRa6o4cGcAd5pmMMY1Lae781HqI8pF1GOMDsaaDOXtWumj91V3Nsfk
UHYUa3O+9eMsP3mG8NdVpafv2eKCaZ1i3qfaNFwMk6sjssIwNKZyUzvCvbRqsfOyDMlj7OIfbamo
Bye5yeL4Kcc28ZJSvj4SZPUbvO5/wJ5s2cP/61HHY/IRv33+R8MOfuz3YYfj/sJfveheuX8IJ/0z
Q0z/JXi/Pd9cRAbCMZho/D7sgC7GGAStggAia5k/iYG/K2ONX+7yv6FIcFmlWSYh8X9j2GEt//5f
vM8evxSgWqj3rgPo7N+T9mKqHeiTzPotCro1xEcu4N4YaAvzudkXYRReQc2nmXCGHl2qHxYXZZLO
b01XdatMJuJCM3ReTsfPL/phSi5a9D2HqLQw50qpZft8NPl/Wq2DEgbjWeDQxW9CXV6Dp7maZ32N
GccyN72dQLeOS2bqLVwh5Kx8BighyE7uwa9YsKcjU8tn2PWd8V0ZtnNg6UEhquUwROrRabjACveI
nrFlz9NpZyuz/WfPpJCkV9e8Cy+bmn0YN9GT8DR9HQmL6GLpzcea3G+SRaJp52KvfsIplmzHJtOv
LWYkRyfSmCN0mXEwu4KjcbmnDezR1xAkyCJRrnOOZIFSrw+d+YYNn0P14Y5vjlDjt5Un4mj3UA+g
DOv9QxW5EUsHMK33Jn7jYwNU9BzGHWtBZi3dk+xqG32qItllNKaTJe34KFIzZbKgyW7vjzIjVMHP
vD3RXmMVJImqrjGTqJ0LrPuespSEgrBkFsp9oREUpclT0lg6AlvdoJ5KpXrphiWuKHUZJLHPM4A3
Rc1O0OlsQmj07ygJc3IjIvle53GZMcppHQ6hqU1uWtBsZztz/LOpBu3ezNt2n7Uj7VCYlwz9w1h8
eTW1/LosehiK3YzXF05c/Nr6fhxUTMeZnrAJvQmVhmoKUuf0VPmxenW6orixVY/eKm/DPIhJansz
y2p+r8IxhLgy6g/Ugma/gv4anpMlE36JspsPDIHUvYfwI1BV7xwwkJC+3vtjstaIgkMFq7k+MX0x
KbeRUWcnwiv688B89xNRai6pr0m1rlMPc4JGzHvQ1VZNmULbuuqdMd/WkZvdElVlPhHGHu9w2eWP
beQ5J60ukQuW5mAxS7BtPFhtqD0MXYLtAXv+sKePEzuyAKmC68HP8JZxx5YmTnydY4CCNAzDXeXr
4kIpo/i2Ii/fIYjVy3UozOEMNENwBaaoWRU72XXrueW3Crk2VuRQSYQlVdei93boLD1vKO7xcsLM
iNp5W+gmIvVh8MrdkFIolU0t6fsm/lGghv0n12JzOcxFft2XsA64Z8Cz9OkAgt1sI/2GURctjj6y
j3QLG9aoIAUuLpxyow1s3gbcSRseGiR8szUrWgfTdrYcZ9kXDCekwYXEn0Enp5EvXbjbMYO+1LJ8
yZioTuKUun3+NBJ5wfZltPrvDgXeOktYBSg7ES3K25oFgeENtOGhXlJqTWaWnYj4k1cOisU3RVb2
AKSqc8kFa53T4GTRA7me+GqwT284r7r9lM7xZ4s65VCi2T06dU+jMAH1X2tEStmbqPP7k4Nm5Jj3
Y3tifgmFLU+G1wQNyW1aurjl06ZFjS7JFv8YRG/VN30mDP3gihjWGlyiZs9KoQRCYOoCnpxjm7dD
I8JLv7IZFDhihB7jYpK/TGq5oBJCW9tnXdd9SBdZzsoYHGrRClPhSwu762YoRBGuwqXP1qOxdFaM
DOHUoX0t0D7L1jc3/ozPYpOz8CRedVGurWbRdooRm94wR2mN5KlEivjll3Z5SFmbnFlsD/1m1ptU
34B/qp743LVHQGXQiXUi7F70JoLZMwtDevtOLTVWM9riIR9FyZYpc53vRhgOIiiE119MTZkYu7LS
n9wO4NsWLqSId7Hw+zBwDcVvDuvIIH/RQ04be0b5CQh9eKjLtqrWjp3FB5EL/pOoqBBXiaaVnwRA
4BJ2lHBulDMZYdAzmz9KqahLJ+WTf14jQMdw25sf1VwxqoKvB+FLjFqnWOBWvbsuNebRQGrm2L4a
sEp1NIZo1Vq/YX9P4XUieyP6SjyFu7XnHMDOSFKMR2JIMd7GVoO6yHDL8Ys2AcI0DyjPrgXo8jJh
QR+vw2LMrjVEp6+wE8Z55UVteuD7bzzcvR5dNSa8/jv3e8JpKp0TlBurlp9yNL37rLFmWlBVRK/9
6Gvwyko2ft1oxq9RwdwQHW97Ta9X7Ho/0xt0cF58kfZIb1ZNaSqx6iq9uQurhQHEIM2NGfUSf7cu
vb7rAmwE9cFZRsorlrXqbDtOZaxw+BovVVpG4cFDW+usJUpG5HF2NWW7Wlr2EIRImb+4rbwvNS0V
t6jiZDyV00RExoyR51SbiNX4sBbPJT5W8z7uIVJAWTe+aCUm4ygmP8Y+EHOvuJNH0Sw1UT5ANjEc
KNKVe2cQh+vgQJ0mcWyaymbp701wE91U2me8bp4WRIMJMIN3+nXZ8b7Udt1uoH7VF5OZwjOa6yr0
g1GC91t1A+C8p9D0Q7HRc7dOjxGm7maTlSLdS27pKycCNx0YXl/T1VgMmZb9CtrsTrTkmdh2Wdks
ZnO/Tfx1F9VevUx4/Zelsb7vnHbZf3iVA+l3SvMbgayD1ArlP/g6v48UTrKj/eVCQ61h7t2k+FI2
g0m/IfNv1Vl5y35DF/xdnmTELaBXtV22y/2yf9N1D6iekcxBXQ/aHjmycVPiRnrFrM5gtfO8NgAn
aKYBFpB0Z0G4/2yYxv+P0auZ/znrKK4+/u3//L87x+Wn/tg5Or/Y8P+Qen9sZv9UqlF+U8ZBg0Df
+2fxr/drCQnlBHVR5lKkL/le/zCnoXlD3wbGl4h73Xb/lk6NW+AvJThsb8pvdL+8VIJYMJaYf903
tkrYGFMaA+GJtPytp2lwfyrL/jAKnq4VQFasHFFl2jdFWsL7H5OGPB8CeyPfzHDTJCPmKlmZ5TPr
KOOqcon5DVVD4q/B+oVCYAkCrvBY0GsWSc8UT2pNMHMLMpbKaDadsB2BkaRJ+xqWGgnDPLTRwfvJ
HU7DNn6y8Da/T75W7QxtiL81YbIizGzKiJWpqvCUybkHj+tm4UagVKpXKrVYqBe5CYIzS2S7cYum
gjRXa6jJ0C/MnLej0ZOu4Jes/TDpjDXLLMKk4txKP8sMetkKm03/YRe2/9VRDXcr6RLktcw11/No
uJsqSU2Ifb2ad3OcV4yVM8WFUM2MPDjiOmtvVgMgQ5RG+YXUknLLGEweXW3gt+w6davQ2MYXhrBt
gJCITt8oIP0rZQp1soDWXgtN2Pe2pUz8KKaf7qtJY2yK0Ne4cTPCOSZdFMTsLqFdLDXWjG3YJkqD
9kkVW2VmBTcn3rem8funovMFOrexq3eWH5c7BgzxSO+S1JRoVbqRiKd2rWeyVys7IkRNj4Owdoat
MeA8D6du0AIyUuaD16n6kdp9zgMChLzLUpcMTtq+hfaTgwdgql+gkmg96u+ZlS/zcxfoXWMmRx60
9FtPwZYysMk3PgK9rxyN+zt6rWKH5iq80ygfcR8bjc9Nl0e7kSf2bC3bP+kXzTGLmvaOirk4GkKm
e9Gp9l4ji2zdWoz1W4gbRwiEckfkg7F2CH/DsydxuGVAm7FNRcmBTjnfzr3k17fbyvzWbK96r8bZ
PheOBWtycvTmUlOuBzCnSu7jImoOcY8ZRaLyPOeskANBv3ZkRWB/+URsb5LC7a4LXuB13boYNelb
73vFuW/Q177ocV9e4FUz1yFwQlCUWARY3Mh4l2ihuycapblKFdVDYFemv0czrna9p8p3KwEhgb7a
Vtd6KOVXFtr1tamS6lD3pnaLaQwVOK71cz7prFdG1oeXRaqPpyqPeF1D3OMwnFvnSFK6vJU8iGtL
qWZfg4wNGJAnDIpMpT90jWJ5RQHlvJFrE13JSHqHGnXMJifn+mjnfbIZ6pFlyyhM/WOA2/BIUHAU
7sJk1s41K9+NljRMi9qhLw6jFc9ra7Qygou9RF+DLCoIzx5U9hSJviDURIHWgMSQ2ntjxhA0m3RS
svK6fpXUbaKeWHHj8FEER5wii4Rv3AO5Yg+Fme+JLDMyyJzKExGjvDbyN7qys+9RF/J9hqz80gJw
RF6cZpSnZrvMsSDDXuZaql/bOYlwONKM+jPx9ek5zBumYELpfrqu0zmNeCBSmhv0hJoewMpWpEIn
c8bSOIS2MDsOr2Wl0NriLkpI/ckqRPND9uYnJjHQXu8/RG2bXI743w80MIO3HUupjiB70veoM6YL
mGDUUKytE2ONLiq7aSLPuCCgTNIxCePolswMO5xPF1MmyF/xk+zDGgY9ABwxPXuRZh/suXEw1CLX
Oztm6d6Vop1vrWqaL8wckW0sHVS2FqXqnZb0+kFAnuXBFu0HgjTGdqqhu4QAEQ7bsBcjupEi2jed
1538edRf2paRt2Sg9xlbdgWMhdiaaVIETruRcwp5gbYREJ4LTzUk3I2aczH0yfStea68neNUkmeS
lvG5Yn1Kn039dscfEgc6TK6zyjzAUnZuXvmRk5AtItRnT/Qp2tJWRU/zEjlUSb/fUlVPD9SLcwzX
tawffNscjm2BNn9C8X0ir2hYE0jdPHad1q57T3ZbojCPELHYro+E3BC70e5tq0DFYHEMJHadrBv/
KdLzeDdbsjz7dma/inbxZACh3jZGYX9VTVKePbMnDmdUhL1GBvy8WiUgQefhaBvwZ8a0GK9YvpFS
TpNufDnhbK1z7HRXyBxsKvrWqeyganzQWaip7waEupd6r1Uncu5oKKUwtGQ9E33+BT0EwIDSQvHu
twCdvcbHljvErJ3yRl07eWzvSkigG7MooscISOYZF0N8ABjHF0bPUENs06VzaechHBy3sq5xGC+R
43OcYZnOOIcTOiiehVRB6yj59QxzXlhADhS42Bs3OXUqjB5QTTfGiBEZCU3T0WHGJnks5cgBscoF
6ehj0pprGg2y/UY//W79xD1PZmni9JTlLcye8mwOlXs0qwmlC1Txb0OZEfTXqbkJQTXaZNlkkn9U
Ly3KaopuvpuYtgSeDkTCsjlgYlNHUhjtTcYl9cANjfSJN01/NrNeBHndOjsXBetlZ5AWF5KWsmfn
LHc6bKJTxeu7w6YMpgZ5EqdsXTvcs1N6zdn4f8k7ryTHsSxNb6UWMCwjNGA2Lw1NTTqdrl5gLiEI
DULuqNfRG5sPkVXTGZ5ZGVPzNjYvkRnhAiDEvef85xfIKhPlJkJqQmWkFumFwY9E9BsM5YZJ/fZG
9e9FOcM15oRKvO8ge4KyTa2TAOBsVKNdur1QaRFC7q50dSwXL1c2npXSCxhFRZVIYDpJ7TVxRdfG
UokhWgWLcGEtRJo+LAV7eVONkfSVKSFd0ZjepMySb8bVQezcqzbZdkZxJ6TIoLD7CBmqTXlP+a9f
BOEq6ogl+/hF6JbRQ4G03clCVS1tGeqzqV376SPEGtVuGUGccmEUvAzPQMSKUvIYpQy/KyNZ7nhk
G2eh60SlUNAdxETrj7U6JUjqyyJBxIQ8yEWHHhJairEWi7Nyh5fS6MbM7tyFDv4R4vsUVJ6WCeXx
WkYhogEcz8Gq+rV4a0JfGG5+HqTT1eRFDraamqrrRiKwKLix9bKXRbYRkdtSAvUMDPLT4RO9EQli
4zhF52uz7B9knP6/SHTAnEQIOnxx1bR9iwwjuNQpFgQp/2pPOa4xbRagJsdQGmIDatp+rA07VIfu
qVIiMhSTHA2UkY/0zpIaxCwTxWeHvbpzRaa6yqox83HvS5lKJKW7SCC7gE4bH+0iDF0MxGsk942Y
mXkyk9enWN/hNNo/10RPuQKO6JR2cnVQS+n2EakQgiHLw/Zox0W7XhgED1nhUm0epKRXLpLKWg9L
NJm84pbcvECXwYWEnrjBAWq0kvZ17Kr9TczXeb4UNrV+1U6olN+GgivXAdDtoixp4IkSOmnP8n7B
EONNTdqXPcqqtCHGodlUHcC11vTLV1Zz8fmKu9kRWhULX9wPH5BY2cK0BhVctACCymHY7LProkDg
GrSvEalrOAOUTZJt0nJaShZugtUKrVL9KOPXf6L6X6wZJuEHpiezb4PIO2nqOuoNJDTFAxr/1iLs
V9tlwkJddZCGdxI0knetFgSvL5XxI0gjjOpnnjbbMUIvE4PIhT+Kva/EqNjKLkx3QPwx2yvy/qcQ
p8VDzZqi045GUNwpaJaAdHpebxTiXpdmHWaQVhbRLOXGdvIT70X8ppMYLa0+RIk/NQjqb4tGeEQ6
MDgtJYwVLcAsBiiLx2QkaBmkQW9ObARwobi6MljJJPaXPC4WIVYAhn5gx5m2WsXqDBQVZOupFOUj
NnekZ/SY0gDnV6LyojBsWDdtLz3nihZ/GAhAvqCMtSwGyzI5V5Nw035roP9lRNAsGPpvlebcqMH2
ktkuiTREC6N88+XD020CJmccjEGOOcTPEZH1HQ/i74ZIx99+399+l+o8hyb+5WG+8U/FJM+vAF+p
s/DVy+QSUGjDvybAt3dVF6XzCZ6D9Ytj0hr/fEydPhejFj6fvuQjfvtoyEKR0ZN8TL7UnPnUWOlZ
td8BT53F8Vd563M65R8OpigCwlnQbVXQ54b4dwRbtDKkCmSEzJO95YqOYIsXTPpt4U5aD576lq4X
/ww9/5e37g/pThIdPKRTiFG6KuqS+u0DpmMB9/3G2Hp4n9OdGi/2FhfsKazMLj3t/8Jacxe/10VT
fN3+5zwofS9KJiRhdPsxrPvvv/2/qR+U/3Iuan02r/Uf4Zj5h/4Jx4h/p13TRbjaIIe/JYr+E5KR
/44ZjI48UJFnd+p5YPlP8eDy78gKVcHAsxq6Gn32/4ZkNNAaemL2A8amEt/1b0EykvxzsJKC6TQ+
QVhs42nEU6oa355QvahJhyOvw5bqQn+b43K2nU4KMzVjKX+p0oIIoGgJs1QJSgr1H/HFS4JRXtVr
cz20fT1elCmevFugICTAy4D4Y0HKgu3SiKnsYlxD8PYjLRkcE/lrsdRzw4PGWl6IiRgISIeCDDkr
ba8u0EeIkI9caMZIakVULsNPr50jmlsIC3clAPWbPgc4LxeDhihcH7dCq7JqzEHP6UDkc0cY4XsE
1RIiobKEElu1tqHGzHT6sjnkjFjp+WEO2CPu2A/aHCx9GxaD28vitFdzIfMyPjsotyRHj1JU6MjM
hbrYyHNYdZ9psmA2t2v2XM9h1sMcaz32gYBrXT6sMa2I4LDMAdhB36GhnEOx9UWkHHVJFh8FCRMN
3tx2YwzXG93fUMPL6vkuPxXk7km50SPh2aIs3Il9Acgrbb7QNLXYIs5B3VdxzD0pEPUz8zB8FkJp
So9BQ1qVoVWwILuSQMRhDv+OcBU84AksS2iWpeVjXCzx/4NB1xD+Ii7Wodqh1o4WmJkQK4DZCdRR
7ZEWCXcdYFtYpkS7b1HQiDlQu5Q5qZYKNGry+KYM9ZJgS7XEr/OGU5GdLJr+jNmoSFMRDMeGtF28
5nDV98QR1MyqkEPda+jHOr+hwRTIg+n1y61PggZWb14+1FF4dfNKnO4p69ODUN0yv0jb0gPXy9YV
OyY01T5deMie6jc5J/kJZ9Ry3V+v+UcyNqqKG8+Q+8otwV84GeIXrtiAVLOV2q2uB+Jp0YaQf4jy
Cgh6UOSrT2pNe5bwbSGvBoHYsZPyeRhMWE2dLGftqBItU1tMBIaqKZTru0VaL1prTAbmT/BdhHXI
5vslLhjtEF/AYCEMNPGci3H2Zog3yFs1aip4wSO+WYQwwCO8XecGoiQEQJ0KeI36QvcC1MaIWgmg
JNhBja4PsBYhCuHT6Qqd3GsMxW6GC/UKjxBAwhgR3DJc4cs6ezeDecKixLr9vUJR8dkj6vxMr3Vw
qiMiwqwmN2Q7lGgQxamaGmu4ij2yc01Em6aGUY5xSZ9BbZ2zWYGGA/hUN3ELAV67pNDG6BfG4Rz9
yHVtriT6YOxZ+GSSNRdlToDVuz4+0qMEXsswFbZNOe6DgsxYbUF6LDxYZbvIfkTKamAX4dBKkaNV
IbyplAEFCUVw9pic1NETK8sAG2jUmotK3/gejtlyK7bEQw1DYKwKTb/uMSvZlu14X3SpXY0yrIzI
Rvl/PSwq7FZCDY19M8fldp34vGhzHT6jkt1IUlSwzoYYEHoKvlUkPinNDkkKfmWiSsJskREEZQIE
qOCdIeZJTD6ir0hHRYc5aHcqhpZch+xHvC+Pq/IkjER7ugA1S9nkOScMuP8RDBzKdYShNcQXekhw
o/viR4xwMLT5qsuUFrsjUoZrOZbw9YWnUBBBTKYYxK6BZOKO7naPa013c5M5uTgv9P6ZpB/4YlKb
azjmzyHH49S1iS0RhAOfqjCUlwmbuY2hgp6FP1KSw/FmrELyD3aVJuBOls8wR/QjZFmb85YRg2Hu
CabhhKOabAC3KYizBHteEr0qm3Br8VJnS+VVnErlGVt+gJcuS6b3aYGrraktGhTYS6R2V+A5mbdE
S0r5lCgkkABXj9Nj1HSYWxG4XPFc3hIRn8Ygul/gQfxSUg7D36+CxVOsCN0ZIk793HL9HytSB2q+
0vaVKWfErJiRNig0jmm0QhEQHPu+a0/tcF3uhKzE9a0bh/a5DQuGoqwUIP4yuLex7ALaI3YgIOkk
CkEQdLV9SsOuOOlDkOwnNIEvdQEHVmFyqq/wo2gI942G9ksjT3hTNqr0HCRZ8CTcqvjhR8X5/wEp
TKHs+NeksP+oieQq4//6z/Q1LP728fm382v+t//IP+r/+s/mf/yNBLAu/vjM3+PXv43zl26vGCxi
rxj/nM7+m9JuPtI/KybmUbwqCNIU/cc0ii/9o2LShb/rCmo6CPwww36zUfxnxaTMdZZBxUSpLYr6
/Av/McQSxL8L6pKgKf6Q5aX8b2nmxJ9HWMzP5jEYv0efa2wq+m/VtSR1CN3LIXJxqem2EZnenUVX
eQXY2QXPwUdcmfUbXIaF01nEVUpWle/KXSugcXIV/KU2v7vkf9ZCzSOz33dq8kzExvyBWpA8V/7v
5w5D0pSyzcIBw5vaJSbPjh1abcWCGYGEr8F94TA5hR3D+7da9bQ0fnH8b8GcrOQ6YDzpjAamQtSy
30d6qAXjAgBx4VRfSIgcsCMvsbFGIFLKMSwk3CvhK78TXptz9EL0YP2LRlX+3mH9OD4edxI+DiAT
6vz133VYeCL0VVKPWLx5HTMXF1fdrl6TxQdZi3UavViXPmEpoDziB9fDTbWuiaMizEFRZxC96Mlv
zVkl/9ZNIHPbErbNZvkpP/aPY+lEbCXorncxmt/jcEh7K3iR+hOMqfOvQnmlnwvx+UJilqQpiAUE
HatQ6dtsVMFPQOjDPHRZYWFaL63JnlaAjbhND+O27FwFA49HoXL753Cr4TZoabvOkRwqJcPG3F3o
UYG4zWIT7PV99ij+ChKYSZo/PWk/TpBORlIF4AFV+9YpQEGgV5g4QYwmbZnGGYMhHbZkb6UMDohF
2sr2SPqhGd4rChipOSgmnsFW5gbOgKIwx83A/8XT/6tzwtLq93e/k283wPYidEsEXp7mAs3Z7TPV
cvrFOegm9H0nt34V2vyzbPYft+p3V+LbM1dgE4hTI0ftXH2NDaoneTNc8Sv0QGTN+sMVh4Mtihqr
Dm3fN3ikZog69OgF3OWJ7TCzsVO/fQQVMQJmfu42mjW6wbuiW+KIZ5s52pKTryMI2iag7C8u9Hwh
f7/MzDf/d6eizU/v716zXEIqg9ExEtEdyLOXEaqGk4LJDm4bXmBKnxiky3d/fdA/eeLAL8hRgLPL
Wit/X1sgS0nxeCNArLd6xwC03gOwviwOxV32UK8QGji4md911uDUZA2opuxm9vKtxBbS/QfO8a9R
lXld//kCcC7QKthA4ERASf75Aow3vDzk4se56F4bW9pGR1QZ2NFolr3dtJbhEXbp4MLalha8gKZ0
il+stfpsw/aXJ/FtjailIM5haWLS73T2ZFdrvFu/lhze0e7FNZacjKi6I+6SdwvDHEcnNQ6pjioO
kR9qxoXwJVR2+a7jeY/4E2cNPLKuFtzCbNYeEbOEvO95EayFlGzGbYqsYDUoTrxXT9Khpu2jVpTW
NPHYoIlfAIRWpZrDdrnGZaCwk228D7zbkaS/al8jXfAT0STCdQ1hOF3dtvUxPeoeVmflatoaG6Jr
TXzPF7UzgG97KMasZWVe/Y6kjT2WYx2Fb2wGD80eSLp9iHOHMUW5nd5FINzanw6dzTkY0HUxIjFw
QPXhw0kwX9dFj0qTMfWxe49Gt0utZvJreybQ4ayyV50RStpGVEzs0vLtYKNtx8qosqu76wYXDV1x
x9TXGYnAUhnsl/51KZ2ECFzSk+qdipgIgMMgk8HEC7KInwTtQ5uzGLxsnx9zsohDXCC3Srfvh11Z
oQdkMbdV3R4rV8dkDXooJmLVJpFstdqHPgkTsBNdmg9r8GmKwpcakq2H1qPYpTczcaPG42JGH1GE
7JQ8ww180DB3ktvaaLhvNj0VwdbSAYpf9orZbAfNvDgy2UV/lzERPSpHY6ucqVYmCmIPPijZt2hz
cRPtrO7+dnPw9BmNJ/lB7LZQWFlbUFpdr0elsPEu2zDU0+9hM9SrW/alh060cLLt4jXY8uBnK0Yo
eO02rnZ3ZVhMU+AjiIx4WwOPXOYKszcnwb3I5jJwaj6Odh1x85ieIau3r+vFY473G+Qzq34jVCh2
3lrYff7g3/zhbjq1T58TgjxTeavM5Vpd43GynkBtq6/ra/ScOeEacQfOqvrHZHb3rYe7LHKrC9mz
qmLnS7vwJM3MLESdFiEUkp95Y2LGbPInmfG3eV+k3kQUiyXdNw4RELniDNvmQiJD46sP7Q5JVIwY
7k78kNDorgvrLf0QAhMnDqSufuiH15XI298gwL+DDjEZl4BHYrL4U1HvmuY9Iyg8MBnHU4dsJLxX
7LJcG/IqPN0e2x6hqpOXj8E9eoGIKMvj4oJnCK0Ybiv+chXKjtTARbWaZ5z9peZYhX6teNH1wHXu
IhOW4/zUEshkwnLXHhXkQQyi1gDoSW4Zjz0H7RG4zcv0RLc7S+r8Tl/rn/WhxY0msAxrRobl/rF6
Qp0mnluXfOE9S6gv+zEcU5VRkBU81Xf9QaGq9dpNSikJb/eQGaubI2IHS+iu07Re5uFlurtltmZd
d7WPswm/aytY4C6Z7g+WcNK80MrX4waLh0NUWQjILLTAgSWtyGXwskP8jlqOSNfKGhtbvN4J8gnD
Lp4pkTIDdwTOH2LuWhJ3xVF/0qT7ofyUik223EchY+XNmLoCBXl3CcUHJTnzeW4QUPiIN6fcw698
H6X9sl2hBS7lA1nWFw1nP68tXeTpKdzlx8hVnF7cDmtl5NLbjGGemQXCstliubAanOoYcytx5e43
uEffrv5VRqBtp194+OxrJ7sP4RC1d8TDKpZwye9iyCHOsHDE2zrSba6ljoZkxSgxIf+it9EQIvFa
jW4rsm2h+hvPuqsKx7A+ZLEzPCyYKPfbZeYCqqapX76mqkvODrkXhKvlkFueU8EftwpP7WR1ve0A
8aX75lh2tr6009CEpcZNvtz2JFuYyZ1GJALETNEUzdLS78JDcsJm7elq+BEGlLlX2PUnNDJHdrVT
+945/A7nBucNX20/cwneDRRH0jfCbh5ZXDv3ihDWE0tfvVpCdpyxi3zdghsxais8BuOVsTLWqd8c
SHW9vveSnXeoP5zi5qA/SHqb2WjnKBbRw4u5xMZ03S1Ww16wqqfsXgpdcAoVU/pdvU9fVTfSrAk9
/D7Z92wLJ0R0XvC0qM1o05+vdowCGQ1xYE2Js6w3TXWuoISHvvZMybkbSxuZhkQsjL4LHnG4MOve
ERTbCBuzV1aaDFzpEIjTLIls45qDOJM3YoJdJ/sKtaQfvkfr8jM56W9AMu29lq3r3Llhx8O66SYP
vU0Ui71Yjbkpb2trMXgh71z5KhquWPhKvyoOhmwOvEAkYMv2gsS+hCp5pW+aFWpZb/S4VD7UCVpE
7Dz3UNRLm01B+mBAHOyXb6lnbKePIlkXj8ZRwmzIVC91b/51rfWHSZVCmaXqyhKtFXavDIl/rm+S
ZhKzaMoSF2aQyiN6Ft5CTvvEDLl8nVSzPUdO5QNGa79p5v51ZfXHKpcjg2jrosLB4Wv/fGSdHMhA
zn9UVvEe1Z8DFeiYmpjnudBpHn/xOX/u3+fa/eejMXT5fSGbdJI4YaWeuOFr8kEW1VrqzNZDKLnl
fmbL/5MyXv1j8fzzMb9d27wTy7KgTXXZk4djsh0MM9yLFsllG8ouEc+9YBdceAiGdYMk5114x7Ic
t3XqnOEIxfOxVXbNxgCNr2zpaWYa+dK2f9EzW3hS15LdXDI2XPVUPSRHw31ZftWrYF2sE55xMzbV
NY491IuBBx/NGfxDwBL/EN8VmxFr6S8iCG/2XD4qbnYq7yMLktr0BoUrcbMdcV6tixftKzvDF47v
/COeHfvYKazcb13pi87jwoLq3TZ4d/c7wWZ3FBtMHk0jIjnX7D701+olfAk/s8JiS6oYhe4RIc9X
nYL9dRlbxDR3q+4AakdRRZF3i00YoiJ+DLyC5LTHd6puDVtMI3bGHtd8OIauag8Qywb8LRzxOXBx
AXm9fuiiPTUuwrngbLzIZ5EE5wUZltBDbPEY9fa1XrHvs97Fx/qhfRJe2AChLTjTunsV1oEPXHGQ
SHjaLfaa09qjPQ9MK3dyJK+cd7vG7u0JkYWV3/3wZLOvxYGNQENN/cpyb4dkVvho5Z36LiL2AQe8
u+zZWAdPIWeCGSNxxnw0XOSfWCaXnbmQ1torvm7TQIluatACdRsGD3RkfNa5/lezf6SwXnxEg9Ux
x6IIIzwD0wiLlFCYbcZzKzgdLscJ3whiHl29QT4Pil1icm42Z51QsV+Pl+eH9edG6OeH+TsANk+0
QtjWNKUomHoHJMBD/AAJRdvMkE9jDymoO8QhJwRO+bdfX/xF8WZhaAp/HLzp59e3kTqS76Mic41z
LOzGV6gwDturc5Pulzar768/7x8bv5+OaHzrfOMSh6dgPuLgNpWFk4a7nJyOVHI78xMXWQwJInt0
zYITPP667/ymWp3XKxy/YGPgJIt4Alzo5w+cQpiPtLYhYR7ea2GmrRe+iqfwDTl1krzA5iGn7mXZ
XSiPoBOzZZrJQbqLF26F7SDeyag1EzNT/eihQy647ZGCJDNAWACVCNbEplk6IU+auBk24afZNofJ
q78wTHKr89gdF8qRKD5EIrqZUKdhiZM+IGGi4yh/sQP9SbePMlsSsZ+dXWyX35HMHCEktK4+BlUp
9rmXWHPXj4dlu1f82Gk7J9xRcLsYTzr5To9sYm15wnQLO/tfwUp/XLA5FVVSGLNDikeP8vNFJ2C1
z8SaHDyFhTo6am5FgSub2onUV/tq51Zg/eK5/iP6h08walmMghV838Rvz7WMzEeOjPQ3qGNOgIZY
CqgUrX8FKv3JAzX7xkEekjVjNpj7thkJg5qp4xTEbv5Ug4ECHVQ2osw62GF1lTB117Ov2eEgrXfN
RD6sCZNwybSORpaI5wJ7U1J0XDV2tBIXleVGvuHRY/b06ginzaz34tYRBAKy7OG2jSaHeldJ/LG9
z7DGAiBR3Nvk9B3SVTO2YUQb2/pdDY4xo3cQOwwaSKCBjg588vbX11j8k7sqkLLNyiHh4wye9PNd
XYp10pcjJc4MYBKo44IxhIoruM1dQYOxo9mFO7sdMIyJLAjma9Gl0LuQ61h7v1rIxLnO+HkZJX/V
AN2C7z77/X27Df1CkZA5UukGl0iEJmFf9zrkPj8/Xu/KadOeiheuDdFIijV+XAsTL58rbhEawrXd
4urVlwWVAVTEv75GP1Dmvzqtb6t7NKpj1sScluyFfnsHX/C59RKXPntmUli3daqZDUgzTTJq2K/x
CXe71zC36hMcttxjfbC1g4af/cKlDF7uu4UprIyVeFfbv3pn/mTB4D2Bo8abI/G2it9GHz3OI2k1
aKHL6HoADjN4R6sW2+T7jIjE8YUbCzGSkoUWI3AC6Suc9nJ1qspnwVFrL6zsaN2zN1c43f31ZcR7
+0/uL2cEWA7PhJPUvtWZYxssKvgBkVs5zZcRAtFF5a4LnWSlZw6+ZgEx4YCGEroG63bdjtEOBcui
PBBjDVs2Fvw+d2LRa16RkNarUKWMq1fqZOEdqrb43OKtYYUEV2W2vNZwUQlMQEkYw6bC5HUygUeQ
Bj4ksXND1zDYS92CwmDUq5YCxtbRUjnKm3wBmIoxGnrNiJ0FrRN28pdheF3mop/QUndc+l3k8IMZ
V/Ljdh+DY5FclQHuXff5dlyXW+Op40Tu+JHeI+4kwFebgWzgNYTqOOWx61Br4EQLlOAZ78BqPfTQ
DAmKmd7XEOFic3HAsBk+JP5Xgg/VILo+A2XIuOXYBN14C3Sme+QAvbbRpnOR+VWOj8Im087ERCvQ
klC7szGltvwJrFXsC4OPLatmHXhJ7+HahHaZjJZg6U/pNoKbUXigfDW9IHVv5CFWKUBZPhaRV0K5
sQTEXZMbdWvDDDxj4ZI8I5/EtQz2lALq0gcBwhkmwNtUmNGKfKx2vVzTsqErfW1iS0zXtWj2kbU4
4w12jS1+pyp6AEcErryrM9j0IZnBqaSYLi2F7O49imMQRKQct4ykTXt2qboDSIwn0E9yLe3sYXSk
reDjWZ2ZAJEkItpzjdo+k5bjqg+szzVr7/qp8m92el/yLnQrSpVqD1CUYlEUmqq9TK3SMZxqhz0L
udu5YKKVvhl+Ndjiw9VZ3JUH+dKtIFv4qTu8wcR9Js6+2jNtCBmIue1kkkOw0tzcrnb5IXpWrWVr
p8/Bg+TnNkO30lg1qD6RBeMoTaKG0DwZM+RstpFFgC8YbNIA7nJPonc+3e1cPxPHZKA/QweBOM5R
NquQj4fP9xl/p3PiYg6muJIdKZcFkoeX9pTa8KO8nELTJzpoI3DQc0Em8r34unTmvkX1SDjfTnbm
DBtMYza3VXDCBX5mL1jELVn4cB2WrzzLJD1+TKJ19Yet5lLy474+bIG3b3zA6MgTVuwNd7CRcK8p
QBaP8Tp4Hj+jd0ygms/yrLmLN+yEMX6IQ3NyJZduSXNbw1o+iAVmZjMqJ14KBDlm/4KF3WzIZJFO
0lzC02QyL7MAAhpA6d7BXdipPHIpgBO9xh3d0e72XvZJn+PQDTGKjMxtcN8hSypRo2PXM6M9SuoI
+0ViKXuQqvN7BVDjk2JGthmEteWOe0D//MRNtMMdo+i3fl8ern7zGm7o9lpH3TGqXccPhSNAP3ez
B4lFutkUPjs3vKX36Vn0pqfl3VIxh0MLCmGlF4lYN7sQQHCY4eqOtmWYe3NTRO4mnZth5ttkpa6T
p+taX2VPyMJ244kNir7GLu3WyTtz9NCq29OW6OLC1/clYDdkd1PldMLX6Ty5XKmlrZ/UNZin13vB
FwX2UXGHc7+D1R+fMArM9oJ9dQoPRY26otfb0y2d6XL747A+JjoQpxl73fr2KHebGgIN0BcOWZPH
JfZytzAbHx4XDooPy134Ij53m1V1imx1Rf7JhBPgKl4ZnuSo79UW3ANNgoku/qMAo/46Xj3MzYqd
bgv+cMZ46oFlyxfM++Yy0PRFDzSINfOUwaRJtdoH8aFaa49XAFZqbCIGSlMAf1Yc6gpruULiaJdf
4Q7bTNtwQXOHcwXEvZwX2mrdbemim4f8CLltuteeADOBKM3WSnf5JX5sH7+w0luRBEcF1fjIYkxV
sMa3AfjAH+9a5sQ70svaNaOIz/Ct7q2v2G4PmOtZI+jksBM4+o0I7W3rGrV5vcxz+mZLJ25jdHOf
7eJtu7teYodYaNr/qxW5y5Vyd3MMz0Nmb7cu8kkP3/rNuFncw7+cnfQ6NzwT7xVs8nfGSin3fVX4
4b62madzl5UQzhPCWzPfffXgW5t2g+XUrnlQ8JRnTPGEMIfCf4CY+Sy5OHM+BBf1xNCJwadfVivV
m7kFg1+dZK6qz5slPJbnxR6ROt9jQaru4zt5XeypP30DBw10rhaJ8LpiSudZNEfpaib34V6PLPmE
mpYYdYKRAaHBCy2s37qncHZWsxZkDD0Z7EnNflzftrJVcVeE93G0ahdDELd9aE/hRqjt64OxUndL
a2SAEVzXWoq5vgXAcy15OfgvO0e9MNPGqbd8jHTVfC1HWFjsd9E95lR7JPBYIDp9amurdB3bwir1
iPLiJ5N7xZ7OER66FoSlI/glc60z7+EI+oZonucakQOrWb+vV4VqjtbyRXhvnMCKDyFvm+zVPNbU
2dvhMLi6x0W5Y6Plgbaikw4tvHkgjufQrZL720rl4WzosyCYWpMXOhWU1ouGbI5lNjM7S/OO3aO0
kXsrXqO6s/SVsh02htM+DafyDSv6ONlTDSadu2QcIyOIteHrUrhWn9d16AyneFjj5jgxF3hLvtoA
D8PQT8WLLD3qCcUJKxZCvE2jQsdw23KLlVfebpL3/sdO7ujr8UtxUxQs5gwwebwYeCTW8XMX49Fn
xyrKb3vYLI99hzuwTZEq+HLvzCs7QOIRKuS8b9zeCmQ4ToXXyop1FO8bJzwC5suCXcLGxIiFyKnc
6t8z2srMykBqTMN57+3IX7qlbunnwA0++mPryvVKZN7B/sJCyhzgQTXYZCdrCPZAYV5nFatpnVKJ
tVayBwghqZkkxtG+7ZlKjk7H/9f2HJxGtFvr3ZBe4yRZ7vttccz38rsCV4YTaOwOYcoSP2eLNl59
H0YWWWtGKPm5jnKktaI9wH+2JSGb7+BoN3Imr778dMsd/FSaVcKImrmcuNZrLOKYowBnqy1mGN6y
Rr2J5NwCSx8pYu6CQ7nHmR+DNYK4zTajTESesslWka+7zTlNN+2xEEzjal/TOzkws+P1KH3FYA1W
yHn0q2QNh+8w/63z8OgJ3coH7+Zd30tO2h0khxNvVqQdbwhpXFducaTWxPXucX8Fbocj4pSvIadv
qsAqu8p9RHJvEZFnhlbhCk585G12633nsAazgOLNvKmt2/72yui0Ml+5Ky7ph7j+JmtIAveMZg9I
YitzjR6PeRby86s9fyF8mgEaJEHHYZ89K+tat6SXUDT1e8kbHhK/Csw8xhqRjABTfboeE58wAlvz
JmcheOK7skaxwxylta7479areQyz3F/VO1Gyugo7Dl961enReNC2xiWmnHCYrEyKKxomtyMK9guv
28+PwLQPPwRGNyj7GhNtI9NExLIPOLzeSU5BsexIXzwYyro6SrxcyoCIDm3uuwhhuEuPKgQzS7ow
jtDZ8tAjLsFNzdyhcn6N37lUHs6kj5WT+AnjFrPycSp+CRQPJrJxjB+TneoYz8m6O9W5LV1qSrt5
qjLj3zTEWObeP+tPPLtMQgx0m8ynhsaUN1xi1V26uIxG+3Q/F7n4lJmV2+3aY3Lq31QyTLycSiwk
1NtaMnDV8MhchYhaOf/gSe9dedszRDNWV6xtzYFiyWzuSfHkIhT25EQ1R5G34mNhi9sFU/+tuO1e
w2MduoC2GNQbutXgHwqfl98MGwBmNptW51VH7StKVwrWKReMMguwyTddsAwcQxmhn5gPpZfqMceL
5moPl9sJva8dMS4v6UmNFYZwj9Fl4VOupl50om0FFlmJXveceN0uPGCaG/m1BZzt1GATRw5s0/nY
V0zA95GzxKjawXWa9rhzgn229ApmWdOutOvt6AW7QjOVVfCyKS3RhqkMleuVDDiNLZdlQtv1x+UB
j0jSNL9Gw2uIfTGjPWodXJXuo8PCkrx+m65RbR5iOzEXXjLf8Nfrfb8iCd1WbPLHdrpfMiOSzokX
8hhc+VSttTbW45mbOKOi40Z9y+z6rplcerPd4PB8c40fb6fEifwMdmDrl1a5jk4MZz9z3S5flzaj
uXvmeKveXh4miyE85Nsd/vTx8+1OfAvdS2+3T8wf5ffsOG6hpW0zydGZicF7vL8Wu3Z1uzM+JwfP
ZDd4NNbIup8KV9wUtryRHsZzizNPc3/VvqC/L5T/Rd2ZLCeOBGH4VRx9J4LVwKE7wgix2WBjvLT7
QsiWDDLaAEkG3maOc+jDxDyCX2y+AmQQYKljxHSMLx3RGKoqs6oyK5c/s/qqpgb3xTs68HGUqUbr
3JLSdunUSzW/bs0kPUMZ5UqZG239cEbQ5HYQjJ6kP9gPL13WlnouKl4zna3kWvicKAp9PWn5dfty
XCNOWDr3O1xufO/D65Ev5X1Ok1wYAmWvzG/GN9SXpbfuWJpgTeRaKXoXDR4WP/jIqo91JV2zy4+l
uRgHoTlWs1xr6m+BbUENIwLKFQKzqbrLlRhdkjch4fmf1bMccErKyaj2GhW8S7X5hV+WRlf8M25m
qO3Li6wPHjsl2Q/ZhtMS7hOZhZG/TXvTng/gu4VMlBdoBLfjtNJ8J38xU4gf8nLmXM80ZLLbRril
G8z8ULqnLsiQ6O5pw7o1e6eNUbVcnbbMe26PfIqbrpJq9h9djeyVZ4fratcIMHiXHHenC/KtXSLW
TOIUpcPwccJuUh+VLPvaH+Nupe6h7XbmGbmQEk+Q2aAFymVSkr2xLE0Js8fEBA+46vB9ERIkYxcH
SnHX651LpfH7LMiyfbmwGxSgqi+aJLbKZmuqCbQrDG4ASEZm+COA1xVf5pPOpI0KN+NcOfteQ5ZC
UjEZtrTBxCkc9hqWhuYwA4ydhN9V2mOFjgi03UHRzwn3AjdvF2KCHEtU4I4TjinzZJvlhHcrLZa0
lWzXn9jF4mgIaNivpZ7yEuYozy5dEblK01u7TsyBxwyv4WYBi7p0Z7ZmPfpGtkGg8mrLNexbWgPU
6MyuZJ/N67xs9Ox6xqzQ0kaeV6lJjzVddRv9Rv/GIcw1k09rdtVp96Vh0+BwSYs2yMsfrjRQ7ZpT
pxTFdbb9LKKx6YZ3Twcj+8rgRJjnxYdh1+jQP+c21v++H6QVPN8wYIfnHgXj9RRo9Fq2W6qLF+rs
XOdRZF7ReUOKz+fMHN7jzXw7zjqqpOnpLGXzai9NFx9IHkMjjwGeIc8gI4soQ5z7N3bGHfdvoe/T
AsVlRoARTpMsqSqt7+qvtVF70EyL4F83zvG/hwslmgFTQRrmsnj+YW/4VC2MwuviZbQYYrQDeyWp
aoi5d8ojzrty6nG5imTV7/m36XQEPCyXIWBHJY/wbL6bnQ5IbR3W9Oc5doFM1czMtIWS/o63vdWn
tnCqit1LElexYrfMlmFVMDzbBG3nlzYOjJtxc6ZkMDZvXn2aHFWM69nz/GKgmqrX9HqTW/2Sspov
7WH7dRB34/cjflTKokgohedIyU7v5roWM0U7bRbYG+zqLm2i6B6NLxzT1zmngEw1+92hlXIrXSVh
PAg3/i/AIutFVEFhyDQSduddT6MfhkYlBHcalNbFwDTU5Z91jVD+r3/h4wFOtOVsTfXrl0LmvYbv
cqKbuaOtpl59R/z/m6JSg6qqT92J/rTCFG/9cYkxHmjIWNa5/vmasP2lH1xT8GFD1yYKGJb5ktr5
epUdxdS+fpEUQ1Wm28hekLJIoc1Cvn4JLXMrPhA17rUOYFiMHQwlmJLlTnI9ko5NuqJuhgZGhZa4
5UkHvlMMQwPgYwDg8Z7CM+SLIoyWdIaOPXHFDCuckKVqk2BMwZ8ycCAESfCR2PR/x/2OMtHf/gp1
exVjo2WTj91WBqpiaGFwE6PTOvYI50Z6+3ui2o8h3pcBigDcTr70vV1lZJDqR1h2xTbefvrKzm6C
1BGtzpMemriG6Euh8+8Py5mpLGwrLARWYLVjbCjZn1GdhxOu/U7xHFB4AY/FJVovnXdGUr5LytjT
3Lc/gpG2RkeTJh297im+rky0YKSt0Y8gaKJ69iXkOQvXrbefoSu6YroITCdlS9fTLfXtZ0h2rUc/
igRwdKCZJ4HSDda7Yb7AQSaloa25h7hzBA0leZYKrtREnR+a4QiSLLoDQsKjIylTxTp45rNHuFFn
k12tvT44R7hPFXuuPB0SBcdQqVJUtduELD/j9/bY0w8cl9wRjvoS77z7jlmxPXcE1dfzng5JyPwR
BE1USZuEPL9QThCS1NY9wHQMg8TyZQt/fqJY6jYEPRh8I9CWiPNIgg5ZFd9C5ocsfh82k2K/8G5o
XXHhLffAEPHfCCyYA0OsmbihU7jW3jH8y9nCls62UI5+LG3NFgwhphE7xwSBhfsRVRFrXlmgEV/Y
JwqxGEXUrkD9PIQhk6MIC8vyT0OW0AZRZO2okc9DF6oiiq49LfN5KENLRVG2p+A+DWVrebXCJx0Q
iPta6hOQRop6OWbHzsy3P3GoKUtHTs97t8lX1D3Z6DILhbS17R8IfOoLCpcop+M3yfzNhB9uWqDf
V8TQxtnSVpT8piXGHSrJNmzzcfPaDJjuWa7wwFKl2voFxr9v8m+iSpQYXLpqoiTBro/nv70tcZTz
eBJfeTI0ZfLtHwAAAP//</cx:binary>
              </cx:geoCache>
            </cx:geography>
          </cx:layoutPr>
          <cx:valueColors>
            <cx:minColor>
              <a:srgbClr val="FFFF00"/>
            </cx:minColor>
            <cx:midColor>
              <a:srgbClr val="FF9933"/>
            </cx:midColor>
            <cx:maxColor>
              <a:srgbClr val="FF0000"/>
            </cx:maxColor>
          </cx:valueColors>
          <cx:valueColorPositions count="3">
            <cx:minPosition>
              <cx:number val="10000"/>
            </cx:minPosition>
            <cx:midPosition>
              <cx:number val="15000"/>
            </cx:midPosition>
            <cx:maxPosition>
              <cx:number val="344782"/>
            </cx:maxPosition>
          </cx:valueColorPositions>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_xlchart.v6.1</cx:f>
        <cx:nf>_xlchart.v6.0</cx:nf>
      </cx:strDim>
      <cx:numDim type="colorVal">
        <cx:f>_xlchart.v6.3</cx:f>
        <cx:nf>_xlchart.v6.2</cx:nf>
      </cx:numDim>
    </cx:data>
  </cx:chartData>
  <cx:chart>
    <cx:title pos="t" align="ctr" overlay="0">
      <cx:tx>
        <cx:txData>
          <cx:v>Gas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a:t>
          </a:r>
        </a:p>
      </cx:txPr>
    </cx:title>
    <cx:plotArea>
      <cx:plotAreaRegion>
        <cx:series layoutId="regionMap" uniqueId="{A0D17D48-951A-4646-9730-F0485CA32A9C}">
          <cx:tx>
            <cx:txData>
              <cx:f>_xlchart.v6.2</cx:f>
              <cx:v> Gas production Mscf/d </cx:v>
            </cx:txData>
          </cx:tx>
          <cx:spPr>
            <a:solidFill>
              <a:schemeClr val="bg1">
                <a:lumMod val="95000"/>
              </a:schemeClr>
            </a:solidFill>
          </cx:spPr>
          <cx:dataLabels>
            <cx:txPr>
              <a:bodyPr spcFirstLastPara="1" vertOverflow="ellipsis" horzOverflow="overflow" wrap="square" lIns="0" tIns="0" rIns="0" bIns="0" anchor="ctr" anchorCtr="1"/>
              <a:lstStyle/>
              <a:p>
                <a:pPr algn="ctr" rtl="0">
                  <a:defRPr sz="500"/>
                </a:pPr>
                <a:endParaRPr lang="es-ES" sz="500" b="0" i="0" u="none" strike="noStrike" baseline="0">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lHpZb+Q4tuZfKeTzqIqkqIWNrvtAhWJ1eLczK18Ep9PJVaQkUuuvn5O3a7q77sxczACGgQgtQZGH
33b09/flb+/24234ZWmtC397X37/JGPs/vbbb+FdfrRv4ddWvQ8++B/x13ff/uZ//FDvH799H95m
5cRvBGH627t8G+LH8uk//g53Ex9+9xbfahdVXB/Gj2F9/AijjeG/Pfp/OfjLx3/e5nntPn7/9Pa9
VW6nQhzUe/z056HT998/pWlW0k+//PbvN/nz8O1bC1c+e6vat//DJR9vIf7+KSnor7TISkxLzOBm
LC0//TJ//ONQ/itGRZFnmBVFljKUf/rF+SHK3z9lv6aYkYzlNM0ympdF9umX4Mefh8ivZYEoYyVl
cA7Nyn/Ozb23q/Dun7Px5+df3Njee+VigMdB6NMv3T/O+/l4WVaiDJcE/heozNMcMzj+/vYICwCn
4/9h11GynpB5J/22njslClxn2Iad7IJ8mSKdQy1MLl+TniZ/ELH1nodBIFoR0xa7tlj1bSHdcMSW
JaKyZsG32nl6t6m5v0xTgkVV2H5+mXXRZedemO6SbcjdUDkkh37QZWX7Yuk5mUpyntdVnlCxyr1M
SHseEBV3GrWZ46lTyf3SFPIkxmW8s3l/py06tgTdmKlLvqrYDn+Mdh62Kh1XfRiYkS2fe9c9SS/b
a7GtserHmFdpn8UDY33+QGbhb0jM6CHgptkF7MzrUvqRnoYZudt1xdkZZZmpO9xbxfN+jWs1ZwV5
iZI1RYUJ6s8pttPrknt0x9JhGeBhWZFWskSz5p3SQ8VQkHjHPJXzvgjW11h1bcuZI91TD+e+JsLn
F5HjTnLLFvZjWKO8W0wmbzrikl3he1bDg9DT0pWq4XrN6bJLWSHEznWLmarYlV3LF+yNrpsu0eO+
XYpQqcn7Jz2P/ROj7mQ3ldxlMiQHtHE6wPxWY4nIR65HcddJJGgllE4nvrU9vbT5NN/H3MaaNiSK
SpeDeuqsWjpuQmsfqUPmOC9T/pm48rHZBD4oaravQrH8NcHryGU2rn1lXTce0BzdpQj9eDFuU3uK
srgLs1PnMdrmtejssBvQOL/jNZkYd2H2r7LV6ouywR/S0OQw4F7IF+eS8o5sJDkTmicDJ6tLXsd2
cLYaben2vZN9z2eTJV+ayMhV5TM6p64ItS2y/lELDCCQpPP6FghF32Wj7VX7dKzbYbBf/ea268hK
96yn3H0jaMC7NrHxudOrek8p1YJTytSlUclyVavR51mmVvN+tLngCTLl1yxz8dBqndQqNpvh+cTi
HjehSY8hyfrPq0HL3aZ1vnJlpuxaxGQ6LsVWON4sc5/wNjENzJ8ajxmi3UvJIvsWcyle2DK3b1kc
/VCrPGVyR2g7PPhg1IUwr/fULPKa5Q15suNqm9qwQr1nrAu7dm6aqw2UfQTZ270o1/QrbSmMzrek
v5+KcVyrJOp54q0hUVWFz9lzA/XCuM+n9HFIlhTqtczaq4JLGp6tQp7ntu3uilShM5tp2KpmW5mu
hMuQr5yLy9O4+uzsVoYPphiKrhZ4LX+gzidfxLgVL4ntN30aiWAznxM6VZS5wdbltJUFD3JOXB3n
fPpspCEXkZpmbynuX+2UjDnXo2s+JwmZKz9ZsndNafuqQ1685QaNDyrL8GHyU19baWw1L2k8x9IW
95PH4aU1ME27sttCTXVZVo6V5nXLXfu44D59EaPOHnHfm70uU4H5KNDw6JPetftxkoWpHezUy+ZD
2HhfbsuPZRH+Y1oaUscyL89LudITVL+5TdvCDtxoZhOOCZsoNySf6pQUsq1GZ9u3Bn77umUSjZVx
rDe7Phr1Egq5fW+z0b9HLeVpaFh52LAZDnmU06EvvbrKPsW3WNhhP8whvZlxwfZTGVHJZxG7N4Yp
+wLEsh4tMMgXN63maYCK/dKZDCcV7CgtuSl0oXhTFupzo+bZcpLj4ZZtFtcdaZqq93FeOED9elhE
3L6kQ5M8/idX/vYPsv4LIb37bh2UkH+y9T8//sf1f4mAv/+87F/f/2T8f3266z7cUxw+PuL1rfuv
Z/7lQuC/P3//p1j4y4f/TTn8O63/vx78i3B496OLP3WIUN79uwrI8H+nGipvfftN/UU3/LziT9GQ
57+WGcY/ZQNBJVA9SJA/RUOJfy1SgDeECMgGkmf/Eg04/TUtM1YyDH+0YBS4/E/RkNBfSYrzkjHC
WE7gzuT/RzbAIMh/0Q1Fxij++WskTQlGrPirbggmKN02yuzQMJM71U5KFmctU2XbB9k5KJWVI5ws
ri5RH4qn0E0zPZImGbJbbJIl8kJMd7jrf2zbdEqL6YeOi0gelowJVbVdM827OOXqR5tumGfLmKz7
1eNifaQMC2DxpkHuZIRzxHCnCLH7DaMu40kQZq1dGuP07KQW245Y1C+vbTnbMFSNxgt5m0rvbdUb
Fn2VaZTPVbfYjPE+66y9jAB9CVcOi+FxkJMIp2UjcuPETU36bfJo7H5MwanpkKXKUD5LUyx7gHKg
vYJNna2bMSnc49TpjQIY6viIDMxCZSPrbQVyZM72KE2KwFtbtCCwPDIdnzc9kQNmI7JcbnleVL4f
PYCGYRjt9NDnvqJGL8m5mYVkFQwttydJXdFyOXVNVzdW+KYal156bkQxDjCTk0NDwZfEqLZeu410
uxBtFGdtZ61vdWTr9uqlQUq8o9Cyr4UbnOZAgQNQcd8mD1mfCcX94suEJ8aFt67JLHwzesckTyWa
JB8SW5RfhdQz5T2Z5ubr0DXKIb4Euqz7MbhGf6ErVvbaD5kUp0ip8Ts3+a2raEhVC0AlA9lJRpNh
15SL3z4PeapxveYj87vcxQRbzpIeaJqDpNoebeOxODAS0fY8zqj/Q6E4pYgXwDuydnRq01oCSco6
YE/6qpcxjUdfglY5tnqlOvDEwuhvbSjb6dJi1NgLaPHeVO26jegwplti6jIRcjobKgKtN9Eqc6LL
pul5ymU/P1DaL+WFrKACd1ssUnkd6bauUFSOKY7KJD/R0OL+KJizdJd22Yg4yN/1xxxLs+zaODVZ
dgoN7eUZCkVnfA7Kh5/MMm+PLgs5nGTQMNTB5gzfd+3YjPWY2DK/MQtN1lPawr7Yhcxk3nM5rPM6
cTWNqLiJayxopTu6qGrYusmcWaeV35syX2U9y2FY34oCNd033A293+FpUv1lwz1M+wY8W1xC6Jrm
TSSe+eekAeGyj0wNoi6Cx5/HpJnHLzJgMgmuoACmB1D2pX5fm5SVdQgzGap1ZkxVTiBcnuawzdkl
y/xY7NaEeZXxbe2XjQeUzbHOU7vZB1NKK08uuia7T7YlUTdNUHBOnzdMH1DeO0Z2SYtUx7ux1WZX
lq7oOh4JXvMdaYbR12hbGDrpcWx9F3kYyzwcVdOs800cp8Y8GhHWdGctyvLzGJp+3lObaLojfun1
ZyHX9RJMB3PX0sm+im4luF4ap+cK1OSoTgEX0cLqlsN6yfNpmd62ttRptY3W9TXDISl2jJTLj7KE
DXwjdeugPDrbNgOHdR/csRzXBvYQYWCiDhJDOdYondJsP3kY8x/ErENXtQoM3xkVS4lOfSGj/WNZ
dId3U9u36iIy3NgzNQKqxbuu62tVUNR/G1G6iOc2DmVXTQstQ7/b5tYBv9sFj8Nju3VdeC+GsnxG
mtiu2lwuLgIvOIWy7bLPjZ1GXImOtuIUXB7WHdgftvHZDvNUjzlKijp4WgLWdl3yh5Gg3DgawFrN
JDYLR22hD5MBxc0AahyUXqNjlVHhI7cRDRMX+UQurUzsXANuDWqHTTCX0QkZeNdN5SUlxN00cSGO
ZyhtQb9b/F1Sun7LlgEpPuXddEOjXIadTsL8NFBB6nVqlvsADhzMx9x5QXicdRN2HW3yZLeNJm2u
vZWh2CW0i2uNDTFNnRsRw5udaOmqjKBl2w2UhoYrAuL6WKCNmeM20VDkfCBonQ9a5FpoDi4TdvjQ
NOkKGFF00zmflXXHpsnyr3NLiLhpM8msOELdDf2P2KtkfQlQBLGtYhZwNehN1m2MLyVpKkHYvUDy
MWp8WVjeV8jN5wJ2Et88eV768rEv6FwVE8BfgUnkms5qv2RJUYEhy3keOnRENFFHcJP9uWmnWKMR
5Gvnsy/RZfehKw8uxAcNWMiVh6JJ0Dbt5mbLYT1Sy7WL14TiG9OqHkA0nU+lcHeFx6+DkU8ZqHeO
V/sxq+Wh38K02zIiYCHCh1iSN5HndzoFZmrXuZIr6G0cQsYjJeUNmgf6OSUu5cbh6TxYc3STlJcy
3dAh61OgFVu2e9GDpZtDL6s0MU9zxy6lphPH0RA+QIHX2RLFF5SJsSphTToBViszTXG2XcsOmHjx
EGGLip12oHL5OLv2bsa5RGDAIj0g2X0XWesqmSxgtGF31JPJ31RixI1cgq8L2PxwZ2Z2cmyBx9BG
S1528W6VUgJRQyCwrAsfjFCPXql8X9rs1tomvoGc+ZKsOK+0TsEXmedESVvPsNYH2LCSN5l8Y77H
d7Jd4qHxc+BM0ZYPhWd7lA3kI+rF/ExMfhTrIvcMrRocbXFOWvlItpZd82V6mAgCze5dejDjsh4G
3zXg/Ls36w19XOUMEU07tucos27nIT74ssbEXNzms0PiIj2mzieVwu7bOgyBF914syV9AalH63Zb
ipsqxERwNyDzLUzoaq29KXF7GzeATdeDxZyarq8Sn+U1W8s3aUTPczdpTraBVWvaXgqx6RrYfNen
yleRWX9c6Lono7qHqZtvKNSUn+PKx777aGEn8Bl3x8GVxzjY12Ej37zsj7qnMyfBXlW2nQvKsh0z
4Wbrpa4MGfQpZm6vrbs3Ep1GUbzTGE4BTXuZMsFZs+znZdlLIg9EyvZNJ2Y4zlJ8B7eDuVva7DAv
oT3olX2Z2ALGbMWHYt7ySqT+sEz6UBaikiMilZnLeQcw8Aih3ZPB6SXrhpsgmpX7ZjB8LcNl0RB5
jYChRIukjnmWVmDRzL5JDDomEDWci6mD+ELQNj9gh/p9xwR7ppvyT17q8BlRMj2JNKIP5mTzpFY3
6mpJh/w0aS8Fx80agbUdNi9jF0ElFTnbt16XKw8plheWLvSmWUGiTsM4vo1Tt7wUqjSPcIq9L2MZ
ISPK5FXGIeXSLt0eZHf50RVIHVMQWUcw6N3t2G7iyxSb9dasJlYNdvmPnJbmProx7vK17/0taFFD
4WExbvg2TLGK2xi+eMkSefSWlNl1mbpVc2GbtQU4A4NczXrdhr0FAzueHOjob20CqhScvon9rswT
YWs6rNNTtkoFyD/FYj3BNpziboJMRR2ySTl9TvNxyb5CDlvEGx1xrgElqP9DrUk+fpQWqeLQe+sw
3fWrcKKrmB+SvAqYiZIXJRYPECTBSvse5BsnxpQLV+uiwg7NI3oY0ThcXTGg11UNEZigo2e09m7l
ph/KER4ibvluLEJD+NZhBerKgiPabaAtw6EIY5yqYRhhGqiwELBA8hTZcQFdQ3g5NvibT/LPusSu
pmQpOM7ZqMGljHdzstYJWHq+pWOsJnAVO9iyy0u7DOZiZ9cddYgBcNEAA89dsm9Fm1dZDlTsTcpO
c+MRz7TGZwCEZ1tQ+bgsQ3/vxJpelFgzAGKkT8OETn5EXxzO0W7piaqUDpZ7mr7GIftKbZffkcI/
tb7EXyXphrNvEdBzHPwuy/r5iJPkg/VLfrfh6c1vxbd5CkvdzmY9a6VkJXPk7rLYxkvbTe0Bkqbs
KkkZgE6lqths55duXctd3Lzag8Jof2zMrnsA8a3SrYKs1y72p5MY8UO36ewY6ShrTYfkERwFqmc2
2Z0C/wTSsS13lHWmBYICUQe2ByXnIEBScpSSFigiJKd8SdEVhFw4uN4VFRX0anvd8b4ophtSNEPV
DiU2nCIvn5lD/pKNXQNS3NgDcZ29lnnTA+/M3/vI5notF31QrllOzLVl5dP4Csgg4cHKvf1JF80y
3rY0+170rKIpO2ZNVk2rxbzH6lGk6Qde6R8um55GDJkwUV5XIPsW3kzsj9hQx1WnLND8yGrbZ5S7
lvxBUsi8i4RhiGr9OS8AZ2Y5bZXLwVdvTX5MVH67dOntkMRX0H4rb4PcDYt40V04NmEyHLLua5Kb
t5GEL9SBbNAI3zWU3DD4MuLp5FB5mLGfeYNXf8yZsOcMZ1XfWSAWQhMerM72pZlvl9U8u2n8vqKA
+TZ3V1Be12FF8VooEAFpY1KeG/qD+UTxcs5nYEl0JSQ/mYKlECtuaT2lQ89jCSgq0kMnAwS1KoNs
Cz1HoQ5jDuPI6Qiek8V4GJKG8on6d4m3fj9G5XcN0EhV5OARhQIM1LlKIUPNLMcCBp0sJOVrXL6m
S74boIHADTSZKtQNL0rkLzEEzf2qbBX9+NzE9jAaNvEUxe7glmI6QaA/8gEg9tTN9iFuy24w0VYG
2KHGQ7PvNAHQSPQtm5wHzmBLNUya1cFB06Nr11etxxsUB1L3LIFSSsDlzURzNdjnIfYPKA/o4L1A
fJ0dqTPUv0N7J/C5TB82sVR4Qc9Us/vJ6jOR4Y5mrJJOLzuIycVDN6TdXs8uHokB/NEkgdgi9CUk
LNbc99TRKoTBVLkm48xtOxY3Vocc7qRUJVC+3niVt9xmbuNolKhqrLqZ2hK+kmirxgTdbllxR9dw
ShcHoykHWmUrNBVmVF6YzyCzX+nBrqo9DQmUOQGL1th23W24eM16BpFvmoy8zNmjL+abSdjraloM
PYn0qFPxmtG1RgmR3G3mK8QG15Ctn+0UXlbTz7XcEr/TiFgo/fIImNcdod2A6mJs7A6k0VwFtyUV
nkGlrgAvfIG54D1tBMBpnN21WyE0MLZ5nvxi6651LzjpblqRsgeKfXNaR7hlb8m69xSaDaNg/gah
pDuBjusPPZ4pEE4xvoJaTQWHplQLQrAcTkOYulDhnmaQf6Ml3WfbZDqIcdrQVpp1jai2eWi+9Ws3
naSJWOyzbp0UmNGueYujWca6FN2WHVGaAStmzkyoZrJfFj4ZrPZMNdNjohtyoVvAIGES6HtCWvWs
SthEjVp/JLBohxVNSy1Sut61OW32YzIFBknT2hrADjruBbXxWPgpHLM8tj8sTrJzhCTjFFEPnivH
40GSEfYfUdvqeBS5KuEiMGp8BHNadRMsc7LN8sBQCTH1aBsEMIOaNjuzjen0YloTrpQk45cW54M/
aIMBskkB2caJYcj4FVPsAuHNzK4WW3Fydjawo5hphpNrm1jlWxruUCDobiMNu5cyX9Vjp5ewnGzc
0ptNUWlhgt1wXtqBHHqxoFuNQdEcklmJnx1AavHOQNIFScGKeQ6G7gISYqkHFZcfsilcDbYKH83m
MYSH6QYhfxYTgIOC8CTRD1myrTcKt899SrZLRzLxats53zVUqzsxoPCEB/Hgt+myqvKFDGE4eQJy
dc0HuneqeZZ628N6g5PO07dVz2TfJ7nidBETX0r80rb6oRH97RhTBW3IcE9HrPmSladFk1u6tHvj
09oXqD/kIftudXfG4A2mIfnaLpngcRnOm7So1rn/PLT6rsPO12Wp1gpDYrbL2+Aq0rcj2L3FQJXl
wHt5vheprC040R0pRrQHcXodVQkaP9d/DJO6MSAiK8gZPfTGxmO++mtu2DkpsjoZlpJP5bTuBwuJ
Ytsw/0AzGSHcm8wOC4SAJZmoS9/MdVKCb9B0m3kcivRsCFZ3DJzBXeaI1qCNOs/j6hSAHoXRUeho
Qm7n465no72ZJaRybYvQbYKohu7xdJ0Y+LQE0mKYljbjRiaH3PqbkcpjuU1PKbQzhegeBtI4PiaJ
4Qu1R0jdTBVVciFNeEm7SCu8GVM3ecHqPIkAgpSqU5dDywqauqc57yhf8uSexe1zmHvGoVPzrFPg
X0ril2RI7rSJkXeQslSBdg13iBy0cjPIvHg7ugKYrWl/moo7iGa/+QnquWig590+6IXUmGQHsa6P
dqYZb10HTbQCcH00yQmP5Bv0qC4QFQu+5ckbZuVXrMh20kr73ZCAF/bmvlmLmzVfr1Gg0ybLz8u8
1qOwL8GSIwSmu4GEE5XbwW2z4AS5WpfDcQten5oGk6oo5utK5Q8iwrndlqvV/UPIsgeAnYciES+i
6H9kmT17yABECgLEtOtdT4w76A2cyVoMPyZTxoql0yus7Y4NJVB7WZNmhGeZ3Oe11A/92nScuuRE
7cibTd5P0X/v/FRDaxC2X9hnc38M3kM0C2ubpelO+3Y3LURWIROgOIZHkvTgIGO9LemJQIBPtb+f
CX2yKhs4zULkm8nvZ5fcQlJ3LdpJV5i27yZBX2wu78zaH8fAgKizF8D8sAs+9NW2xFh1c/m5Gwdu
S2hUk3ZCELYW+R0GewduZPW8aZKUh8aQQ2zQSUwJrYwEgu1w0b2GCHE79mHg3QBise9eYAbvSj2d
x22sYrkctUcXNoGi6pvlrHO7L2l3MWVfUwrZyYZLtdt6I6tlRS2Hnf+5RSzjwnVizwQduR/kCdJF
Pmf+Laj5AKLyRZTpYdP+m12HW4jEboQd39UaMyhK+2z0UA8brYelu9NDegcvH0ggvmUHAeHOJPoG
9OlXnesHq5vKbpC+tPGtmLOEo4zBxiPyp4ALh3TeFG/BR9mpv4tSfi469ezNoPjienGUfvjwk4CI
G4wgyBm861p1KqEvWamFfVtC8y2abA+d9+c0sDd4UH3JxXKrAhTmT6WEmhvZjDeQnFdLm3RVamla
E5nIOiPdsyPsMC3Ov9E2Y+exVQMPPzULmTFsTe0eFhOaHVMdXJ0tsp628b5oIP4gxN+red27JGEV
UnZPmu7Z5OGV+jmrie+3PbxV873o8uQwhpZW3ZD5PU3EI6Q/7/COwHVOoMkJL5z8FJzbRTX4OpS9
5PPUPWSQFlVrPx4jnmFSs/FhlAtUhxfPcZ6+wFaVR9WxQ9mT51LZ07hZz4clmfey2KZyv8DrCecM
Mf1NRLJeyRbhNZPSREV2PSkNLEmbXsemC3uYFnKGbgpEAtAyAj2Eemg1K/NOpwlXE9jkL6VIstPa
YRD9abPRmxzi5Sfo12yP1K/bNbUjvIcTcggbaFOOT4ka8el/snNmO3bj2pb9l3pXgq0oPZak3UXf
OSIcL4LDDdVREtVQov6mvqV+rOa2z7npdJ6TiVu4DxeoAhIGEnaE9pYocq05x1zQsdYrE5Lhcwk1
a0oX24se1Unu9vlM1o9TY/TRovG/jLeVfhwGMXyCrPLurIesos6iiytyOCMSp3hREvyvydPcl3dD
w8oEgMhT5Hh7aHEad0o2KTz+nV7m+TparDqiEb2VPRCScfYs3QjdkthIu7PlktFAQRk+m8qa4S3N
CbaBMIZQHuM1gdrhErQE96IWF5QPj/D9sExV5PdhW/O7kvMpgS5K4DrZJsPtKvCcwjWpoaknxqo6
gSL7EHR9lHSNzeItevEmHHDz67ewUu8d6uN0LmqZ8t5ZWI35ix6KrIm60aD3Wd/DUr36Igpe5dgd
YCQNOyK2o5nIQ07p+2D5l0KtaRxuQcYVlALh6he/riTtYZdklWVd0ucotSlcjpM8N6FrgP58KPH4
VsdPzbw9qSIIoRVOr1MdXCnNbkdHbybLfKbNGB712MRpq+mYhTjUk6EwTRKUI9gidFq07S9VXB67
AKQJs9srtItbo4ZPDSGPpbRbQufufQs9uaGDO1IhHvN1A3kyQrlfeXMqeHjiWHSrtyIpVtQwJifD
UUKo2M1iYlkp+zKrnfMHJfDxoZXcCd/Z1K89pDM4SG9kOEsMrRJ7y4z82tmyvYr4DApiXeyp0ax4
5P1SPq7t5i4kw0vPomW9jaa8gdrbC/BEWMgZzKDqFraRzAGLhZ2Ekxm3EIeL6tFZpm/oHHSXYzyi
3xsJC7CBCtt8hVdHWsAgOXmPh8YlkY3h/2G1psA7lruwKSQk7JntuDH6WQclv5oiABJ041jzoVl7
usfhG95IqLKnQHXibptCkS3LVtRBstYGvXazErxO1dJAYcfHY3yz2ViGKKCKaN1ByII605XTfM/W
eYVIv9mpxx7BVQ/1EHpH0hBPT2s5QOa06KDMGlffhrjEIc5bfmX52D40a9tecdepC955dozjwHxj
C9eXjnp7n9M4lElR1iMuSlvRX3sXBXhMRfRUR3o91VtrTzEvlguaW7mrp5h8gHDGpww7IH3l9UzS
ph/Cs/jU3kysCw45dcsx5914oGIYLjsKr2zUrZoSHxue5X0f7s+s3l3ge2zElZzYlOIuzR8M7/hz
eO65xqjHDXUczUK7TRAQAlneuKUXJzFP826JwvIS4hXZLxRuVGK46/fRhrK3JmN1kgudwqSwrMpc
F+FML1U9pmGfN6c80EEasMgsKdGLuLS+4N+M1B1LfDNxk4oprnd00qjFN9nE3QMARE8SjRcosRtK
Mag9Hyj8mih1einfqCPFcyenemdgPPQZzFMoQvWyfdFwXLPZNvy+PQu7hgKSi2pevRQNDE4bV+S6
MuuIWjaKUKMIecsqtdwNAGK2rOm7KtwRKF97P696V49ywNYXyQc/3AYRdBKdKDYOsOrjyNdww9Vy
waZRH+k6HVsgU3WSt9DrEpALVVbAi2wepLXS7POpropdoF37leacfsnHeLnwWtVfBQ/zMnNtPr7l
UCKeHa+7MJk6K7bEbWV03Te8oMmZlnoDoLi+tQXp5A7lzCQvQx8H416YeFhNMlZ4l/EB0DQkbglH
B7XIoBD3/bBo1HcDxTmhHM93oJtaSLVoh5rwTqsCe0GY62E5bl2BQs+SnKqTZ8tRlme5sBe1w10s
WHkp8y7+EKFX7zIvGg6eosWBs5u7HGAh1T4O92r+7ge3CyqpZZrqQwPAjO96Hk9N1sQQAJNRtsLs
yqGFXV/HC8rQwcPhS4yXnU61VZE+SuabC7pGxbSfhJveIcCOdWboCJdmnsDFQcNl9hXkCk6YUuqg
SPO+WYf9xDSPLpqoL25KiuMvK5U7QAFW9Kh8UG0PAFHOq6noQb0azre2hp7R0i9dG8ChjIIWO20Y
zvO612aGiiq1QCuLvwS7wcPhLEPlGyrKOee12FGBAzob21mEu4pErbkscORGsJmksdeh01F53a3Q
gT+BJG3k9dLN63o91rL9OFbzsuJTswbeCJ2p94m20qU5UA1j16mD0ZLHX1nr5bc8RE2RbFAJx8u4
XM19VLjApCPEorQawECkQdRt0ExAi8wJH6eoP0gytS4bc113O7ZAQzrNMZm+ioDB4iAb8SRriu1D
vsQ+kVEPGzUWG3YMMGifzSrmftdP8RxDQWg5aBATx/6BTiioSTeZ+XJmPPoMk8OvKeCfec3mPAeA
Q8IgIvuB5PW1jt32bapXNP0h6YnNghw4+IGYQEW7Ym2GPgsIfI5kKueyyLrF9Fdi8Wy9cmdk5IDK
ewBFq9YCzWgVjfxy7kaoZVhD0u8XLxSQhzDOt/VKBHOnHpXLVZAta2lue+gZehdqIBWp0Y0ebueS
a77zMQeQoGYIPAfnQJ1cDVMQy8u5Nv2dWvONp4bRywnH7IIOa17rxwo133DNZu1Q0GwBA7YT5liG
MN6WAGV9G4FHWklvcTurrU/AQgEcWUSMnZiGKBR21LXc7J0K6Aqv3pp411Zj8LnoCeFXPeAcKB/U
QU7qclt9WTdV5MkUdjyNZIUvarvo3gUdABKQOqEDYlMXPMUKhgxZlzFsJUPyOE97v6yPQINGjbbL
Vx9AJ7Lo3uulea/kNm6nRRWFfTIAH+h+CgO082TU4I4rFG35cxOy1VzTYiynxOG3rDDMihln9Jrz
EWWQa81HFZxLIBEUukIVPkYQqNkY+hc5SFKmJFoKBaW6GkKA0EXxjFqXR4kNCqvvw5ZtXxY751sG
ihT4zRSU22tdhXBOfd5GIgGfP79Tu5k6LU0BzXBalBhue924b7A/KyCrBX7jro+3cU0oBTy9MWNQ
fimLw7SHmlGn4LKC9SuBi2T3GnSNOpDY6SIlRRQqvGCFM6jDq0pfNKzy34QB7XDiQyOiXdc3AJAb
v27glUnXDmmz9GCpWlmJZg+WtwiT0lTs2YkFVKQF+e93isn8UwGRd36TgDTGCxDYbMh0JS32cTUs
cTqh3IFgHJjgCm152SYh1gxPYqfGh9YN5MZ3uamzUgetzEY/dHPi5wacDTZztNTAVZrjChhqj90w
TEviXJ/WNavghHv0haj1DJdXoV3tkJUFacaLhutYYFscsH3C3IBLMTWKwu6Hp99mcyXgxstiE+s+
d9bOL/Awo085jEboqrRhn5mJg5e8lr3LYt8INPpYHHAE+liYfefWQd5D8eB1SqSvi5PNRyWuqiUY
bkXVt1ValuMGwLwRA0unYFnlCTvtxC+nGA1EtgAxG7Op1dLijOu2PGtoCAoZL+9UXHU850DKVllf
Nxp/cWkGasq0tr6GPx1FK16LflxuUdOt5Z6PHKBX2QbNcDn1G1Qy2nfbOaTA6+JqhDyygXENp8/G
287sW5vrMR0bz2XqYaTYg+dWlIcCNcqEb7MtnyesnxjiGpHRgZU1gKlC67U/0LzO32Ohg+0ABspE
h2AWQ7wPHYHtC6DWgtoa1hZ12Fx0ZbqUJoRSWLjh2sYlr3e2ktLhBFy220k5tqbN2KgqGYQfAJr0
AFHQQXekvBiYmdYdqBnsHLyaxHjauonPkL+GeNyF+ax8avCzciegCo6pWrrJHUYLVgwddwNDsOgg
zqWCmb4UKwD11X+oO3/WjQIvPAjvkfqLpmIyKJJINBovkwn9dkOVsNVBxItEhoDkzGCXwYkdJj/B
rv8idnKGQ38PnUQoaVRMaMiVZBGaGAby9efQCdDJImhNwdBU5QPehmmk2Jr4sBdz0Ce4k/XR28Nf
X/McZPnDNRUyLsBfEcOJFTjYM9D6U9CFclFCmq95JpQhDyqC6sitBZJad+MesnS+b7XwWY0bgYzH
sM1/852R2Pn1+iFnEuYnF0wR/st3hopXbF7i+pNttz0tC3dUzIOXIMX69a+/6r+6lCAqlpECB6x+
ZXO3BYVnX/Q8o2xobhhBQx4AmMtqXUcPf30pev7Yf7ytDDCxCAFGhsAbJP/jbdUl3m4HyRVlhgdp
O0NR1BYFpsxyG5Crah4hfNUDSiCPzbeHBJ/MJCTpX38MQM+/fopIRJCiCQ4LiAi/fApU62bGrsEz
PRn2XqMwdelaB03S26a9H9GObX9zxT8tYYXvGsYqYqCgqQp/WU5ojvMS7yS+ZhcWSVe5r4BvSAYI
+LUYyL3VAAT/+jv++alyKYTkiofQDyN2vgc/LeDBrIWwbpEZbJk2Q0m6JbwBJESUm/7mXfnT7YyE
imQYxjyUgnOBzNrPl+IOvNuCcM4up5V9LdaouthmQZNIQ0noEPQ6/vVXA87+x8eHi4lQMSFAu3MR
//LVLC/6SuoWLUFkebULbAkAboW2GP3NU/sXF1KU40RGdYfN59d7GK8zjpu1AygwEPcIJra4WYVT
u7/+OvTPl4kiqHtMAhgUKhTnxfPTo5o94PhVi2rXGsn3bVexQ01FjSNhrNIB0lGqh2hL8CGefavz
HUiONqlFW6QqKs4dwQqDWuX6b1bQ+bH94V1FU/vzx/rlsbZ1ji/rZLXzbQH4owaIsM1G47UM6lRu
crquta7umjxmf7Og/nRDsN/iseKV4ZRS/v2G/XRD+hI8Aed1A5GFt1dd7uM7XxL1N1f59Q0RETb2
iCEagVWLyvmX70egVzQw2Si8exASQ1Sutx3qvCSq8iL760f86xfC+xdxQXGmMGQ0Of9lxQ4cdDu6
d+SuAgqnbAvrAdD+2qvlb9bSr98JKxX5CpwcigHtkuE5v/nTnRsJ6Bck54o9XT0brmXnqgcRrgRw
D5gT9+Nr/b+Tx/m3QV5KKAEfj9v777O8/9N82rr20/hzjuf3n/tnNif+jcfYOvBui5gw5P7+I5uD
rC9SvBQbGccDQ12Dq/0j0Et+w7pHZiZG7UHOizP8LwvnhOp82v3+nuMtwwVCgdcMVYbEf78szr/M
5rRBr5rNJtb0g0lQoSmTukkCSNAtv9li173BGiu/1CwAH7Py7lVT6pAjafrNpFSV+sHEdXgOj0b9
cxdNQ9b5vqv3ZlMTuMdxuNuQi73MHV2RKCsbNPpAU25ggcCMWnL4uQZZnvsaaOAV2UxXJh4Q77XD
nnkZkaIMEk+3dT/WSPCk06TMIwdgjJdYgZYuYytuWBHJ8pDnbAMOiRoD/kl9GBARmq/WhZKbrh/E
TcSN+NTrHF2lDFj12AQ+fGJV2d93M4BG4LNcHXHaGHh3kS13ofTsHZoDHHXt1vphKjboAxDN28yH
YN7yutUHE5iKJLTp4kMeu2I3D1FsU1rm8nNVVQgx57blOztv4dUQK3sfAW+AELoF5gQcBzYTnJUi
7RvffAoaPpZZgyzEB7ze7UcJB/BS2M3e0VlJZD46DrJggHP/Ad2ku2sG4r/VcgRcokgbXGBTopej
hOgJFwJpgD6iK8gXmu9WSLhgqCue08QheIALQqQ5QtCKXyww3GdADu2nduZwpbGQ5G6GkOJ3dWuI
BxoomwNZmawTSH3qENRsufLKzhltyAidG/pS0i4DfRIFlBrcq6D8GNZz/nkzrjtM00YvWrcNB5jB
ESDUdp5B5lU43kKQnoDMHcRrYCFx/M1YZL/xm9vdotR8Xw0dkGqYqa8NMs1wm5etvySSFPstZPG7
63V57VdasIQNJrrnAF+fICyzIyQKf4rNAIaOQsN5c/CAjgupdIwU1VK+AhNZL6KthXowuBHRk2iE
uLEzm/U3ue6G+9CCcAgLNdxH8JMOTa1clMl8Rutdw9cMEpiHHIFyJESPBr3vbizL4ZGEQ/Gcj726
gsK3ZPBNEPAqeoBR8RZW+z6wZL2qsK1/o3SsPmI8QJFBw+d4fnhKJ1kPCrqln5GRZRKk1bQ29i4X
Cp6qlNUh7troWga2PyErV3yyepiQJ9KdvsXBs51q0o53edibV07M/ACXY7g2UG+/jF6W8GR0hwSW
7z/Mta8O0wyeMQ+a9wnEyR4SfpSFzSKREtLLvpEMEbnZT6ctjtsrXYUTSzpRw4dH5GtJwzmiWVFu
8tCvzL9uQ149diYqL+vRr0eQlDDLSeefahhTTwsS2AYKIIe6EVGkow89AHy6d6KgJpP9EkO+CIfh
FhRNxxPSikmmCzgt8Gx17kwmEIGD3B8Rd29jJKoTbjqi9nPeDWD1ZyfgchLfHOG65h/9hiIiHdha
VMBUIEQCX7JnDG5pZQzQTpsKLPOS76qmKhAc9/UzgpUVykwEsG6nwefDXgbrdvRBs94RqtyFW2IJ
cqBs4g8cefEJGCGEgLQQDHFvgvz0BVikAgtVBNsL3zYEFMZw0mcYpbmnrBRX8G7wEZa4XAbAucV0
P84WQYKg59AKGazJT1EMiyPpw8lB/oTX9xY0xtEE3BGULYJmKumB/8HuHMfpo9gaJCIMBkE08Ig1
zv3YtMNXVyz2uhpLAsZuqkqdYT/zcyYj2XwIESSUCEfNy9PUt9FjuUTluENshQMI4R1Ny4B0SdNT
/gGQlD91eb196aKw+YrQk8B1pW1uHXZmi8SQmyg2MLc95yv0Z0n6fshPnYqah8aW/OOfdLsN5T08
JUnfmq2rDgVf+zatoat9QN49RB5gHY5IFaqsbajMZtDjn8YaNreoJ34inRrvXDs31wLzKorElnmL
zFwlSxgXSGokPwl/vhfkgBXSfIxznQNzFEN9ZjjOEuAGfPBlQWOEWFhpbJtNXdTrHQ5nkERxGC/P
+WLHHahocxFAJmJJDqka6msvttdBVsF7GUTtI5Km1VdFI3roAOBdx3aSH0lLFfI+XciA03ctS76L
iJIu9YrwPtcnwnv1WkITPCJ6RdNVLyxbN4Q+UrkKmrZkNiARFHJi2A+7224KEHrqWhx6MH2k+fBD
dwy2ar6GMcJeZhpBja14c6sUVjg02HxLXQ7iVxUUyYnSxZcGdOf+uzCp9bgdCoCoZWL1Flw1QRfh
HVyKz3GFZVvkXCQ5wF0QZLUIj9XQV5eO9XRXw9T+RHtkpdJAG/3iciSYAcuX5LghnGeyxvagVy0J
gXpZNGhPPwuczQIWtJsl3tGtlpk7Y5UY3EJOrFrNha3dcPlD8gRsD0NuHINL5FKDrPZUXAbGg0fn
HoGFnxXQ2fsN+mLUu5fvMqiomuE4VDUH3oM5EJpRmMWiykGT/K6NFr51p2VwiE78LJBiT3NHkNtI
B2FBtxhygbfyw0iH9q7BdSH9zNOUeWtqME/bxEBQGXPBaGUuMJSgv2kbrb9iqsH2GkcakqEbAQzM
tNlz3phDIYfqrlKgwNYBZFzScd4df2isYJCaUxdF9o3wSb2zuetA2QQqT3hkepxIQRz3hwh1xZMs
HL8fUcvsi8Xld7XjNjMqn69JA5++AURzyaD/AdGI2foCGuH8ptL2YW7K9kKOmJcRDVN8EvBYnjE8
BbvPBkc/sctMP5NiDoDEl248rHxV72r1+acwd9tFua24V4Xg2/VIVnIXiFWcdAk5OgX6EH7DdBR2
HY85uf2u7pK6ak5RjkWb/JB4sVmQnV3GCC8nbu1J5LF+a+fQADax0fAaVuc8atO0soMA3pELgRL8
pJFkYEihcfUZLO9wkoqvuwp7xV2/tPFhZAohvVgrFBiBnAHCbMsxLkew8osha9qpCXa8rhZsqaaM
9ZMI2fwpLob1Kl7mYR/pqMhATZ0P2wLYN2amLBMIxDAHjFnGFzm37WkeuIKfYEHy+K24Gb3odsOw
1BlmtKwSyS9IzD6aOnSqg5lT/l1nRlzGELjc0dmrkbM7lXG7HSZvEOXIybymTk360OIDX5Srp2+m
NT3LYOMjNfNDiy46JZ4UyhVYcrB3gTus8yfEEWqfVGHB0hYg0w6C93ywBqh9kheuPGBsxXirdVG0
aZircgdHTDQ7Oop4HzcDRORxJuXJlKp4ZLUY96qVKgJagfXQ50XTJ1GpsA/TKOJDtsiNopyZQFlH
o452y9ybfVyMxYWOJ3MjZAi2wVdEHpq2UgqtQhy+xSYeZbZOfDn+ELyDjam7rRX1EbSFmNKO5Rss
HUX6U4Q/36O5rW69ic3DdwmcEDfdykZU2CYrzm6gRfTfkClkCkNv/kMRzxFphcUv7AdERuUl+ChQ
qRXI1p36ro/bQYVfYZE5vPOm1Z9/KOUzj5hLtTNIInUhDh1Y0A+rjtcnDAEaXmvWx/ty5sF7PFXd
7oeK7orJPYelzJ/GaIPhvjZGvJBJ6ctceP3RQ/FLW1ptNwvrI5sAVaneYXv626rCzCHYa3F8mKna
3lrm0DxJgPJV8kN23wbC76oe/EcBUZ7TZU7DEamw+fRdiI+ZpT5pFTefZ+cReOpFCQ2mtvIqZ36B
2+UaDLSBjfp5aEekkrfSDqiM5qYDRsoasOg/JPtBD7BOcxOMr7Ptxj77Wb33JB63nQ2i2O2qcqIj
0EZrp+uStd1n5ma7/94p/3/l4H/8UAA4hJd/rxwgO/Lp8//+X38WDs4/9s9JYPS3GF0ZiyKpBFTj
80yvf04CE7+FGA12ltGxbiDvQlP4h3CgfiNSRDwOKYWNJMIQotY/hnqcf0hGBEpmDKoLUrT8z8z0
gJT8B9ng/KvOoi8j8GfQ9kv1i6QNJjrwDHVHVlDmXhEsiq9gipFniSxZnE0i3C5wpPeZdFs1otXt
8huEvsCGNbqKICVihNV8HjvBeTq0LshWdNP3ZTw9TbSBHi+DWlbJrKb1NM8trLxQGXtYFUd909HI
fFaSjldTw0FZos0qDsjFEJLaFnxCJtmg46uyLJuPmFfQ28NURpweejqEAFyMz1/sFspXZ6XkWTB5
jvRerDHvw7k22tWhNK9ltxQXUing+6NZdbmfVJVL9EWEQVho+tFAy/f+hvq8280uDN71liMs1omc
iiNcUH2DE0MeOnREV0WMMiGxnS72vN8KAb4x7xHTg/mKUJvERCrALfHVuHhE5+yII10PqTQrcrOQ
YO2uM1X/UNPa3W59zFJXdoNNp9wWGZcrHH7MOxp8gsq3/0RCh0sB6qH7kYYWwdpV5ZeeIZmyIHc4
gnFe3VUkQHNU5ahPUSftp1FC1Y77wX1dkEl86tkqrmm55XeAieyV6Gq57oouJEkXbDUotGKt9u00
+WuzIMqCmUvTEa6zSno9BxcGpdRuK9BoQDAK3UWr/AabfLA54Axk0xrUTMH85Ou+WDDRwS+v4PPZ
jYvNPB/qqWd7FQPeQFqvmarjTFlRYWpDL78BDQTbSisMMiqSAEzVSy+H8XoI5tygRY1wGIP1ZhrD
pVYMM9iq+CpCS3VmFSV9ycHVQUzR+mbeuu5QhwM7YUpc+7aG67I7N6oZMrUigyE9P3Wronf5iolJ
xzBA+jK1s7VZPlniIDjBPkI6qgL+w6RHAMYG+fCMuXHIk0EGxPgU7s0n7Vh9hZZ1+YiBB9NjSbb6
Igec8k7aCbzbyKcSQ9ewsm+dHesvE5hGQMB6eoXgH33oGqgWRVTqnQB6ysFcRjCMiYH9n0y5zO9C
Vhm92+Y+iDO/WXG7sq1NZ0e6D440FshhizBPsbXTHvNjzKnhHn0nW/EmLWNIv7Qr/iZolbpvNA6g
EjnJIYmnmXzs/KAvPNH2agGGopA33dw9nF6biSWsoAVi05pAg7XNS0CL+cKseVdkcz1rFHVhU10T
X7DrwMHlyxFoQfMt3X0LHgdoPQRqBJX6ufIQmwbUtV1phm+kK7dvWltbJQ0Gg533ifymlK0/kLKs
rwqE5fdzmAfPDlGqm6K283VINr0lwSTxTE0A7CeK5/zejKsEHaJ8+03NrvnQkiJ8UFsNxtt7FaQF
ZDiFyV+TF6jlPJBuwFDTsZldu3MtpS+xycGcRx76SzYUyOwlhEFI3LpAX2I6QXWp/AKok4a+/Rxr
p5/xpNF7b0HTfIBnUzToNib3ETm1zh/tGNdpjykDF6wFOnRQM0boiHr5ns7C1ppCj4tRqgztlwaF
cJ0gnaz7pKmD4pAPDBNbmJKvzKF/2Eu54A2eIXZBcTSm2+keU0xiUZAxoXY2TwR4HhRTVHeXZMvN
81bj3DjIalZgOpv5uqm9PkGsWvHpFakOGtv3TmEEyXMjwCU2grgqq9cyeJdosIJkguO+m8cBJmUc
bF8i7NkJH1qJYQidttfrxBjLRlzjEQWOCtEoiRDZzViJU1vIFbsPwoIolJaOWHCX0j42tq0fpPfn
MntuizipauCICfCp8iWai/4FeUAkkb1uypRa2j2VcxE8TWVRV5iHKLstaTGbBsFvsI5NEjLZYC2W
tsBOgalPWwphZdt7JlbETCzmWWhKtptKUXJQBYrCXcfI/A2gNSD1zTURmBFKIpK4wdR3anHnJBEG
3KFutwhFYQVgTQVtj7cJ4Eii2r565qwO8UQhbd604wby12CM37e17AHHxmGTCTiuewDaNapCg02j
IXN9tyjMwMScljAB0VFc8G1RGAG1TTvGhuIuxsgZ6A1te2GggGSLJu2cgXxu7vs51G02Yp4hjswB
eoSsy+VGoUU/W+Qa0ws0X8clAcNG7kqkAJAMR23+JLC/PLq4Cr6M0lYgFG2tHiYJcDmd5whzUAaA
tW5d9BOyzfKYb6bv99SJEIgXRr5VzjmSBGst0JKPGtlcUiGmi1d2uWIrz78uZGiuGtB833QYlxjx
AFT0xhcTfZsnzW6wDW3XGDuFuTohogjphNz9TVwrbK/C8PAtgJL1hu01OLBg6PZeV1C3isHQtxxY
/lU9reamwAJ/qvR5HOO5ZzHQ8Q5LG+UIyETxySH//1ZuUQd0b2GhzjDDTyKK7dovNaa94B+V9FK4
lb4OIdZEOlqgZnnFo6tQifbQSXC5JDIYC1m19WO8hvwjWvsYhGhjRpECUGIhkgZF/i0v8xmx5jIv
dwNG7Dyi0SxfFP7ZEVxQvO+acMVusrjlspZAwkETFw8ELOIxMoKZpN88AypJq+56RtJxzGaQLKCG
0I7dlZsAk2xHi752EYVFg9+I62Ca4TVEfa/+L5y6/6Yz8f7Gg2Mobv99JX39dfr05zL6/DO/l9FE
KeAtEfALKsiZvPi9jMaMXTA+AnU26ulzhf2PMlr8FqO6BvmDOVOCY5AhLPl/lNH0t5BQeHn4UQYy
Bwbdf6qMVn+aqIsuGkqiIgCNojPl9EfH9v9Qd2a5lRtrl51KTYAGgz0f65A8rY56pZoXQinJ7IN9
O6d/FDWxWpTTdjrta8OFerkGDBgwMk9HMiL2t/faE4rcaIP78iMdv4OP7EOIZUgzgBJOa/e5x8am
ea3LelSQADXr2mXX+HOMAHtBwLkaLoaQ64VZGpL/yWr16Hoqk+mxMLv0HfBP+MqBc7mfC60vMPjh
61eNatw2zuxe9gReZt9I7AJSQFfPnjXY6RHLZ3enCU1Cz2rKfY287SOqjwHglhprUN3q29kMw7eK
6NeHA2M40MO+uSomvTstcaceFWlNV1U1ZlA8AKuoUWQ/Mkmxt0niyKuutpKvFjwv7HNT9yT0LLmy
ytJGCzFIFCU6afJNFK3Y1cTQobI681VYMqZoDFTyTWIQpWPTQAQtXYDZjnl+GCIz3c+l036MRhQF
kWakD3i08dTnTfwymT0ItDgkXmAZxrmXhXWbpmzb9Hxun4twtF6Z0eEnLytct+gU2mFyFetLNif6
EhRaXF50ojJOKePJuxSXf4pH3qoIatbRLmMCcUi6xjoqGSeeyDBZhSt4wB/QcFriwwTDA1WDOoAn
v8pvhdrY5zix2RH3mjJdJ30xgMMBN3Weo0hc97ZE3YwAOfp8WfrRHbLiNI9O/+70sEuwVObhCRm8
QG0hzw5eCWSDO2uXetLXl5bGY0jpq/qZqZp2YwPUekjCziEeokIGLAiRVWLOnhkSRTdFnhfv7Eby
4+LG4Y5wm/OzkWcDj+PFnUAKZSnpJCl55CmWqwLuEcMF5kFgP2GmHqbe1Q+JWIy7QeH69aJOlafE
ctEUnaEnGzAMd3wRCsGhTh33DMDF7cLomG3OEplv7DHcO9J/CRbwVqtKT3fZvHq4Uet7dVzGbZ3a
1c6oM/KfGjQR0xidLwivbPI1vVjubKdMb8DhzdeYkthGZJIpw4aUQxjg++IQsKAfIp1XSk+QwgEY
V1uN+UjcFnVoruRpmKJiXysumS45MywADFc/8uuzzQZoU/WbyIHPbGDPu6lxk2+sUWMQXpVJdlSi
LLqtpcPYU4L0xoMrQLUx40G9LuJRbCeoNA9u6zpXDks7Fw0mUgL35RogMs0ro1Wt/SDT/DQXto5N
2Tb1vWMaacFgSoPWPMbxXsi4uyy0znl3CItvs0i1T8sc6WAqjMg+jYzzTkaU6vqmMXEJb2yVkS2f
OOrVJq6OSwbtdRyU4aJiR3VWtFycQi5rcSwFZIAlNxZj60xqyvzPqMzrUXH0wHJj8S6kYxP+Krm/
t6DgrFtt9dl6rNQc2ztAbsWRUFPL1wRO5SkmQsfMOJSEXbV6eDZyeD14TGUbYgYVnWR8mzPrbpeZ
uenidFDNipL3G+GwfQcDR1iVUFT/OA95PW15GthMSaZkeinIgJO96nLji1T19kJtw9jZ5HziA1PL
8dW2lOLDKM3qnp872sPlS8g6tOHFDDcE42ZSi5uYdKjgeq7k11Cpx1NEKPDCQj/eCiWynmVjym6j
D6KaSbzgo+VAhz+Ys+MUBiEnGC/Jc/MCnRMGOBOOA4CA1MMNLP2KoBf5sD4bsUHNRBOt8WnQRHw3
VUXvw00ozxMqwGkwUvNlSoF8l7MxvAAtKdrNnE+W9pTObCr9oTYgbmazuaaX5ChetIRg+OiRd6mU
e8Al9bCBeC4Yc9rjtG/MPkkvkQvYAztlkce+rWPRCByCl7UftVr+2LUKTKw+i4np5Rjob2BMylNb
oej7XCPt7eBY4romf8weOExdSNkTsfd6SgSTRzIdE8+VMn5oR5EIYvF5E7iJmZ4ZgpUu90HHc4h5
c3odNobyoTcLAeRkwD3sczTj9mHy01zDaAIC2Qhzh5FbAwdYhT2SfvRop4lzYydJUfKxGEx5aVuH
8HxUYkfcc7O65rv18cJsMwdLg9FFV6HdkHbF+Hxwqia/EqRyF38WdnsyQjvzzb4pbude13cI/3YA
wcoKQoZ6e6jVANTSKb2IYo2khkm64qikWPQhF0y7RLMZIs6gJjMrJe2kpG257XHV8wcjQEswlWrf
DgfriAMagaoo2QIPBvHEhhHtFHfZldvmw84y2SC3Hcfajah0ZcvD0z5GEeeMWCbtntBatquTqt6X
gjHqrcxtZHK3mhnJNF1BOFUamnshx1kquyyfWgYseYtzxITHASVABf3LJE3ty41ZRe0F2YOqChwX
2ORGNkz6IgL9z3LsIUxXraNNwbC0+Z2jl/l1xxaA+2tUuUc5zdfzVsli8WjqWjwSXKltuatnq4cu
VM9sje3M+WqHbfaVr1C6fp4kPc/YGTO5WcAo3bj1vPiETrhsQ2jrl6CmycsMaP1IDXmf3jTJxJO7
z1Q14H5c5N7ManUvCxfSQhXye7bhNDyOi55D6UuR3wg2VsWwCztVZD6wOJYdBZ4T3oWcbQaWe488
0niwFtTCQKiDcYthg6OZhdx0ARKoEaAVa5QgBSu2l8G3JHvVuHpJBtqOeh/cXX+Z5WN5nZJvtHj9
ikAOx3wOVHj+16Rh1bGQzH14LS1J+iKbECD9Whkrx2OO0l90Vu4+gXrMvkYJn1nE8fLzaiHmUd8B
0jLmcddaqnK7GFWteLZC8GwTlVN8ipYMCNi/F87/SzfyWNj+80b+fzev/dtfbeX5U79b6TAYGQjP
loPjmC3Q71t57ac1JIC6ba5e+e+cdDalGca6XWfw+IvP7redvPUTnk/8BZYGMRs/OFvvXwHf17/4
4/6uG4OZ4g+COGcBMgqEcS3eG3v1H3byA+NVgJ+gOoQBTzMwlhgthA1pWW0sGJ2tcjlBJCnCQyHV
iRy/0QNlNcYqyGy9bBAB7IV0/KAi9hnVFHsyL83nqnKLs5yQqUs9nvdjUmu37HRir7ZgDurkUDfc
RhNBe0CDOafSk1vp+nuVacXPijK2x7B0iP92LdRGZ9K8dp4TL9VKRoWd1oRBtCypvuq06ntndQBz
pFm/L63ML5MhNA4Mvm3MH6lIHlwtq19lDbEntN2I8gAL4JsR9l9bJRm9CVSwzyeed9mssZua65HN
fGbLfN/rdbzXItHuQo35XdZxuBcgWa/i2I0uEiiz3rIamcJ2zj5kZYVX02CxFM+5DC+nKEp8m8D1
nv1edDEAZCUIm6pbN6ttUj5oUfgSl265no1OXpalaftZKm6bwr1pzG5oDwjCIQN6lN7Pz7HVLJKv
G7bdGci0SC5X8yTRDKdkPGRt7e4HuyzekVbsvaLm4mbRHEBUa+/L62LO+nuXk+7bwHSq/FRY1hGI
Wfo622VkelNZ1xczVsJTOrqL3CUEn55rpP4vBZsPcnN1Q0Z5M5VGAdhttKLUZ3iHxi0d2eqbsBsb
hG67tHb9KojruPWe6kmgwcCz6u/duUY7n5glIpMqzFrZWOftoWRbig0hCkXQJblydLKSIekqyWtl
PBzMJtO3peAgBjFFSw+Dms4KM5u+yjcYoN3HRJ2KU6f1xk1XZCVMVdHqCVRBbfoQaa4onLvGottC
3jX1gHMgEa0qrpVjrDXNtYJ/tQWP0tQmRRZckitjrL7E96delTMaXwxC6yUup+JQDyVHs3C2aHUx
Qr/mnr0kNEomeClVH5yA8QhmjpxZphaBKkkp0Lqib9Vay+F4xckQON0Y3yx4Ay4E9sFzOppsfjjs
BXk6O2d3cs2PqVGYjEs7nXFrxvo1bSTOLtMbfd8bCp4BQ2rbiHwgBlAYsgsKGxjOgjYJFsFdMqmE
sfV5rrd2Uq3ElXghieJMFm77BgCscMly8XsQrIst0uspd1Wm6d1Npi2JrwkAfrNh2MeBbfbWsY30
lVjygHMO8ezSLUfLU2KnYmm0iuS5qw3KZnBzgv/R2npHz0QPV6ka9rgYl4tWLdpbZ1Gjg6bb4c6Z
+nSbaSZbtp71dju7cfVmjZmNhi+1Xe4Skd6oiUF+KzZUGPFm1n1JQU5f6tXU7whW9bDiwavqYo62
bbKUR3eWNUTQBsAvF1N2GPj1L2rEvqBRWmYbA4hUv3XaCng7aj8NGZmqbMj8mRc6LUcbcNCRz7Io
j1HFzr1oW/2W0Ju4Lmswv2bXAM/R4xWsqsqvdp81d7mEzFfmdnejI9/eJYU5vvIdGsewTnikzT3R
I1MJrW07DcUV5Nb+kQghHjYG2zfZuqkwl8oAuDC44l5WibvNxwmijFbxg8pY+arEZO9gMU94fYrI
EfuWEp5DC1rtSU9t1HxTQLTcLbNSZkEy2sr0S6bgX821/9uWZ5fxMqvf363OIFL+z/8Mr833Uttv
f+xXpU3/yV7jY6xyBiuxsVrWf1XaqK7Cx24YLs4ah9QVItw3pU2oPzkkMFg2id+uy/d3yzO2XuYs
tsk/hiCD92+W5x9CNiYT6rWBwl4DNg7b27Xt4vtkxO+hoVgH+hvFlfBMsy6PmDY6f6LdwBNmZO3c
IulhvbnTXiG7/y1bZOYNKEQirYKnzDIE332V33YS/0v2v7Vqrf763/33vDPr03lvqjzb13wI4uX3
7+z/c3zql9dz1DWOAsJ1zcD98fWWojcZ3YZ5YI4KB7El4CT1i9xMxQqlan/xkTD5/MWHYs/FC6iE
tFR3DQJ+F0SpkB/gBUqDxXjJDllfWvjAKvU1EnJuvKwfe1XZ2q02O3tjVrqPqrFiDlb9Uu8VNgMP
CD/ZA6B7+2owYTkEkmjNM07A/N5BgmNpn6TYpMXQXri1snzAg+AcZU6qDXXPHfUgFWqebdx5ju5B
N8bXzOMjLFMaZ1q/NfCielkXG5xH6K+6j+cKBGiMBVRj0GNkN1I6WeIb7K7eqPtIr806pIeoiPvS
Y0eDeS1uwvi+CrtU8/MuyeoNTxyAWtM0gRqaBBYfJ61YURm7M7FmoMu6Uoc42uHmdeMm6xuMsipM
YmM3INCBh7X1qMAUEQ4vmOrJVReq0j2LYup/Bp4/B6iE8XZ2EgA+RH+Ka90NK1CbEht7OxfRlVVF
+j0HnO65wix6TKmCCICX5v4aX7itkQWeXAbz1whIIgg1vb7QElAoKbyW504X+v2EXnrIxrw4yGWZ
BsCqtrgVbEQu7dF0MAcoMHALWsmWwGAIWvjcUcBa0db7dzQDdjRzGSkYP0GevS6ahj8CYli0Swe2
E8GIcvBcOQWYQdSZ9qwNLgUtTLphnqamcaf2BoytOTQg2qf5swmi9mh2NCW0FUgWE8PLVb5gPkYi
xFCqdTYcij4p4Ri1kC/7ZJTnvp7CYYPAyEysqWq+cTx5CvSHqNDeUbDSizLtm5izH57sTeno8sad
2+pL3bV1i+5eFvC/ugjNJ6+V/hnTgrNTR4fdjEDu1XzbjNS7kFPtlQICdPImrJ2jrypu0WAGl8l7
mLDceZNFQNdaCdkhU75h00v2301C9pLdcJUfCyn7B3tF5Rruql9rvcDBPUXDLYUA9ZH99QStJXXO
RL5Brxhd9UZ/xPJgLG71Npqu+hBXdXyrYZDrNoY9dee00bqERLjdXyi4X2CBGP2nGwbnLaCoW8tp
oVKNmDChAisz9hIGd8DTpqmEKGRYzaNeyYqelgIu8qh0MoigVx4IoIAhM4f245OETHRHR4boqtr2
ipV93MFbRUAUOEy10dx9co+BRltoDol1TqMJkLwOU690sUA3Dpn+T3Bx2ndtxwAUOjHj8jUONOWe
ORvRw0AaCNrRr3Bhd1GBQP8GFs6W0fQyngKBg6n0q+YWVHg5mX2K2tI5fQKBp9psrsPUAsm/coDT
XJV3n/RfRe2RMD4RvyOuXhiK6sjZYeg4CGgARQL+FXAuhHFeVgwv0xpKhJpQoleWHMSMMNzPk6pv
x5EUxidoN5oL7Jsdrv/t72hdZQmNE81rnb1zwZ+ftXEqbhdnwPXTxfldZmbxPTD49hZMH/PcFYTb
RQ5aa9Tbl1mNqQbjwDfAbaE1bLY4B9LHYVjAXx2GndllarXhCPkmI5+iqkX9pnX1Qsda1A2INAy6
6aTLi7OTKtgv6R05CgmNb9fzW4O87Xl8dH0B/VbGDhgG/FG5GPKfnYF5EYabLN0p6dgHA86EgqRF
HL0ZMpFPGU6Ugz42PXOlgVqALjFuEkZr14o1d6ew1vSLpMvdoxXDP8UqHnKaiUy4YWFj+/TJTM/Y
Wxuvt3qX+4gQiDfCXvgiYWe8hHHUH0nGjB9Lg7PcWSz10FqVxu1apZeFWhr7tjXVnR7nSOWogNwv
gGTrfGMwhvqqQ026w/ADcNHkiHzZx1YXmPNiYRMrZgN8/BA2b7MRQkqbSmL7esfzfMW5xEPaNRv6
iOhcEJTNvDBwYeo22ol6GWW9da61Trw1XRhDN9fmk6maSZCEunwu2WH6lO3lb06fhKex1ZR0z4mq
57wzz9lTrAum8ZGbVx8WrMcrpm0pKnGDWLVg3cUk1lGV2FKJV/hJv7Q/h2NHW0dk0MdilvbkRS41
gyEhIW8so+gU0cxxnSepeiOUZoz9ri2acxNn9tWUquVFo0ZAfZPVMxxpg8b4YloOepvGx7QNUQ2Z
U1Ce5KLjbfKkZsVoooElB8wKyOppKS5lU9Q3uVKlu14uEeFedyBJMc1JdQ0lBHNaKKYLjRDyvph7
xLmZSb4nAU+dpSGUW+HgZamwAd4P7hjvwKGEj6M6MEBMgC5Ta8kQxhvSwr1CtCxvKgm0RqBR3uLp
ce/rkdaaqZERoKDObQ5abms9HiWjKD1cevGJyT/LhD6Gyrak54vvOM+tL3a6tCT+UqP9cDHsijAu
D3Gj8W5bODuxZ0Vacdnq8I46XEjvmMcdmktEoQT86sqdwTKeEq8AjYO/r+rXMF7eAesnS94yXyzD
a75bcRtxOdxHnTnfVCrUpFHW8SUjCvUUi6590+we6zGX2ZYrPTtZSQ8zZmyb8hYpseCI3A8fOU1O
gQDEfl7UtqUgo8num6zMf27bGCg52QvjwcX8ZO3kKMcLQF3pfdxOC9b3mjaSSrCqHEJ4WFcQA+Rr
yXImNnNaLQcaUfLLCM7OthF992DHX/5+Y6r9MRn6y07x+03cDwlp4DPKTOi9CDCM+PngtZcvDup8
QA/EKYPz49UHzfcyOkc943RMtqn392/gz5t2m34CNDoHs6n2512kTc0U1tC2CBqfBhmfIfnxPjoP
nvCey637/E/b1j9aWpn0f4IMaNd1VdXmzLH+/+82rUkZdZEyAjLgKcegud6YzuVaBfD3n+qPOuG3
V7GwF3DcMTVyt398ldlRKH2ZeipfsvKdRhS/UaptXtr3RZccufL+YS/+x534+nLQEjR15c9wwuAM
9seX65jQ9joGtaC2n6b5KQRVQsWG74r933+sH36sby+EocJwOWXRR7x+7u++vRimuxorXRG0AVGX
ZI+k4TFQeysKT/UbT/H/6fL44fr89RWx/CK5cqJRf3jFdFixE5TJBSm6kxIYAW0+HoDGzg/FTg3A
PPu2x8I7BaUfb22vD8/GVt1Tl/P3H309of1+gvvz+/jhPqktTZepy/tg/IytgSqMDevEPxwTxV/+
kCAvyPdTwmz96BRpUKJojuVu7HyxFX4SZHvGMNd2UB5EQM6VLrvD338u8ccHwLcPZjlcqYahQRP4
4VJ1esDNwi6KwNh1h6Ly0q3jt76yc7+EX5Fl/+FKFcgAf/oe0QgR8BHrOfH/8HLAHGNwW1FBQsiP
9nIb+t2GMSGiqs9pIvgnvMcnxOfH3+3711t/1++uWMvq8VkbvF4bjMF0D6JtV3qH5JT7xc71mOIG
1inm2mF8zeT0Hx4D6333dy/+w8PGIaK9GDMUE6uvsLh1r3A81goK/a41AH7SMHAWTQvsXBb6P7z0
X1yv2B45NHE+ZyjirL/Dd5+bkMmaiuVKWgh5eNrksvfQ839/U+ClcJBadOxXuvXDj/n/CE/500f5
RIXYSDuYdwg8rFfwdx/l71Eh/0rW+68unv0Hk93a4/6fZ3O7/nVIXpuP79W/b6AL/tzv0zmXR/+q
KgmeFbbD7/2r/Kf/ZJFSsRi1AUJZ53O/yX/aarQjr4K8wcpkr0/wbz47lbgKOiKDOx7tPH6gRv0b
/e/zr/rufiOvAsgHiwTvELkA+NMPN/vQwgFo8zzy8cTXt0XdFp3vhoVuUPJdqdVZt1aFY+2PDojW
tM/1OFoXkaIDkE76MCMF4TJ4KalwCzd1jgmDypyhu2GK4z61NgZyujdczyTi6YX6YgaTnfM4KcV8
0YRae0PDIWjv3IBYUWHNv60sob/j1SVYbxIrPFV9UnxR7QX7QAFszGk7BCijW06zWw/nrJbmPlEz
MyBQneMNyYbtEurh85j34VGgZmzMdtF3ThYRsojK8QQuXV5auakfy9QsvJjP4ZsUl8HlNylrlhTR
WiT2A4YJH6HjUo5k9O0l9jT+lG4Ot1Ur5aOiF5Al5zA7lHOHS1tPxpBKSgrithzC06Mgyxdt+rRK
jk5TGvdjbDjHLJM1PDsM0shajGYe0CLxd6nZyDY+VtQxKDNRN7smEboSzNGEk0UpJiQVCtbw7DUx
lqDYMLNHJncE0Rq8KYuiq74liLe1rpR7dV4QTWpMU8ocH/iS7X0Rx/2FFJPiu2qfBHpMZYPOxghW
LAJvOozwLzRow+U49m9RmndfHAIIoMeJDgH2BJSRDEvkLxG8asLANdTAMGPToMPWY+a1fJ37QdyY
1E+c2w6bQtk12jFbQiDQBlImfph8V7hgtSsqRzxZYVXiAoepQeR3Pxi5vdGqbtpjp2NTkjtDMJn2
vLVTqJHVQnCJGadxdNsRhAKjZUzmLRGbMFyIXmIbM7DBs7GgrSiSWbzvR1V9WmEdB9k3ErGnG30d
x93epiHpZUhrlDLgF3cNPTHIvJnzkkZqvUsJ8u5bWOLHUReUbhqVszOmWt8weV44aRC9lQL6iJrx
rqwupdWY25rPtjIw8bIfGgH+wKKE6rLJx3BXZynp7TZWPJ0bD+JnHhJCWuxtNNLVZvcdX21P6aag
ksWzBY4w9IGK5gOJ+M4ekXKBNACRIX1RFtUuRuyMbYL1/NBoccWkPI+V/ELZp7Wr1jY8WmLqg6n1
dkC2PbqQZRve2dxnOHfK3NeI92+seuyA6QJ4rmgx5avFho/1NwJsaxk5VRJAhjfQOzJPQdvBIDeX
W7pu8mAFcD0BaCDbbjEnZwCJaQn+xrBt01w/2/qQHHXFmraV3kkKFOXkU0lY7ZauIvNqR4wiAdru
Itesvy5ltZziKbQ2JY0Gewe815ZLyj63g6kd9cYyD5GTuTAB6ljskA9gLILt3FPI1L1bHPWgW+vZ
vldEui3kmtnKkvhyrpXoOmkceZgLs7pzLGfkdwQTH2vFeGK9nwMx5tW1GZMaqurS3AMSp0MJuupu
0qxlR4i1oLR6CbF4VprFfxZj+ChwGX/AjKeUS226MeA0Fr0UxTTfk6zN73ubDXSjufUxisNYbuix
zwPJqC5wQgHxMkV7TLTZfIysYbxkPOf4kr/mGs6z2KiVKF9Aidh+gWaBfOfQUGDFYttQjPQytUvJ
ZqfQdjyzIdQmVte/2VO1dIfYSXuOmGrzNMV5eAypWH1T9K64rfhag0Ltp0cd0M2urBIeKib6nt8V
Kh4jHtL3qKDGrSZ7eZ1MDrTocsydow3p8mKG8l1vmkGvPHxH5J/3U1e0p24wo/cY4X+9kDN5CAkk
nQedZkzE2+GIEwjSYzGlFEClyystvEwZnIVnYKXxOEdrnHzZVsoXDenraoDPmYO8FdKvs1w5h7W9
fNBnUEI3X+Co4h92Gk+2ru0lGn60pOjlqZ4T+8ESMyap2HlgsllUFIHgG8uwveyIH4bX8EhMBqUq
wldE2cbbuDD8SCwlf65Ds6JksaifdB0P7mR3hLld1d6XOMMuMYmrO6WhmWLT44ClFkcoLFGza+wb
Mar0sZmFWAtDmhAJ7dNQagOmxXWqotqgd1Cm7ACGzMicbnsZ2u+Vo7WXaCwxk2qEsAw8K7fb6mFd
Pu2s4+psbWU644keKPApFGgXvBfW2083rEjj3cg7xexbW3s4keJOusQ9vXYZBwmHdGGIm+V5FpCw
oi3x02gbxXhuXc1Mj/anEbemy5b7E3duNHWEJRVEnA0Q/9W+W1jZnZ2Tydi4oijPTkQPEg+Q5EtD
dC3Qene8iuLVElzWZh/Mn0ZhNYfXjlEG/3Crtm6+QSDAVtyuDmN9cpMb/dN1DCg4863Vi1xYhUUp
I27xJFLBva6eZUD08JLdcSKDGFvV8wgh/ov+aXJeVr9z20/Gm8qMglFKVIvbVLTjvvw0SdtUCtON
VVuntgiN/ZyIbo+xybwLjUylYX01WrusmId49WOqHblB0LTDBezYtt8ME1cJn730YPZAaOCFp8Fb
Vku3HCx3l682bzpai3d7bYgjUp49Y0Wan6gqwfnJDXJgx5E/NK7UbmAZ1c9zJOKgMdL6su9L7dJl
Fb4L44Z02YDv3O7wkk4zqzu253XxhIgKNIoYKViB3tgL5mdfdXeBtiHTOtkpuetQxapq74bMzFdT
VWAFddQ0sO4x1iHoX1F0hr2BCKK+duaAXj8oasL+oC+cK6XR5X7KEnEhzbG8wy45XWLhk/eQxusL
NzSBJLMixTdAKQp6JckqpbGiWUFLP/bzNCbNfrTDhHRps4bkcgewy6w40y32fYMRgLFc20NsXlW2
DR9d0RcouFQDPJKMG5lgmj0qZlYaB579K6ARmryt6Cv7oy/3ekaZyYaAWkK1JVmFVun0c7zmF+ZB
EmWASY0TCvQ4UaGMaqJRzYcvurEKrHAsvyaohydKXNpjNs7WI3dAvKvX7ATxX0GZcN0hjvfdyZZZ
c+WuaQtSLsXHsiYwQMJgZP6MZRiLoHtS41ep4WnfLXYUPRI4wM/aGvqWdldK5j+DHqHZRrM/KdLd
Log4t2ReoWcBMaDPCwzEhmyreGgw5L9SdpZ9JQbVbJU1WzJFS6w9zNqg9E5QlabDw4h9E35gYb+C
KIronBqNMdu0CgrsJlVSIrfZNARJQuQvaJGhElTgKH7hFZavRFWWG8xN0/0ExMNz+l74NpvpQ5LQ
eLhQ5nFMw6w5SiLju1YW01M1LvUhVbSMxS0d7thEG5Enwig6LBP4eHpUxv5chaP+KlgANsA2Nfo4
hvm6FGUS4AwusWWP2hVel+mVyXHsG/lcBwpbPK/Wev15yLPRp5hdQY0L6WeNNX3bQUk5Lmw8P1KO
PocmccT1Mi3NmVpWetN0c/bowWHyCxzbGxMxXXVEzQL6dRKyHpF7NQ4OEsIwJpc0JMzb1ITfbXah
FXukAlTAciwWQ0Ezl1O3+cmdjeUWvnF+zfaa+uMoZxhdh92TGOrhEfwL0iv7jA1pHgV/1yIPYrSX
V6ZE8hLufBqoCyAOi6z6Fasejl5Hi17x4qUPshPzrhUxulxs6P5UOe4WnlLxskyjsbNixWIoC8DG
tMf0bIcWoKfcISxqdNgpvBJQKLfy4kwU2iiixGvYLcmxDCVDRblQkh4JpcsopaG0ZYPHXF4JO4yv
DZt2QgfF2saPq+OfL531wEDHOyXMDblENlhMtOshPLAXrIjb1l22Gnrco5GKiaqVsrzOq9HZW1mW
Y5SGw4OBsIPNoU9XFJiOO7PtKGaj9voRXg9LApcOmp9qXS+L1d9aLK8CPEbbf5WGG92a/WQFeIu1
R0fp5fuYyepI70H1YVMz+OJGPSFW7MoYFpmV4ZhShnNZZsOJjLh1Zvquv36epP+VsvDfZhj6hrhA
n/zPmsHdq+xe5ftH82fRYKWf/uoZ0n7Cj2MQfjNsDePsatz9VTQwfsIMQxQDO5HhAsBAVP3mGXJ+
EmvsRkUixLrE3OZ31cD8yVYt/joCDPiGdLSIfyMa6D8ohExA7JUzbFoOIG7H0db397281K9rQWwU
C6g0Oz8Qzo0rioGsiIQYmepygE+tV6rT72EzODdjk2WnRVmD2OqayXY+49lE3KmAIZUV5IM15uTn
Qe15sR3r4PQ026RVkKw3xZrJTq0KXsAKcQAGxOEI8IC91bzRqIUa6LWTn6FRkSTvwiE9ztLMPLfv
inEfUcP22hZpmuxJP2QP2mcqnTrX6At0QPmWMgF/51nlnOc1ye60lCvWn/F2zexmy3f6Epx8kznF
l2LNwlMhQ0PNZ0A+d4mqMstcg/NG2TtskY3eOZdrsh59OH9Y1rS9Bk0eVh/m19fYTlsC7zQ4T7HC
8HooO6qoarshuLB2CVr1ctfUo7lX+bqgF5LyB+TPJIxuHgAAOBWtDz3srI/c0WtyEiFyJRJDOQGL
SPqO7MaoEeUYR+OFxmODdoKhv14URRyxDtsfhYGjaxuudILZqWgjMT+hBc7KL1B1SAZR1NHSONdC
sMfDwfOMKzajS+zTsho7w52NRWE7rYyEsem7t643yzMyTXEQOf/DTS24CtCPqUtdYQu4Q/FuEx8/
z/3KYjA/uQwmGd+r1p1ooxkm9bVuB8owaZpsdS+f8MFydHRuOjk5D3JFPgAfr7cj5sQXDB/OjcNP
2XpqqMCJAMBKFxmeoyNUQnWgO0UpLt0ilq+GqcGawCQzvVhSsW5ApplkYWz3a1sndEmWNNZmZIn2
SdnV4DyKeSfgP1y5Tm2AO1T7m1xP+yNs+ejsdlF+veREeTaWkPZ7mVPZbtYM+ZCyukP/f8k7kyTJ
kTQ734V7pACKecEFDbDJzec5fAMJjwgHoJhHBfROfQpejB+ihs4qsilSFCEXzV0u0j3MzA2q//De
90hXq50lOeRLOZ3wneaXtLH0qemH4FeKQ/+SObNBcGDeYpdoNKvO1H33aLlOSJ2mI/VMcmfLpeMF
yfHLrMPiaMvWIN1taG+6BE9eakKQ9eeme3NRCoP65NR14pVgitO6tgpXEVyik9PbBr1WUJFgXdmE
+Ay+hdeptFuDErmpixhRBdPzJpMA7QevEQ9OKydnZyhP/cR6lH2kOTe6rHTxCUIkySLhDOSq6s0n
1i5MxlFeSXGj8rKjxQoLLEgLeRKw7SYK4qmvEja8bUE+YOf5KJBKX5frLvcEn1U/ETYOUMAz3oPM
da7NDJ5kVE8AsTpOrHHHNn6VZ8I4w3u76doPy03UTTLmyYNYm/md4IW0QppuFiJKzBkVhU+UFQ8P
z/huThvMOsXkvEEkAFWIy6p9n2wwFqy18y3UGoW+3pEd1NECbkW67BOfKV9Tl5AyskrfLr9FcHrT
w7VNlT7nv0VybS/LIPZh1X7ldlN0cbAp6mycmNc4C5DZmZbT4yUdyueR/u61RSCPEreqiYAG1vrC
NZu8NG6Pv+m3iI9havFa+9nSXZVFOb8NhJ00sUhr9zuq7vpNenP1DScoAbz5bMPXMZFM3Q+Ixxg+
VMwEzyWZS/2VO7sIszIaS8ir05LPMdFv8IZ0WK/YO9Mk4+E2c/U2hhq/ZxEo8RRMyYA8JkGsFfmT
JtWVgLA+QNhlyItVhOMxQNxzkGa2BpE7OZWJhcDIvyrphgYyZxm8Mf1cD07Qd6gLsJi5O1H3DA02
jT5NxmTy38FvGsXwm0yRbZCKDMDnC3GLTMz8DWJhN4i8+J1whmQzY350sqmPUKmPnzgO9D1JAVs6
tELB3P/GZNilP3kH9v2C4GkgGnBRag4TDxTuQ04gghdj98rulqXMv3LVfDmyVvvQKtJrpismeVLA
Opzf3I5gXozPzFBKxkpOC8THNX+n5fX/skP6/6FwYUf0Hxcu/60mHr6bcuq4X/znuJ5//tf/8teK
hx/8W+Fi/8FEEz4qJQqEeszL/164YDkSlCA4lRx+jqLmT4ULXn8BaoC1mP9XHfRf1x3uH9sKS2wr
ORu+AOz2f6Vw+add/AbnYslhbrppXgCv5J/WYv+vIgVC8Y+4AzbKHpUb02A8UkgSsKb+Y0E1upTj
TTuJGJ54lVwPaGXSqFvXscWliMIxMFee5R4b380CID92rTm4mUoHul8dKKzag/7UoVMBBM0MTj7t
oezbgr+iQi+AVnBeua910gHFCifC7tJl7qi+Kqv9SpUcTgumlL3Rkt1rmrn3AXWwZf5rz4/Wapgf
NMTLdQfV9tE152BPqGl6CPpkgTm0MHs1FgI4u9zM33sTO8kOSUL7IuYRyeD4F2yMl/X3duo217Py
7UujoaYCaLGAzUy/wTM4+Un6QP0LbW+ZQDeaUKBOJbB+89CsdTDvEjEnBtEZs/xCpV3DDsxRAUYz
GdxneCQVmSGJr/cIfzF8MI3joDOLFU2xV4rythf1yMpkOxXrdCGYyzATDsvJQtAGr2yWczx6OJzR
sTdAe1rUcj2XYeka55QtlUKdN8mbERfnSf7lbP59Thfbkd1shzcpG+mDNWeMxlJP9z+AbhSfhLmA
Zz1ozuc2wsipP4csRfCd9iyODNN+TbmEDsPc4iob0aYp7B8bbRw5U+e18z2qKkucMnu217Ox6Z8I
Z1XX/mx278DC5SlPhLeS6qg2b/Mmmho2/dRSG/J5bvPhFv3ycE0WHjm1FLK/iCIZrhiq1Y8eoQe0
hEleXIzfMi09BLcJWo2f5abhItc4u7UqV7OXQOEFZlc+Q7K0HtcZ9tlIR7DEyqxa/m2VQG1LgLt9
WnbW3EnbN7/6pdyq7lRolCVozII+7CM7H9abAOCnjMJwXMtIbMo08nUwYAW/NWvzHCaP6cz1V9gp
GdBSM3FYfovcgIBnl+W39I0bARmctSni1t/iOIJy0qt5U8x585jcg3UmxVsB1wnm1EOAvi1johXe
QH5ue4TLjJyYXZ5ZTYzEskt/WA+V29u/REZykm/SqhwmEg5vKNdmvWdG010zd6gCpoGq/ZWqwH4j
TAoBNdHbIgafZ31O2MFIObStb5MMMShPJsuoyK4R9zPkXD7GPkze4YV7P2xjnG8MK5yjKmPGC6sN
51lStOwcoFQe6foxNi9re0noZNydmhz9JcXqPHWqcwEcp0l9P1Zddc86YLphx6KeQ7/WLyF6sbNl
Jz7pMoU93CxGWGAEs9sXoxpRqKXDpmIka2x4dHLTK0gILfLhm5FsrIaU1OQLKlIia1d2DSSlufnZ
dft+x81dQipy5+90P2vsubpjlZrRrAkAxdOOQsDjgJpzEGvIOpnJzIaJop9007yYkVAQPA/RlbC7
nQx7dz8uguxxy7WiQCs49yajZYhXFJMk3NcvxdLz60rRpiBRF+ukySR4DOvy56ypMbNEg87ziXG9
Lc0efl7ODY9FrGSWqIfwsniMmkxC3q7CqdN7/p5rNIWTGwVjnkeLQfniV5wkGBKQyoIjFASMZsyp
VlVEXdIiJe7JZzQxpGUR1LwNqe0slynw+3cLj+CdveZvMJLvEzLJNnRXieZPDdskPrNSM4IMrX/k
jhTXBS7+p1kKz6QadfJHDjPWz2vqybeAPpXg7dS1mgi6mx33RDTEpbDTlhH1bBG5CZz1w80Zl94K
AmTPLPfIzXSHAamx4k6LemLNINcXCS11YD0La/LlvZ4ImbsCgmLd2qhjwkMw8Uf0WPCd2rQbbpVO
nXjMPXWYAz+xTmwe0xrTGgZc4N4MFQvWs3vPXq2dB+r/YoBD3MMj8T/6xXxg4YzJvoAsJ1PbPKwg
/N5RZoqvTJFeH0B/iHsfkwgc9geyqVb4LtUzPDx9gYs4Pms3s0jn2YLPC5FENmu7szF5kCL1Ghwb
gTh69XrnwA4Ym4o+gLXHEeLZ31epxKHvMIG2DBgPE2OxyJ6Ge4cvJgzi4LxIcess1aFo7H3js8r1
Bvcno/4rFmff5974qBYXaffSX2lmX3vpNW99Je/AQDb7gOzoKGx6QhkKFtICIS2AoRl5ar2aR1nP
MzP8LD9SieJ+T4FlyyD5mGbILIoTnVG3JeLVUOcpU3eeLIs4oRWL1EQ0UNB5vIVc45tdk2Rt8bSw
Xw3llqGta++gM1f85Ds/0pdNJUxlBg9uYfPMYtS7GGzTeUuVi+zCOHrlhmDD6KvnJ7uQe56ph17w
SE0GhmKs06es4xsMLHLj57/Y7cgsUheo/NiR7T3Gj6zOHU4/LjioFQnfIpQDi2fch6N+G1QXsiZJ
nqWNMsARzAx7447OH1imvwTR4LTJDj3wUeYkCOfleDsxJvCKpDqoZbmzwumzmftz7Se3flY9yEXs
8aEfUzDeHDecZnXLQoAl93bTn62JBtwQMIKIzdCe8R0O0IeVC32WOQ7x3pivmPxiRPCvV2+9GVPz
rLPgbVHrfkrLl6EUJysv414MZydjsE44KSuWes/q8KTpH4kaZWTs++oG9sOXSIerSi83pexwOrsP
CHdh96cvqd99uW551dTufWorCQGIAYwo6qPU7EVXv/8SSwpveBxfHa1iOqWbfmVDlky8l7lmgiIf
unVbENTG2SmnXaKzezSBP1seB2Ox930OmlB1J/I7oEM4ctO/EJRcxfMiaM7d9Dr0+kfBdGNOxr1e
gPmk3naj3CvhPJXwG3YOA1ysyR5VACESSXLjVzNmPKf6URjme8nGpFi70zRwoGbuC4DPIR6aoYv0
QuILk+G3dsKPHQB6E9Vswl/0vTtkkusuKcieJdGAciEpBDMz/Kiz4eBWRqcDcal91YgzdlZD6MpW
EDodEcSSfAo5X016isZgOVFZXsIZb0GXwLfZFlNOeykgUDkOUhpN/giBMNyBCzAVasD8rUL0SzZO
m4KhcyZ2uNnZkBzcbvN9yNVxDNWLVeKVtrvPcu1vR7O/TsvpR76OLl/K8rmApdJrZ98v7R0ukTuw
5NtudolZR8eFIa9bwcrWzKfrcsFL4XVVjD/L2JlbBIQjCD8fBfcrrPBd5eVMZLo7oHj1zu3y8TFr
+l/NnBb7YGngZ81W3FacUGNb4WbyPtkqf46Fe+jS7BnTyHfeHidZutzmgzhVznQWfXpjafWc4W5h
yC89yktPRb1PTIorkM0Tl3o2cJ0wIglr45SWTQdTKO/uZeXYD8zVNN+BFhpfs1WpnrbetTU5TwRz
mpe2wYgsK8YoDTZS9m9DR16Mw+FZl/bPAL5itEiZ3YoK5B/LvHDjfD0XZQEAcAIFOdu4oSOm9uNb
mqc8qQP52jZeLire+V0RdPyA5v9bGmBtLq3FubJ9CUszYHe+jibQFfYzMmaz9JokQW9GhpOoO7dt
g0c+rPTdycvkMbNHHoLZxacyMrU9ZmMNNSDIBauv3sBjxUEgUEaTVWSCyYmgPiAqdZTJfYKhhhgI
LIDLyslzlWcEZEf4tYY48f1f8NAqxljqfjGHz9nxGXYkQfc0mWrdkOfyi2JFRsrSm5/Bzm6oFx2m
osH3HI/eUdgDyJKCmsaUk4mSSRVv0Mu9Vw7lhTgS67YJ8WlQFr6xuZ0jMqQhHg/6dRhIVKIsnHez
aHDP1WFAirxz11F47BAZvdbY8ZA1+5t/kfjUjPuZjWeid1Vvf7C5x+7IED4irry8ePBiYlg4EJIM
8uoMf+IG2YapBZPce8tc7F3n5m9QJp/90OChBxsGk4GhZurP4jue87qjjUG91QS6PTd6JPx5lcEZ
Xnl61wZlxb+oM8A4s9LG01AUwS3ugSWyFUdQkZPRzjsfHquMr1OF2P/I2gdEV5kib4NhsVzGRovb
ts2JGaJ7bK8D5Q4Rkyz5WKiqOi2N8B5cqvhfJOuq+7QTvtqlbK2fqEr7PcG4VVx0Hs3E2ujfhW93
l9GOnUJ7yMhB4vgHZ5p2O1E2/ZEI3frokY/7MSqwA75YiX5kz0ZOCrOBeOWmvGcb1u9HG9XBDmYm
ou5RVT9apuEw4ib7MqZ5fQylO6D7adtrSJ0mX6WJLKyeTufTah0bFA2KnChoBIdTnuZnAOF8lcw1
hCYqjfm2IKCCSAE1HEVndxcQxksk27X7gbbDu/hQe+79dKmfxl5xFtW5eVAYvK+dIZ32JGIV75xd
ZkTNPZI4H45vRF00ih16X+1Tg+9e4+nlFKh0ObhLP16z3SYrnsEZG+zaL344tsznyOgCooEtPR6H
Ualmt/ZTn0aVNbRPinXCbeCvvmQUV7tvqzT0GWBeFkSFb5YPpVM8iYTI6wqF48FC5kHirZ6OeF3l
vrJ0eyBZr0iiYUKNVVI1p8eWYuOtNStumV6qnwxcwmM3yelWBO0ELVmIc8/f+pI6GqgioMcHkmS2
WTvjbHkapNBUSKpxf6Zrry7EU4R3ZCG23yu12eRmwoezm03k9FhjHkci6DYT5OVMfpZVxS68yoNb
q8GXGGEpwj4CWRctItqUPZoP86MC6Pht6p029uvMZ7JIEsIZK6PBmj4YbwI4XTfLWvQFF0HFBraA
gX7rdqLlpgXQqqErnHonKw4dVHDi0oChxWQwmvezWupr6OMQnzzEiyk2WNczaHvYU8QNeIYfPZbd
U1YRTx2PFrKCqK5SwEVajXgVW/MNn9l84br1T3WQmQ8cstZPk9d8i2MmZUM7tNtVTSiEXRBZTuZ3
jnRrHT/q3BclUC0HG/WaZ87bJMT49qcx3P1flPF/tslvJop/1MsHvu158O4tN7SwJPzj5Oj/Zhwl
QZhc2ywaPUo6exNL/3kJKGk64ZpxbS4W5Wf/Kdebf30J/J9ZXu4wHf2PJ65P04//lbZ8+6G/TVvZ
Bdt87i5bWI/z689oCTa+Ft13yJqYDM/fNIN/R0vAtXA2CbkwAx9y4t/F5cEfgvkjP0Cz9nv37P8r
01bP56X96bvJmvj30BaOFJVJ4FjeP2nLu4XtCKj7MK5YBO7qbq0iGdjZsVxGE8i2Q/SARAJrsvM5
AT0aokWou1rb4TmfejvydfWNUp/AxG5yIttGBY2/r43XBni9iVdjZ5TW16jBBHfKQi+yqvNce/Y+
JLmHQ6Wb45wFKDp23X03tTZ39VKJ2Omh98iCXJpBEjmOfHPPOwkPmAvfZo0GF3TRnXYqEDxlUp4K
L6xuZTIZFPKsnlvrd+4i/jS88eoYNOG9WgQLtsxGpD2CXNftAK6cxR+hfX74YYruSNDcicS5656e
h1/vgvHz1a2ccZZbRiKjQHjnCes9aTihjoqauCMc9O5VCFOKrhrdEDDaZjfxgVPFwKWzDLQmvgxf
RcUYC6I4fndpvVYputp1rVDdIhffOyXNmy6X+qcrkOP2mTD2LdcSsUffq6RaYmh8iLtq+JqMavZz
NpDhJXuPZCwPLLNpIC4a7maP/U1YYFmeqBsjcHXq0Er2ztxF4VXlt3YketaEZcZfqQItfTvKyYi7
1kgfWbgtTyuXZuwtpEeDri1YOsGGo7i0amYxjroIFvTHuggBgyf9y4SdYuf46MRzkquQdPNZZptl
uCRneZvOkPiezlmEOoF2ijPYNvvw2CBgiaRWN1gSEuyo5oujmu+MQ+Gbu/KrGrVgZQsFiIQxOA98
1YwZ5pTBJcH0SH2h/UVN3q/fs6q8U6pEQRfokzC8IF5XIz0YMBsi0ivXmOll+QPb7FNmcenB0bP2
y0AlkCzEEBVtHUbNHNzbxQoofKQXgZClI0Ew2HU5ApLN7R+j9kEfzBrU2IpQDPw6gUyb9kHWrEnJ
BcmPXe+uJ9/w5tj2nflKtn0YW5PE7TUxdoPXrU/BGNTxlBDRJObm1gXoBPEsf03Jo7hBPwrLEMiX
0RoS0CikJs+VP+wwfUvHYdozwQuiaWjWfeJC4CTPoT2owB+QFvvNhSyFG86PjLSO4IU/y9Vsek68
yC3dlLQcxO9IqTZPeeuM3IjSdqKgZLxkCsO5MtqBTClkcwfXbMqzJuF3N6YNxq2lfexmk7xmxtJx
StkaO4PzNo5htq8y+7aB2h4Zcu3w20t8ypkJr6BGmz4l/jMmaW+f9aj1Am97R84SHJOiewxW/6mo
eBSctsjixVuvWHpeMf6twT0Q3CBVeWhbhloEER9BPmaMv5yW/kNLkjGAc+BAeHShu27KTQIjqvW7
oX1r3/r6B3EAeKD95NlqnCAKzQyX/ZB/42s9H6DT/5KSutWexHRVWJKaAAM4Q0Uwi0SsRslU3KnF
VN/qsfJj4Szr0bNaKpBiKZ4aCJnpEpwzlIiM24i/06vzmuuSR8rIy8jw7PrIDuVaJyZqPFPfNXRU
EbEk8rgao/NQb7QB2CLm3jFmcRzsgOUNqbHPiEJhm651cmbQgH1ubNzzpPP8pA0ltu8NJOFwvYFb
oHeanCQYCtV9AMw1qtq0/5WgzY/4qvcHM8RxUXjoC1Cs8oEznj6VGxwBU04fD1C/bFhgO9OppyfR
BmeR+A/eIm86bTY/KL14rIZiM8U044dKrTvPVK/rxl1AUM/w2bCv6wUFtbBLK+rX6qZbrSlG8IhC
fC4eELU0xwqf/T5LQ5Mlj5uetFNyJMheH+i60n1nbLNMDzWvmGmz7Txg7t5BoQ399AEvDNzsjJV3
OIykLwSjxXLFh1VUSMj1S+cUt7UQQPGnIR92fs+QkKUAgFDX5GNm0k91OTRXVWqTEhhMiFBdW55A
8ayYM8buSO4U3sDZTK+Jf+vOq6/bI9lV6R4YbnslZs87bNz1wxAEhJBqnwGus3FYDUxKljaGIwuF
NpraKjwveLJOrr0yhijMgbut/0aIrnHJRDfGpt+rKOynNi595MFGOsQM79FaKdO7QtABga1a+gMv
ez2iIcyvWzZdEfwWqPt05vEscpY/JhxZBZ/t1LRz8p0rmaBWQhfPojWXLxItu1dzRVceJSIkA8AO
EnGtm470ttRK9XXrD+PRzbG/zN7turrYNTSrEmstUSGP1mVGYg+yloLeoWHPkiRFJmA60FqM7Itn
Ob0G7cBabLDuUXz96ihjYyrk5tUvGq6upNd7o5l1zOyhii2L7FgES96xGZwhboXD1bMQRkfKkM2j
zHQJqwMBMagz4xSzwdUSuNNFt3lzQm+BApxpLCtDeg4bTfK8tsd2TV403//YpFGKpOf8mgciWmBL
sgrq+H3u9OEWApG5x+awb9DbQ3vbeXJsIiXGae+IBZxRZj6VWy4Hb9KKLdt7zrLqCSfGsBM9KgOh
mi7q/GGKc0kwWaJUcVeymGt9x+HKlivq3PBGhjM9YmF5RMl1L0FQ/DLs7laNQ3HLwPgBMXuym5KF
uZSum0gbTKhar76f5hbNp8H8aEGNv1/qeYLlYXLb5QFGNA9Ms0zFTV5b1yCbPEb1aMPSfi1iKCDs
GPr+Z7nAGZ7W6ZXFDM6QrMgP4DFQ6DRrg0h1Xm4NnppdN4d3g5gIR1ddTNjIV4F8Nlb0MswIfpQZ
kmQeHhIjS0PsJmYCj3NesMkoLCwBzEZQUQ9Ri6hxHwjGsQYKKSwifnEc2/GFIOFbAjHR7ARzAtOF
DEg+niwqSgpDPpXyQKIsaHV0L5GarfWcVeJjWJq3rOQ1ryjACCnOT+E4fibK+Cz6XoP1FkQiApI6
qaJD9xc4JLGO3T7Is+CqMez6imyW4gW53rdc2tm3RBoHi/jMPeVzSgKK/QNmpBnzl6uOXqh7FNf+
B1BV/4jBDhhIJXg/A1PWAGI0oxkvOZgBau6GxEdWAFwRSz/g7Gph9hhDfucXk3cPRh71rq6Dc+tD
FGGWsDnXBB+vUK9N1rzrwJnPDHSdaJ7b5r3v8YWZxoJdX4EVtFGKc9HN62macvvod9kcZQk4FvbD
tynbrKMPQItFEOkHMfsifqw1flpU0XtYT8M33yudt0CRcb+06Tt0HfZQuA4fPbervxavtH652P3Q
DRK885GYPjYXyzTuJ6WbC9tRB+TzSpqXPwQACrhLr/rJflACvidB3vy/MzNVI8i2Yio8pAAW7hTC
uChRgYi8vH82bCbglnsjyVONIixWHMpVsleV/eEwXEu14jNNcm7thRoexRUFp7FuZx82MyPHjWiq
4ZywH7l4IiMIMfTOSR9yO1YVvJfg1ejHN7M2H/Olr1BXMljhRQBKlC0lPuauS+7z9RwcgwrAqV58
yoX/A5nPf+bWVPxvW1Ocz3n93//t+/+sBdp+7q/dqef9EbjobAILTTLgIIfu728iZpMQP0tQyTNt
9DeB89+1QM4fpgO5AsShwzAjgE749+7U+sPywBiDPwRdDE4x/JciRmiQ/7E79UxuVuYWrsBoTQft
/5MYaB7p51y0KlFuEvYOJmJtWMMJBuyXwkjQJRBqa18Wx1ue2BKB7OrCML/NpVd/rLMdLBHpD4az
sxBOokXuJ+PB4Lk/yNG2P2a2pWWssl6Pj6ARLWDBatI3smoNEPzo6exTO/Tr7bb22myevilileMS
LuVgEig2lK/+qIlcRjY675mMuceNVlLs597Vb2w2kltSLpMXEmiLj8JJB2dPSLnwWWgaAe1wkTfl
YerD4n3xAv+ttubx2Sjs5DUUrH4Zu6vpIvvO/qEr3R9shnS0mK3X3Lh2GT7NXcArTmaf6Tlr20dQ
vzWiC3QajNBCs3pDl7BiznTC+7UvkZgGLS6Vyio4Gw3vvEqJay2H/nQuJGHfCG1DSQ9U5U8IwOpP
QoXy/RqCV8xCp7slYrO6cPix5q1IrnDd85A4XXZVy3HTQFAq4DcrCwddJCrmX7bfYeaUJiWcO3hL
XBVm3+/pPZYhFv1szvuwtvTVMhXiMTEJULJrNdyWXlne8m3NX1EjVMzXiVj8ppcwfQBSon+5KbKj
yK7WxopTPbNp69zU4SBhwGdEnkxp0mcUl6dxydviaCJODeK0m8CgpSrpa8YRM5u5ri9zIGIMLmAq
WuVjEerpwyzR3PKHLg4Sx9IZE3B3PRrEXx00EtrYE1T5O2Kfy6vaKBqW9jL7uazTePLrxt93gfLw
hS7pS5X3Hi9o9PfKwA9FKK/tfYf5PNyt7GwuOCuLOqoAU5NHyEA3RN2iNCdgrvs3JD34q61m+mLo
Qc1iqKx8W/LVvDD3Hoo4ZPdOb2R4h9owwNkS0uIclQVi3rLC4tcSrN5hyYX/NKfZHC9jy3lveknw
MAm32IcY6o6kcy/f8NCQJrwmpt7b9egcVikW5Kj2wIe7JPmO4G0mJFL7LHlZi9063WrQI23/UzZO
08egQT/mPLlAsSf3S6fU+5kixDGExfZMUwpIph4xmYN3dPqLmqei2s35gNS+HPqTOVDU7ALWy8e+
H0FB9fCAI6vlzWNrCSxa/KE9sN9MjsT3dv0WMt1dewNm9nAyi0vKhpfFj+gJRa+9AuO4nWw/lBgv
Xd7nn409OzjhXINQdkJ/vcuMvOYVbSl4r4GY8dKuyke6khIl0YwrOEOMHE1GAZK7kwFDkKzMn7u+
Kml1m9RDlgJd78wkG502e17CddpOJTTeGM2XZvLO4CwdemFXfBhs+g6IB3ruScdMrkOtNyGUuVgv
jjEmu9xAjwXyzD0bZUD3IwLjzYRoVFIT1fPBHavqoTH1/IF1ZH3rQyu8bjPps+MdZ4ckNp8ohEmN
2Uc2atQN2OtnPHOtCSRA2dWXSKAUQ0jCA94r2Z+Emo1nh9nYNYiT4Zqlbf4AM9Fjx8HOiPpoWfrP
iv79OLU26jBBwLV23PaIJEXc+NIPyBDuiEQZ5aC+LWg/RSw7B7dCYA0XHBF8Y2hTxSNgdv+maTOb
T3PS8j0xSSjZLWGP+jDIjJ88N+l+5UXgO0hWO3YxcVzNbFLpGK3p3Wun4ps/rw45aw5aHciq27Ez
BHszzORPZ0HZgczCml6caeZYgmmmr3xTLeTXjct3ZH/eDbY0PHmyxAWQ9IuNTw0Orl0azrXyTffb
SuF84YHEO6VDebO2lfVrDP3hnCdBcT3gBz+7YZAdJ8CLUOcmj/5Be8kNsz0jrhBtRYHVzq9gAjKO
naaRd+Dz9BEh+/SUpAmN3uJ1B3Iw3edhnRXJ6O3ina18FF+J4bvvEmeHtZ+XPGc0JDEB4GV3IQWE
SAzvKwe1GheRSU3WLMkrsXk3HRQHWzKTKwyhjvTEgehOtKsS8aExSSI3MIZjo6dhtja7eLIZx5vN
Qp71ToGMcuIOyzQOcyExmxPnt7yFcFz3yWZFD53Nhb3Z0+VmVKdVGi9dUNuvDHjYe2ebm93+bWwH
Tjse7WTI3jExJN8mLVag/9kIO5ah7zSlfqw3p7yLgXCzfat7gz9fbLDnvO2oGt/sNjePHKzJqdmc
90Pplnu0eCV4JKSV+6UwR9K6hXM1bZb9cjPv67DLPjS/a7+s3Bww/wJEWiS8BsjqvlsKrAgTU1kj
igEnAMizz8+FE+CraLzqGIqa5FEmUtf1VOBLCtV6JbuguXL6Rp1B5a3PUgbOSW9MAq9emzudIn2p
2J8dxMYu8NYw3DMTyr7Kmk533hgHlm6so+O5gA/ExkAYLCWuAmvN7jNcRwcVkrySbtQESKUoqgK3
+6TVTY79RldQU6gRMEz0ZRuAYaGIOXiTHV7ZODduBuZBR1iIMH7ZapoRAaLQwDLTP7gGDn6S06dH
WQhYD37ASMcJif0ZGwSm3CCS6tloXYX3uLE9ChMPQKOVGlaka+Ud07QeHlOXA3Xn5Q5dCx3vdKi8
Te+YJyELr8oYOzaeYwXRtqLdQOaTp1EKqZYhU9DLD8uaSCIRjEggfdhxrWb/ZFSs4NGSpsdy3UR/
KPteB9kkTFuKeZe1aE5WrcPrYlmcQ1eCijXm1Dj6mnfJkBqgpDMMzAoHuJozD9gRLwYcxaXrThai
6p1a1XJmvSyO/gQo0TEYau3aql6QNLrM31UV7ivD8+85wJjqpb6Ku17nqHwM/AplzrvnOj/2qmQI
77MixRGRRtQe7YWciOYyeoO3s+vCpIex1JGw8OkwjvUGN6EiEwUokDJxewAR+C+7fsDf5JMgNey1
bY+qucjCRxbLu76pkPMcbKPKL6IrnTNrlOQ2TUxmTJao7xy0DHxThDylhbZPrJD9k0vNwhlNEsvR
nrT5yyLOJ5YulepsMWheoNOd9UQ6spcAsogMTMwpM0sdghUL3cTdTU3NH87GT4WNp3O8n12fjK8V
IZ0xKZw6IC9IKizEbbMAIdCLi6wD+Me3odbN21IQQByXTp3WETwU9xrjRflSep7xc24NHF50rszy
DRxS59Voiwc1Ibo8keuXBPuSoeUvxhMMZdoteg5tR9u+pNpnkLEgxn6sJ8e4pyLl65jzUH45WRqc
tZ36j0OXzJ8Kb9CbHpPhOAMuPsylTBoe/XI+kP1Fsipb3vqFL5l48X2jOSk7txjehNo99Z4tLUh5
QfW9Lxzy3ObOnB+GcmxYEQMw+iqZ8AEKGufuEa+X/N5kLdp61YSEImB1YySUezq0qL+UizNJJuTo
mP+DvTNLjttat/RUagJQbDR7A3jNBLJjJvtG5AuCIiX0fY8Z3XHUxOqDjn3to3OOI/xYdSvC4bAs
UUlmA/z7X2t9q13uMa93PUbXpXijeGF56kcrAdgGkOnKsXBJbqDV1K//XzH9c9TEQP3+z4rp9r19
L/4tkGv9ut+Ppe4X1DQEUOUIwrD2nyMq5heiFwb4SUrNSMquivZvoqn6AkaRzSQETMK3nBj/EE2t
LwbH1LWr0uLLyKv9rb4cgh//fCyVDqA/Qi+g+MnrClP+kq2N8Ym31SIbD2sFl2NjWFvYEhxJuJgY
fV7VHFu7aC1sY6AYr7rGKr6FP/vcaDrT7+LWJsfurIVvsdaJq4UF3m40svoxltRraE6oQRFZ2+Kg
lufIMV2LC1IgQOT6jBucruPpLcHIjz06t7VoR6t59qqZLe6Txu2ucEc3n46ycNJRa07/mFC17ZtI
Mig3K11mU4RJF3CrwNi+xWo9vLpwwcHkrIV4UROHr2kzYEVVhcyMU10rgLOBaUDF4rrWPaU5AF+f
W5YcfYig9U43KPyz0oQTbqjLW1FF0oZsRLpkTxpkuclNegBPC0mDK7erswsXwew6n6mgjWFTMYRx
U9gViqTjpkOjrbcCAfhGDFOzlxUrRAInTUNsmPRR5AM67ZNXkrCYYUVVBjgiSTOVGxJ85imlcHGH
y4WiSExMb5aZDZhXG/rTa33QJk+jXSbxbGhdxrEO8bNt46TSb9LQaJOtoDDzSS6N5L6Ry77wa2uK
vw7gkcsr1pTm9w6o04PKK+txbNiXbdjagt+lq8m4ErLGs7pJG0O+B3US3fPj1J+EF1iLdmuLRzop
nOKhox84b7E0JnvKBtIs5+Cb21tip8moO5drM4jljvqjgkeE6zXqha/j5L1ECSombybjVp8CA4ZX
aV81OXtGXKXGlhE0g8GfF/kxWatJrLWkpFrrSvK1uASYR/3APaP4Zlkq3HPUM0+cLLKPie3KbcGV
9557/rTT10qUNp9C+BLUpNRrYQqn5onq57Q/2XUSPreMUrSqRBSssAfgzd+stSvLEtRnm9aw41RK
YoakauorB/PbqbJsuDix0R1kW3EpNxoHun/n3kiqYx/itfAlTTHxbyJ8nEeQxUuHUhGPZCWpiSG1
jqs6HafPNiuTnbn2yYilDY/d2jGjh9Z8btfeGWNc+t2wdtHoo9lhZK5pqAkCyuXCeK2tkSOKebJ2
2eBjJMDRdnXyHpnc/aco0o4kROL7hXHO1xonu4tKk+aWn0U5Tr2sxj41+MYQOqemmJBmIWDZnGhN
0jJr2Y611u7MoMtQhtcynlZRy8NtLyf3buS7uGh1Ol2pTMp+tvlUubNnwjVvG+6SBxA+1P44awNQ
TsryUkDT8dORfqCIcP5FrJ1BTaIIObRy2E5FJibSsenop+TN9oNRwzC24NRqgQ5yG+jdnmI/2+um
0d0lqmouQDGyfRnX6jSn7NTjtdDIjersrVhLjoIhEFea0UNT+dmBRPVQJakPoih823G0v+2g0Zx0
e+1OanouW37ZYn3wRWEiCo/shn6w3aBjoAaO1e/7nz1MUaWsu3AcwyMX63H1edLYVFu1GXmllPNz
l9SztS0IHvgdfsJNaFkDp39yQHcmftqb0pisC52a2WMFpvp7IwewaaWs3/n08tL3Zc8yJLSx/AUQ
xlBRcUJmc0BJaDzzZptT4hudi0U4Mtrvw2Kk4ybgeAehXzAStgHjVQii4ECY2wi5yDlo1sLO70Iy
yfewCvBLIffYn7oCeF5VUpx4U+HI67m+V6VKl63GemH2jArCAjLDEkBBnbSS6GvmnGtbgxMIqvEu
zGZhHaIlCBh0B6V9CwW7BerZDcmQIZidp7rHdF0ZaSj9suzJ20ZcvE9p3uZfAUo5FP0h9W6bCiEY
DRSOqIc/RX5d8pmArt6odGMXYYZ7xc0M/MXuWkVEh+M2iWMA+aMInHOlG/yAIVfQl7Fr0gaaXxnt
28wcnB35ixb0oJN/dEbq0Cfa1dVe456BAbAwomzDaOT0W53a0I1YYsweRGQQ0CejwfQ4JLHdsSmy
KBGttAq/bvKzC5RPH3zCvElbd0uyfSxe5c/u0GKmRlTvDHPbW4l8c52KGtm+wdxKNY+vZqXflKr8
PqoiBC6v4JfUXUXVmRNi7NCDyjemODnIEnEWkDrlpgOVFwkDsK//7D79+4Pa/518E51o6n8ewZ7f
++p//1f7r8LA+mV/TGAsWhXXPaabNQj8J7qJQfmgQQgWPyNtn+aqGfw2gfE7jlj/MQ1Qe4pJ67+F
AU3/YmBco0OZNkMmMUM5f8e3Zv+CN1FIAvSXA1qWP/9a0syMaH+i5yqYbNbQtzatNnJ4lTp0JqKn
Y99tJ32Z2O1FoI0w95g/+r7XKUvAW3B2YAJcESfAVM+ejXMYic9ro+aWpA36BIxRGcUTB1vI+rVL
2Co14nA/RBiz9VIOzyPnbi+d7cqDeOnsIpOOVhXxRwi4pV7vOD21fMMNu8wfyzIcTU4maxLMY/Sj
VG22jDPqiX5EQk741xyT4myHbSEnbvSVpbjgUqA+NdXkU9SR+oWeVOy7u5hjGVv2JoyTPXtsPlN9
hzZBByINvIsAzmeZJ62xaRUZxhxKR+Fs8oq+AS/Wh/41ShUjZsjpruCBt5MW76SZ7lo2W3UmrrDY
doeRqPgOQzU6ga60u3gReMYNHfB5aZIYqaoUv21p7UA/0H1rUI2chFL6UWK42HPZWlg5R2wuguZG
V1zsM2OMbx2Cv5tWMSFljSr2labh1AB46lHrPG5Hrey5Rhg1WMXRvA7DJtuNlkFEJk97v5OO2pKY
sS5dX0QHIICcCCmFvA1tTfuRxUp8sJU0X0VOuAR8RPgDQXXy67otXngWDF9jeGflSTDDZCnfb8Hl
guHGCnvFy+vuiqhhEc9O8n7SSSwtuqgkoATL+i6XVvdNNB7W8k4YU+2QCInNUFk8ZWX8FAoRfnUD
Goh0AuCXIkrCxTMyUU/PInOs4OscOkF9E2DaJxgwN91x6EsXTAkTk9sY3eO4VCyZxq6HSarhp8x6
QIREsdffCJ+n1ISYYVm9veUZbjgW22Q2PISf/Ds2IVAPaTVRbFkjsYB1qY1j24zF80Bl31e34EA8
64O9g7TVgGGD9ggpBF3I4Bbj2xj+WeQP6RWlUHznZALOaac5Z0r+8u9YKJcHkjk6mbOu+arqiWPz
oCftLjUrHViDFdyyUFx8ShrlUwu24a1mrOx2OD1/lEJDocbvE+9M3Ib4u/HNkX6zc6zzudgTcO6O
MsHHPnJ0mHZwgoI79hTtjRTV8Em00qQTcnbl3jLrpKDqpCbcAvBP3VV9Pz6ZMZpAGeTUdiA53Q+T
5OOuy6E6DdFi3xFaUPe6FusMTaRrVDnbIH0Ma9nPjNn3fET5tOocdLZhKVJMfdzE6x0gVjZ7iApw
PIrZ3CRiHH12OKxasNA+YMKlln1RdeOnLsWUboASRBZHF96QjGyNdVt7ZxsffOvnhp6cmNLeDcWg
mMwC+mdc1miG9jYtdrubgDPemz1LUHZU81NkcXgh280hSJ9Ue05sKYtNkIXs0OjJmrdIg8EzZDFJ
dzqvJD3nVEHb1saMSbvyTM9v0c8Vnc1oQzty28bYOkK8UsvPhZ5qIrJ7TVMUH2Y3mT/GcU79BRnY
2IRJ3l23emwdRmx6+hbmCn6KdXkY1usekbATG8GWADdjrxbgxx3XoAcGFmx+pEg0opgZmYF6XBG1
sniFSAHxpjLyTdsIui5CVs7lSrd1qsS4wjRU7xS8tX29UnAdNqP7cqmeozjRXhfTwCZlLyFWof7H
0Nb5nqhA5bmV1Ly+EDvUSmrMV+7uoIpgu8qi24XMm1csGXU4o8p8RS5uJ0OpbSAYI/G2EH1rfNMe
u9WAEh94v6ZdLQfe3NGJ67q5ScFdQqZnpYgnqMVbLKtjkXKUjhebNSgPubHZJew16JR7KovEUYvq
+aAEeZYgjcUbNkZOA2Ok3TdZKo4G2eX3rHfyQ9rGzISZK3d5JeE1hFX9mpv0v+od9GNW7uGWK0iw
aXRzoWtWmh+U+YSbJBU9FfVDuXVWpDLuLaquM2PwOboFHlnR6bAsWIOlNONjkvFhWwnNFKTCal6p
zbWZOLvYUeU+s6vSJ063XDUr51mtxGfcLRVT5Nx7AuucJ8zZXBUTc+uujOgkRWfQWgtFjVorOigc
CNSbETTP3l4Z02Votc8j1s6Phj0mqZwuvWLXBrrKZktqDYLFuRGUxJBb4EYrx3qs2XKWk1T7NE8J
ZHTzFlCW6yVzT467658ro9S8MB4oss0CBGoyKs+GUKREVVU2B5saoolqmVnwMe3xPm6optIughay
ffUTvh1WM1bXzoQmq5sWeO6J7pyn4Se0O00w52yRGfOTsoLmeVj53hN+TJ7mBOo3a1IKYdsWNiqX
my5+iWimOoZV/to7xDr5q6ICsTttr+OyQaMPqBBj27FrVui4ueLH1QoiD1ckebXCyeWKKZ9XYDlZ
JvdEBQQCVOWEKzyq2RRGqF0Nqgpelx4ex6DRGV8l1giWG1b1tOLRzRWUjn0v9iIrLnbLilHvSseh
YrTtbpJeRY85W4fLEI7qW2+FsH/Ql1ZIx+qGrmycniujvW6lCYrXzvfotNLHyZhtk0a4JByBotW5
7nztuqG7q/HyYn8f08XZZIuG7agoQrCdXLrxwMlcnYWq2lckVwAktYVHlPQ1JQtKQSuxPJmM7lNp
6NWRoljtQrov3Vms+O+tQEy3IJXABLA7v0bOz1Ae5uYKN7l9z7uIKDteEl15+BJ6niMMn8XG0Jbl
qebt4aNtFDeNOwdn6cxYGCDa6bejTjQPspR2nwbhx8wTspuADd0FYyCeaya4b3A5gg8OXcsT2mv6
wgRm3JS8HTB0JNZVZmfVI7/UD8Vojk8JAs0tOiLvqaSvmkPSzMVRtE3tB5Mkhcet0je10Dk0ScKa
mBdmMD3NjpPbxEGdbssAe31m1Lel2xRPZW5ZZzsgArDBvj6fcC3jPksmF52Co2t9nkge7zC14SZ3
V6z70ET+nKbaIYbOc4KunWxxBTv7RlRkFCHG2jdmOJW417PVKDnx5lqkPKO+p19FqmkvlBRQEtfU
IFk02JDE/SbnOcrBKakZO96sJu0hyUzzwVHJKniUjrxvM31+zKgtu3FSBcM9d+Irra3TB7dMl69x
vMg9xgDumwD1scvmKrjWAEwYBCkyGsVCfOeP0u0h4ukVqrxJ3rZjWbcHYVM90XhXvDX487dID9Gn
BBJ3sUTe35tuET06k5M+gpSaj0u4hiAhscabYOqid4tK6SO4D+fCiMNMq03BuZ+yNWtbVjlFZL08
WWkDHd3qEnDzjeSYKUwr8oTeJq+D1Rg/Sg1XxJkxAHInpu1j4c5Nu6XsbcTjV9lnR1rRc5r3VPeC
afdrVxU5CPvZ3Kd4RDU0lZ6jZZrag+ONMMS9ACfRM/3cke+GZQNPQZ+vaQsvez+WRVn5vbJbHAxO
cagHNSS7vo/Sg0jz6s2Kg+gNPlv8EEBtOzRZZj2aDZS8uIFmt+mrML5gV2VAGvIAJzIVxmxd27kC
mhEvH+Xo1Bf2rVzPFpVMr0zuFS08fG7VZlRL12+asnSIuiFG9t2inwouoRgh0+itTLSaHVrMD1ig
ddCrx97mx7xkvRcygp/dKbL3LA5rTuxTJq9arD3sjMeZWk7qh6UPh4JJoXImlJVpHp8HXUsvUH+D
i0oG5nMsxwb3Gr1JD1GYsFsyxXioUe6PkN74q9u1ElpfBrFd+Ia2otO7FzKf3E6Ibs8/Ysw+t0FK
ymBj6pH+oLOf0TxNF9pZkR2/woIfP+tw+196GuNpPxJh/m4PdFHigyeEKMDF7FLk8WYT2f184TiT
XscxTitBwzXDQ9mpj65x3BqjF+CGaVY1O9YlnbYw+AI8z8EIzLyNFmev9VN671RcN7F4RuY3IPoN
RUSdQx9oaRKSWJwKG9cUk3mpZk09Ks1IHuowIK2ctrr1XlSNdT2OxFlgy/X92cWRvWf9Ls55NiyH
XLNoRtRhTxxmmNVf/6csI+Rf2hTP7/8Lp2ISN//GqLh+5W/7CBtjIcwZYSmbgz+sMWSf342Ka0WL
Th0QZC5rFY3+2EfoMFrxDLIpkGhC6yrjv/cRuvhCiRCsM+s3Duvfqmj+xaZI9AzxXTngXDkT4ML4
BQ0GNCErRmhVftncB2m/FZj7JZ0Rf1rT3P5rjFT/lUCGjEFpBTsXymUUD/mLGzKzRZgtgLT9seOd
xsQUlObOgUSehBkpeHMfhPMuGNzrrjj/9UP/WuD16yPzHP9521K6IRd4fcLXrp/bzgOBBcmARty/
fhTWQxykAH8XK6mOV+6Xn+8XWU3nFRMaZGSfWWQze4ARPdfTdn/9IP/8Wq0Poru8X2xWUVherV/D
uOhIELkxFdKcZctix3HCj77/9UMgRP7LT2IIl55qx4SMZ9ir5fbPz1fqMMVI6nYINIT2XtiQKYa6
H1kjNFq/peAGaluC6ACVsW+E3wVu8gamM79Kc6v+COeW4hfBsvOx0ZrsZuaNd5aTafxgUU4/HXHI
izalUA+SYl4Oi4SerUYsC2skJrxRai6AocbBcrGVlr9WdaN9nYKyOfeBEZ8M0EfkDFhdvxaNaW+h
z+NCSbT2k1UNzg5g9Gv3aJDqN2NWd3v4n+ktk6zcd4YDMsfsZ5dvPAho7VhWWkkdZNmuTqauPLEA
yIpDEEj1NuaGEZ5zSTAwPATz2NQ/1sB167NzmybJcicgLdTJVmfHlU3EmYIAQpPFCgESupC7rqeh
gU0RS+FOhQfk/uKcR4Y4NUtpMdJW1bYlhrJZmiVic73EKImJXmv1AUMuNDdQ60QeljSc5GOtGQOl
EZErTnMrrNIHYh/bW6VH/XEsU8AGYnEXQpIdSu2EgnJl181IXMmsVjddKa0nA073ZawBEulqnl9S
2eKH0cioBNuJgqUfU25CerXYzIUsBjlYakhLG1cOAwkIckA+lB86X7Lc3NEzMGwT/Mk1Hcsywz6h
6ZQcUuX7MEdD+JZ1WXmpKx1lxB1qorhMkwPG04ueauO1EwT5fjTKyuupStmVLkYW1Ix8i1eK1YGW
9L6DLXhDZ1WLOphCgNY+iRXwgdU5uWktnkZU4vFRC02aUggNnEvQvLsZoeCMZlw+ZHk7v9hWWD9o
QqZXY2Jj7y1g2Ccrbc46Lm2TfaYi7K40i9P8I9ul6JBWGC4Z12wOdip3T7zpePktYz46omzeWUaw
c2jU6FmEl+7TdMo/GqBrx75Q8XUUhda3MeoAOEHcujGVo98bRa526RBZDMJ0lNxOTNBeXQ1FdT1h
FgNH3OswbymmYuebSWDxlsgIJTGxyEvONKyfRG6hsTpzJDd6PbT36KzivpFm91BRy+CXdSpydGya
JI5hOFofYO8n6C5u2tUoVTHh5HZI3G9yjoigVUNnz0e7nIbOG/oMRM1op6RxR2NeNw+s5uj8HkD7
nJNOx2Q5tlb5qmWL2Xr1NJs3AaG49NJ1+AVX1n2Y7koTK9Emj7UGU6FugE6rFyh2hWYaA1qenT24
ekydNrZ01nqt64nMAqNsu6wy7GTemuwUrnvLwsUKMcx8qWqQw8tcRNeyjadn5l7jFoqJs4OF4Z7o
665vDHceIc9goqVwxuy7jW7wYm5TGMsoY60Jxz5oUPS2muEiBZux9Aplm+12CLv5zu4S/XvltMZ3
mw3eJ6bg4DwPFAKPo4W/tcTfzjkojk8rrRm3vsjdXVT3E4sEYXS7kIWE36kIxi6rg4VriLGCZLT4
UVdL2exwH8lzGpXzkeK/9tRoSXykZ8iF4NPNEYXTst46MqBTZDQG4yEhtfdd1wTrKFCNxXd6ST5/
Xsj/B5BiV8HmP0tAW/oB4uKdof7j38xd69f+Pndht5HCAQprKBJVP1H2v89d1he0Weo8+Z+/BETk
F8dcpR5XcWeUjCp/6EDmF9uQjGL4egDUQzj4W06cf/Ta/jEyrLRYF53JUIaFtWeF3f/zjXbC41xR
iTZwBWS3YsqmvVvI3j12EcTuHuHzeehqSCQZdPpmg6lrXIgsSyfbZkq2L7EBvoyEff++TMH4gWbQ
HlRjQzGAXbBa56pAv4msVrI5isNLOOgdPLB6ReKxTvNrCHCX0Oi1e6BwEzeVkh1/RKQqdsb6ARpi
dNENk9hUXFkODpU8TtY6aJ3Y5ETa+2gWg7PRyiz/2kXLckG0b5Ciy1qcgxHhwq6t1xh54OKCOfMQ
4aJ9XGnT9dzrLpVTwQ/66DFb8imq7kv41vs4smk5nSpzY862uNZqCxMo5TQPlHSOO5S+AOJepD3w
MZ7QDeLZh86HgzeYZzAP7LQCN5gh7lD/tygkaSW45GJeYatIN8i26rL8RDC7uxJVZV7TFK6fQNMS
by+06COGxbKvKhHexjZotw39ZfIrroUeK5BRRnfTLK3tyLLqWE6delgWoEfTOE5+KxfxosfuSrWx
JBWBfRSiKtTRI2U5VKIlw3Q0TDMldqjZ3DNVqNd+G1XjhU3KsKti2O13LNyXt6LNx/NiFuTW8b76
epOHvjbPATOK0PNvKNUJRF6DYtZqWubPMO4s3cOsG5xDg+7kctSTG5tASsnLr2c30pqbo2Y31hkD
TXjDs+aQ/JPmeA7nDE3RtmyGcMLIhHe5vfHamSFfvOFlmW+5WxIYNVNvEjFdJJw+EURaO9phdmoe
61A0tybHc+y3usW0ZwGwb3xr6rnAQnS/nbNAxFDEYsCjERTYC+7+xneSGge4ZYroqcH3Td4J7xNq
XzHBC6yDxH1SJftKki2DfstKrr0HlURqBpc15cldGlVkzwcxfc8XGXI8tvGj4YkK8sWfi8l0iUAs
QwPripLIa1JJ43SwkN/02s62diQvJqQzenNymEc3IrKM6lXLRVe/VJGQJ0Ef322kjyLzVxwrdTKA
4bOVJepFdJfs2wWGAI1auHRTUWOlToBlfDRmX90hZlZnLcYBDkaNuqEptNUtSRJ93JCA0d66GsMy
gVwsE/U4jFcsPkZ7W9YBFM2YlsLOsOOXogyaB8b75ECzJJhHcOUUtmQVfqU5xnC4TRhsLNL1UYB1
vAfzIauVtTj34bW7xOnOBZF4MwA1OuDJds9dLeJtqxR8PjlM+tcgjHViZx0aVzEUn3jGWJ7lCukj
nJr+nrRv4Y2M1XyPely+B6HjHsdaR6kYrAE78uQi54zi5FqyeMy6aUWWiPk8u03zZkQJ46OpNeUO
eU/bL1HbvVmqVG+Rw+HA69lIUMNTpNskmfoSg3G1XIYuNK5jMxBvwJyaaxXPNOGAJn7TR0d+G52J
Ls2ADMioVPLUCoxamyFrQ0Kac2rt2eACXOthmn3laKd2FNGw4iviVB7sPA0fRyeiPL13hnNVYIPd
smCy7xf+fMUL56bfUJXmrwVC6KMi5c3nPS3024gEAfJlMyJsOJlWwg/MU+16sXrldy3JBiATRks/
6NQOd0CE89mD8U9PsR7kJxuzsdfOen0zpwZUUau1Nz3a3cEkSw5BJUlvDbNDzGUni4hp1Xz4h7Lw
B1mEb6D/AR8WJkutCUGTolPRgmdN8ufRNlcfHN2RQZu3L2zmidRgBdZfZ9zD95Gl1NuSkToibWv3
uznK7FfOdOGWSGIO+6A38ZZpTn7vZDrvqGS0o6u2n5OneeAgEhp1fzZ1rT+nQcCgqeq+/+xTTmoA
bFTPUsq1nL0SobgJKWZUm7aKm6tGk/ULGWSgVmgYrZdMCYeQXjqBTxlGt19Kw36rmDJxf5d5Rvvo
nCannJYmFAM3vrLNMgk3ZTLHHyHwGS5LRlN868exeAxn8BF55qZvMROeTywuu3C9Fp+BSbNXUTEu
enZsmDfVJINdF9XuVamq5LqsOCZWRVTXaDp6sVOdYItcV8bwNRhnSLqB65RnuxLOjcXz8JRENSTO
3OQty0O2b3k7ls+pQB3aWHlZrnoOgeuuy4JnRwui0+gEnVeVI07Uvh5J43TFVdSN/Z7b71zzaZU3
fFv190lG6l1re9AMXce4WN8BPza+RhqZvCAs47sir/FzRsrAGdUqpk/seeNtn6XLMbPhJHd5pt2W
kQitLZCLQh4bWJ8e1XL5jRW12r5J+/LGBPjW9iV36aHkxAMGaUupLCgwBzsFsWlNqttMxuaBkNT0
EFXW+BwDSbkLyAdcKhVx446WOnsIUg73f3/q/H8zuCyl/ddz6Xv2+f5PzqR/fMXv06j1hUFPgjT7
WTNgrm3Mv0+jkjrm1ZXE/s0y/mEZ/82VBGYLdIztOgbbHs4qDmuz36oLGGGJFwvXxmpOmhnL0t8y
Jf2cNv95GlWYfdnOYRBnwhXrAu9PpqQY/6Vh5ZrwsrRmz04idhOH/efUum+NTrFYGyFZY3u2dxm0
923Ku/fKAG7gm2MjTguVJbvAzYqtmsPoZCQD3jcj5pd98sSWYniqaES6OB1ydNZpDxNsbw7I4r3s
EvOav5CQDlHhbb3QXVM4d2wQiStpXLrZJVSHbBKJlwJnvO6a+JmpCSgn8y2NSWCjpJsBvmmzu9hJ
7yQBfZAo2cdc1f2WG17+CDuyPuYaamuo6DGZMv4jwA3c5ud4lu2xHt1DXc2vNTEWHAJrdWlVPpil
cxSihp2EUA3fCF+U6jBXO/lT2nQ+SG2GEodtVDKlbxbQ1s0Uuk/T2L3LETsTGnuzacwYoRdLK/jT
A2aQYWOaKw2rkuCLaOjFCAgzciJE2dngKdyg+KG6/Ia2xGcAE0Q4wmoXMF5vmKiMfRx2h3yUp3kc
H/pweM/ZGFiudmU22jep2p0jsj3OzM7Ha+PHGA89h/rbDaoyMAcAX1tzBK8QjTG2MDPZ5nXyOZhg
FMbePUxde7YIxWzrdtwnYUx/jgO/KCiwMrUOVoqw1294YBuMuMJXJHkIOw3ExmDL4znuCMVzAuLM
zcvVjY9qGtlbObvAyl6Sqmq8sLSxYurYnKqU3lAt749p3Mynsssfgyl9L2tGNQ4OT0OwNIhaOM/Z
Jn3llsnQl8qj1QwvYgzOKk4fCJd+BnrcHzRH3Va69X1iEmqG9mkwggfT1oPt4LoewYWXtOrgz6fi
MmURk+FMAmuhyOtaE23xYBRBdaHBUBxwIWE1Nk+JTTsADUjXQ4J/ve/4aSOXeUtny4jKm+BeE/GL
CJfGp/7qHbo7wdZQz+/aIXoUukbeCwy5h6HnhVEXjibyNRKj4cmhF+94wRaf9AVFy+livxYxJcdV
b+FroRfzCmyr4WEJJn4bIn33DG2ctlzlUWxQnlsFv4h+E3AgQmLUsOv5mLiVdZANE6k5kh5onGFZ
oaq4NX6+CjTIejFligx0ORnfAFopPjuiuLXq9yDsAz9uCqpXVTb6mUvxQpQUb21pvaPlP4SkmjYt
lQP4OlpQw4ydm8JMsCK6VHXAxba33CbvKUdQG451sGH77ptVBD+00P5ukHDaQHh76c2169mWjjfg
yiT+lcYMC7m9ndc6EIKrOHVTrAD09ZL4DEugsevY2+iYLxymDVW497Eq0jPsz8obJNFTbV4+C4XZ
pxegvKg3rSFZ19kzHb+4kFP1SCCy9wrc9Hy4Oph9Yax5JixVLy5pK1Fphrmq5RuutKjcsv5Z6OPE
Kyiw9CHhZSs5be3kXIedfuT0G0Sj6eM1vYEtTya+7p8kG0dYgCy5BwRFizg/giE0s6SHabDkFxmm
p7wfjQ2xaZ4wPfxm4yUIx+UYRARyQ/EAjP4xou95g0z9jA/F3KiGtwzEnw2bVWox7fg02OVdG7v3
wcBRauxQJa2UgY5bzOSbZgzAGz12V9n1u6U6rBLCYr5vp/fepuVaZJ2H+ZJ5rdNnGOUlBrOGFgI9
Ge9cahi5MEXdJaK4a5MObrmL48ncRoQ03HG661fTWtxm7IZp2fJqAQF5rtAXJ3e0sUOO9HaoiGay
GWU7M91mk9M/uemqFkNNl15WwsoO/sA5WN/+fOIJcPtAeXW/ERClNF37dFlVb4itvATmGn7JzB+Z
XV/pxvCCi+Ajz5eXKIaDjxPoFkt74xku3OIma2ePouhl25U0w6YtuLOZcg6tAc2WN68u9OhJGg9W
DwSwVOZNNxDsjx1MC93w3MvimBbtU1NjThAN3O98VD9CEigbABt7eHleRG+uXySi8qZA8K4U7DGw
Ws63QkwaPOAOdKOdPiRKUe8VRXSrc5uAN6Zv7QyiDiv7ntiJfKJbYtfHOdvD0PRgRWpeqddYXaPy
hULYnthfKn2uVaDbOw40dQZzSa/lrQ25Hwet2HPp/cHxY2/ZzTlyq2+zyu8gTZxTDhEY8HMPtsD3
Pk1/VIozcV5O8Vbay4vhrvkKq9Qh6gK6GenHGdtiPJD7fMjtTO64U1VHgCrNxiVSe4y4a3n5Yjx0
gl7AMeGT0uvxm9CTW+yI+S7M+FkC5Dr6GNQmYF/gS6160RvON10DTjiQK18QkpWXV8NZy+cXk9jF
NtYWaweSn26sytH2A3b7HU/hI1fdu0jLAKJF0ePCnfcFRHi147jabuY09pMF73IaEWInG3PbrE4C
Ngv5fokHzef8fR+Dpt/RkFbuYZbtYJNkByNLDxl1ZNvSmZat0IYOahAYzVSBDaTdLfF0MlfeYMXf
sYyjRKj9gK7F4/0f9s5jx3LszNavImjOAr256O7BOeTx4X1MiMgw9OSmN+90B/cZ+sX621lVUmSo
qxI17MaFAKkkIfM4kvs3a30rzgCzqDwtU0OHMLHYGyYJCPhSq+bmI3oOTHIKhnowNpCCHi0iv3k7
4nGqW1Df6fjUKLHMAVDGs6Iiv0LMy7e6JTC8Y2Gm1oHI7RNHLLLKqL9HMHRQRo6fxPNubCXbu1bM
3WJlr86CMZZooacqzL11bhFVrnuVvkZIAgq8ogtxMidaWVrJEBlR0boyog8eqeaOP/SAVhZwu6aM
W0dLb5niw6lOp3fmIViRJ/GCpoQ8NXd8wysNOnCRh3kyrUKlerdrRl5kbiC8SLBiTfRHsBAuAS+9
N2UzbdWouqkrMFgDRqmow0+hRTqo71nYOz3sHmKw0chYNTAOhAWt1Wlu/MrTK+Zw0YWh1gSvyyzx
ZSRYZhBMXhylOR+7BWncWIhv9kRctc0lWjoNk465RiAh76uF1rBV0jJgK/AQDQ0NOXm+GO65QNxm
fBtVrd853XhjCEg2iG+TAF0Eu4ASrDzLxefc6k0wbR3fXs8Sq7WX2h/RwrNfhIvp5LbYANre4SUE
z2hwJOu92W7VnLgFr5iPKB/ToC2xrKBSDeaZO9Bp78U476K63OvD/Bi7xQbQmnIKWwrlrMDvaFTi
0h1LKBz1sqwSA2RE2CMC1sb43GQzxnjigGIY6HRmXOfwDnbCspSDNxWPCUMuX3OF9J0Nr3nPN6Kb
nJ9Tl1bbnjCuoGlAQ6oRd22fzJeGGE9Ib9DsKi5Z0L3cXmk8rXAestiEgb+uFsSaTlM/6gUsSyeB
G8rw9Lyss53RsJ22EdLP4SJJq1HHggkfwMyJpbRPCQ9tfC2H0KZECvmlhMBtXkB1MzRks01xwrrz
wSl5R/zhBztHceYk0Vsun8TACa7DUBfU/xWMGi27m8q4J5FZ0VaUJ8yrJi8MokZjMA3GBuYQy73x
uxDS9qI1I+QPDWTa2qqt1zg3z6RYgvRvvWP8WB+SqNghihq5umUKuBV+tAQZbvraQwDHXcx6VExn
izdtDDJRzKJ9dKrmmVgcjnIjv+8rZVc4IV7C5YZoI39OF6nre4wn74T99bqN9RHbeb8bY8/jWwxf
mgQDeYyPsMhKzD4AvnIJ5hxMfXiGsuIE1mACk8dbtjYU746z+zbEBFBq8SmtkstUmc4scBu44l4X
4hdpqmy/1JqboRh4XCxPmuMeExxxa2KFnHU5TQSnhTrYCSCoJtN+navYt/Xpg4YIPqYibH8YoBTM
E4t44ju3wzylAY5alTk06qs5pzasexZXlcjVlWI06taCOguLdPLOIzyu5L4XBx2jAUSWDu2AWVV7
q0vMvRmn6vmcFXeWsN+VKPuoOkMS6yDBMp0p1jquimNnpB/qlCq4nwjf+Oszg/+ZZiXp7PnjTdVV
n5Rv//l/q391K8k/9/tcwPqFrh56GIQwlakAM4Z/jgVcvOIqFnL5v/42ETBZQmnIgmwWWLrlkmf4
aSKAvRxfEZNvTdVcnOR/ZSKAtZyO/8eJAH+HyVORfyFc0r9IdnpTa2sk6oufgr0/UZ25iG/1y6XA
uTSWUX/ASp2vaz09AFt9ZTorlQjkptjAINcRs+5VhLoCzBl8KG38JkIr29iRnksgkfcw5AQHWGkB
D4UJPdUt4ntglienV95IRduGGiFMKdQcX42IBjJqWjIT1S/HB+MHdcrJt0mEv1TOW1PMc1AMy1vK
DJVFS4zQM4mfDMFjZMGuDCzptmYWhoHcGVa9W92BkkB8YRtA2AyNuDGvPDM8LD600QP7aVTOuaE+
4cru1oX3fbCGnSnBMCpouNfdFGVrthYCjEl+q9R0eAPDGvnsuuMwhNvg5mTytD2RK2P83BGrttcX
cUooTYMoXawzWu5hXUfWqzk72obySweQXBS4AZx6B7ml9BPHjs8Hd6ath2a3x8YCAtMdHrWojXaa
XhjbaHJgMtNAr6wwo8pT9ewtMoGktWHe3UdVPj4WbfZe0LisMU2/k41irAdB8PVQlFvYXPGmMNmN
9Kp+6TmG2KtYTAluJd1rKHVxSamNbgG3VVeV1cFRRHdp5ew30n6KLqTCch2GVCb89hpqgupk0fs0
8Up3Y5u5r+mgc2+IKVFPRE1kG/wWr0NGFdFa7FR0mE5jOPiuWqsrb4kCTP3fMwzY/gEfyhsquqLM
n50ehHFVdQx5XPOqqxgmY8w/Lbl9MI2EyJgS/FZTHwj5euxQLmMKYa1JHDOeTwXouZ02YyCXwGd4
WZ7NUn8BWiJWLk6wImxZ2PS3nmCZhJ7026goGEG06W0uofUR4n1V5+Ux75LeT4vhaA6udhUvGFXU
rnkdveKYwj5YJXW64YCOgyTFB9Nb47jqTctAAVXskCGdGz1rszFPCbCo023jShIZ7rM+NI+DB+59
GkvZTLwbBozlHr1NnC237YInrOyOoa5czV19Xk7mq9FHIJYhHQyd7ZHsgS3AwFrdeUr+yGDxSGoa
G4dYoHSSDaUHkwcryE4ZlkeELs+hAe4vWurbgrzqM6GBzY3FDiJbRtrhsnZb7gykxNDNbMT4sbLL
C32rNjj6I+/aG3A0hEV5tCpi25zwkI/p9RTP2rpoifDxBu8xSs3XCFkxvvFSwnm7HZb1E15fB2IX
JX0x0W8vdvFAWkYGyohEcFNc1sTv8RUCYTYN86mZrGOc6GeNWjfwyvRsHbbunity17j4iWPCNILS
qnBN0HltwnK49uhHEse9nRPrKWfhCswFMxSrUCwxakM+lmuex1qubmevTwPSez90Qty5dmYd6DRz
JdfOy7OupkWwciMLBEYI34mS9kqN0x6fojKDpmlP4QTHMVbrjroiClc1Fnw2LKINXHu++Oun4f/O
CTo6U4vT6o8PzOukfWnkGP3zifnbn/p0XCKjhaAC3VNjJv5pjG7/oiO0NVUdSyrZc1Jn+48xOvIK
0J5oJtHh4vH9fGjSrtvyb8OTi7TR/CtnJi3jv5yZAEkcpL4M5U2LN/PjFJ2RHCLY1FEJ0LaetGRw
zvEisOjF04LLLar34WJe5vKxO3s2D4YRbdAchRfYAtAw1ZqxLkB/aB4WQWI08k2LVH3tZr2zLTru
hVaeuK1o6k0qPIspVPnQy0m96At95S5WEpQ1zxCyzpKHKAKrYVdeT8FHQYfb4AOhwvsiKz1Z8oUl
d7tusqPXG/e1HZoaVZp1U8vq0JB1Yk/BCLqCvhH6HTH093iDcH/KqtKh0iSDBguObUcqRDOqz1nW
oZa0I4yyNlVklRrLenWkcEX8bvuzisPIoag1ZHWLrb4BOuEQvmiewaIeVrOshdPvVfEYHkvK5JFy
GQ7kY2+Z0r3svpquhW2PAjuKTshLN7MT3iy6czePbbM2v9fk0L0R4VKnA0MdNqGs3SFXPldZzuOd
sn4Q8bdJ1vl52O6675V/q163beqsdHjGSl/7djKecNDIPKR9gQV3O1jds0VXYdJdqHQZKDimM91o
7V2ImSvIanaOg+J8JLI98XBB4DGmY6FzqWQLU6fOt2acr/ukZxeMFplGf/ywLFKEB9kCTSPPGXiR
eaDUNEh5ZdAq5QBeMnCF8NGcLsBldQd8LfFBx4o18OtrLEXAtFrvNZSNmKAja+nMdDKAV7aWUUdh
z6Z1q2UPFyl0cwptHXwPxtz1qRjrJ4e2r63bLcyejrx6s17PtCzsv+FC0CzaNI3o4VyOp+iFXqhG
CMfks5U9pim7zVz2nYrsQBc390DkVPHGlO0pbWpbm81qIO2W9rGEfjnUEPdRzq0y2eEqtLoWQkUe
0gxqY6V6hK2hHDLZGRe0yInslRO3Omeudz4hRkENxeZe9tVoL5ZVtuArZUpxmcvum2wEHQm5pZy0
qNo0wrjS3PoApeGAlvZmTiaGZvT00DtWdUNQ4lLrl5rs9wmcarejnAEkchqgNu7OlfOBXE4KJjkz
AMBbI5hkjuC61LPo9yjgGDLEHVIZ1sHwk+QEAoqH6mdOFtgF5RtmGW+qxy122Ldczi0MOcFQemYZ
ahU/Ig0sg7kv+NvlxEOv27NGZ6DJs05u/nHHs/HicqEoFkgdXcYmi8E4w3AQrdsoGVhF9NU6tBJo
4DIPxMxkwltWoLspzVUqBzTcme9kw0p+OdIdojyYqjPL4fu5aeVwB2HVOyb+S4KLT5oc/7QKYixM
xyrTQvehk0OixsQ6LsdGdWI+l7a8kZXiheTcimK8f49b5mAKiw+IG4yfPHI+FSZSgwc2RDCjIjEF
K4wcW4UGpXvkqO53YtLKkOMtkfCmTW4nMHHLk0F0LGEt2WtTtRjE6FhT5mSL6RE2wOQsr8f7Uo7S
amZqySJQdFmbhllbV+jfUM5U9LsKYm4N+RihJ7az50Zhls7ScKuovF9XxN2xGAaMcrG2n2pIlhUs
4I1lJyiUnIyLKemfChpyDLPd4iOcfnTmTtnA6+kO/YSX2pvGl5m0T1ny68fZnG70rs62/YzChgnm
vJpAA/uoKtIdYuL0FrKLuPESb34aRyUIW51WxVVZT411oHuGtkF+XWwT5vNrnGNpUKXqfEMxxRPL
AIKp2tatFkKMGrKUsWvt3Dn18MGMFhwMpOKoHW4zU8aCTcY3rWuZFZj5S8xmRxmMG4cAWgR74evc
Oc/WlH84zDmGPDkzY1dZWaAIIBYV32c+/bYbXM9f1Ko8CdRy26wW5kkp6+ZK1B0jlEQdIDkvyWW9
JPaFBe4PYxu2ckPFltuFtXLP99efl1kS+SJyEyY5mccot3tz1aH34ypDzR453zwHJlWqG8Nekz7i
qbBbVrjcNqo0P+HFrMmCXUoicpV7Q6jeedE0zEJU8LeApfYaa8vViOjbB5xzM7thu9ZdbYJK3YKY
iAH8AycbTxkoHzYMgDi7lrsZoit4mZAhzYisHA3VWAWhqHCyNyxg4e8UsN/BPrvN3tNRoamAJn3m
kPO21/QE1aKMDuzVBzIe2AyHjPyJaIAF3RxFZ10CHr8QTe4vDcB+XFb7cKQEVxhJJep4Gzps5kB9
nPGMYsyms6IUBbQkt3wea6NCFw6MdpofFTM6mmO16wRh62NWH8mAC1D9RHBwqjPFS5hL9qXmA9Yq
6RTt1I9QyG9Dt3oarOmNRxj+Pf1bOmrXU2OKNe9GrKeF6z/TRbov0/yKKBRtS8xj46d5/YAsL1+P
GstZO3uKPebeUUcQUgIcn6fIhh6BWxABdUnGn4sH0VLNY2ViRg11Pm7CuNfzeUJt56Q/soTDjmFl
ayG91+VUnreDe+fq+TFCV85Fv9HK5SYkHUOoY2BVLYu2aTt69fUARJmnFq9lxckhowwyxXLk5EvX
JaEcjgsSKW629L6XKHHPejXajZ27YZx7aJtma5f2oR05FDpQ2SytaRhU+sBZsD4zhvJupkNs6RTb
7y1jaF8Rhuz4tmwnc/pKHH7c8+TN8InZhrkICGKVr122o6M7+hr9aVaS7dXLlrXr61czp7N26Wa9
uvUN2d4OI2ATk6ZXj9DxYPd+I06Lpswl4C+RPbIpu2Vb9s2t7KBH2Uv/9V7hf9rk7FchC3XxH/cB
54xX//P//TA3+8ef+r0PgP5vSGeco2FT+lHc7f2iYrbDkG2B60Ho+c/hmf6L7RombS/pqOSo6Ciu
f1PTYKlD7u3IXABTt03+Q/tLjcCXNsCxAA+hEndQdVvYqb6Y6lKCbXLOdN3vyKfKxbQqtX3o3n76
Uv4bTx2f48t8js+i0rvQ8bgSBvtjr1FGSR4RhcasYW4ZKz12GvqwZf3nL6JJFfoPU0DYGqZLDKCr
4/XCd/bjq8yYfBQSpaGkBaDJNuPWOA5HGu21ttbOqpvI71d//oryu/nnC7qmQT8m0Uh8JouT0JQf
+5MQKU5j7GD4eVgqfgAP3iZNdUy6iidIe/L6pz9/MVP92cvJKeinl0vNPE08bep8BXYvdXsXcR6J
zJ4LQO/ouk1DVVB9k+Pu0JgGxrwUN8h+OKl4Pl0vI1gzYcweWiFQNv0wZ9dR26SXXuRYPOxJqxu8
iKBbZF/7nufHwwRG2q/rfNspgGPhwZF5l2djduUZ4CNiWXoTfZKJcfTW7ezG51FPePQqGTMWSn0a
qcdpivNvaRuH74g/xKYd2b/Dq3eW647++BrmsP2IlnSYt0rXiEs4Ky46nbpYgNca/N1NV+oX2lQb
GiW1TGIHTtMdW5ndnltWfFlaBdlSHvrPjZ1lLX6nKjngCHO/kUsGB8/FeO1H6pDcDKFLGqytVQr+
lxaJDQL08KoYOwJnm757Sh1c6yu9yOwDFGWGg2Y7KonvdmLGgaTkwy3sq2Vj9Gr7pDh6dcVurQJy
Gyss8+wuHkofKBtjOQTmw4FNZHurjUNGycSZdZfYUXWhCvIL6r5xdnaPoAWUSrx4e0WflLvW0RY/
MhXrRpuM8GUU2pytI+yVB7swjXMXh/2z2VgmQBRlug01MgxWpXA6bSXti6+kVceXkwVVECxXr97x
SI/7VapE3VMz6B57Gh0JWE4441k1sS1hZDtmN3ECtQOXo7LNLGz2UK6i/K5GYHMbY7h/y8t6+UjR
S23n2lgOcarE55rb9TcFH5Ht1tA/enHL54gWEVPXhoAbyMfJwIhrMWaDFfrC+klXUR6QUAgbz6IB
O8GloM23K4ufNC49gtbRrgxXfVM0b2aXa48QaaxLq04Z8HZxlZKhDugfeF9mWbcMM4S+EgbrKYB0
fb4LlX5h2JxPDfIs27kQVV2c4nqcbibcjldpbOjXtTCaNXWnxZC6c5kFGyq0HiYFKZs0aIhof0nT
Uq5Uznzof15nIWsZ++xotmV1Jj2ml6QWvPeeGN77IQrZ9TUTVxXmYRRDjg5t0VQqBACohqOg6DVe
DlWaJJyRW1a3abGNgUz6yA6ze91wG4LZU6LPLVKc2ta1yzVbRiaatD8HJEBQNsvZ+mjDKb5for7x
EQ11VC1aqcN5AWXJl1Ce48aiR5t01Eiu0+b7SoknvzOZ2OA9mMmws5xTkQDt6ie+EW20+iuXe+/F
KIaSHd5oPLCcwRUGHDu8nkWZnqkI3brVbGbY/EpTfWeY2hMb5YgT4V1rEoFLHz+tOIZGzradItcn
9VlOlRn3H0IucPpn25lfw2JoLyI71i+Bz+Bt0fBeWFPSMKfWFWXLspgci7lu9k7OvVdHbnHP/sDZ
RgQ+EXDhRG+tKIsDHCztfRRsXrjE4+aQi967yDVtvolhpZ0xmCaokf2xoHWHZlYj+Vjn8XIXjjQ4
livGG4Uvky0+PUmq6u0TiIH5ok9UYkZo68BbRvF+jlFLsXXNoWK1wjMPscfvSyFktoJfsk0J4PCq
bZs41c00qnguY4EKaCRhgGSxqDgBYKeOjdGar9R5ImTVUzKCKmOvW3lKjISRxBGOIS2x9hbvdpuz
4thVeeKRAA7k7cVqZ/qvxmnvCmVKdwwLu0OVWNaOgndgpuuG+64tvS1sBtyGqs3yaUq5JDBn7JtR
unIhkPvCJrLUHSDxsf7lCYSzcg1f6tHUuFtCUbZ7ZNbVVhcAU9nfN89hJKJp3ddz7HsFwE9bFWpN
NDpJfErWoYbrPYKoJHCD7dRQnhdRofhsipLbLLHsK32Uz3K3TZBxGGJbT3GyG/RueuidecZkypiJ
0Vh2QTJMdecZoFW5MF1YESS6Mvrvt0avhBgdwuTGak37I8ZE/Q08qME3H7lXkE+ULdpkFe5IpUl5
iXtqhMdIoZWkUCXSYmIHmb9hKxuRGqIPIjq28Keyyc7GqCIQM5XAolnyqhxR0FexMGfx7HlQnc2k
Hi9hxaLZ4iz0VgkCunsHMezFQi95OapueWPpNYNQnN4+Kw4lXqvmwL6/j1wiFG0vXKZTHSfqZV1W
2etiyaJpTufwPCT5fQSQXOIMG2JHIfcyKS4yjKdrjsgYob051ZiNleIbT1SEC2h8IrQfZilbuRKS
/EiO+W5SWKaulzm2NzPD5QTFfI9ZJKvsDzzhtAWCJRquBPgrz7SpyYsgNo4uugOScwT5HG3KUi0D
i16m86kkU18sA/IpXTvy4dUHV20WvDtxJMV1WXURL/waFU6syz8vWH5cylKdsu5jiA1LwgQFrltf
qiMH/41tdmgPFqtD/nwvGlR+ZmCW6U8Kv6910a8vBHFAMzHX2V+3v2HBurNbeCHnGF3BZ752TN/5
dfP/Ov2f6L36aQUrP4xcYnusvynJVc1kLP+59lIVK2HQXGh+k4VoOJg6XTA7wX2ThvFPXurHMvbX
lzIg9mjc7prjydL/80uVrZoMC4Idv5rBDVFdMq7+NU/8Dz/Nz17iy0/TixZhm+Al6nYB6W9Q4DKs
/1l5/GPVL8tjh68KLwBtjEM8+petfJlCDkTxpEJ3uhZAOqvGd+E0/PlV9vXH//oiX76ttsRUDyVR
ZubI9KmFMb0fNs1whacUfmbMeHiuf33Nv2RY/t+5+DKkwffTD+C/dC9/ey+7pJvPX4r3f//7/Uue
v//t7T3/2/ql/9HW/Nuf/b3txRCCSPZ31zLXxm9iEVf7xdZsOjV6TtfQUZJ8Wn6pBs821kU0VcQ/
qPxfv3W9OKQ92dTBtOXfTNf5Sx4SaWH51LlZGJplLy7xZjTXrMC+NKQ28c0zggbDHx45tXfLTgnM
Vf5irDlf/J89n368D359MWLkVYsOUb7cl0uU+iRGQ5oZfleXy0ZLYtK09DkNTDWe3j/9GP/NY8p0
//WTmdxzNqBtk36P0cKPTw/iSttEH6fF7ziCOd5DxW8UR0G/PwGObsIhIKRD2yLVd4MmIujVJiLv
G0k44UXipuqxXPo6cBh5BbrJTLGj6iCDNUSsOsMnyOf5ht80gcZOBF/vzqnkb+rrYRr780HQXHpt
Wq5nl03OAoQTbDcFZwUdHga5o+1sYgB2NWPcbJg/GrUA4CDweCNJyJSDO/cEo4ulZ0s1D7C1bHcz
tmpP+aPNmzGJ0/MR25qvOpQ6ThcS697q5lFYhXJ0FVXdRnbuHB02cBc1AB9yyebhrGwd91SUkXVn
IXu8UIQ7YhZxB0Deak22CTsw2CkrEVkk/jbxxEaiyZZ3r59QsOYwGQ+97VWvnRMvb3YyJXcsSaHB
T0PP2Lt1naMEnWNa6GFiYAn4aFoGmutch2Vfk4xirBbN6UFSolBKKNjthU3GbO7xGHmHVM+MoEvH
6r1xl+ljmKJuWTFdjwkfNSeJybcjjPCYmK/LoY21lVrXkACbwbqmTzTulGkprmddjLfVkBDkKpY2
GBty64NCz9NHNcznqwJO8Wa0O7zsXpyzMJgnCORF1ffjuptr5Ui4/TLsGJX217qqoXnOkyi8IUpL
3DY0zXvPUrrNaDXlsckm1mg2i6znmTe8ykmSuOZYzi67BYuQ5ZgEtuVh9kYotLITYVzhMu+6hB88
1K8E6NtdmenLFAywgxw/r83WZXUrtTBalDVnSulhHiCqDYBm7bgIQnqX5ZjWvBSRUj4suXRo5nJU
nAlnPDaxPb1lqUagngbGVE1ZXDS2wHcryPRhi6vjQUghcBChETQ6JAxzKAc8J7m36csemIjQ7r1W
+DVroaCF33NtcS4KUCFF+Iz5tv0G7lp5iHSG9NXU6h8We/tuTf4I0pocuOFZXebcD+HQ7HKMJ89e
USlkBHh9YZy38FwJY8y8sFsTx4ZdE36awUx3Dr1AVaVHd57Ubqv2o4JwaJJ2+rhdZvabtlltkZOL
b6UWRg9O34aWH5Z9tCfeQDN9Isvr5zpmiEMueVUY6ySWRiIieagtMeCuqP64JPuii+4AC6dkf4/c
cuvSIdJR6QrzDOqn89RnhA8HZhqmaGqSyLtMB0sc+4GMLYWZzBXnuXIeh5pb+q6xQBIQGI1RPeOj
2DSL1jmbfmmVq6kg1HIV0ll9pFObvLmK096U+OPvIsE/EU5lk8WpmOAgy6QxL2f4vtBLiPlm190O
lzFEwIsqqdiOqos+3jHyQU5bmlqe8PHG9iqbCdqUKMkUCCwV7qBNynrIsnhrAhK/TpZeHCZUAgcD
ZP19xrWFFSgZqncmK0j8lCVC/aqPBC6xns+JTpkVP+wsNpiwEsWVl4/tK4MHYHdsz47jqPdPte2i
1iJ2PfUJh0N3Rs4SfoukzNnAqPY27/dG79UfDGNGzBSNcwEKMkccb3rTEwhnJYBsTfhV2FTbVF0g
PsZtiIIMe51JaDTrFR0PSbLUAUlf8aFXM20dTVoVZA1emrAJaYcNrpuQAByecQjUcaihpbO8cqcP
/XBCAoH/rc7cQA9jAs+yLL82e0xKXtrmB8tNxWlZ5m/NwPJJ2C6k1wGjn2koNKuxwjqTMc8qKYVL
+nBKInwxZJsyK1gS2Pju+2qJfSNUsEZxiALnqUmBz3nS2mq6nGmaYwZlthBGYJDmiAcsw+XRdc9F
GcNdLYdhs4yVdXTMbjjrnIH7bFDNg9OZWJKn0DowF0muSY5a9sKbtX2aOnjAyxwP9TCBvNLjhdRE
j+nYYY4LrPIRRvY+n9wtBF+clr2nXg0cgEFZ6H0wC3hULdHXOYrIRDk1VTffypbEH6FInS9KbZyp
oOUPBujf7STGkEyqWt0bMXOZCG/JKs0TNKAqWI6xpK1a8Pj7BVDPYFG94Wjkg3KtMY25xsCUMejg
cYM7Ut9NZTScYLpwdoR42cHoxAAUOl0NjNAeQfXULlDVDvZhbvY8dStCNywH73sGgADnyB17yPm+
EWEXeLGBmG5yMY4OZdPcQrJ0Vy6pmvXKyed2leGVPlcHjew9zC7aOo8S/KKtwZbaGbbuUqV4mqDj
7QoyAY4lYW9YKYfFAFpg1SzpiUFBvTGa7p091DDOFLF0Zw3ox/2kzxEeC5VJmExxNNf9NGSXPHyt
g2Y1mR/HXdQdcAoZe4dTombnWU5n+MChfxs14g4Vo5tbqepucKx2C5NzgdrNTAPrFDxXL09e9blX
Av435TgVYXm1EAaKOiRxdh7itQMPw1eFWLV7uxP8MmVlQOyqIvwRU9b7rQu5fc4AxuZkPHL/Um44
mhmttdlWA45hUAtZZsBxSD3lIq1sZI0RQEt9QWcfozfdzGExbzDCAq7mZoR7tqCJ1dv5qRqJJ5k1
ZwxMvTRfsUTE7zOzj8tlVNv3aEq1B2VsptOUmMUxDAUP29jV4pd2wkaxRoJDRLxulnO0nid+foIr
a8RNVBTDFs9kej+Pfb8V2mBcDWM4MVkGIQ75wG6Nq8JbvKfKSNgXGEOyU+ae9103ln0oQ8AIwuy9
n3AF9a9NEotPl7Au1UQaTZTE96Lx0+YgFA1sAdD/0PjKYdXcZkF7t492ZpAEynrZelesbjFt7FUf
NaLf7nbJ5mcNtBSCfyq5WS7J90Bzbqlsu2Dvfim5Y+AGKTNlnsBEIEP+2BbEXXk2/9HvUTUV9bzK
uldP0YJIeOvMA8+dMBRvQbkk6VXhhmwg7oR51Zq5XzH46cKTAUmj1jH+WXdVpq3+vJSWSvc/fcNf
2td2hPfrRrxh8n+VYLpp76yL4twMIIAfrXkdrJQX5ojnlrQC+VhWf92Y/mGPrv3sC/vSNqA9AFQu
vzDsDaBd1bUalJv4As3xqrzPX5rzbtvv/vwzf1mh/euPJN/TpwvFbeAcs0HPg/BM23DBUpNsmBL7
6XVzXm1w3f3sS5Zzk88rtO9XhaPTD6qAqgDOfXnBtBbZknFlstW66Pxotxk2cwBEZnOR7dp1FIDZ
XC2Hep/v1uYGn7e6S38yQfg6pzIcNpO6w2VJ8wmFRN48nz5zGdkD4pfc8CvnaAMiFgIZS/xWt/P+
z79d/esrfb0Nv3xYje+2MbEf8WGzl0fh21s9aLfY4s7HFzYKAU/sExPNNSOze7QCWLZ8YPG/Tsv+
//Di73Lzbqncpn+yryccV44v/nbzUnYv5dt781nA+4+/4PcZBlE7pmMBMeXJ+dt+/nfLCzxcg7kB
zAtmdVLe+48phveLDjjAUOmWMMBQbnLj/jbFQArgGKrlMWQBYaE73PP/8W8/PBHaL//9b2VfXFZJ
2bX//ndDjko+3T1QOzwWz/BVMdJ8H2N80fCW6oAkyhaz77FTVdDW1jURYZZM26TnYG9QG/PlNDT2
bWG4w1laNSFy3K56RsBZkIIslhOehOhct9FEgQ3UH5yUI39FvLR3ms1FrF1yctmOmHrzze1n2Ew4
ULKC+jTL1DuMlcgFVWMwrM2sLtaTunTFyS5HcXSJLeTUywuN9Q8jEVZLGCzudahcgmNY4QEKgX18
oBymx+vq4W5wwDkx9k4TA4d2D8zAGRxhgEMb+GdrcTG1N6jrEeiPeXbHMwXgmFbY2nYyR+8lNUJi
fMzYCLJ2tq9MDIH3xVShbEOM7+sw23AJC/0RzUXuexPinFnRwhqLPXFtDUbsDclv4R6eKBI6bZgk
IV2zJ7/sNCpPQGSPamfqZIbVNBVdqjhrAKtmACTVQYcThQmLCYuKSC+NrVBT+xGUaMwcApNa2QlC
1xlNqE6l37daLPx8wLHdpeRrWDXB6G3aWJu41PW9Po62uy2QJUaYUStvWRnJEK8LOGcroZqgfazK
3CkGWBGv88A81Op439ItpN9ydr/Ndaqj6Lwn2WXYYMl0A6sc5sBy45b3G0L+0Nt2rSb5tA+1hs0+
ay9/coG09pU+HRYWEsdImxB3W6mwHsJ8IJyXdBdxVEJ4DUgOVM3PXU29dd2sxreUz+e2FTJSGWCG
+u4yoJuuVcIqbS21fFPJIozivec3UVxgPUqd81GrWqARDv7+wXKu+Q2Gnbp49qMihPKUxUgpEUh1
xOxhgCB7snDS7ZBZ9bXXdkBbmiVMu7UFg4EGkojPS010rh9lubG17FpbVoQTObu2Lsb7GsEeO7HQ
CC9w8EznjL3Ffd1ZopWBns5+1MbqjhEQe/VGq92bTG3KbeQSE9DPGcvQoY67eztyuicqOGWjGRoe
w4n3+1i12rgzvCiyV//F3pkkR26lW3ovNUcYgIt2UBN4T6eT7uzJCYxNBPruor+7qTXUEt7G6kNI
eopUWmZa1uyZ5UiShRhOdwdw/+ac7zReA0BGOQ4SM/qrba68xYSqnEvqj/ZjmCd46aeooVxNcMf2
RjheNZ5tEKJixPumCpv7MYysD9m3NlU4jeKjCx326EQY4VfkBokXKDY4gTDkOPvOr/vr2LPI9onD
lFzT0nyapFMQqgyDC0xUlZ0csg63gpAu2l5bf05qrzi6iR1/ZuR0fUcmoT2X6QwHtPXbg27m7r0b
y+zN6P3oI2Qud9dRql5p9qSzfghN4GLhBJS+tMpsO1QjKyvPhlzH/auFXzW70W6n8ZDCL0VDuS5F
C6w+L/SrfI4JqhwXFIqTTezt+RX55KU745gLJ4TwcXara+gdmhnu4wovEgYzo/V5WTFnT2PsiB+p
ZZFArjHOuu7KLH21CiiENZqmKGhaR7x6oiqOKibZJq5pWYHsOwbjLRaYb4rhxbhq5WBd99LRXggB
rDMYM2xcArftkARzIX/aJRER69gWQLvyqaHxsvuFLTcZGOsJ8s6TgJxG561kHXgzMjb8zJM6PRqh
hX/KbI36CmAXi1KCGvOP0Gjbgw1K5pNE5fJFV451PY2pcZ/S0xAQK2IEiT6YYho5kBbryey0oE0T
a8QvZVcRNOWBXjASEySGNOn2YK8HshdF5O8HWmSsCM1QeStnqJpnzQcTrRWC4Owywd/c++FFlX62
MwUzTe5CX9tXYxbeChb6OyvH/GZkdf+aqKI41Zqsr/2q0nZaHJM2g3z6SyeS6qD8qmQwiTncqRNx
Yb05Hyymg4taWQsSy9a+CyZQaYBgKD/XZH2dMpH2ECrDgloYckmhqfYMuXba0YI1pzQpyn2a4dpL
clwKATk4Ju1eMjKTy1ljl1TxwdzlBDCMMxAcUhAxLf885P9T8yw1DwJAyvR/XPOc3qOv9/x7+f6X
Uue3n/uj1BHfbAvNh+MD8TKgqiOe+6PUsb7B7+cPPZSKTDh/Rf8b3wTbVyy3eIh03/iTQOt9g8/P
38Pe1PrtT/5S2PyzQufnyvPPLoE6Z0ma/skb485e6qe/LdF7xZikB8298TG3dlgiK3EoTWwbGXlI
yjpMtsOm/8oBLwJp77FOfVg59UPRxUfRwf0a9O2Q9gcnESvXv0lsxAAKtIixT5nX5LH4F60bH9nf
FGasPj2DxSSbD0HLa3p/XRcDT2krTiNvrTmJ824gUn4awjFbe6ng1sytxj5FM3RFHKn+pjFJOfVE
iDK8jLvwUDmeutiwFTYkdg488vxpMwkU81aa+4fYIw2JAKyEoD3PkCdXl85baIBrYxltxsnaIUf6
NWXdYgZM5KofVlm1bxDvxxfA5PixknhMb80pzp5ze6G9ENZe5/u47l9YyEUzMPfepQ8hmvloGmZJ
HlkC9rye4aIU46QBP3fCCiNqDDI2CAG1Fdfom7EpOt6Qxjv8Y/NrSXwxQ7AwxGGiIm24AN1tD6Xu
xD8cyYAz6IkxPkSd3dcB78zbMmsthk1dVAkq9AzdSevpW6sfu62dTS1YqqL1mS/VuFs1D7clx/hW
St06abqzYlx9kImFt2K8I4PoliRqeZsjvz8YvTHvjK4ID4QxouDGb6nuWRz4cVA7mv7SlBNutqko
ayg0Uwjll4I330RZQ54k5w1sFZrmaw9LzFarmvpYCYXEpQ+jGwlqbt8ObnJmXp+eETpMD2jwCF+W
FgGTUZOGGK3C6b7QLQaYeuI9wjQ3rxmOhCuD3djXIgYzgl6aM1MoveT0IiKFusNIIhxupa15T2Oj
5D6OlXM3pQthnLvk7CzU8ayczRspm2ovImg9nIIFSjyrVCAntA/IZGpvY9Y9Jr2NCTVqjArXitYB
10zlxAhsYNnVaPHbiGROX7fwjrExRXxHuV7gnk9cpd4nKy8m6DCRghDmdbAb9bCu9WDu+5yoXXwU
G0wz/q6vw/whaRCka7GYt+2czbwft7rL2fKectV5e5DqjPM1wL6D29msywDn1XDnntnD+gx87HHt
IIO6h3Ulz4UZ+gg4CfFJMf0BkkvHg9vDZqYYbTcT2UdPKPHDa3NOqp8qVChvY69fer2XJDtL/amb
vPY9gtp7leshuk7sDEDdyFVTJGO5RHkFqsbyGCwnEiZAJGvtjvQuYkKdoZNMHxPLHW59BQYfm3iL
0m3Fxrov98OoPGJEK7opYDYdjDJgPhTYhAwWPdDiZljCvlvG/k2MZxDDtv/qR6W6uGnoPWKyBEM0
p2E/Y34IFXS/jKVFUHZR8u6TB3eaCY/0bkksI6qeBI08gbTXjLcOsYP3OnYp7Ps1aURsTar0O54E
O1+7sZk3GCfxx60x4ddPpSfKC4gDLoOpQjLmaF16bSjT+HLrVptWIrUpcVt7QcjKhhxJSh48Isx/
KUCLMixXLHfUYyFSeB4ZewR4n7NzK2swfYYGfh/d6nzVkvT22s6hdZfPqt9NjuY/mQkXY+BLsh2J
0jJOfsbWFOQYvpRo1PSzNbe9S0yDjHazabZItgrG5zKtFW0LrnHi6zLcbWYypdyJlT7xISO2K9Zm
JMtu00DA4+2MNvNgzZ9hhTjuHaJW+sAYRe1+pMA8tMIQD8lYW69FCB/LNwUZYZEwCHtltF23Zv5i
xmVzR8eer8GWtoQJjc1V4TrdK9lT4kHOBVQgZ1lNN2wYrjE/lWdaJHBv5YCKK2lsn1xp2DS48rr+
NcZNT+pa3Y5vNP9RQcuswn8xwDX+ttFfzhOxKKhMRFOs1+2ff/7rjMrsGczV2Pa6NTuEdbuCsrt1
d+YaMMW/mlL9q9da5qK/vBbXUJJYEa81rvSVuSrX+HiyzdbagB7kFscF+9FvyXX01lwea3SOwb8S
TBjLaPXP854KwxImojGmxRBFGc393RgyH1qMC9lm2AKbBCadMYlEar6y35qBPniFweW3EvFvhiu/
DlP+Ign5/TVdA90V0cqwTP8ybq0UXykzi2xjB2gP9jGuzcA7dIG7i4+ML9x/92P++R5/eb2/vEfS
wyyaXcLZozxYD9E6vJgreAqreK2xldsE8TqDhbm2tliIoiD+bej5n4r4fxk6msOfpeg/LolX79g+
u//6P79WxH/+3B8lMcWtiSAJsoyDGBqP3J8lsfONMR76JcaNFhq9Xwz85jefOR1sWrA3XLk6d8/v
wz9NRxHl2MiXbAf8DRBd3/93xn+OuYz3/rxNHGFTXhqk1urILF2Davtv79TC9DLXqHSk+9hrepDb
88yaP+XOFAVZhKpIwttUjPXZred2wi/HAGND2siIyyccxpMao4JMFLY1flATvpJhwi91tc0H6B3I
E9oUczEn6CvpMfk+Iath2IKbl867CnuouI3bEC6EDdU5+ebwYacDi8TcBnq5cFFDkuVYbtlMOhSK
2AhpQRtoaePIQHVLym/sWhA2h8rCMgMHIL6OyB55aLXWh62C5hh6ou6fSevW7nG/LrmJSwjjEseo
kml6GmoRf82R1V9S0dYPftXFF5oC88Wucu8tMkh61HoLaoheM8LroPbAsZk84mpM7TzHiwgnmcXn
vARIFkuUpGbUpEqCpsLFTVO+l5FZP1eznt4NMsT0Xy+BlKAOCFZxSA8nWZu5lieSs/0zw5ITccmz
XKIt9RJnqRjt8NhMnX5t1TI66F2KBsKIEvNZNU18O449eigvKs7dUOdB4Vb9Tg1pdYclq7tlbNG+
cFka16k/a4FKTMJhlyzOwpTGE9UMMuzYIL+mKfkIl/DOyGzyI9Yo4wx0ifRRSzXaIWnHZqvKatk0
6+JNK5Y80F5lQGuHoYcgwr4Z7FBqAZ2PlyDRamzzO+Re4rFHEv8wFpO6K/C8bkfN0U7j1NWHubaK
uw4rxh0szvaeiwrzAzqca+FUwxEA5nAyxzbaCWmR7Zg2Yx1o9ei/eX40/SB4yDoUeB6J8hmGj0Wi
/iwl2PrK8qO7zmubTw/9vA6xp5CXKNeds6zx+0+GBxtAL/xnqAzQBE3N39VlMt/mXdF9YEFvHpMC
6DlJXcbW1mL70sXdsAIq2R+JpI5OOWUGqSC2IAuJkeqSVyRcvlhFk5Ag1sExL4oD+/vYDyw7zO9N
N4zP41yrExo0P2MarHWECakWRnIzReSwE7h8ZWpGtajcvMnCo6GTUoCvwxYrbFiYBLzQIWXHHbFX
dIAxkinTzmVRWztYOMXbXHv+tplnPBwZ+cUVDuudasYUO1BefGZ5W4MPdNNbvezsXVISP9ZZWnFj
jq56NypVIkIptL1LamrQaL7aA4UfnlN97F7KKM8upe8gjWjRdSM4U3e4QfOjmkbEetCJUAOR292h
QI9XmS31m7Kv5w2ptvPdNGDrrXnG3epgcO94oJmbAXPLrZ8wEawNlukM/PHzKJv3NSl50tzROGc8
KA9CU+J778nuyo5NIriqMN6TFsLwNAdFXGOfuU9rNFRMlRC/oGlbwyKY3kXnmrdOVQ0HhBjlcx55
fdBTfcFczMeeFwF+HJhhFB3SEpwQ0pd0uB/APm2aUTWHjqy5l6rrDRzUmbzSvQZtXVKaMG+i9NDX
GbOmJYgsz+P87PA2LmVvqA9Z9YR71lVhwTNpc5oW6WYeOS2FzZjXC/G2j5b8KPwqUjveovuuNQMF
PMPjag+NC7S9IvvJxaXygg2dK7Vq2BQnRiff/dbtyQZORozUVucuDWHuwDbBc073EVdTjGSxbUmk
zfoaTQKRfHe1Zo87JgDTQxoO2bUZmdUnT+Xqxuqb7kOV5Cczve+vHdtgBhgSFUa0nM6YMpombSDS
ugJbHsXyEQsfkv6wCNlkdmFtsklghOEEOa7yc6z3PclVhSR8i6gSyTQiW9xhlmegWxwYsAaxP+Ej
4QrztgyYCTpDjhUFpj5Yd65yjH4TVu14UDMaIKDI5pZOhjj20TBTMOYEz60x3/fNgac+6AirayG+
6FIbnu0ZXwa6zszCP2MLdIhGIzv9SKs3vY5+a3dBr4vMXoFerW7KGvEcPW0ynIEnZ7S3PFCeUnw8
D15Sl4thW7chOWYQKYasHekmYnLFCLtyyh048WZGW5EMzQoCSk0EA+riilgWhcedYUJ3h65OHOrC
1+5LPZrx3LMFxNhRtO/EK9TmPnGLlmcMRX2ghNt+ecPClYNOHE5QRWA0sgDwq5UWG/YZtgY9FV5R
NA2cyATiJNkoQC3oVYIPphdHAhr56dkjAeNgkOKKGIV3dePijHmi6x9AcJYqGlbK5Cm6I4y677eR
i1XE7CrryaVRiyBtIvAL4Lwy0+pDqCqruDSSBcVREurnlAIguV22drGxRhaU8BBd7Z6tD/d842rG
h5xN+jMDOO3Oc0c3CWrlR9CqdOlCox+jA5/9AsicSaNVqgx3rRuSM0+ABVMcfvEfTCK0o+VQZ9DF
JchOPRZ6oDITokaMSrzUmm6s+oRpl2ynAguNosck8DVGp9M43a5sYeJ7GaDeEH3MM2GE1gMumoh4
ukFcT4201mXdi3vNrjggZk8BQgj5Mrn+sdCg9QrCXK/3BsJVDm8gMZmuMU/Tk2a6yrKw/mI7N1EB
6ah/Sayx9j6Q4bWbKvkWRaJcIF+HOgWbxs7dy6pD0ZXjPcFS5ncSsDAxgh9xr5u0tF8r5Q5npM3l
HXh/tHuqTvRAR+mE7EefUckSzuO4JMn1Fok53YJfMDWrvweNqnIUykJ/gQjX7PrK8Z8QFs57enXz
KRWO/EqdIjPXogQZwcc8ROcOXtcH3reRn5m9I88f55aI5eiWVRkwDjfKdqKzF0hJVIxbGIdw7Qnh
tScslIZ98hhKnZPYDtdTaqF+NI14QCZp2VvLLfurbNQ1ghuxga+AdzpEzEyTs1Gdyi9x5okboYGI
Q3xp4dTLcwSPV7iZRjsgwoZHbdyN3ie86AItqz1DovGx3/lWWzy15KIs71oipW3hGcqtnzYaKxxX
0TrVfdREG9Ys848GnmrCrKXMt7D+PGCM/CoIy/QblXn6E/kM9VUxt809e4r2BjvJcN11lg9c2gPz
jwUruQKSO20rQm5KLIoluGYOb5dRgMRn2lveRDBrW8CddhM6RYk4MC+Gac+0tdhOQEw3k15jrIrS
7LPDlnozDG4Kzc3u0xesusPW9RP17FJjHNvebMrVpDVZup4auHGBQeT4JSsK0pezauw/QXNPx6k1
tBfgkPmlLCXcZUJSxr3GKOLGLasY+1vj3NRpUz2XnWMyQtNyRJaN9majgXovrSRLt02MujvIjLD7
5EicaKtdKay7Vg3A4DXlMqI0oJUL6G1JTOFozuoW9g+DPGzT7bXV6OqrZRp5iLtKPMYaxkQBUcdY
JZEjLvHoJe3GnpV3n6NHfCCRbWFAMDt+LCND9Wuckez8tYSZb7DE5Jy8opTfOWN1e5UDDGOdBxaA
EgaRrYJdwfAlMIhhsfD7GsOy4RsMZORZfGulDtgsmHv2Ia2G9sL7SC9GZDD6peZycABaEHv6tDCJ
5vaTUcJihgu/khpHu9lY+cXDn3yUeWmDXrY09dwTMw/VuDclyM24wRdrmeTypCPl2f+HGuZ/HpeC
YtensfwnDe5//V/5VX38ZeXz+4/90d8CaGXRzHYGucpfVj7ON/JacO8tTTEqF4PO8ndAnf/NstgS
+Zj62HH4hAv+d4PrfhM2ihe6YUe3LH/5qX9j6cPf80tzy87HXbSK/INMade0fja/v4yhRhfNNSSA
bIN8uTwk++RKuUH8g5i1Xz6Y82/t8q+Dn59v5u9fidte0OzbjrEoiH4deBF5bfLgr8O1TeLHHUes
TMl4hkIUuFJNDyVqdlBqcByJBiDkCYXMKWYObECVd/wDAh31qHeYMMpJ9Scib40Ta434nvJgJrhh
9HWSAB3tgGTaRYeaE3GF00FDtUjgaBbGiJrt0IF/EzfOHjXyuLI0pNOxId1PqGLaiyjj5LNvaRvC
PmQ3EgF4hxnlGwKkflpECKMz80OkFYdKNGP/trTaep6TqPmuK5eoU0iTzXWiGyMPwqltWdc0WYN8
H6pnbkvx3fKift7WLo9kdMChNh8qqY9sAaRZJYd2RqBHHoWN/7nFyXPx0QxpKyOxQgovfUAzgYcV
xbPb7lMrjB/j2RRvfuzPZHUNIGlncOxs27oo3aJCxUIylPqqD4XYmf08fqFAIMs7qlq6DG1at6NW
Xnm13541xA9YI2ZXOivLxyS/id15ivc6C7OVrJ1MQyzcgOhqCwrvtfBGImAYAkNkYzK7dKE8mJhH
DPbFt2scEZnmnCGEOGfV1tlraihxpUdOuJ0oqB5IQAMTr+sM36HSRVG40oy2QFZO4XPEnDZe8Ahh
1PfBme3R6mRX6AJ8DwpiR43vt0PBw37s39y2n+7SBqR4ACqObQHzkGZd9jRV1C5Q/0vZTTcgl9wH
LFniIRLS2Lqa0zQ8Ed36BByCtVPq+sW9UrV/rB1hnbVxzG5j2ggjcDmdYS9mg2Ib0TTXQodmRzJL
m972fWc8EOLTQK5yIfbpBB4cyjFFLWtPmSrIpUvEMWyT6smpNB9VfZseSCiKrtvI4jpJwjDa6vz7
OvWGZSxQ9V3DoseAJJsM401sFwctDSGNqBZ5qNDmyzR55hsh1dMetWxnbnWbFV0WuuLNLDnv7XbR
8tIjMM9P/OzewiHPm8MQxhZ0NIgJm1mesnbJ/fQEFgEkWWgVDhWVQO5V+S1fUeLmaXOM2qmXK53y
39wqr3bqgIcUuK0sRRh/VcZFz1qLAc28ccshV9umKbNn1QFWDyp6CBYMGjragmC+59hKzWvNa9Rn
ExuRTtgQMLOVmHxEKLSD+UaFvo8sv7HTfmuGZnET1k7ygOMqMbdGXZvnaW7aJ6IiZ7j+ksjTFQs0
pEY10opnvU3B7pPCGNZc35p8MuepehyVHD5ahHzvmkdvDpZhZs8iYvARDWuyazeLR1LRkhIQk9/p
fXkFN6RH/e5O6VYkugOU8t/XRPwPPPnQH/xTtcPf2VI5xX77mT+OPYyplouKwFjSytBvsv/4Q+ng
Em/GQeCwtEdk8HPi+/uxJ5gFM9BdvN+LtpOJ8H8fe/o31Owg0fVlVkyLZ3Ak/hvnHsfpX04+zKkL
LWnROZBuZrjLyfjLyYeqEvNPZJBnS236kjRu/51StDjYhpzvdLNOzmYjygNi5vKx8TTrzWW6i9Mf
hmBVxO0m6Xr7OopHiB3UtRu3nmw2d44jf4BzDW/mMrEwRpj5s6RRuKltQCoRBEbOFbquaum/pi53
tzFQm6NcurNMztYD1Vr/zBNNbirfTR+bBiUaXrzhdTYsmQbt0vBp7LEeyByv1owoxMvIhG49Irdg
tCL68cHwrBHbIBTIo0P5+Aosmkcu43dwcoKCfwTiQvBjzTABEWl0MErhXmjGpwg5h4IVbVqIrNxw
6C9THTE0VYrRXpD7gj0R0iTkCAYGlYCmQ2w9R6FJ6Och7hZPoQ4dnHhZRO017AdbQ1PhzSUBEzi1
0rdUE5zVrYlub50VAxLRTsvmN25K/tIG2uANrkvzu1ZW+r0vTPMUor3Y5nXbnSabzWYOqhBCeuO9
zvoYX3dy8umzLIchS5uoidVhCG51zGoUKqLzsIK64L/vGt+LPoauhgmEYFc/s6yuW6ZGjveCW49M
UAu0IBkYhsV0IWpZiJFKWjZbMHC+uxv6wanWltWLfhVRB7QrL3Isa5sw9Oap51cQEYq0fmHypPPA
t+KvLpnLfejb/aHXCrmStDUtUTHN/DnisCp3cpQAV4iwEPuUxyuIToBdBzwdGMeMsZe4EGY7vMxt
WHXwJ+3wdqaX0CBg25PYSJI5kJ6SwGStfAwn7xWMqfvCsr2XfE7UHpGK/4LHtX6XfkoKXTQn4Zb6
wT+VkZexWBXGTRVl47GTXrP1R2sRFOTODeFeNm9tSq+x+lt0MdlIblsINdV3Kr7/8KeDFwMObl7t
p7M3ahaXr7MYfsvF+lstJmBKjOE0YjTejZ7ZngvM00fd7PRdtRiIQaxgcFtMxboXUqIsRuNhsRxX
vUgB1Ytky0rCCiji6k26+JNbrgvcXUqtGgIxr5rFx+wiV0UiXWsvnlwowp4HzZcEMZut6qqYWIOg
THCCuMAnysDVP5S21Z1MD29SaJFNIxZbNbVwsisUzMiuhNsa8zQKTJcEAGEU5aZaDNr4H50rIT3/
jCst+RAeg2e5WLrTxdxNjjLuY6oL4qslHbApp1Obu5B2J5LcrKzH8jd4TcOCu0pAoGJFKhdTkpgj
7UanJPrpQmbIU+RxcW2mVRoGbRb2O5I7oTW2NdKlVd7NlLNtYXsgvcIq11YIFM23ma18wbgJ9GjE
DPw6XqxU+oipamaWefYiK/puL5arxDDGTb3YsMh8mV4FaQqrcjFpYQJk4bEYt9D4FtvebJ39sNi6
5nwC+o4NeD8WMl5B7dR24U8T2DTo+sZbnGGZ4FMsm3m6uGQfrHp9BMkyzalYzQNBChJR7ZNp98Qa
LR40fXGjgXwpTqjHybFFD7nJFtdaZOJfc3FxPnDtz+txcbe5i88tHMlBtBfvW1I2/mZc/HDeT2tc
ljRMzNl02GskNRB/UATpX3ZqUDSYeWl8zRTQCe7D4S0lwvZAPxye3AK3N9+cp206mvCD2WjEIFmS
wVhQDX29thnowpa3SO5yNMbFJSqkHB1OY22JpkVxqY/JqR+5QtxK6IdS872bGfnSthk9nWo/yq/7
GcH5qLnW7WBk0cp0ZjJtrNh+HTsDOaopM6y33Owz6zqtPhQRKOZ8tCz27UnR0PU3jtghdCqo5IuO
/83Adw6dawF1iQXZVUD8+ZI69N/Z52EPGMqG7gWNCtKXtUC/Jsz1/cqKXaD0OlAwPV74YCzaYIW5
pau5V9q8MMRsmwIu6ExTewrTpmBAkxh3kfFq2mNy61hKHHobnkecOepHsjDKGrPWH/qFW8bAGYTZ
PObAN0NUaDZYpxfuOrNbp3HlnDSxINDENON7Xbhovez4786J9Uf0JNils4WhRgE5vLtpEqJScfEd
ggOz1S1Kvm7rC1k983LZrYzL4h50AbEe5mgg/EU0bLtV+F5NZvFQSNK05aTLTbiQ3cx0nugRfwLf
kla5e7VQ4JxBVrfJQoaLcyT0tDHw4rSaRA+OaiByc0Ei3ToiN4xQIXa5pAkNmXndKHP6su1CbaNh
Hh7cboHT+WGE/pu4ouJHKGFkixkQO04JoHZhU3Q7bwHdVbQDktFZrG37nyS8SqXJvWukkLcdzWCn
kbfJqS6gvAVloauLTuqVs5odVkidoSkCikAF7hzNjOhAOBreZZRVPHdANbeZINkpDOWpMvVpM7vN
BCy9InGqpVt9rMpBp0wJmwjLXs8dDDCxJqMiAVNQzl38Oip/2A2qKkhAQtTerWb8myUO0FR7QEJZ
nychmxP854kY1mG8TEC3dkUaltdtnqinvnH6rc0Q8z/pBlBcDl//+3eFxIJJ+scDJMI6yaftKjAv
ddK953+vlFh+/o+SWnwjsAB2KNFAS/m7KIT/KKmtb0stK4gGIhOYYpux1e8lNbHAWKcAlQgPGznV
OHX971IJQXSQx0iK/wHa5GKw+rcq6p/e0j+FEguBxcfiZzrkEdEOmPYiefqloh4jF1H6lIF6kfip
NfCRAwK/rWO30drOZmJwivbLqR0istgaMEc1TmzwB1LRhBcMGJi9wYJh1ajzzEIy6Lv5lU72iEX6
zffH49CJi2+xWa9MY59RnTAUGDaSWLjUt8H9ps2tLj2WF7X31M1UDZE/PbLMfuGg9oLCUvaqISYo
cCG3rxkFHPFj1Rti0VVgt9piFYH0TyEoSOwqLnGIHCps5mNO67z2/eIix5izXJKgS9WPYR/6x6Me
hd5hJvqH9rfBM96k80ZDv8btTc0XtuJaWcVXAVJ+VbF3PMULy7sfxnOc1c16Vvq0rupGY4OFudWU
V1bMQEO2DqaIqEHyOrWk4XhyP/UtQa1LelJhwykM4/hidCXoQrLq7WRElFtUZ74Whjfk4BYWhK5a
2MGoxINTsHfQUh/gsO5vWJuT0FrmyZrPuthxLvRry+yeQDWzBIDwmBHwwHaP1IY+WZLGiddAzQ1+
sxp9i+OeSjBF/7E1bX5T3UBsUggxMoAz71WHDKS1UqR/2s4K51Oc9ZcZxAtC8vCYNkyMFCeJWYt9
MVA2WxHskIk1mkk+1CzBRbo9p8HIepgVHuIJ+rZyZRnwJozkSIoCtOxcPGeFSo+9bN6ViYKhMWS7
zkdSmIrEeyXbsV6XiTI2M0CYlTs4uHsiXSPQMf1kLUd87iRvUPlgNLeNTY/YlFlF+SNHZ4kBpxh2
iTWTUpfgntbn8r6toEkWdX0kP4pLOolexryQFCnwtlrO4aAsS41f1sgOfqyLOxvYP+TxpApmjXnR
VA83/mB8qojEJryDaD6jgbFL2iyp9Zso5utLbeeSSYZxOrsPYEpjUHFW3+pePB50C29WjRFw0shX
BryLKbmKH/sxe6r95BEUvLERjGSETjCPlAUprzm4tCSt1IowSQQdlbrDSGNjpnPzR7t1h6teCmfd
9eoY1+ZnbGmEDbbZVo+deiNHlEVVOK8pE2ouMitcsdDmDYXyhs5RrJi0wL4J+zexAFltEMSESODX
tqH6x1H4oaX9M3povMyD/FRW9lko7tc0zE9URs+uLH4k3ThsxnmedjnzxaD0VBIYU3Ks6vGRSpOe
JT8WPXsRNxm6DeHMOz3Wd6NvgBmviHXKL/ANBkL8PGgAY3Kxq/6D59EWwOI6L91wxWPqrOp036HB
j6N2a6r0PAzZqWviK8XGbu7j60ZLD3Vd3s+pfUwx3wW8e2gx4PN7U+xCMLChb37HIvPJAOnB9bgy
TW1i51VaoHbK60YsH/LYfodt2NIedzsfwRDTxPmBQdZz15qkN5b50egSbWMZ6Z1lCnbsRfFaxTyp
Knf4EDESfEDDN1OXnTIT8EXaUQ51JAB2rWA3H2Ufiek9jF37AyEn4YzEMtvkANvaQAFIXeNWV5Hy
ToNmX/qYqFDHKqZV5BGb5ZXztQf+dJXGxotSLq2t7zKZLrn/tOoua7Kj3nlvMnE+LC28EK+AJdyT
d650X2d3+GxM91JICP9dfxUi9JnIi3bhlCo59zdhV93bJXhVXam9SJP6ykpYOeVGS+KUzogQs54c
vVXZhZ+qkadl6aRm/1aTZBQP7LBBuewqWd5Rphx1wwNoOpnhVYjwpTUCndHCqk8JlXT6zUCQc5Dh
9itqaComxvi2aY6oqujrC6irhS3eqM3aNcEvNwAnm0OpsOcxYToSzu2t/IQ9s19aiJ8Vu7MMNuuK
AuwrS0KT4NWUTW1aX1LDT/Y5G21Yv0mxqTGTUqLX9hJyfYRBjIss66aNYReXoXTLhdFyg4/t7M5K
W5uqfW+cRMcOEt6HZncwsBoSMg2bJGSOS9xZ661i4dzlvZRXJZnrLgPRLlevoec/8hA8NL1tr7Jk
Ivd30rCamQY5DHPXbfGgYecNXblD2XK0E89dG8ye8iH7IHMKYyTovdsCdRPZkLq6BSJibytDPZpo
80kh4b6bcz62VpJZlxC8ckOLeHaJhCY+aMhW/kAspEsW3CZ16b2AH19CV0+ObUqdmvf8Jk7p2gGh
HUeNgyeAu4YxUVbJDsYGSF+m8cIU5aob8x+57G4hz6B0GGzrWgDmIAnuC1nOLqbJGMqi4UkcqmuF
yqVNmBdplbu3W25G+f/YO7MkWZE0S6+IK8oMj23YbObz7C+Ij8yjAgrsptfQS6iN9YdHRGZEdWWJ
xGNV9WtGulx3M1D9h3O+oz2NOigbXBQwQ60tjQAvoe0XD1GK4aaZ2PLAwb7i0yIyxORjAcLzohb/
q647r5mfEUukCMGoE/ylMEGSda2FWy6T34TL/1/Ji7dtQaujuv3XZer/6vJ/+9/gCT/+HYL/9x/8
oz61qCfZ7mGS93+EvBShf9Sn9i/DoV8hghK5OSUnpevv9amu/0JJDGEfzxsjWa7ef9Snuvhl0MPS
/UEzcTHg/62J728T3T/Xpy6AVPT9DHJ0ABTOD7/lT/Wpm9APt3BRNtYIEHnlNg5ZdSD7ib3KsqHb
y3ZU8Fk0VKVGyB5MWlp9l0Pf3iol04dyae5otEW17DLaK9tpa6ZtLQs2as81Ba56ZfaYbBMbPY7u
k4FOSi+svUk0iMv9T2wajxr8rG3iV29ZHr43CXWkqKZ470NLxy0nyZwgUjc+MSiymBvpxjFUUequ
CKssgsrDOtOMoXklwxaPOorWs4Wc4TwOtXVou5ATvy2RROCwXfd8GwcK8fqY4nMhPm+oidZLtbDb
qdSAgoFgiGAw0nhzrzXT1dgCUXJCDt1hM0iRrpgecCkCSQ3w6pYQ7trslCv4R2FtvSYj814nMrH/
ZCRVqRpxb1Q4AavaeWVMZrdKdAt9MvaSlZ2m+jHrx/vcteJb/pLmuowm85REE6plk1sLePK0agdx
qHrxXOoOGbYN2OwEzNaqsszHrrVfZeKHe2kynzPgRIOO0l9jo4ZIXgjjVGAnWtt2o/aVOx2mNL3x
m9G5QkLx5kXdoUsEpmI5bgqVTWgWSa0iHbpYNzq3jI209VTUA7niJSonHw3MjoHWOzi2ceVIhBuk
UHH3TljfCs0uNyGA8KAxBxngw73WISbupii2m8B0x+5CFwME/ahu4ltQzPEhTrEdRhIPvNTJNs3j
5DM1iSbXy3HnxtOePLJ6laXztzvlnHdY5MDcv3mzHhOmIss1kEiXEAJS12TUqIAZTXPUuvwF8Fy+
K7vxyet0Z4f7K75ORcZUVA2frjm9sM9keugmHyjVUnZ2OMcHj6SWvB0OkCpfGKxdQuPrVnaZExzM
V3y9uJLQME6vZk4012rQe9S2MBY3yNpmnH56uEv0crgy9FwhSC6TT5eeZts1nb/Bk4c3yCSU9TeX
5986eP+rLdAWPQfd9H96pl73XV+8TX85Uf/5c38cqeYv/MMARlGAmDZiEPZhfxyp7i+EJuzWWIb9
ERT8x5H6a+HrwCvBSexA8Hb+eaTijmC8Z7Jhg1Tl0qvbjvF3mn5yEf+yRnNYxrHK87hBaBw515fx
wp+b/l4HfKfGHJcZ3q2NL62xBaf+I69qfqRWRNYhu8oXBRaHMkSB6keY5Rsie6tsN3xtFt0WOylj
0yxarmxRdWlABTcAAfxL6ne1j5EU2xxNlnfWtZysjXyRh8k87j/yH80YmlHrJheSXpPKMU3XHhEQ
ZeAtYjNvkZ1JlySthMnbc1o19Hr9IlArNdO6nHrdfpEF4XqzNxdb9lLjnvso2qofrVuR9hPdyI8G
Thkxerh5kcapwkIlNyyCuWSRzrE76uUaV0i24jMbzv6UdJdMcZq7fBHeDVovHvtFjMdK1Am0EoGe
gx1/y3y0u4qSJnJXvj962drphxTG4Y/Gr/vR+xHviAbRhnd2XbpRDh6q1BkiyJYIv2yRDNJTeR/d
j45wBLdLzSw6f4ckcln70ZouqmgV7eSydV+lrcbdp88FsLsfcWLbOht9YdgF1o96MV+EjBFkteNM
b7EN05CNvjMbk4NWDB47wD+cwn5nYFf90Ui6i1wSRT2RTWIRURazRSloEf9xAcyGWPNFcpmVofOJ
sKO4gtzBXDv7UWdmi1DTmS390ZsIPqtdlp+pV8V7ozGiZznm/bxekIZ3pFqx8cn7voaTm4QciVj5
UDZXfpnWq8ad+SPNRUIaDjMQ+hG99iEBPHjPnFe7sHJpfIHDN74mn02CVebzofPLk2FOIbPgrnuH
ZV+tvcI393zAlblLZMypu2hdM2i1+FsXAWw3Ddalsahi+xHXQKQTn4LT1kLDuOx5p96lD112v7bW
tN+jgr+DFrTJ9xURoGuIKFXgtQ1vhzN4BPOIdDskWbJum0F9kBtUPgxNFjGjxV/dOdp4Oy3r6Mlo
+6/JsvtnZ5m+hsbcb7tlIruMb3+iEcjqS9UNGS0wZuoqvrVEbgfCgnsaRFFiXpU/4171M/qtYOfv
UiKIX6y+NsoNSg9x6n8bGGv+AsiQY3RQiSceumWsDP2GCTM7nu6WfbTcjyjS9qzJx0/XUeETGXTi
u6qqqaVbiMfhLGZp7xl9JH7QYp646cyGNZNtp4z+PZ4ryo/xQV+mDhMIIgftzhItQ3Rze+xaE9q7
48tTqY+ywzmOng7lZmRdJ06XIRfC8bmVuWMZK+Sz9TUt4DDtzCXdRi45N7IvAdwRcMgwUa8TlkBR
n3zWhJmckhJNPEk6FiJ22U7xZVor5SN2VoAZ6zk0WFYyVvjQWFm+T53BA1qg3V7JGC6jDtcZn794
ytrZg6ShJ7cuWI7LGkM8QnWyfbol5UeQ/ozGnG3jtGQA5dIdr/TOrI+NValtTlXJcYFboRXD8JgM
GYYWjUDoIwWrvFY8UBfRYEUboluSe7zs1ms6a3gKUjEyDcSEMTA0m7Bn5Wm17axGovX1wuKDkMKJ
kDGkt83az8p+XcoifUzRZe+rwkDXahbx3nQW25mn98Z7TXb7sWN8e6eTM0hmhGmefYy8z3EYZWjw
vbC6lYbNEqweRkRaA5J2PqNBMc7wHPa9bVwkO8rueJ3w5W3Syu0OTZsmB1I7hHkexCh9Rj6z8TaK
uNjP5WKMKCMT+LHlvRfCTy9bIMLvQjqMZ207P3cOQErPTqFPN5V3s0CMrmoM37elEVprzpD0tWIb
hUTAyGIzGLvB2um1Ja/S2Yr3aaclFI4D2jxHx+CA+pwY0Mrbml7YnuuJmJoo9mXE8da4l5jf9D0B
bdM1igGbAdQg5C0iInFbEsNyNBxc3IYoh4cu8vRdVw3VfS8nCMpT2+r3npzcEzmQMX11yiyMwByv
fh8awzvPg24+x14FjKjjvsuYvyLBmozill1luuWFhjDjSO9a4LfDstBHZbXuZnM6ja5wOfdd2DFE
YwtOtU75NQGJznxfGHgysFMM5QcDQ4cVWNyVEjF2P5wY29kvbhy5HrtivR6D1jR9dYSCPE8wKfoe
mgysy/u0nNunmi78Bb8KEyzs3WC3BK0BXYHVaVg+dC+/MWTLAExrotTbRV2LQ6Ez7PnBnxXu9smM
uo8aQfEtO3XnonEGXOtuHsePDgf5g97Z/kkRdaMQKcgCxT5f8a5qJvOaCfV8QXCOz6RADjejrafY
wIeYibwRQirSMbqtdYwdt51mmcf//uqr34rARYj7rxvyfZ/kb//Bsogf+qNyZCPEBATXGAyInzrv
n5Wj88tB6YtD1lo4eT9F5T/0V2yV2Gfgy/YZ6NB4/7MZp3BcClBWULTEjo6b/G/IrwjS+0vdyBQW
dAs3smm4bBCQdS3//U/NuDbkecJ8qlujWUEUVbX5Xk9N5xRTKQIqd77bzriLediCITZeVGK9dHhe
Lxvw1tew3ONnjHfps8o06wLEF5Xn6KlTY8/Rri3nfD+VaPXZ5kPKoKmSZ1OW3540gNgioAzatiwe
65TXzvUSceXGSbppcELd5MnEtmTMvGrTFyK6ZPxpPaIFKd87T9nbss/slXDqGBoprp615tW8Jzi7
6iZAhJ9cak08fKhcyjVJdfODpCe9nGf2QSYOhksGIGTj6KnmbTu/C9e9XpvWxk1x2KHmxbhkVXYf
zFGkDnyAkG3n2LzvmhGie4WCsp3zGniVj3YynLJiZQLFeRGk8W4KQqGy1QT6jBlYy9C7TPTDNLkx
JtMcXLMko0ZGof4myAjcdK7QeIW1ge1O2qDLJf/TwhG0tiSTilS3D1ZYN1eeW1X7ymAdVHrdXdbN
kI7HD1b6t3Gd5nf5XGmHwTbjr0aYxt5HNUwG1NCfauwJfITauFeOpQVw1K0Ls5TlHZqeKzmZ86Xm
gJgfIsxdtlZYa9B10RYkg/9InjS7Dsg17E/yUJErznzzXbXSfZ6bLr6SjuaVW5DaFak6YCAwyvXo
XvBIbnISZG96TYkL3y6bi75vWVx0lSa30rdDhHo9nxrhoPBuXXMjzLLlG66soPKLbmswG+JmxcsG
ylleGZacFjogU+waoFE+4kTUKjjgiCbSfYHfZdWSqH5FUrLYAt4hp44V+vPgoKFp4/65SNAXzWl1
hViEbGx3tK6mOn/TomEIMnfMb6QlQI/hUhtX7JWmXR8aOinAldjSt1RrYbG/yau2PcD/w76XO+Ea
Ukazh8TCUDgEu3hRMQjFBIQqok7Bz5MzZRH6iEjvalS6tfHatr4ZJs+4/PkMWp2R/UgNfbAMSx2n
ir98bPx6jUiGYcnkOWelm8iunfacZMT3qWF8z8Lm0ao9c50O/qGJ+FZdHa7kpLcpVQYAurqwzK0/
hE+z5QxBZ7XVUShIvbHJ90NnI4OGgOw1PMPqZtA054NQMGOdqZQlhxE/lTOVQkcEwgEC0ryB2HKy
vM7is23JLTY07DNTqgJH7+7QLL8NTXck7/7S7VvxLmzSeu1xgdyAh0zFJ37fbIfOaS8jBMZ+3dxX
DZR+EdrzSdcpve1CSFq8ZBuJGHeXvMEr8zLHzLEbPkbSM/q7qYLH4TL2C0JNlju/GhwWxbbLoAeB
npThSU6DuQlb1wEFU5yBi2tUlfa3Lt1LH9noSNDb8laLFbKlMw/ayG6ivnGyjh0MLqqg5z1foUll
Od0baosI844S4xRlkpIQ9Y5ncRKh1GQJnIXvg+fsR8DjOPnBPBLMlKyL2Xweu3I61WXfrLCVHNPO
OMZJyWrJYsdq3Ooif/ZE1jMna0EL4/xZ1V4RBoWqd7LkkNEJ9nX7YudHrKAyVEdFwwHQGO1j2eEC
Gat0hpjfGnzHJkb9zPLfiDU9mT6A7Ul15D3WJn3PEF9ETblxu/g6REu3Ku10N5bGRZ3XX0rkx2lI
9wit66BV6qyUh+RJOzh2kl2iwSNaOeJTQujkgFsCj9VnJvR0A00qXVyx6qF0ooAC2hGaAL1UTq+b
lypcNtPNMccqiwfX6e4HN6Kg0bN90WvpJoXClObjcprp1zDps2B0GCbOpniHgofSaibJr/JHIEU9
hK2Ic4QhK3lsoeYXJxhVnxYU/KKyX/NIWoFu2xzM0PTBMRDQTMnd7oHhkJvA3bYHTGXjMpjhCXLN
HPSsR4eFaXir2/F9TIFNZifr1GlwhjWxatdUPiAXBz/ctGiP9zNSjZVhWBdW5bUUasxNZZ++GZb1
KmRP3GahTCyXLJxcGV9mSNoJkdgmYXGVh+7MBGGEx+Q21TrOiThGpHDs8cwFQzGHGCMBlKHkzPCT
Rg8uh2BgDO7WjodrZp8XhaaJlbNgFFTvvqWOa+BqzdtbbOTXmYzexz685qk8oEfeIP28Fe50ToW7
2Fw+W6yc6HGv7DmugkrYeWAgwmtTMi9Cg11N8YjN8h51gw0foL7U4/w8V/6poRJZu3b2QDIzYRb5
pRmOYFJRk67xM5xg3l4Zqm5Pw8gVjQ3jrnNm7Iek2/nhsTbx7QLKDEjqvU5AKQQMenJsmths0R0f
dXeKmUKyOTKN3Ahi/vpVj6vYsNnUsU8u/bZdgXe780IFySrpF3BGlq9To3ECZwzdwI5bQhNrn+4w
pL/WPeLAcWeuBBOfNZTcaidE/OCZKURQLTyYmGave7u7qH2ABLaTd1sK63idFsUmRvpM8oOJeGTZ
9QKaggEGTZ0XCclZTsW/csaRZZYyb0plZBtz5AnqDK/CeX0/hjOtxsyUzCQPcUNGKplxvB5IOb11
A8C9xwqEuhVIVJEm9sZ1kHixskjznetEJac7c5w+7EioQysAhMwK2in/jv16XEOlMLcZO3NX5Jjm
M0QXHi/sWo5hsWurukTMEDMYQS6+UUInfpJ/ShpTC7pWxKuMAgmrvyCu1Sm+9KG68Ok52VDO1yYJ
tEFrmQsqEJkYDaK15vlQBGW0uMlSnw45oiRqla9WcdhXOx+Q0z4qhyjgvkQ3maQIHueO01ef75Cq
G5vEtb8NvQe7USak0BsNHiASGwIocGJPwrjiwOnf8X698oWy2AYcGpSi/vQm8GcNFvyV0SF7GMP+
3WbChOCdEUIYD/HerRVRhEumZTO+CyQymyyKmitrRJlgtYiPcThx68y2sWoQY7HwJVrCKkUfFMW8
pKrosAC6ouGa5sjAzB9/MnVqNsCtoovhR6M9hWnlg01WKCHCVOzaqUn3ZWy725BAx1XmUajFpUlK
ZZuQa57n+RZCuxMA2Qq3BsrrdW0hpmVQkwReM81IHat5VTc991FaeidNZM1G6xrJ3NSaj2xwm/to
uRGLuIU80XTq4ECp3fXj/F3QA2xsg68k7Opo1yAS26MGKi4ckov2idW+QV3R72WMSKpEOb+x4ulc
yaQJpEJ05Ejsob2l3bikxpPR0kONSfFRRxaRPqYMj0SdaBsGk/5RL/o+GIZWbHUGGKuY8MXGFrwN
KhVrbcyHINWqKcgdOVFXptrWhviHmHvmNIqgvKiBjJCpCbubSWum16jO8AjXFLp2xEXQV+pADAuR
BEX1niEruCsoBGm01adJCA0i0oYazpmJz8jNcm/VoYc6O3yhBXbdnfpR9FvzkG2SyR5Oc1TzZqM9
Zl7sYrp1wzrdTfijz6XC/CfVdFs71WUdOvllLgd1tlSdPPiAhwhaCb8arb3u8ZrTScCf8zv3kDCc
WA11gzGkN6ARiBQh0uKxCGub/BbNQPWWk8o0I9q5qIWZLZ9Ifmjr3L5pQWdS5gwsdQbzcoyHQzPH
X1z16aYamKrLTH8fOaevuD0yaHKuFXiTbZ56no1gGAc0xal8q83mLcG7EYCnLe/i2uk2k+aWmzos
4cGOwt5hKazvZlXfGpo0whXngLExSKVBEI+nAtQ3slTEeivhIcWIcl0EOiPxXZNzk9ZN0l2wwSTT
1yc5RkZcrJyrZlD6SXTMloockHZxNMF2QDzxvQODhFt2Vjd+VPircSz7ZzzM2SFyJws9nU3hGk8h
yOrqZORVE2RF3F/numo3srKyDSEi4bmA8f1tDyirXQfnIpm8/X0DhWKf4lHYaeEcXRtdZm+10LQg
LmBMLJT2rKwa5zvRtoznsuJRa6o4cGcAd5pmMMY1Lae781HqI8pF1GOMDsaaDOXtWumj91V3Nsfk
UHYUa3O+9eMsP3mG8NdVpafv2eKCaZ1i3qfaNFwMk6sjssIwNKZyUzvCvbRqsfOyDMlj7OIfbamo
Bye5yeL4Kcc28ZJSvj4SZPUbvO5/wJ5s2cP/61HHY/IRv33+R8MOfuz3YYfj/sJfveheuX8IJ/0z
Q0z/JXi/Pd9cRAbCMZho/D7sgC7GGAStggAia5k/iYG/K2ONX+7yv6FIcFmlWSYh8X9j2GEt//5f
vM8evxSgWqj3rgPo7N+T9mKqHeiTzPotCro1xEcu4N4YaAvzudkXYRReQc2nmXCGHl2qHxYXZZLO
b01XdatMJuJCM3ReTsfPL/phSi5a9D2HqLQw50qpZft8NPl/Wq2DEgbjWeDQxW9CXV6Dp7maZ32N
GccyN72dQLeOS2bqLVwh5Kx8BighyE7uwa9YsKcjU8tn2PWd8V0ZtnNg6UEhquUwROrRabjACveI
nrFlz9NpZyuz/WfPpJCkV9e8Cy+bmn0YN9GT8DR9HQmL6GLpzcea3G+SRaJp52KvfsIplmzHJtOv
LWYkRyfSmCN0mXEwu4KjcbmnDezR1xAkyCJRrnOOZIFSrw+d+YYNn0P14Y5vjlDjt5Un4mj3UA+g
DOv9QxW5EUsHMK33Jn7jYwNU9BzGHWtBZi3dk+xqG32qItllNKaTJe34KFIzZbKgyW7vjzIjVMHP
vD3RXmMVJImqrjGTqJ0LrPuespSEgrBkFsp9oREUpclT0lg6AlvdoJ5KpXrphiWuKHUZJLHPM4A3
Rc1O0OlsQmj07ygJc3IjIvle53GZMcppHQ6hqU1uWtBsZztz/LOpBu3ezNt2n7Uj7VCYlwz9w1h8
eTW1/LosehiK3YzXF05c/Nr6fhxUTMeZnrAJvQmVhmoKUuf0VPmxenW6orixVY/eKm/DPIhJansz
y2p+r8IxhLgy6g/Ugma/gv4anpMlE36JspsPDIHUvYfwI1BV7xwwkJC+3vtjstaIgkMFq7k+MX0x
KbeRUWcnwiv688B89xNRai6pr0m1rlMPc4JGzHvQ1VZNmULbuuqdMd/WkZvdElVlPhHGHu9w2eWP
beQ5J60ukQuW5mAxS7BtPFhtqD0MXYLtAXv+sKePEzuyAKmC68HP8JZxx5YmTnydY4CCNAzDXeXr
4kIpo/i2Ii/fIYjVy3UozOEMNENwBaaoWRU72XXrueW3Crk2VuRQSYQlVdei93boLD1vKO7xcsLM
iNp5W+gmIvVh8MrdkFIolU0t6fsm/lGghv0n12JzOcxFft2XsA64Z8Cz9OkAgt1sI/2GURctjj6y
j3QLG9aoIAUuLpxyow1s3gbcSRseGiR8szUrWgfTdrYcZ9kXDCekwYXEn0Enp5EvXbjbMYO+1LJ8
yZioTuKUun3+NBJ5wfZltPrvDgXeOktYBSg7ES3K25oFgeENtOGhXlJqTWaWnYj4k1cOisU3RVb2
AKSqc8kFa53T4GTRA7me+GqwT284r7r9lM7xZ4s65VCi2T06dU+jMAH1X2tEStmbqPP7k4Nm5Jj3
Y3tifgmFLU+G1wQNyW1aurjl06ZFjS7JFv8YRG/VN30mDP3gihjWGlyiZs9KoQRCYOoCnpxjm7dD
I8JLv7IZFDhihB7jYpK/TGq5oBJCW9tnXdd9SBdZzsoYHGrRClPhSwu762YoRBGuwqXP1qOxdFaM
DOHUoX0t0D7L1jc3/ozPYpOz8CRedVGurWbRdooRm94wR2mN5KlEivjll3Z5SFmbnFlsD/1m1ptU
34B/qp743LVHQGXQiXUi7F70JoLZMwtDevtOLTVWM9riIR9FyZYpc53vRhgOIiiE119MTZkYu7LS
n9wO4NsWLqSId7Hw+zBwDcVvDuvIIH/RQ04be0b5CQh9eKjLtqrWjp3FB5EL/pOoqBBXiaaVnwRA
4BJ2lHBulDMZYdAzmz9KqahLJ+WTf14jQMdw25sf1VwxqoKvB+FLjFqnWOBWvbsuNebRQGrm2L4a
sEp1NIZo1Vq/YX9P4XUieyP6SjyFu7XnHMDOSFKMR2JIMd7GVoO6yHDL8Ys2AcI0DyjPrgXo8jJh
QR+vw2LMrjVEp6+wE8Z55UVteuD7bzzcvR5dNSa8/jv3e8JpKp0TlBurlp9yNL37rLFmWlBVRK/9
6Gvwyko2ft1oxq9RwdwQHW97Ta9X7Ho/0xt0cF58kfZIb1ZNaSqx6iq9uQurhQHEIM2NGfUSf7cu
vb7rAmwE9cFZRsorlrXqbDtOZaxw+BovVVpG4cFDW+usJUpG5HF2NWW7Wlr2EIRImb+4rbwvNS0V
t6jiZDyV00RExoyR51SbiNX4sBbPJT5W8z7uIVJAWTe+aCUm4ygmP8Y+EHOvuJNH0Sw1UT5ANjEc
KNKVe2cQh+vgQJ0mcWyaymbp701wE91U2me8bp4WRIMJMIN3+nXZ8b7Udt1uoH7VF5OZwjOa6yr0
g1GC91t1A+C8p9D0Q7HRc7dOjxGm7maTlSLdS27pKycCNx0YXl/T1VgMmZb9CtrsTrTkmdh2Wdks
ZnO/Tfx1F9VevUx4/Zelsb7vnHbZf3iVA+l3SvMbgayD1ArlP/g6v48UTrKj/eVCQ61h7t2k+FI2
g0m/IfNv1Vl5y35DF/xdnmTELaBXtV22y/2yf9N1D6iekcxBXQ/aHjmycVPiRnrFrM5gtfO8NgAn
aKYBFpB0Z0G4/2yYxv+P0auZ/znrKK4+/u3//L87x+Wn/tg5Or/Y8P+Qen9sZv9UqlF+U8ZBg0Df
+2fxr/drCQnlBHVR5lKkL/le/zCnoXlD3wbGl4h73Xb/lk6NW+AvJThsb8pvdL+8VIJYMJaYf903
tkrYGFMaA+GJtPytp2lwfyrL/jAKnq4VQFasHFFl2jdFWsL7H5OGPB8CeyPfzHDTJCPmKlmZ5TPr
KOOqcon5DVVD4q/B+oVCYAkCrvBY0GsWSc8UT2pNMHMLMpbKaDadsB2BkaRJ+xqWGgnDPLTRwfvJ
HU7DNn6y8Da/T75W7QxtiL81YbIizGzKiJWpqvCUybkHj+tm4UagVKpXKrVYqBe5CYIzS2S7cYum
gjRXa6jJ0C/MnLej0ZOu4Jes/TDpjDXLLMKk4txKP8sMetkKm03/YRe2/9VRDXcr6RLktcw11/No
uJsqSU2Ifb2ad3OcV4yVM8WFUM2MPDjiOmtvVgMgQ5RG+YXUknLLGEweXW3gt+w6davQ2MYXhrBt
gJCITt8oIP0rZQp1soDWXgtN2Pe2pUz8KKaf7qtJY2yK0Ne4cTPCOSZdFMTsLqFdLDXWjG3YJkqD
9kkVW2VmBTcn3rem8funovMFOrexq3eWH5c7BgzxSO+S1JRoVbqRiKd2rWeyVys7IkRNj4Owdoat
MeA8D6du0AIyUuaD16n6kdp9zgMChLzLUpcMTtq+hfaTgwdgql+gkmg96u+ZlS/zcxfoXWMmRx60
9FtPwZYysMk3PgK9rxyN+zt6rWKH5iq80ygfcR8bjc9Nl0e7kSf2bC3bP+kXzTGLmvaOirk4GkKm
e9Gp9l4ji2zdWoz1W4gbRwiEckfkg7F2CH/DsydxuGVAm7FNRcmBTjnfzr3k17fbyvzWbK96r8bZ
PheOBWtycvTmUlOuBzCnSu7jImoOcY8ZRaLyPOeskANBv3ZkRWB/+URsb5LC7a4LXuB13boYNelb
73vFuW/Q177ocV9e4FUz1yFwQlCUWARY3Mh4l2ihuycapblKFdVDYFemv0czrna9p8p3KwEhgb7a
Vtd6KOVXFtr1tamS6lD3pnaLaQwVOK71cz7prFdG1oeXRaqPpyqPeF1D3OMwnFvnSFK6vJU8iGtL
qWZfg4wNGJAnDIpMpT90jWJ5RQHlvJFrE13JSHqHGnXMJifn+mjnfbIZ6pFlyyhM/WOA2/BIUHAU
7sJk1s41K9+NljRMi9qhLw6jFc9ra7Qygou9RF+DLCoIzx5U9hSJviDURIHWgMSQ2ntjxhA0m3RS
svK6fpXUbaKeWHHj8FEER5wii4Rv3AO5Yg+Fme+JLDMyyJzKExGjvDbyN7qys+9RF/J9hqz80gJw
RF6cZpSnZrvMsSDDXuZaql/bOYlwONKM+jPx9ek5zBumYELpfrqu0zmNeCBSmhv0hJoewMpWpEIn
c8bSOIS2MDsOr2Wl0NriLkpI/ckqRPND9uYnJjHQXu8/RG2bXI743w80MIO3HUupjiB70veoM6YL
mGDUUKytE2ONLiq7aSLPuCCgTNIxCePolswMO5xPF1MmyF/xk+zDGgY9ABwxPXuRZh/suXEw1CLX
Oztm6d6Vop1vrWqaL8wckW0sHVS2FqXqnZb0+kFAnuXBFu0HgjTGdqqhu4QAEQ7bsBcjupEi2jed
1538edRf2paRt2Sg9xlbdgWMhdiaaVIETruRcwp5gbYREJ4LTzUk3I2aczH0yfStea68neNUkmeS
lvG5Yn1Kn039dscfEgc6TK6zyjzAUnZuXvmRk5AtItRnT/Qp2tJWRU/zEjlUSb/fUlVPD9SLcwzX
tawffNscjm2BNn9C8X0ir2hYE0jdPHad1q57T3ZbojCPELHYro+E3BC70e5tq0DFYHEMJHadrBv/
KdLzeDdbsjz7dma/inbxZACh3jZGYX9VTVKePbMnDmdUhL1GBvy8WiUgQefhaBvwZ8a0GK9YvpFS
TpNufDnhbK1z7HRXyBxsKvrWqeyganzQWaip7waEupd6r1Uncu5oKKUwtGQ9E33+BT0EwIDSQvHu
twCdvcbHljvErJ3yRl07eWzvSkigG7MooscISOYZF0N8ABjHF0bPUENs06VzaechHBy3sq5xGC+R
43OcYZnOOIcTOiiehVRB6yj59QxzXlhADhS42Bs3OXUqjB5QTTfGiBEZCU3T0WHGJnks5cgBscoF
6ehj0pprGg2y/UY//W79xD1PZmni9JTlLcye8mwOlXs0qwmlC1Txb0OZEfTXqbkJQTXaZNlkkn9U
Ly3KaopuvpuYtgSeDkTCsjlgYlNHUhjtTcYl9cANjfSJN01/NrNeBHndOjsXBetlZ5AWF5KWsmfn
LHc6bKJTxeu7w6YMpgZ5EqdsXTvcs1N6zdn4f8k7ryTHsSxNb6UWMCwjNGA2Lw1NTTqdrl5gLiEI
DULuqNfRG5sPkVXTGZ5ZGVPzNjYvkRnhAiDEvef85xfIKhPlJkJqQmWkFumFwY9E9BsM5YZJ/fZG
9e9FOcM15oRKvO8ge4KyTa2TAOBsVKNdur1QaRFC7q50dSwXL1c2npXSCxhFRZVIYDpJ7TVxRdfG
UokhWgWLcGEtRJo+LAV7eVONkfSVKSFd0ZjepMySb8bVQezcqzbZdkZxJ6TIoLD7CBmqTXlP+a9f
BOEq6ogl+/hF6JbRQ4G03clCVS1tGeqzqV376SPEGtVuGUGccmEUvAzPQMSKUvIYpQy/KyNZ7nhk
G2eh60SlUNAdxETrj7U6JUjqyyJBxIQ8yEWHHhJairEWi7Nyh5fS6MbM7tyFDv4R4vsUVJ6WCeXx
WkYhogEcz8Gq+rV4a0JfGG5+HqTT1eRFDraamqrrRiKwKLix9bKXRbYRkdtSAvUMDPLT4RO9EQli
4zhF52uz7B9knP6/SHTAnEQIOnxx1bR9iwwjuNQpFgQp/2pPOa4xbRagJsdQGmIDatp+rA07VIfu
qVIiMhSTHA2UkY/0zpIaxCwTxWeHvbpzRaa6yqox83HvS5lKJKW7SCC7gE4bH+0iDF0MxGsk942Y
mXkyk9enWN/hNNo/10RPuQKO6JR2cnVQS+n2EakQgiHLw/Zox0W7XhgED1nhUm0epKRXLpLKWg9L
NJm84pbcvECXwYWEnrjBAWq0kvZ17Kr9TczXeb4UNrV+1U6olN+GgivXAdDtoixp4IkSOmnP8n7B
EONNTdqXPcqqtCHGodlUHcC11vTLV1Zz8fmKu9kRWhULX9wPH5BY2cK0BhVctACCymHY7LProkDg
GrSvEalrOAOUTZJt0nJaShZugtUKrVL9KOPXf6L6X6wZJuEHpiezb4PIO2nqOuoNJDTFAxr/1iLs
V9tlwkJddZCGdxI0knetFgSvL5XxI0gjjOpnnjbbMUIvE4PIhT+Kva/EqNjKLkx3QPwx2yvy/qcQ
p8VDzZqi045GUNwpaJaAdHpebxTiXpdmHWaQVhbRLOXGdvIT70X8ppMYLa0+RIk/NQjqb4tGeEQ6
MDgtJYwVLcAsBiiLx2QkaBmkQW9ObARwobi6MljJJPaXPC4WIVYAhn5gx5m2WsXqDBQVZOupFOUj
NnekZ/SY0gDnV6LyojBsWDdtLz3nihZ/GAhAvqCMtSwGyzI5V5Nw035roP9lRNAsGPpvlebcqMH2
ktkuiTREC6N88+XD020CJmccjEGOOcTPEZH1HQ/i74ZIx99+399+l+o8hyb+5WG+8U/FJM+vAF+p
s/DVy+QSUGjDvybAt3dVF6XzCZ6D9Ytj0hr/fEydPhejFj6fvuQjfvtoyEKR0ZN8TL7UnPnUWOlZ
td8BT53F8Vd563M65R8OpigCwlnQbVXQ54b4dwRbtDKkCmSEzJO95YqOYIsXTPpt4U5aD576lq4X
/ww9/5e37g/pThIdPKRTiFG6KuqS+u0DpmMB9/3G2Hp4n9OdGi/2FhfsKazMLj3t/8Jacxe/10VT
fN3+5zwofS9KJiRhdPsxrPvvv/2/qR+U/3Iuan02r/Uf4Zj5h/4Jx4h/p13TRbjaIIe/JYr+E5KR
/44ZjI48UJFnd+p5YPlP8eDy78gKVcHAsxq6Gn32/4ZkNNAaemL2A8amEt/1b0EykvxzsJKC6TQ+
QVhs42nEU6oa355QvahJhyOvw5bqQn+b43K2nU4KMzVjKX+p0oIIoGgJs1QJSgr1H/HFS4JRXtVr
cz20fT1elCmevFugICTAy4D4Y0HKgu3SiKnsYlxD8PYjLRkcE/lrsdRzw4PGWl6IiRgISIeCDDkr
ba8u0EeIkI9caMZIakVULsNPr50jmlsIC3clAPWbPgc4LxeDhihcH7dCq7JqzEHP6UDkc0cY4XsE
1RIiobKEElu1tqHGzHT6sjnkjFjp+WEO2CPu2A/aHCx9GxaD28vitFdzIfMyPjsotyRHj1JU6MjM
hbrYyHNYdZ9psmA2t2v2XM9h1sMcaz32gYBrXT6sMa2I4LDMAdhB36GhnEOx9UWkHHVJFh8FCRMN
3tx2YwzXG93fUMPL6vkuPxXk7km50SPh2aIs3Il9Acgrbb7QNLXYIs5B3VdxzD0pEPUz8zB8FkJp
So9BQ1qVoVWwILuSQMRhDv+OcBU84AksS2iWpeVjXCzx/4NB1xD+Ii7Wodqh1o4WmJkQK4DZCdRR
7ZEWCXcdYFtYpkS7b1HQiDlQu5Q5qZYKNGry+KYM9ZJgS7XEr/OGU5GdLJr+jNmoSFMRDMeGtF28
5nDV98QR1MyqkEPda+jHOr+hwRTIg+n1y61PggZWb14+1FF4dfNKnO4p69ODUN0yv0jb0gPXy9YV
OyY01T5deMie6jc5J/kJZ9Ry3V+v+UcyNqqKG8+Q+8otwV84GeIXrtiAVLOV2q2uB+Jp0YaQf4jy
Cgh6UOSrT2pNe5bwbSGvBoHYsZPyeRhMWE2dLGftqBItU1tMBIaqKZTru0VaL1prTAbmT/BdhHXI
5vslLhjtEF/AYCEMNPGci3H2Zog3yFs1aip4wSO+WYQwwCO8XecGoiQEQJ0KeI36QvcC1MaIWgmg
JNhBja4PsBYhCuHT6Qqd3GsMxW6GC/UKjxBAwhgR3DJc4cs6ezeDecKixLr9vUJR8dkj6vxMr3Vw
qiMiwqwmN2Q7lGgQxamaGmu4ij2yc01Em6aGUY5xSZ9BbZ2zWYGGA/hUN3ELAV67pNDG6BfG4Rz9
yHVtriT6YOxZ+GSSNRdlToDVuz4+0qMEXsswFbZNOe6DgsxYbUF6LDxYZbvIfkTKamAX4dBKkaNV
IbyplAEFCUVw9pic1NETK8sAG2jUmotK3/gejtlyK7bEQw1DYKwKTb/uMSvZlu14X3SpXY0yrIzI
Rvl/PSwq7FZCDY19M8fldp34vGhzHT6jkt1IUlSwzoYYEHoKvlUkPinNDkkKfmWiSsJskREEZQIE
qOCdIeZJTD6ir0hHRYc5aHcqhpZch+xHvC+Pq/IkjER7ugA1S9nkOScMuP8RDBzKdYShNcQXekhw
o/viR4xwMLT5qsuUFrsjUoZrOZbw9YWnUBBBTKYYxK6BZOKO7naPa013c5M5uTgv9P6ZpB/4YlKb
azjmzyHH49S1iS0RhAOfqjCUlwmbuY2hgp6FP1KSw/FmrELyD3aVJuBOls8wR/QjZFmb85YRg2Hu
CabhhKOabAC3KYizBHteEr0qm3Br8VJnS+VVnErlGVt+gJcuS6b3aYGrraktGhTYS6R2V+A5mbdE
S0r5lCgkkABXj9Nj1HSYWxG4XPFc3hIRn8Ygul/gQfxSUg7D36+CxVOsCN0ZIk793HL9HytSB2q+
0vaVKWfErJiRNig0jmm0QhEQHPu+a0/tcF3uhKzE9a0bh/a5DQuGoqwUIP4yuLex7ALaI3YgIOkk
CkEQdLV9SsOuOOlDkOwnNIEvdQEHVmFyqq/wo2gI942G9ksjT3hTNqr0HCRZ8CTcqvjhR8X5/wEp
TKHs+NeksP+oieQq4//6z/Q1LP728fm382v+t//IP+r/+s/mf/yNBLAu/vjM3+PXv43zl26vGCxi
rxj/nM7+m9JuPtI/KybmUbwqCNIU/cc0ii/9o2LShb/rCmo6CPwww36zUfxnxaTMdZZBxUSpLYr6
/Av/McQSxL8L6pKgKf6Q5aX8b2nmxJ9HWMzP5jEYv0efa2wq+m/VtSR1CN3LIXJxqem2EZnenUVX
eQXY2QXPwUdcmfUbXIaF01nEVUpWle/KXSugcXIV/KU2v7vkf9ZCzSOz33dq8kzExvyBWpA8V/7v
5w5D0pSyzcIBw5vaJSbPjh1abcWCGYGEr8F94TA5hR3D+7da9bQ0fnH8b8GcrOQ6YDzpjAamQtSy
30d6qAXjAgBx4VRfSIgcsCMvsbFGIFLKMSwk3CvhK78TXptz9EL0YP2LRlX+3mH9OD4edxI+DiAT
6vz133VYeCL0VVKPWLx5HTMXF1fdrl6TxQdZi3UavViXPmEpoDziB9fDTbWuiaMizEFRZxC96Mlv
zVkl/9ZNIHPbErbNZvkpP/aPY+lEbCXorncxmt/jcEh7K3iR+hOMqfOvQnmlnwvx+UJilqQpiAUE
HatQ6dtsVMFPQOjDPHRZYWFaL63JnlaAjbhND+O27FwFA49HoXL753Cr4TZoabvOkRwqJcPG3F3o
UYG4zWIT7PV99ij+ChKYSZo/PWk/TpBORlIF4AFV+9YpQEGgV5g4QYwmbZnGGYMhHbZkb6UMDohF
2sr2SPqhGd4rChipOSgmnsFW5gbOgKIwx83A/8XT/6tzwtLq93e/k283wPYidEsEXp7mAs3Z7TPV
cvrFOegm9H0nt34V2vyzbPYft+p3V+LbM1dgE4hTI0ftXH2NDaoneTNc8Sv0QGTN+sMVh4Mtihqr
Dm3fN3ikZog69OgF3OWJ7TCzsVO/fQQVMQJmfu42mjW6wbuiW+KIZ5s52pKTryMI2iag7C8u9Hwh
f7/MzDf/d6eizU/v716zXEIqg9ExEtEdyLOXEaqGk4LJDm4bXmBKnxiky3d/fdA/eeLAL8hRgLPL
Wit/X1sgS0nxeCNArLd6xwC03gOwviwOxV32UK8QGji4md911uDUZA2opuxm9vKtxBbS/QfO8a9R
lXld//kCcC7QKthA4ERASf75Aow3vDzk4se56F4bW9pGR1QZ2NFolr3dtJbhEXbp4MLalha8gKZ0
il+stfpsw/aXJ/FtjailIM5haWLS73T2ZFdrvFu/lhze0e7FNZacjKi6I+6SdwvDHEcnNQ6pjioO
kR9qxoXwJVR2+a7jeY/4E2cNPLKuFtzCbNYeEbOEvO95EayFlGzGbYqsYDUoTrxXT9Khpu2jVpTW
NPHYoIlfAIRWpZrDdrnGZaCwk228D7zbkaS/al8jXfAT0STCdQ1hOF3dtvUxPeoeVmflatoaG6Jr
TXzPF7UzgG97KMasZWVe/Y6kjT2WYx2Fb2wGD80eSLp9iHOHMUW5nd5FINzanw6dzTkY0HUxIjFw
QPXhw0kwX9dFj0qTMfWxe49Gt0utZvJreybQ4ayyV50RStpGVEzs0vLtYKNtx8qosqu76wYXDV1x
x9TXGYnAUhnsl/51KZ2ECFzSk+qdipgIgMMgk8HEC7KInwTtQ5uzGLxsnx9zsohDXCC3Srfvh11Z
oQdkMbdV3R4rV8dkDXooJmLVJpFstdqHPgkTsBNdmg9r8GmKwpcakq2H1qPYpTczcaPG42JGH1GE
7JQ8ww180DB3ktvaaLhvNj0VwdbSAYpf9orZbAfNvDgy2UV/lzERPSpHY6ucqVYmCmIPPijZt2hz
cRPtrO7+dnPw9BmNJ/lB7LZQWFlbUFpdr0elsPEu2zDU0+9hM9SrW/alh060cLLt4jXY8uBnK0Yo
eO02rnZ3ZVhMU+AjiIx4WwOPXOYKszcnwb3I5jJwaj6Odh1x85ieIau3r+vFY473G+Qzq34jVCh2
3lrYff7g3/zhbjq1T58TgjxTeavM5Vpd43GynkBtq6/ra/ScOeEacQfOqvrHZHb3rYe7LHKrC9mz
qmLnS7vwJM3MLESdFiEUkp95Y2LGbPInmfG3eV+k3kQUiyXdNw4RELniDNvmQiJD46sP7Q5JVIwY
7k78kNDorgvrLf0QAhMnDqSufuiH15XI298gwL+DDjEZl4BHYrL4U1HvmuY9Iyg8MBnHU4dsJLxX
7LJcG/IqPN0e2x6hqpOXj8E9eoGIKMvj4oJnCK0Ybiv+chXKjtTARbWaZ5z9peZYhX6teNH1wHXu
IhOW4/zUEshkwnLXHhXkQQyi1gDoSW4Zjz0H7RG4zcv0RLc7S+r8Tl/rn/WhxY0msAxrRobl/rF6
Qp0mnluXfOE9S6gv+zEcU5VRkBU81Xf9QaGq9dpNSikJb/eQGaubI2IHS+iu07Re5uFlurtltmZd
d7WPswm/aytY4C6Z7g+WcNK80MrX4waLh0NUWQjILLTAgSWtyGXwskP8jlqOSNfKGhtbvN4J8gnD
Lp4pkTIDdwTOH2LuWhJ3xVF/0qT7ofyUik223EchY+XNmLoCBXl3CcUHJTnzeW4QUPiIN6fcw698
H6X9sl2hBS7lA1nWFw1nP68tXeTpKdzlx8hVnF7cDmtl5NLbjGGemQXCstliubAanOoYcytx5e43
uEffrv5VRqBtp194+OxrJ7sP4RC1d8TDKpZwye9iyCHOsHDE2zrSba6ljoZkxSgxIf+it9EQIvFa
jW4rsm2h+hvPuqsKx7A+ZLEzPCyYKPfbZeYCqqapX76mqkvODrkXhKvlkFueU8EftwpP7WR1ve0A
8aX75lh2tr6009CEpcZNvtz2JFuYyZ1GJALETNEUzdLS78JDcsJm7elq+BEGlLlX2PUnNDJHdrVT
+945/A7nBucNX20/cwneDRRH0jfCbh5ZXDv3ihDWE0tfvVpCdpyxi3zdghsxais8BuOVsTLWqd8c
SHW9vveSnXeoP5zi5qA/SHqb2WjnKBbRw4u5xMZ03S1Ww16wqqfsXgpdcAoVU/pdvU9fVTfSrAk9
/D7Z92wLJ0R0XvC0qM1o05+vdowCGQ1xYE2Js6w3TXWuoISHvvZMybkbSxuZhkQsjL4LHnG4MOve
ERTbCBuzV1aaDFzpEIjTLIls45qDOJM3YoJdJ/sKtaQfvkfr8jM56W9AMu29lq3r3Llhx8O66SYP
vU0Ui71Yjbkpb2trMXgh71z5KhquWPhKvyoOhmwOvEAkYMv2gsS+hCp5pW+aFWpZb/S4VD7UCVpE
7Dz3UNRLm01B+mBAHOyXb6lnbKePIlkXj8ZRwmzIVC91b/51rfWHSZVCmaXqyhKtFXavDIl/rm+S
ZhKzaMoSF2aQyiN6Ft5CTvvEDLl8nVSzPUdO5QNGa79p5v51ZfXHKpcjg2jrosLB4Wv/fGSdHMhA
zn9UVvEe1Z8DFeiYmpjnudBpHn/xOX/u3+fa/eejMXT5fSGbdJI4YaWeuOFr8kEW1VrqzNZDKLnl
fmbL/5MyXv1j8fzzMb9d27wTy7KgTXXZk4djsh0MM9yLFsllG8ouEc+9YBdceAiGdYMk5114x7Ic
t3XqnOEIxfOxVXbNxgCNr2zpaWYa+dK2f9EzW3hS15LdXDI2XPVUPSRHw31ZftWrYF2sE55xMzbV
NY491IuBBx/NGfxDwBL/EN8VmxFr6S8iCG/2XD4qbnYq7yMLktr0BoUrcbMdcV6tixftKzvDF47v
/COeHfvYKazcb13pi87jwoLq3TZ4d/c7wWZ3FBtMHk0jIjnX7D701+olfAk/s8JiS6oYhe4RIc9X
nYL9dRlbxDR3q+4AakdRRZF3i00YoiJ+DLyC5LTHd6puDVtMI3bGHtd8OIauag8Qywb8LRzxOXBx
AXm9fuiiPTUuwrngbLzIZ5EE5wUZltBDbPEY9fa1XrHvs97Fx/qhfRJe2AChLTjTunsV1oEPXHGQ
SHjaLfaa09qjPQ9MK3dyJK+cd7vG7u0JkYWV3/3wZLOvxYGNQENN/cpyb4dkVvho5Z36LiL2AQe8
u+zZWAdPIWeCGSNxxnw0XOSfWCaXnbmQ1torvm7TQIluatACdRsGD3RkfNa5/lezf6SwXnxEg9Ux
x6IIIzwD0wiLlFCYbcZzKzgdLscJ3whiHl29QT4Pil1icm42Z51QsV+Pl+eH9edG6OeH+TsANk+0
QtjWNKUomHoHJMBD/AAJRdvMkE9jDymoO8QhJwRO+bdfX/xF8WZhaAp/HLzp59e3kTqS76Mic41z
LOzGV6gwDturc5Pulzar768/7x8bv5+OaHzrfOMSh6dgPuLgNpWFk4a7nJyOVHI78xMXWQwJInt0
zYITPP667/ymWp3XKxy/YGPgJIt4Alzo5w+cQpiPtLYhYR7ea2GmrRe+iqfwDTl1krzA5iGn7mXZ
XSiPoBOzZZrJQbqLF26F7SDeyag1EzNT/eihQy647ZGCJDNAWACVCNbEplk6IU+auBk24afZNofJ
q78wTHKr89gdF8qRKD5EIrqZUKdhiZM+IGGi4yh/sQP9SbePMlsSsZ+dXWyX35HMHCEktK4+BlUp
9rmXWHPXj4dlu1f82Gk7J9xRcLsYTzr5To9sYm15wnQLO/tfwUp/XLA5FVVSGLNDikeP8vNFJ2C1
z8SaHDyFhTo6am5FgSub2onUV/tq51Zg/eK5/iP6h08walmMghV838Rvz7WMzEeOjPQ3qGNOgIZY
CqgUrX8FKv3JAzX7xkEekjVjNpj7thkJg5qp4xTEbv5Ug4ECHVQ2osw62GF1lTB117Ov2eEgrXfN
RD6sCZNwybSORpaI5wJ7U1J0XDV2tBIXleVGvuHRY/b06ginzaz34tYRBAKy7OG2jSaHeldJ/LG9
z7DGAiBR3Nvk9B3SVTO2YUQb2/pdDY4xo3cQOwwaSKCBjg588vbX11j8k7sqkLLNyiHh4wye9PNd
XYp10pcjJc4MYBKo44IxhIoruM1dQYOxo9mFO7sdMIyJLAjma9Gl0LuQ61h7v1rIxLnO+HkZJX/V
AN2C7z77/X27Df1CkZA5UukGl0iEJmFf9zrkPj8/Xu/KadOeiheuDdFIijV+XAsTL58rbhEawrXd
4urVlwWVAVTEv75GP1Dmvzqtb6t7NKpj1sScluyFfnsHX/C59RKXPntmUli3daqZDUgzTTJq2K/x
CXe71zC36hMcttxjfbC1g4af/cKlDF7uu4UprIyVeFfbv3pn/mTB4D2Bo8abI/G2it9GHz3OI2k1
aKHL6HoADjN4R6sW2+T7jIjE8YUbCzGSkoUWI3AC6Suc9nJ1qspnwVFrL6zsaN2zN1c43f31ZcR7
+0/uL2cEWA7PhJPUvtWZYxssKvgBkVs5zZcRAtFF5a4LnWSlZw6+ZgEx4YCGEroG63bdjtEOBcui
PBBjDVs2Fvw+d2LRa16RkNarUKWMq1fqZOEdqrb43OKtYYUEV2W2vNZwUQlMQEkYw6bC5HUygUeQ
Bj4ksXND1zDYS92CwmDUq5YCxtbRUjnKm3wBmIoxGnrNiJ0FrRN28pdheF3mop/QUndc+l3k8IMZ
V/Ljdh+DY5FclQHuXff5dlyXW+Op40Tu+JHeI+4kwFebgWzgNYTqOOWx61Br4EQLlOAZ78BqPfTQ
DAmKmd7XEOFic3HAsBk+JP5Xgg/VILo+A2XIuOXYBN14C3Sme+QAvbbRpnOR+VWOj8Im087ERCvQ
klC7szGltvwJrFXsC4OPLatmHXhJ7+HahHaZjJZg6U/pNoKbUXigfDW9IHVv5CFWKUBZPhaRV0K5
sQTEXZMbdWvDDDxj4ZI8I5/EtQz2lALq0gcBwhkmwNtUmNGKfKx2vVzTsqErfW1iS0zXtWj2kbU4
4w12jS1+pyp6AEcErryrM9j0IZnBqaSYLi2F7O49imMQRKQct4ykTXt2qboDSIwn0E9yLe3sYXSk
reDjWZ2ZAJEkItpzjdo+k5bjqg+szzVr7/qp8m92el/yLnQrSpVqD1CUYlEUmqq9TK3SMZxqhz0L
udu5YKKVvhl+Ndjiw9VZ3JUH+dKtIFv4qTu8wcR9Js6+2jNtCBmIue1kkkOw0tzcrnb5IXpWrWVr
p8/Bg+TnNkO30lg1qD6RBeMoTaKG0DwZM+RstpFFgC8YbNIA7nJPonc+3e1cPxPHZKA/QweBOM5R
NquQj4fP9xl/p3PiYg6muJIdKZcFkoeX9pTa8KO8nELTJzpoI3DQc0Em8r34unTmvkX1SDjfTnbm
DBtMYza3VXDCBX5mL1jELVn4cB2WrzzLJD1+TKJ19Yet5lLy474+bIG3b3zA6MgTVuwNd7CRcK8p
QBaP8Tp4Hj+jd0ygms/yrLmLN+yEMX6IQ3NyJZduSXNbw1o+iAVmZjMqJ14KBDlm/4KF3WzIZJFO
0lzC02QyL7MAAhpA6d7BXdipPHIpgBO9xh3d0e72XvZJn+PQDTGKjMxtcN8hSypRo2PXM6M9SuoI
+0ViKXuQqvN7BVDjk2JGthmEteWOe0D//MRNtMMdo+i3fl8ern7zGm7o9lpH3TGqXccPhSNAP3ez
B4lFutkUPjs3vKX36Vn0pqfl3VIxh0MLCmGlF4lYN7sQQHCY4eqOtmWYe3NTRO4mnZth5ttkpa6T
p+taX2VPyMJ244kNir7GLu3WyTtz9NCq29OW6OLC1/clYDdkd1PldMLX6Ty5XKmlrZ/UNZin13vB
FwX2UXGHc7+D1R+fMArM9oJ9dQoPRY26otfb0y2d6XL747A+JjoQpxl73fr2KHebGgIN0BcOWZPH
JfZytzAbHx4XDooPy134Ij53m1V1imx1Rf7JhBPgKl4ZnuSo79UW3ANNgoku/qMAo/46Xj3MzYqd
bgv+cMZ46oFlyxfM++Yy0PRFDzSINfOUwaRJtdoH8aFaa49XAFZqbCIGSlMAf1Yc6gpruULiaJdf
4Q7bTNtwQXOHcwXEvZwX2mrdbemim4f8CLltuteeADOBKM3WSnf5JX5sH7+w0luRBEcF1fjIYkxV
sMa3AfjAH+9a5sQ70svaNaOIz/Ct7q2v2G4PmOtZI+jksBM4+o0I7W3rGrV5vcxz+mZLJ25jdHOf
7eJtu7teYodYaNr/qxW5y5Vyd3MMz0Nmb7cu8kkP3/rNuFncw7+cnfQ6NzwT7xVs8nfGSin3fVX4
4b62madzl5UQzhPCWzPfffXgW5t2g+XUrnlQ8JRnTPGEMIfCf4CY+Sy5OHM+BBf1xNCJwadfVivV
m7kFg1+dZK6qz5slPJbnxR6ROt9jQaru4zt5XeypP30DBw10rhaJ8LpiSudZNEfpaib34V6PLPmE
mpYYdYKRAaHBCy2s37qncHZWsxZkDD0Z7EnNflzftrJVcVeE93G0ahdDELd9aE/hRqjt64OxUndL
a2SAEVzXWoq5vgXAcy15OfgvO0e9MNPGqbd8jHTVfC1HWFjsd9E95lR7JPBYIDp9amurdB3bwir1
iPLiJ5N7xZ7OER66FoSlI/glc60z7+EI+oZonucakQOrWb+vV4VqjtbyRXhvnMCKDyFvm+zVPNbU
2dvhMLi6x0W5Y6Plgbaikw4tvHkgjufQrZL720rl4WzosyCYWpMXOhWU1ouGbI5lNjM7S/OO3aO0
kXsrXqO6s/SVsh02htM+DafyDSv6ONlTDSadu2QcIyOIteHrUrhWn9d16AyneFjj5jgxF3hLvtoA
D8PQT8WLLD3qCcUJKxZCvE2jQsdw23KLlVfebpL3/sdO7ujr8UtxUxQs5gwwebwYeCTW8XMX49Fn
xyrKb3vYLI99hzuwTZEq+HLvzCs7QOIRKuS8b9zeCmQ4ToXXyop1FO8bJzwC5suCXcLGxIiFyKnc
6t8z2srMykBqTMN57+3IX7qlbunnwA0++mPryvVKZN7B/sJCyhzgQTXYZCdrCPZAYV5nFatpnVKJ
tVayBwghqZkkxtG+7ZlKjk7H/9f2HJxGtFvr3ZBe4yRZ7vttccz38rsCV4YTaOwOYcoSP2eLNl59
H0YWWWtGKPm5jnKktaI9wH+2JSGb7+BoN3Imr778dMsd/FSaVcKImrmcuNZrLOKYowBnqy1mGN6y
Rr2J5NwCSx8pYu6CQ7nHmR+DNYK4zTajTESesslWka+7zTlNN+2xEEzjal/TOzkws+P1KH3FYA1W
yHn0q2QNh+8w/63z8OgJ3coH7+Zd30tO2h0khxNvVqQdbwhpXFducaTWxPXucX8Fbocj4pSvIadv
qsAqu8p9RHJvEZFnhlbhCk585G12633nsAazgOLNvKmt2/72yui0Ml+5Ky7ph7j+JmtIAveMZg9I
YitzjR6PeRby86s9fyF8mgEaJEHHYZ89K+tat6SXUDT1e8kbHhK/Csw8xhqRjABTfboeE58wAlvz
JmcheOK7skaxwxylta7479areQyz3F/VO1Gyugo7Dl961enReNC2xiWmnHCYrEyKKxomtyMK9guv
28+PwLQPPwRGNyj7GhNtI9NExLIPOLzeSU5BsexIXzwYyro6SrxcyoCIDm3uuwhhuEuPKgQzS7ow
jtDZ8tAjLsFNzdyhcn6N37lUHs6kj5WT+AnjFrPycSp+CRQPJrJxjB+TneoYz8m6O9W5LV1qSrt5
qjLj3zTEWObeP+tPPLtMQgx0m8ynhsaUN1xi1V26uIxG+3Q/F7n4lJmV2+3aY3Lq31QyTLycSiwk
1NtaMnDV8MhchYhaOf/gSe9dedszRDNWV6xtzYFiyWzuSfHkIhT25EQ1R5G34mNhi9sFU/+tuO1e
w2MduoC2GNQbutXgHwqfl98MGwBmNptW51VH7StKVwrWKReMMguwyTddsAwcQxmhn5gPpZfqMceL
5moPl9sJva8dMS4v6UmNFYZwj9Fl4VOupl50om0FFlmJXveceN0uPGCaG/m1BZzt1GATRw5s0/nY
V0zA95GzxKjawXWa9rhzgn229ApmWdOutOvt6AW7QjOVVfCyKS3RhqkMleuVDDiNLZdlQtv1x+UB
j0jSNL9Gw2uIfTGjPWodXJXuo8PCkrx+m65RbR5iOzEXXjLf8Nfrfb8iCd1WbPLHdrpfMiOSzokX
8hhc+VSttTbW45mbOKOi40Z9y+z6rplcerPd4PB8c40fb6fEifwMdmDrl1a5jk4MZz9z3S5flzaj
uXvmeKveXh4miyE85Nsd/vTx8+1OfAvdS2+3T8wf5ffsOG6hpW0zydGZicF7vL8Wu3Z1uzM+JwfP
ZDd4NNbIup8KV9wUtryRHsZzizNPc3/VvqC/L5T/Rd2ZLCeOBGH4VRx9J4LVwKE7wgix2WBjvLT7
QsiWDDLaAEkG3maOc+jDxDyCX2y+AmQQYKljxHSMLx3RGKoqs6oyK5c/s/qqpgb3xTs68HGUqUbr
3JLSdunUSzW/bs0kPUMZ5UqZG239cEbQ5HYQjJ6kP9gPL13WlnouKl4zna3kWvicKAp9PWn5dfty
XCNOWDr3O1xufO/D65Ev5X1Ok1wYAmWvzG/GN9SXpbfuWJpgTeRaKXoXDR4WP/jIqo91JV2zy4+l
uRgHoTlWs1xr6m+BbUENIwLKFQKzqbrLlRhdkjch4fmf1bMccErKyaj2GhW8S7X5hV+WRlf8M25m
qO3Li6wPHjsl2Q/ZhtMS7hOZhZG/TXvTng/gu4VMlBdoBLfjtNJ8J38xU4gf8nLmXM80ZLLbRril
G8z8ULqnLsiQ6O5pw7o1e6eNUbVcnbbMe26PfIqbrpJq9h9djeyVZ4fratcIMHiXHHenC/KtXSLW
TOIUpcPwccJuUh+VLPvaH+Nupe6h7XbmGbmQEk+Q2aAFymVSkr2xLE0Js8fEBA+46vB9ERIkYxcH
SnHX651LpfH7LMiyfbmwGxSgqi+aJLbKZmuqCbQrDG4ASEZm+COA1xVf5pPOpI0KN+NcOfteQ5ZC
UjEZtrTBxCkc9hqWhuYwA4ydhN9V2mOFjgi03UHRzwn3AjdvF2KCHEtU4I4TjinzZJvlhHcrLZa0
lWzXn9jF4mgIaNivpZ7yEuYozy5dEblK01u7TsyBxwyv4WYBi7p0Z7ZmPfpGtkGg8mrLNexbWgPU
6MyuZJ/N67xs9Ox6xqzQ0kaeV6lJjzVddRv9Rv/GIcw1k09rdtVp96Vh0+BwSYs2yMsfrjRQ7ZpT
pxTFdbb9LKKx6YZ3Twcj+8rgRJjnxYdh1+jQP+c21v++H6QVPN8wYIfnHgXj9RRo9Fq2W6qLF+rs
XOdRZF7ReUOKz+fMHN7jzXw7zjqqpOnpLGXzai9NFx9IHkMjjwGeIc8gI4soQ5z7N3bGHfdvoe/T
AsVlRoARTpMsqSqt7+qvtVF70EyL4F83zvG/hwslmgFTQRrmsnj+YW/4VC2MwuviZbQYYrQDeyWp
aoi5d8ojzrty6nG5imTV7/m36XQEPCyXIWBHJY/wbL6bnQ5IbR3W9Oc5doFM1czMtIWS/o63vdWn
tnCqit1LElexYrfMlmFVMDzbBG3nlzYOjJtxc6ZkMDZvXn2aHFWM69nz/GKgmqrX9HqTW/2Sspov
7WH7dRB34/cjflTKokgohedIyU7v5roWM0U7bRbYG+zqLm2i6B6NLxzT1zmngEw1+92hlXIrXSVh
PAg3/i/AIutFVEFhyDQSduddT6MfhkYlBHcalNbFwDTU5Z91jVD+r3/h4wFOtOVsTfXrl0LmvYbv
cqKbuaOtpl59R/z/m6JSg6qqT92J/rTCFG/9cYkxHmjIWNa5/vmasP2lH1xT8GFD1yYKGJb5ktr5
epUdxdS+fpEUQ1Wm28hekLJIoc1Cvn4JLXMrPhA17rUOYFiMHQwlmJLlTnI9ko5NuqJuhgZGhZa4
5UkHvlMMQwPgYwDg8Z7CM+SLIoyWdIaOPXHFDCuckKVqk2BMwZ8ycCAESfCR2PR/x/2OMtHf/gp1
exVjo2WTj91WBqpiaGFwE6PTOvYI50Z6+3ui2o8h3pcBigDcTr70vV1lZJDqR1h2xTbefvrKzm6C
1BGtzpMemriG6Euh8+8Py5mpLGwrLARWYLVjbCjZn1GdhxOu/U7xHFB4AY/FJVovnXdGUr5LytjT
3Lc/gpG2RkeTJh297im+rky0YKSt0Y8gaKJ69iXkOQvXrbefoSu6YroITCdlS9fTLfXtZ0h2rUc/
igRwdKCZJ4HSDda7Yb7AQSaloa25h7hzBA0leZYKrtREnR+a4QiSLLoDQsKjIylTxTp45rNHuFFn
k12tvT44R7hPFXuuPB0SBcdQqVJUtduELD/j9/bY0w8cl9wRjvoS77z7jlmxPXcE1dfzng5JyPwR
BE1USZuEPL9QThCS1NY9wHQMg8TyZQt/fqJY6jYEPRh8I9CWiPNIgg5ZFd9C5ocsfh82k2K/8G5o
XXHhLffAEPHfCCyYA0OsmbihU7jW3jH8y9nCls62UI5+LG3NFgwhphE7xwSBhfsRVRFrXlmgEV/Y
JwqxGEXUrkD9PIQhk6MIC8vyT0OW0AZRZO2okc9DF6oiiq49LfN5KENLRVG2p+A+DWVrebXCJx0Q
iPta6hOQRop6OWbHzsy3P3GoKUtHTs97t8lX1D3Z6DILhbS17R8IfOoLCpcop+M3yfzNhB9uWqDf
V8TQxtnSVpT8piXGHSrJNmzzcfPaDJjuWa7wwFKl2voFxr9v8m+iSpQYXLpqoiTBro/nv70tcZTz
eBJfeTI0ZfLtHwAAAP//</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_xlchart.v6.11</cx:f>
        <cx:nf>_xlchart.v6.10</cx:nf>
      </cx:strDim>
      <cx:strDim type="entityId">
        <cx:lvl ptCount="8">
          <cx:pt idx="0">10106924</cx:pt>
          <cx:pt idx="1">10106936</cx:pt>
          <cx:pt idx="2">10106929</cx:pt>
          <cx:pt idx="3">9421486</cx:pt>
          <cx:pt idx="4">10106933</cx:pt>
          <cx:pt idx="5">10106930</cx:pt>
          <cx:pt idx="6">10106928</cx:pt>
          <cx:pt idx="7">10106951</cx:pt>
        </cx:lvl>
      </cx:strDim>
      <cx:strDim type="cat">
        <cx:f>_xlchart.v6.9</cx:f>
        <cx:nf>_xlchart.v6.8</cx:nf>
      </cx:strDim>
    </cx:data>
  </cx:chartData>
  <cx:chart>
    <cx:title pos="t" align="ctr" overlay="0">
      <cx:tx>
        <cx:txData>
          <cx:v>Oil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 STB/d</a:t>
          </a:r>
        </a:p>
      </cx:txPr>
    </cx:title>
    <cx:plotArea>
      <cx:plotAreaRegion>
        <cx:series layoutId="regionMap" uniqueId="{4E3DC997-3E87-41FC-ACE6-F30E991338C0}" formatIdx="0">
          <cx:tx>
            <cx:txData>
              <cx:f>_xlchart.v6.10</cx:f>
              <cx:v>Oil production STB/d</cx:v>
            </cx:txData>
          </cx:tx>
          <cx:spPr>
            <a:solidFill>
              <a:schemeClr val="bg1">
                <a:lumMod val="95000"/>
              </a:schemeClr>
            </a:solidFill>
          </cx:spPr>
          <cx:dataPt idx="0">
            <cx:spPr>
              <a:solidFill>
                <a:srgbClr val="002060"/>
              </a:solidFill>
            </cx:spPr>
          </cx:dataPt>
          <cx:dataPt idx="4">
            <cx:spPr>
              <a:solidFill>
                <a:srgbClr val="7030A0"/>
              </a:solidFill>
            </cx:spPr>
          </cx:dataPt>
          <cx:dataPt idx="6">
            <cx:spPr>
              <a:solidFill>
                <a:srgbClr val="5B9BD5">
                  <a:lumMod val="60000"/>
                  <a:lumOff val="40000"/>
                </a:srgb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lHpZb+Q4tuZfKeTzqIqkqIWNrvtAhWJ1eLczK18Ep9PJVaQkUuuvn5O3a7q77sxczACGgQgtQZGH
33b09/flb+/24234ZWmtC397X37/JGPs/vbbb+FdfrRv4ddWvQ8++B/x13ff/uZ//FDvH799H95m
5cRvBGH627t8G+LH8uk//g53Ex9+9xbfahdVXB/Gj2F9/AijjeG/Pfp/OfjLx3/e5nntPn7/9Pa9
VW6nQhzUe/z056HT998/pWlW0k+//PbvN/nz8O1bC1c+e6vat//DJR9vIf7+KSnor7TISkxLzOBm
LC0//TJ//ONQ/itGRZFnmBVFljKUf/rF+SHK3z9lv6aYkYzlNM0ympdF9umX4Mefh8ivZYEoYyVl
cA7Nyn/Ozb23q/Dun7Px5+df3Njee+VigMdB6NMv3T/O+/l4WVaiDJcE/heozNMcMzj+/vYICwCn
4/9h11GynpB5J/22njslClxn2Iad7IJ8mSKdQy1MLl+TniZ/ELH1nodBIFoR0xa7tlj1bSHdcMSW
JaKyZsG32nl6t6m5v0xTgkVV2H5+mXXRZedemO6SbcjdUDkkh37QZWX7Yuk5mUpyntdVnlCxyr1M
SHseEBV3GrWZ46lTyf3SFPIkxmW8s3l/py06tgTdmKlLvqrYDn+Mdh62Kh1XfRiYkS2fe9c9SS/b
a7GtserHmFdpn8UDY33+QGbhb0jM6CHgptkF7MzrUvqRnoYZudt1xdkZZZmpO9xbxfN+jWs1ZwV5
iZI1RYUJ6s8pttPrknt0x9JhGeBhWZFWskSz5p3SQ8VQkHjHPJXzvgjW11h1bcuZI91TD+e+JsLn
F5HjTnLLFvZjWKO8W0wmbzrikl3he1bDg9DT0pWq4XrN6bJLWSHEznWLmarYlV3LF+yNrpsu0eO+
XYpQqcn7Jz2P/ROj7mQ3ldxlMiQHtHE6wPxWY4nIR65HcddJJGgllE4nvrU9vbT5NN/H3MaaNiSK
SpeDeuqsWjpuQmsfqUPmOC9T/pm48rHZBD4oaravQrH8NcHryGU2rn1lXTce0BzdpQj9eDFuU3uK
srgLs1PnMdrmtejssBvQOL/jNZkYd2H2r7LV6ouywR/S0OQw4F7IF+eS8o5sJDkTmicDJ6tLXsd2
cLYaben2vZN9z2eTJV+ayMhV5TM6p64ItS2y/lELDCCQpPP6FghF32Wj7VX7dKzbYbBf/ea268hK
96yn3H0jaMC7NrHxudOrek8p1YJTytSlUclyVavR51mmVvN+tLngCTLl1yxz8dBqndQqNpvh+cTi
HjehSY8hyfrPq0HL3aZ1vnJlpuxaxGQ6LsVWON4sc5/wNjENzJ8ajxmi3UvJIvsWcyle2DK3b1kc
/VCrPGVyR2g7PPhg1IUwr/fULPKa5Q15suNqm9qwQr1nrAu7dm6aqw2UfQTZ270o1/QrbSmMzrek
v5+KcVyrJOp54q0hUVWFz9lzA/XCuM+n9HFIlhTqtczaq4JLGp6tQp7ntu3uilShM5tp2KpmW5mu
hMuQr5yLy9O4+uzsVoYPphiKrhZ4LX+gzidfxLgVL4ntN30aiWAznxM6VZS5wdbltJUFD3JOXB3n
fPpspCEXkZpmbynuX+2UjDnXo2s+JwmZKz9ZsndNafuqQ1685QaNDyrL8GHyU19baWw1L2k8x9IW
95PH4aU1ME27sttCTXVZVo6V5nXLXfu44D59EaPOHnHfm70uU4H5KNDw6JPetftxkoWpHezUy+ZD
2HhfbsuPZRH+Y1oaUscyL89LudITVL+5TdvCDtxoZhOOCZsoNySf6pQUsq1GZ9u3Bn77umUSjZVx
rDe7Phr1Egq5fW+z0b9HLeVpaFh52LAZDnmU06EvvbrKPsW3WNhhP8whvZlxwfZTGVHJZxG7N4Yp
+wLEsh4tMMgXN63maYCK/dKZDCcV7CgtuSl0oXhTFupzo+bZcpLj4ZZtFtcdaZqq93FeOED9elhE
3L6kQ5M8/idX/vYPsv4LIb37bh2UkH+y9T8//sf1f4mAv/+87F/f/2T8f3266z7cUxw+PuL1rfuv
Z/7lQuC/P3//p1j4y4f/TTn8O63/vx78i3B496OLP3WIUN79uwrI8H+nGipvfftN/UU3/LziT9GQ
57+WGcY/ZQNBJVA9SJA/RUOJfy1SgDeECMgGkmf/Eg04/TUtM1YyDH+0YBS4/E/RkNBfSYrzkjHC
WE7gzuT/RzbAIMh/0Q1Fxij++WskTQlGrPirbggmKN02yuzQMJM71U5KFmctU2XbB9k5KJWVI5ws
ri5RH4qn0E0zPZImGbJbbJIl8kJMd7jrf2zbdEqL6YeOi0gelowJVbVdM827OOXqR5tumGfLmKz7
1eNifaQMC2DxpkHuZIRzxHCnCLH7DaMu40kQZq1dGuP07KQW245Y1C+vbTnbMFSNxgt5m0rvbdUb
Fn2VaZTPVbfYjPE+66y9jAB9CVcOi+FxkJMIp2UjcuPETU36bfJo7H5MwanpkKXKUD5LUyx7gHKg
vYJNna2bMSnc49TpjQIY6viIDMxCZSPrbQVyZM72KE2KwFtbtCCwPDIdnzc9kQNmI7JcbnleVL4f
PYCGYRjt9NDnvqJGL8m5mYVkFQwttydJXdFyOXVNVzdW+KYal156bkQxDjCTk0NDwZfEqLZeu410
uxBtFGdtZ61vdWTr9uqlQUq8o9Cyr4UbnOZAgQNQcd8mD1mfCcX94suEJ8aFt67JLHwzesckTyWa
JB8SW5RfhdQz5T2Z5ubr0DXKIb4Euqz7MbhGf6ErVvbaD5kUp0ip8Ts3+a2raEhVC0AlA9lJRpNh
15SL3z4PeapxveYj87vcxQRbzpIeaJqDpNoebeOxODAS0fY8zqj/Q6E4pYgXwDuydnRq01oCSco6
YE/6qpcxjUdfglY5tnqlOvDEwuhvbSjb6dJi1NgLaPHeVO26jegwplti6jIRcjobKgKtN9Eqc6LL
pul5ymU/P1DaL+WFrKACd1ssUnkd6bauUFSOKY7KJD/R0OL+KJizdJd22Yg4yN/1xxxLs+zaODVZ
dgoN7eUZCkVnfA7Kh5/MMm+PLgs5nGTQMNTB5gzfd+3YjPWY2DK/MQtN1lPawr7Yhcxk3nM5rPM6
cTWNqLiJayxopTu6qGrYusmcWaeV35syX2U9y2FY34oCNd033A293+FpUv1lwz1M+wY8W1xC6Jrm
TSSe+eekAeGyj0wNoi6Cx5/HpJnHLzJgMgmuoACmB1D2pX5fm5SVdQgzGap1ZkxVTiBcnuawzdkl
y/xY7NaEeZXxbe2XjQeUzbHOU7vZB1NKK08uuia7T7YlUTdNUHBOnzdMH1DeO0Z2SYtUx7ux1WZX
lq7oOh4JXvMdaYbR12hbGDrpcWx9F3kYyzwcVdOs800cp8Y8GhHWdGctyvLzGJp+3lObaLojfun1
ZyHX9RJMB3PX0sm+im4luF4ap+cK1OSoTgEX0cLqlsN6yfNpmd62ttRptY3W9TXDISl2jJTLj7KE
DXwjdeugPDrbNgOHdR/csRzXBvYQYWCiDhJDOdYondJsP3kY8x/ErENXtQoM3xkVS4lOfSGj/WNZ
dId3U9u36iIy3NgzNQKqxbuu62tVUNR/G1G6iOc2DmVXTQstQ7/b5tYBv9sFj8Nju3VdeC+GsnxG
mtiu2lwuLgIvOIWy7bLPjZ1GXImOtuIUXB7WHdgftvHZDvNUjzlKijp4WgLWdl3yh5Gg3DgawFrN
JDYLR22hD5MBxc0AahyUXqNjlVHhI7cRDRMX+UQurUzsXANuDWqHTTCX0QkZeNdN5SUlxN00cSGO
ZyhtQb9b/F1Sun7LlgEpPuXddEOjXIadTsL8NFBB6nVqlvsADhzMx9x5QXicdRN2HW3yZLeNJm2u
vZWh2CW0i2uNDTFNnRsRw5udaOmqjKBl2w2UhoYrAuL6WKCNmeM20VDkfCBonQ9a5FpoDi4TdvjQ
NOkKGFF00zmflXXHpsnyr3NLiLhpM8msOELdDf2P2KtkfQlQBLGtYhZwNehN1m2MLyVpKkHYvUDy
MWp8WVjeV8jN5wJ2Et88eV768rEv6FwVE8BfgUnkms5qv2RJUYEhy3keOnRENFFHcJP9uWmnWKMR
5Gvnsy/RZfehKw8uxAcNWMiVh6JJ0Dbt5mbLYT1Sy7WL14TiG9OqHkA0nU+lcHeFx6+DkU8ZqHeO
V/sxq+Wh38K02zIiYCHCh1iSN5HndzoFZmrXuZIr6G0cQsYjJeUNmgf6OSUu5cbh6TxYc3STlJcy
3dAh61OgFVu2e9GDpZtDL6s0MU9zxy6lphPH0RA+QIHX2RLFF5SJsSphTToBViszTXG2XcsOmHjx
EGGLip12oHL5OLv2bsa5RGDAIj0g2X0XWesqmSxgtGF31JPJ31RixI1cgq8L2PxwZ2Z2cmyBx9BG
S1528W6VUgJRQyCwrAsfjFCPXql8X9rs1tomvoGc+ZKsOK+0TsEXmedESVvPsNYH2LCSN5l8Y77H
d7Jd4qHxc+BM0ZYPhWd7lA3kI+rF/ExMfhTrIvcMrRocbXFOWvlItpZd82V6mAgCze5dejDjsh4G
3zXg/Ls36w19XOUMEU07tucos27nIT74ssbEXNzms0PiIj2mzieVwu7bOgyBF914syV9AalH63Zb
ipsqxERwNyDzLUzoaq29KXF7GzeATdeDxZyarq8Sn+U1W8s3aUTPczdpTraBVWvaXgqx6RrYfNen
yleRWX9c6Lono7qHqZtvKNSUn+PKx777aGEn8Bl3x8GVxzjY12Ej37zsj7qnMyfBXlW2nQvKsh0z
4Wbrpa4MGfQpZm6vrbs3Ep1GUbzTGE4BTXuZMsFZs+znZdlLIg9EyvZNJ2Y4zlJ8B7eDuVva7DAv
oT3olX2Z2ALGbMWHYt7ySqT+sEz6UBaikiMilZnLeQcw8Aih3ZPB6SXrhpsgmpX7ZjB8LcNl0RB5
jYChRIukjnmWVmDRzL5JDDomEDWci6mD+ELQNj9gh/p9xwR7ppvyT17q8BlRMj2JNKIP5mTzpFY3
6mpJh/w0aS8Fx80agbUdNi9jF0ElFTnbt16XKw8plheWLvSmWUGiTsM4vo1Tt7wUqjSPcIq9L2MZ
ISPK5FXGIeXSLt0eZHf50RVIHVMQWUcw6N3t2G7iyxSb9dasJlYNdvmPnJbmProx7vK17/0taFFD
4WExbvg2TLGK2xi+eMkSefSWlNl1mbpVc2GbtQU4A4NczXrdhr0FAzueHOjob20CqhScvon9rswT
YWs6rNNTtkoFyD/FYj3BNpziboJMRR2ySTl9TvNxyb5CDlvEGx1xrgElqP9DrUk+fpQWqeLQe+sw
3fWrcKKrmB+SvAqYiZIXJRYPECTBSvse5BsnxpQLV+uiwg7NI3oY0ThcXTGg11UNEZigo2e09m7l
ph/KER4ibvluLEJD+NZhBerKgiPabaAtw6EIY5yqYRhhGqiwELBA8hTZcQFdQ3g5NvibT/LPusSu
pmQpOM7ZqMGljHdzstYJWHq+pWOsJnAVO9iyy0u7DOZiZ9cddYgBcNEAA89dsm9Fm1dZDlTsTcpO
c+MRz7TGZwCEZ1tQ+bgsQ3/vxJpelFgzAGKkT8OETn5EXxzO0W7piaqUDpZ7mr7GIftKbZffkcI/
tb7EXyXphrNvEdBzHPwuy/r5iJPkg/VLfrfh6c1vxbd5CkvdzmY9a6VkJXPk7rLYxkvbTe0Bkqbs
KkkZgE6lqths55duXctd3Lzag8Jof2zMrnsA8a3SrYKs1y72p5MY8UO36ewY6ShrTYfkERwFqmc2
2Z0C/wTSsS13lHWmBYICUQe2ByXnIEBScpSSFigiJKd8SdEVhFw4uN4VFRX0anvd8b4ophtSNEPV
DiU2nCIvn5lD/pKNXQNS3NgDcZ29lnnTA+/M3/vI5notF31QrllOzLVl5dP4Csgg4cHKvf1JF80y
3rY0+170rKIpO2ZNVk2rxbzH6lGk6Qde6R8um55GDJkwUV5XIPsW3kzsj9hQx1WnLND8yGrbZ5S7
lvxBUsi8i4RhiGr9OS8AZ2Y5bZXLwVdvTX5MVH67dOntkMRX0H4rb4PcDYt40V04NmEyHLLua5Kb
t5GEL9SBbNAI3zWU3DD4MuLp5FB5mLGfeYNXf8yZsOcMZ1XfWSAWQhMerM72pZlvl9U8u2n8vqKA
+TZ3V1Be12FF8VooEAFpY1KeG/qD+UTxcs5nYEl0JSQ/mYKlECtuaT2lQ89jCSgq0kMnAwS1KoNs
Cz1HoQ5jDuPI6Qiek8V4GJKG8on6d4m3fj9G5XcN0EhV5OARhQIM1LlKIUPNLMcCBp0sJOVrXL6m
S74boIHADTSZKtQNL0rkLzEEzf2qbBX9+NzE9jAaNvEUxe7glmI6QaA/8gEg9tTN9iFuy24w0VYG
2KHGQ7PvNAHQSPQtm5wHzmBLNUya1cFB06Nr11etxxsUB1L3LIFSSsDlzURzNdjnIfYPKA/o4L1A
fJ0dqTPUv0N7J/C5TB82sVR4Qc9Us/vJ6jOR4Y5mrJJOLzuIycVDN6TdXs8uHokB/NEkgdgi9CUk
LNbc99TRKoTBVLkm48xtOxY3Vocc7qRUJVC+3niVt9xmbuNolKhqrLqZ2hK+kmirxgTdbllxR9dw
ShcHoykHWmUrNBVmVF6YzyCzX+nBrqo9DQmUOQGL1th23W24eM16BpFvmoy8zNmjL+abSdjraloM
PYn0qFPxmtG1RgmR3G3mK8QG15Ctn+0UXlbTz7XcEr/TiFgo/fIImNcdod2A6mJs7A6k0VwFtyUV
nkGlrgAvfIG54D1tBMBpnN21WyE0MLZ5nvxi6651LzjpblqRsgeKfXNaR7hlb8m69xSaDaNg/gah
pDuBjusPPZ4pEE4xvoJaTQWHplQLQrAcTkOYulDhnmaQf6Ml3WfbZDqIcdrQVpp1jai2eWi+9Ws3
naSJWOyzbp0UmNGueYujWca6FN2WHVGaAStmzkyoZrJfFj4ZrPZMNdNjohtyoVvAIGES6HtCWvWs
SthEjVp/JLBohxVNSy1Sut61OW32YzIFBknT2hrADjruBbXxWPgpHLM8tj8sTrJzhCTjFFEPnivH
40GSEfYfUdvqeBS5KuEiMGp8BHNadRMsc7LN8sBQCTH1aBsEMIOaNjuzjen0YloTrpQk45cW54M/
aIMBskkB2caJYcj4FVPsAuHNzK4WW3Fydjawo5hphpNrm1jlWxruUCDobiMNu5cyX9Vjp5ewnGzc
0ptNUWlhgt1wXtqBHHqxoFuNQdEcklmJnx1AavHOQNIFScGKeQ6G7gISYqkHFZcfsilcDbYKH83m
MYSH6QYhfxYTgIOC8CTRD1myrTcKt899SrZLRzLxats53zVUqzsxoPCEB/Hgt+myqvKFDGE4eQJy
dc0HuneqeZZ628N6g5PO07dVz2TfJ7nidBETX0r80rb6oRH97RhTBW3IcE9HrPmSladFk1u6tHvj
09oXqD/kIftudXfG4A2mIfnaLpngcRnOm7So1rn/PLT6rsPO12Wp1gpDYrbL2+Aq0rcj2L3FQJXl
wHt5vheprC040R0pRrQHcXodVQkaP9d/DJO6MSAiK8gZPfTGxmO++mtu2DkpsjoZlpJP5bTuBwuJ
Ytsw/0AzGSHcm8wOC4SAJZmoS9/MdVKCb9B0m3kcivRsCFZ3DJzBXeaI1qCNOs/j6hSAHoXRUeho
Qm7n465no72ZJaRybYvQbYKohu7xdJ0Y+LQE0mKYljbjRiaH3PqbkcpjuU1PKbQzhegeBtI4PiaJ
4Qu1R0jdTBVVciFNeEm7SCu8GVM3ecHqPIkAgpSqU5dDywqauqc57yhf8uSexe1zmHvGoVPzrFPg
X0ril2RI7rSJkXeQslSBdg13iBy0cjPIvHg7ugKYrWl/moo7iGa/+QnquWig590+6IXUmGQHsa6P
dqYZb10HTbQCcH00yQmP5Bv0qC4QFQu+5ckbZuVXrMh20kr73ZCAF/bmvlmLmzVfr1Gg0ybLz8u8
1qOwL8GSIwSmu4GEE5XbwW2z4AS5WpfDcQten5oGk6oo5utK5Q8iwrndlqvV/UPIsgeAnYciES+i
6H9kmT17yABECgLEtOtdT4w76A2cyVoMPyZTxoql0yus7Y4NJVB7WZNmhGeZ3Oe11A/92nScuuRE
7cibTd5P0X/v/FRDaxC2X9hnc38M3kM0C2ubpelO+3Y3LURWIROgOIZHkvTgIGO9LemJQIBPtb+f
CX2yKhs4zULkm8nvZ5fcQlJ3LdpJV5i27yZBX2wu78zaH8fAgKizF8D8sAs+9NW2xFh1c/m5Gwdu
S2hUk3ZCELYW+R0GewduZPW8aZKUh8aQQ2zQSUwJrYwEgu1w0b2GCHE79mHg3QBise9eYAbvSj2d
x22sYrkctUcXNoGi6pvlrHO7L2l3MWVfUwrZyYZLtdt6I6tlRS2Hnf+5RSzjwnVizwQduR/kCdJF
Pmf+Laj5AKLyRZTpYdP+m12HW4jEboQd39UaMyhK+2z0UA8brYelu9NDegcvH0ggvmUHAeHOJPoG
9OlXnesHq5vKbpC+tPGtmLOEo4zBxiPyp4ALh3TeFG/BR9mpv4tSfi469ezNoPjienGUfvjwk4CI
G4wgyBm861p1KqEvWamFfVtC8y2abA+d9+c0sDd4UH3JxXKrAhTmT6WEmhvZjDeQnFdLm3RVamla
E5nIOiPdsyPsMC3Ov9E2Y+exVQMPPzULmTFsTe0eFhOaHVMdXJ0tsp628b5oIP4gxN+red27JGEV
UnZPmu7Z5OGV+jmrie+3PbxV873o8uQwhpZW3ZD5PU3EI6Q/7/COwHVOoMkJL5z8FJzbRTX4OpS9
5PPUPWSQFlVrPx4jnmFSs/FhlAtUhxfPcZ6+wFaVR9WxQ9mT51LZ07hZz4clmfey2KZyv8DrCecM
Mf1NRLJeyRbhNZPSREV2PSkNLEmbXsemC3uYFnKGbgpEAtAyAj2Eemg1K/NOpwlXE9jkL6VIstPa
YRD9abPRmxzi5Sfo12yP1K/bNbUjvIcTcggbaFOOT4ka8el/snNmO3bj2pb9l3pXgq0oPZak3UXf
OSIcL4LDDdVREtVQov6mvqV+rOa2z7npdJ6TiVu4DxeoAhIGEnaE9pYocq05x1zQsdYrE5Lhcwk1
a0oX24se1Unu9vlM1o9TY/TRovG/jLeVfhwGMXyCrPLurIesos6iiytyOCMSp3hREvyvydPcl3dD
w8oEgMhT5Hh7aHEad0o2KTz+nV7m+TparDqiEb2VPRCScfYs3QjdkthIu7PlktFAQRk+m8qa4S3N
CbaBMIZQHuM1gdrhErQE96IWF5QPj/D9sExV5PdhW/O7kvMpgS5K4DrZJsPtKvCcwjWpoaknxqo6
gSL7EHR9lHSNzeItevEmHHDz67ewUu8d6uN0LmqZ8t5ZWI35ix6KrIm60aD3Wd/DUr36Igpe5dgd
YCQNOyK2o5nIQ07p+2D5l0KtaRxuQcYVlALh6he/riTtYZdklWVd0ucotSlcjpM8N6FrgP58KPH4
VsdPzbw9qSIIoRVOr1MdXCnNbkdHbybLfKbNGB712MRpq+mYhTjUk6EwTRKUI9gidFq07S9VXB67
AKQJs9srtItbo4ZPDSGPpbRbQufufQs9uaGDO1IhHvN1A3kyQrlfeXMqeHjiWHSrtyIpVtQwJifD
UUKo2M1iYlkp+zKrnfMHJfDxoZXcCd/Z1K89pDM4SG9kOEsMrRJ7y4z82tmyvYr4DApiXeyp0ax4
5P1SPq7t5i4kw0vPomW9jaa8gdrbC/BEWMgZzKDqFraRzAGLhZ2Ekxm3EIeL6tFZpm/oHHSXYzyi
3xsJC7CBCtt8hVdHWsAgOXmPh8YlkY3h/2G1psA7lruwKSQk7JntuDH6WQclv5oiABJ041jzoVl7
usfhG95IqLKnQHXibptCkS3LVtRBstYGvXazErxO1dJAYcfHY3yz2ViGKKCKaN1ByII605XTfM/W
eYVIv9mpxx7BVQ/1EHpH0hBPT2s5QOa06KDMGlffhrjEIc5bfmX52D40a9tecdepC955dozjwHxj
C9eXjnp7n9M4lElR1iMuSlvRX3sXBXhMRfRUR3o91VtrTzEvlguaW7mrp5h8gHDGpww7IH3l9UzS
ph/Cs/jU3kysCw45dcsx5914oGIYLjsKr2zUrZoSHxue5X0f7s+s3l3ge2zElZzYlOIuzR8M7/hz
eO65xqjHDXUczUK7TRAQAlneuKUXJzFP826JwvIS4hXZLxRuVGK46/fRhrK3JmN1kgudwqSwrMpc
F+FML1U9pmGfN6c80EEasMgsKdGLuLS+4N+M1B1LfDNxk4oprnd00qjFN9nE3QMARE8SjRcosRtK
Mag9Hyj8mih1einfqCPFcyenemdgPPQZzFMoQvWyfdFwXLPZNvy+PQu7hgKSi2pevRQNDE4bV+S6
MuuIWjaKUKMIecsqtdwNAGK2rOm7KtwRKF97P696V49ywNYXyQc/3AYRdBKdKDYOsOrjyNdww9Vy
waZRH+k6HVsgU3WSt9DrEpALVVbAi2wepLXS7POpropdoF37leacfsnHeLnwWtVfBQ/zMnNtPr7l
UCKeHa+7MJk6K7bEbWV03Te8oMmZlnoDoLi+tQXp5A7lzCQvQx8H416YeFhNMlZ4l/EB0DQkbglH
B7XIoBD3/bBo1HcDxTmhHM93oJtaSLVoh5rwTqsCe0GY62E5bl2BQs+SnKqTZ8tRlme5sBe1w10s
WHkp8y7+EKFX7zIvGg6eosWBs5u7HGAh1T4O92r+7ge3CyqpZZrqQwPAjO96Hk9N1sQQAJNRtsLs
yqGFXV/HC8rQwcPhS4yXnU61VZE+SuabC7pGxbSfhJveIcCOdWboCJdmnsDFQcNl9hXkCk6YUuqg
SPO+WYf9xDSPLpqoL25KiuMvK5U7QAFW9Kh8UG0PAFHOq6noQb0azre2hp7R0i9dG8ChjIIWO20Y
zvO612aGiiq1QCuLvwS7wcPhLEPlGyrKOee12FGBAzob21mEu4pErbkscORGsJmksdeh01F53a3Q
gT+BJG3k9dLN63o91rL9OFbzsuJTswbeCJ2p94m20qU5UA1j16mD0ZLHX1nr5bc8RE2RbFAJx8u4
XM19VLjApCPEorQawECkQdRt0ExAi8wJH6eoP0gytS4bc113O7ZAQzrNMZm+ioDB4iAb8SRriu1D
vsQ+kVEPGzUWG3YMMGifzSrmftdP8RxDQWg5aBATx/6BTiioSTeZ+XJmPPoMk8OvKeCfec3mPAeA
Q8IgIvuB5PW1jt32bapXNP0h6YnNghw4+IGYQEW7Ym2GPgsIfI5kKueyyLrF9Fdi8Wy9cmdk5IDK
ewBFq9YCzWgVjfxy7kaoZVhD0u8XLxSQhzDOt/VKBHOnHpXLVZAta2lue+gZehdqIBWp0Y0ebueS
a77zMQeQoGYIPAfnQJ1cDVMQy8u5Nv2dWvONp4bRywnH7IIOa17rxwo133DNZu1Q0GwBA7YT5liG
MN6WAGV9G4FHWklvcTurrU/AQgEcWUSMnZiGKBR21LXc7J0K6Aqv3pp411Zj8LnoCeFXPeAcKB/U
QU7qclt9WTdV5MkUdjyNZIUvarvo3gUdABKQOqEDYlMXPMUKhgxZlzFsJUPyOE97v6yPQINGjbbL
Vx9AJ7Lo3uulea/kNm6nRRWFfTIAH+h+CgO082TU4I4rFG35cxOy1VzTYiynxOG3rDDMihln9Jrz
EWWQa81HFZxLIBEUukIVPkYQqNkY+hc5SFKmJFoKBaW6GkKA0EXxjFqXR4kNCqvvw5ZtXxY751sG
ihT4zRSU22tdhXBOfd5GIgGfP79Tu5k6LU0BzXBalBhue924b7A/KyCrBX7jro+3cU0oBTy9MWNQ
fimLw7SHmlGn4LKC9SuBi2T3GnSNOpDY6SIlRRQqvGCFM6jDq0pfNKzy34QB7XDiQyOiXdc3AJAb
v27glUnXDmmz9GCpWlmJZg+WtwiT0lTs2YkFVKQF+e93isn8UwGRd36TgDTGCxDYbMh0JS32cTUs
cTqh3IFgHJjgCm152SYh1gxPYqfGh9YN5MZ3uamzUgetzEY/dHPi5wacDTZztNTAVZrjChhqj90w
TEviXJ/WNavghHv0haj1DJdXoV3tkJUFacaLhutYYFscsH3C3IBLMTWKwu6Hp99mcyXgxstiE+s+
d9bOL/Awo085jEboqrRhn5mJg5e8lr3LYt8INPpYHHAE+liYfefWQd5D8eB1SqSvi5PNRyWuqiUY
bkXVt1ValuMGwLwRA0unYFnlCTvtxC+nGA1EtgAxG7Op1dLijOu2PGtoCAoZL+9UXHU850DKVllf
Nxp/cWkGasq0tr6GPx1FK16LflxuUdOt5Z6PHKBX2QbNcDn1G1Qy2nfbOaTA6+JqhDyygXENp8/G
287sW5vrMR0bz2XqYaTYg+dWlIcCNcqEb7MtnyesnxjiGpHRgZU1gKlC67U/0LzO32Ohg+0ABspE
h2AWQ7wPHYHtC6DWgtoa1hZ12Fx0ZbqUJoRSWLjh2sYlr3e2ktLhBFy220k5tqbN2KgqGYQfAJr0
AFHQQXekvBiYmdYdqBnsHLyaxHjauonPkL+GeNyF+ax8avCzciegCo6pWrrJHUYLVgwddwNDsOgg
zqWCmb4UKwD11X+oO3/WjQIvPAjvkfqLpmIyKJJINBovkwn9dkOVsNVBxItEhoDkzGCXwYkdJj/B
rv8idnKGQ38PnUQoaVRMaMiVZBGaGAby9efQCdDJImhNwdBU5QPehmmk2Jr4sBdz0Ce4k/XR28Nf
X/McZPnDNRUyLsBfEcOJFTjYM9D6U9CFclFCmq95JpQhDyqC6sitBZJad+MesnS+b7XwWY0bgYzH
sM1/852R2Pn1+iFnEuYnF0wR/st3hopXbF7i+pNttz0tC3dUzIOXIMX69a+/6r+6lCAqlpECB6x+
ZXO3BYVnX/Q8o2xobhhBQx4AmMtqXUcPf30pev7Yf7ytDDCxCAFGhsAbJP/jbdUl3m4HyRVlhgdp
O0NR1BYFpsxyG5Crah4hfNUDSiCPzbeHBJ/MJCTpX38MQM+/fopIRJCiCQ4LiAi/fApU62bGrsEz
PRn2XqMwdelaB03S26a9H9GObX9zxT8tYYXvGsYqYqCgqQp/WU5ojvMS7yS+ZhcWSVe5r4BvSAYI
+LUYyL3VAAT/+jv++alyKYTkiofQDyN2vgc/LeDBrIWwbpEZbJk2Q0m6JbwBJESUm/7mXfnT7YyE
imQYxjyUgnOBzNrPl+IOvNuCcM4up5V9LdaouthmQZNIQ0noEPQ6/vVXA87+x8eHi4lQMSFAu3MR
//LVLC/6SuoWLUFkebULbAkAboW2GP3NU/sXF1KU40RGdYfN59d7GK8zjpu1AygwEPcIJra4WYVT
u7/+OvTPl4kiqHtMAhgUKhTnxfPTo5o94PhVi2rXGsn3bVexQ01FjSNhrNIB0lGqh2hL8CGefavz
HUiONqlFW6QqKs4dwQqDWuX6b1bQ+bH94V1FU/vzx/rlsbZ1ji/rZLXzbQH4owaIsM1G47UM6lRu
crquta7umjxmf7Og/nRDsN/iseKV4ZRS/v2G/XRD+hI8Aed1A5GFt1dd7uM7XxL1N1f59Q0RETb2
iCEagVWLyvmX70egVzQw2Si8exASQ1Sutx3qvCSq8iL760f86xfC+xdxQXGmMGQ0Of9lxQ4cdDu6
d+SuAgqnbAvrAdD+2qvlb9bSr98JKxX5CpwcigHtkuE5v/nTnRsJ6Bck54o9XT0brmXnqgcRrgRw
D5gT9+Nr/b+Tx/m3QV5KKAEfj9v777O8/9N82rr20/hzjuf3n/tnNif+jcfYOvBui5gw5P7+I5uD
rC9SvBQbGccDQ12Dq/0j0Et+w7pHZiZG7UHOizP8LwvnhOp82v3+nuMtwwVCgdcMVYbEf78szr/M
5rRBr5rNJtb0g0lQoSmTukkCSNAtv9li173BGiu/1CwAH7Py7lVT6pAjafrNpFSV+sHEdXgOj0b9
cxdNQ9b5vqv3ZlMTuMdxuNuQi73MHV2RKCsbNPpAU25ggcCMWnL4uQZZnvsaaOAV2UxXJh4Q77XD
nnkZkaIMEk+3dT/WSPCk06TMIwdgjJdYgZYuYytuWBHJ8pDnbAMOiRoD/kl9GBARmq/WhZKbrh/E
TcSN+NTrHF2lDFj12AQ+fGJV2d93M4BG4LNcHXHaGHh3kS13ofTsHZoDHHXt1vphKjboAxDN28yH
YN7yutUHE5iKJLTp4kMeu2I3D1FsU1rm8nNVVQgx57blOztv4dUQK3sfAW+AELoF5gQcBzYTnJUi
7RvffAoaPpZZgyzEB7ze7UcJB/BS2M3e0VlJZD46DrJggHP/Ad2ku2sG4r/VcgRcokgbXGBTopej
hOgJFwJpgD6iK8gXmu9WSLhgqCue08QheIALQqQ5QtCKXyww3GdADu2nduZwpbGQ5G6GkOJ3dWuI
BxoomwNZmawTSH3qENRsufLKzhltyAidG/pS0i4DfRIFlBrcq6D8GNZz/nkzrjtM00YvWrcNB5jB
ESDUdp5B5lU43kKQnoDMHcRrYCFx/M1YZL/xm9vdotR8Xw0dkGqYqa8NMs1wm5etvySSFPstZPG7
63V57VdasIQNJrrnAF+fICyzIyQKf4rNAIaOQsN5c/CAjgupdIwU1VK+AhNZL6KthXowuBHRk2iE
uLEzm/U3ue6G+9CCcAgLNdxH8JMOTa1clMl8Rutdw9cMEpiHHIFyJESPBr3vbizL4ZGEQ/Gcj726
gsK3ZPBNEPAqeoBR8RZW+z6wZL2qsK1/o3SsPmI8QJFBw+d4fnhKJ1kPCrqln5GRZRKk1bQ29i4X
Cp6qlNUh7troWga2PyErV3yyepiQJ9KdvsXBs51q0o53edibV07M/ACXY7g2UG+/jF6W8GR0hwSW
7z/Mta8O0wyeMQ+a9wnEyR4SfpSFzSKREtLLvpEMEbnZT6ctjtsrXYUTSzpRw4dH5GtJwzmiWVFu
8tCvzL9uQ149diYqL+vRr0eQlDDLSeefahhTTwsS2AYKIIe6EVGkow89AHy6d6KgJpP9EkO+CIfh
FhRNxxPSikmmCzgt8Gx17kwmEIGD3B8Rd29jJKoTbjqi9nPeDWD1ZyfgchLfHOG65h/9hiIiHdha
VMBUIEQCX7JnDG5pZQzQTpsKLPOS76qmKhAc9/UzgpUVykwEsG6nwefDXgbrdvRBs94RqtyFW2IJ
cqBs4g8cefEJGCGEgLQQDHFvgvz0BVikAgtVBNsL3zYEFMZw0mcYpbmnrBRX8G7wEZa4XAbAucV0
P84WQYKg59AKGazJT1EMiyPpw8lB/oTX9xY0xtEE3BGULYJmKumB/8HuHMfpo9gaJCIMBkE08Ig1
zv3YtMNXVyz2uhpLAsZuqkqdYT/zcyYj2XwIESSUCEfNy9PUt9FjuUTluENshQMI4R1Ny4B0SdNT
/gGQlD91eb196aKw+YrQk8B1pW1uHXZmi8SQmyg2MLc95yv0Z0n6fshPnYqah8aW/OOfdLsN5T08
JUnfmq2rDgVf+zatoat9QN49RB5gHY5IFaqsbajMZtDjn8YaNreoJ34inRrvXDs31wLzKorElnmL
zFwlSxgXSGokPwl/vhfkgBXSfIxznQNzFEN9ZjjOEuAGfPBlQWOEWFhpbJtNXdTrHQ5nkERxGC/P
+WLHHahocxFAJmJJDqka6msvttdBVsF7GUTtI5Km1VdFI3roAOBdx3aSH0lLFfI+XciA03ctS76L
iJIu9YrwPtcnwnv1WkITPCJ6RdNVLyxbN4Q+UrkKmrZkNiARFHJi2A+7224KEHrqWhx6MH2k+fBD
dwy2ar6GMcJeZhpBja14c6sUVjg02HxLXQ7iVxUUyYnSxZcGdOf+uzCp9bgdCoCoZWL1Flw1QRfh
HVyKz3GFZVvkXCQ5wF0QZLUIj9XQV5eO9XRXw9T+RHtkpdJAG/3iciSYAcuX5LghnGeyxvagVy0J
gXpZNGhPPwuczQIWtJsl3tGtlpk7Y5UY3EJOrFrNha3dcPlD8gRsD0NuHINL5FKDrPZUXAbGg0fn
HoGFnxXQ2fsN+mLUu5fvMqiomuE4VDUH3oM5EJpRmMWiykGT/K6NFr51p2VwiE78LJBiT3NHkNtI
B2FBtxhygbfyw0iH9q7BdSH9zNOUeWtqME/bxEBQGXPBaGUuMJSgv2kbrb9iqsH2GkcakqEbAQzM
tNlz3phDIYfqrlKgwNYBZFzScd4df2isYJCaUxdF9o3wSb2zuetA2QQqT3hkepxIQRz3hwh1xZMs
HL8fUcvsi8Xld7XjNjMqn69JA5++AURzyaD/AdGI2foCGuH8ptL2YW7K9kKOmJcRDVN8EvBYnjE8
BbvPBkc/sctMP5NiDoDEl248rHxV72r1+acwd9tFua24V4Xg2/VIVnIXiFWcdAk5OgX6EH7DdBR2
HY85uf2u7pK6ak5RjkWb/JB4sVmQnV3GCC8nbu1J5LF+a+fQADax0fAaVuc8atO0soMA3pELgRL8
pJFkYEihcfUZLO9wkoqvuwp7xV2/tPFhZAohvVgrFBiBnAHCbMsxLkew8osha9qpCXa8rhZsqaaM
9ZMI2fwpLob1Kl7mYR/pqMhATZ0P2wLYN2amLBMIxDAHjFnGFzm37WkeuIKfYEHy+K24Gb3odsOw
1BlmtKwSyS9IzD6aOnSqg5lT/l1nRlzGELjc0dmrkbM7lXG7HSZvEOXIybymTk360OIDX5Srp2+m
NT3LYOMjNfNDiy46JZ4UyhVYcrB3gTus8yfEEWqfVGHB0hYg0w6C93ywBqh9kheuPGBsxXirdVG0
aZircgdHTDQ7Oop4HzcDRORxJuXJlKp4ZLUY96qVKgJagfXQ50XTJ1GpsA/TKOJDtsiNopyZQFlH
o452y9ybfVyMxYWOJ3MjZAi2wVdEHpq2UgqtQhy+xSYeZbZOfDn+ELyDjam7rRX1EbSFmNKO5Rss
HUX6U4Q/36O5rW69ic3DdwmcEDfdykZU2CYrzm6gRfTfkClkCkNv/kMRzxFphcUv7AdERuUl+ChQ
qRXI1p36ro/bQYVfYZE5vPOm1Z9/KOUzj5hLtTNIInUhDh1Y0A+rjtcnDAEaXmvWx/ty5sF7PFXd
7oeK7orJPYelzJ/GaIPhvjZGvJBJ6ctceP3RQ/FLW1ptNwvrI5sAVaneYXv626rCzCHYa3F8mKna
3lrm0DxJgPJV8kN23wbC76oe/EcBUZ7TZU7DEamw+fRdiI+ZpT5pFTefZ+cReOpFCQ2mtvIqZ36B
2+UaDLSBjfp5aEekkrfSDqiM5qYDRsoasOg/JPtBD7BOcxOMr7Ptxj77Wb33JB63nQ2i2O2qcqIj
0EZrp+uStd1n5ma7/94p/3/l4H/8UAA4hJd/rxwgO/Lp8//+X38WDs4/9s9JYPS3GF0ZiyKpBFTj
80yvf04CE7+FGA12ltGxbiDvQlP4h3CgfiNSRDwOKYWNJMIQotY/hnqcf0hGBEpmDKoLUrT8z8z0
gJT8B9ng/KvOoi8j8GfQ9kv1i6QNJjrwDHVHVlDmXhEsiq9gipFniSxZnE0i3C5wpPeZdFs1otXt
8huEvsCGNbqKICVihNV8HjvBeTq0LshWdNP3ZTw9TbSBHi+DWlbJrKb1NM8trLxQGXtYFUd909HI
fFaSjldTw0FZos0qDsjFEJLaFnxCJtmg46uyLJuPmFfQ28NURpweejqEAFyMz1/sFspXZ6XkWTB5
jvRerDHvw7k22tWhNK9ltxQXUing+6NZdbmfVJVL9EWEQVho+tFAy/f+hvq8280uDN71liMs1omc
iiNcUH2DE0MeOnREV0WMMiGxnS72vN8KAb4x7xHTg/mKUJvERCrALfHVuHhE5+yII10PqTQrcrOQ
YO2uM1X/UNPa3W59zFJXdoNNp9wWGZcrHH7MOxp8gsq3/0RCh0sB6qH7kYYWwdpV5ZeeIZmyIHc4
gnFe3VUkQHNU5ahPUSftp1FC1Y77wX1dkEl86tkqrmm55XeAieyV6Gq57oouJEkXbDUotGKt9u00
+WuzIMqCmUvTEa6zSno9BxcGpdRuK9BoQDAK3UWr/AabfLA54Axk0xrUTMH85Ou+WDDRwS+v4PPZ
jYvNPB/qqWd7FQPeQFqvmarjTFlRYWpDL78BDQTbSisMMiqSAEzVSy+H8XoI5tygRY1wGIP1ZhrD
pVYMM9iq+CpCS3VmFSV9ycHVQUzR+mbeuu5QhwM7YUpc+7aG67I7N6oZMrUigyE9P3Wronf5iolJ
xzBA+jK1s7VZPlniIDjBPkI6qgL+w6RHAMYG+fCMuXHIk0EGxPgU7s0n7Vh9hZZ1+YiBB9NjSbb6
Igec8k7aCbzbyKcSQ9ewsm+dHesvE5hGQMB6eoXgH33oGqgWRVTqnQB6ysFcRjCMiYH9n0y5zO9C
Vhm92+Y+iDO/WXG7sq1NZ0e6D440FshhizBPsbXTHvNjzKnhHn0nW/EmLWNIv7Qr/iZolbpvNA6g
EjnJIYmnmXzs/KAvPNH2agGGopA33dw9nF6biSWsoAVi05pAg7XNS0CL+cKseVdkcz1rFHVhU10T
X7DrwMHlyxFoQfMt3X0LHgdoPQRqBJX6ufIQmwbUtV1phm+kK7dvWltbJQ0Gg533ifymlK0/kLKs
rwqE5fdzmAfPDlGqm6K283VINr0lwSTxTE0A7CeK5/zejKsEHaJ8+03NrvnQkiJ8UFsNxtt7FaQF
ZDiFyV+TF6jlPJBuwFDTsZldu3MtpS+xycGcRx76SzYUyOwlhEFI3LpAX2I6QXWp/AKok4a+/Rxr
p5/xpNF7b0HTfIBnUzToNib3ETm1zh/tGNdpjykDF6wFOnRQM0boiHr5ns7C1ppCj4tRqgztlwaF
cJ0gnaz7pKmD4pAPDBNbmJKvzKF/2Eu54A2eIXZBcTSm2+keU0xiUZAxoXY2TwR4HhRTVHeXZMvN
81bj3DjIalZgOpv5uqm9PkGsWvHpFakOGtv3TmEEyXMjwCU2grgqq9cyeJdosIJkguO+m8cBJmUc
bF8i7NkJH1qJYQidttfrxBjLRlzjEQWOCtEoiRDZzViJU1vIFbsPwoIolJaOWHCX0j42tq0fpPfn
MntuizipauCICfCp8iWai/4FeUAkkb1uypRa2j2VcxE8TWVRV5iHKLstaTGbBsFvsI5NEjLZYC2W
tsBOgalPWwphZdt7JlbETCzmWWhKtptKUXJQBYrCXcfI/A2gNSD1zTURmBFKIpK4wdR3anHnJBEG
3KFutwhFYQVgTQVtj7cJ4Eii2r565qwO8UQhbd604wby12CM37e17AHHxmGTCTiuewDaNapCg02j
IXN9tyjMwMScljAB0VFc8G1RGAG1TTvGhuIuxsgZ6A1te2GggGSLJu2cgXxu7vs51G02Yp4hjswB
eoSsy+VGoUU/W+Qa0ws0X8clAcNG7kqkAJAMR23+JLC/PLq4Cr6M0lYgFG2tHiYJcDmd5whzUAaA
tW5d9BOyzfKYb6bv99SJEIgXRr5VzjmSBGst0JKPGtlcUiGmi1d2uWIrz78uZGiuGtB833QYlxjx
AFT0xhcTfZsnzW6wDW3XGDuFuTohogjphNz9TVwrbK/C8PAtgJL1hu01OLBg6PZeV1C3isHQtxxY
/lU9reamwAJ/qvR5HOO5ZzHQ8Q5LG+UIyETxySH//1ZuUQd0b2GhzjDDTyKK7dovNaa94B+V9FK4
lb4OIdZEOlqgZnnFo6tQifbQSXC5JDIYC1m19WO8hvwjWvsYhGhjRpECUGIhkgZF/i0v8xmx5jIv
dwNG7Dyi0SxfFP7ZEVxQvO+acMVusrjlspZAwkETFw8ELOIxMoKZpN88AypJq+56RtJxzGaQLKCG
0I7dlZsAk2xHi752EYVFg9+I62Ca4TVEfa/+L5y6/6Yz8f7Gg2Mobv99JX39dfr05zL6/DO/l9FE
KeAtEfALKsiZvPi9jMaMXTA+AnU26ulzhf2PMlr8FqO6BvmDOVOCY5AhLPl/lNH0t5BQeHn4UQYy
Bwbdf6qMVn+aqIsuGkqiIgCNojPl9EfH9v9Qd2a5lRtrl51KTYAGgz0f65A8rY56pZoXQinJ7IN9
O6d/FDWxWpTTdjrta8OFerkGDBgwMk9HMiL2t/faE4rcaIP78iMdv4OP7EOIZUgzgBJOa/e5x8am
ea3LelSQADXr2mXX+HOMAHtBwLkaLoaQ64VZGpL/yWr16Hoqk+mxMLv0HfBP+MqBc7mfC60vMPjh
61eNatw2zuxe9gReZt9I7AJSQFfPnjXY6RHLZ3enCU1Cz2rKfY287SOqjwHglhprUN3q29kMw7eK
6NeHA2M40MO+uSomvTstcaceFWlNV1U1ZlA8AKuoUWQ/Mkmxt0niyKuutpKvFjwv7HNT9yT0LLmy
ytJGCzFIFCU6afJNFK3Y1cTQobI681VYMqZoDFTyTWIQpWPTQAQtXYDZjnl+GCIz3c+l036MRhQF
kWakD3i08dTnTfwymT0ItDgkXmAZxrmXhXWbpmzb9Hxun4twtF6Z0eEnLytct+gU2mFyFetLNif6
EhRaXF50ojJOKePJuxSXf4pH3qoIatbRLmMCcUi6xjoqGSeeyDBZhSt4wB/QcFriwwTDA1WDOoAn
v8pvhdrY5zix2RH3mjJdJ30xgMMBN3Weo0hc97ZE3YwAOfp8WfrRHbLiNI9O/+70sEuwVObhCRm8
QG0hzw5eCWSDO2uXetLXl5bGY0jpq/qZqZp2YwPUekjCziEeokIGLAiRVWLOnhkSRTdFnhfv7Eby
4+LG4Y5wm/OzkWcDj+PFnUAKZSnpJCl55CmWqwLuEcMF5kFgP2GmHqbe1Q+JWIy7QeH69aJOlafE
ctEUnaEnGzAMd3wRCsGhTh33DMDF7cLomG3OEplv7DHcO9J/CRbwVqtKT3fZvHq4Uet7dVzGbZ3a
1c6oM/KfGjQR0xidLwivbPI1vVjubKdMb8DhzdeYkthGZJIpw4aUQxjg++IQsKAfIp1XSk+QwgEY
V1uN+UjcFnVoruRpmKJiXysumS45MywADFc/8uuzzQZoU/WbyIHPbGDPu6lxk2+sUWMQXpVJdlSi
LLqtpcPYU4L0xoMrQLUx40G9LuJRbCeoNA9u6zpXDks7Fw0mUgL35RogMs0ro1Wt/SDT/DQXto5N
2Tb1vWMaacFgSoPWPMbxXsi4uyy0znl3CItvs0i1T8sc6WAqjMg+jYzzTkaU6vqmMXEJb2yVkS2f
OOrVJq6OSwbtdRyU4aJiR3VWtFycQi5rcSwFZIAlNxZj60xqyvzPqMzrUXH0wHJj8S6kYxP+Krm/
t6DgrFtt9dl6rNQc2ztAbsWRUFPL1wRO5SkmQsfMOJSEXbV6eDZyeD14TGUbYgYVnWR8mzPrbpeZ
uenidFDNipL3G+GwfQcDR1iVUFT/OA95PW15GthMSaZkeinIgJO96nLji1T19kJtw9jZ5HziA1PL
8dW2lOLDKM3qnp872sPlS8g6tOHFDDcE42ZSi5uYdKjgeq7k11Cpx1NEKPDCQj/eCiWynmVjym6j
D6KaSbzgo+VAhz+Ys+MUBiEnGC/Jc/MCnRMGOBOOA4CA1MMNLP2KoBf5sD4bsUHNRBOt8WnQRHw3
VUXvw00ozxMqwGkwUvNlSoF8l7MxvAAtKdrNnE+W9pTObCr9oTYgbmazuaaX5ChetIRg+OiRd6mU
e8Al9bCBeC4Yc9rjtG/MPkkvkQvYAztlkce+rWPRCByCl7UftVr+2LUKTKw+i4np5Rjob2BMylNb
oej7XCPt7eBY4romf8weOExdSNkTsfd6SgSTRzIdE8+VMn5oR5EIYvF5E7iJmZ4ZgpUu90HHc4h5
c3odNobyoTcLAeRkwD3sczTj9mHy01zDaAIC2Qhzh5FbAwdYhT2SfvRop4lzYydJUfKxGEx5aVuH
8HxUYkfcc7O65rv18cJsMwdLg9FFV6HdkHbF+Hxwqia/EqRyF38WdnsyQjvzzb4pbude13cI/3YA
wcoKQoZ6e6jVANTSKb2IYo2khkm64qikWPQhF0y7RLMZIs6gJjMrJe2kpG257XHV8wcjQEswlWrf
DgfriAMagaoo2QIPBvHEhhHtFHfZldvmw84y2SC3Hcfajah0ZcvD0z5GEeeMWCbtntBatquTqt6X
gjHqrcxtZHK3mhnJNF1BOFUamnshx1kquyyfWgYseYtzxITHASVABf3LJE3ty41ZRe0F2YOqChwX
2ORGNkz6IgL9z3LsIUxXraNNwbC0+Z2jl/l1xxaA+2tUuUc5zdfzVsli8WjqWjwSXKltuatnq4cu
VM9sje3M+WqHbfaVr1C6fp4kPc/YGTO5WcAo3bj1vPiETrhsQ2jrl6CmycsMaP1IDXmf3jTJxJO7
z1Q14H5c5N7ManUvCxfSQhXye7bhNDyOi55D6UuR3wg2VsWwCztVZD6wOJYdBZ4T3oWcbQaWe488
0niwFtTCQKiDcYthg6OZhdx0ARKoEaAVa5QgBSu2l8G3JHvVuHpJBtqOeh/cXX+Z5WN5nZJvtHj9
ikAOx3wOVHj+16Rh1bGQzH14LS1J+iKbECD9Whkrx2OO0l90Vu4+gXrMvkYJn1nE8fLzaiHmUd8B
0jLmcddaqnK7GFWteLZC8GwTlVN8ipYMCNi/F87/SzfyWNj+80b+fzev/dtfbeX5U79b6TAYGQjP
loPjmC3Q71t57ac1JIC6ba5e+e+cdDalGca6XWfw+IvP7redvPUTnk/8BZYGMRs/OFvvXwHf17/4
4/6uG4OZ4g+COGcBMgqEcS3eG3v1H3byA+NVgJ+gOoQBTzMwlhgthA1pWW0sGJ2tcjlBJCnCQyHV
iRy/0QNlNcYqyGy9bBAB7IV0/KAi9hnVFHsyL83nqnKLs5yQqUs9nvdjUmu37HRir7ZgDurkUDfc
RhNBe0CDOafSk1vp+nuVacXPijK2x7B0iP92LdRGZ9K8dp4TL9VKRoWd1oRBtCypvuq06ntndQBz
pFm/L63ML5MhNA4Mvm3MH6lIHlwtq19lDbEntN2I8gAL4JsR9l9bJRm9CVSwzyeed9mssZua65HN
fGbLfN/rdbzXItHuQo35XdZxuBcgWa/i2I0uEiiz3rIamcJ2zj5kZYVX02CxFM+5DC+nKEp8m8D1
nv1edDEAZCUIm6pbN6ttUj5oUfgSl265no1OXpalaftZKm6bwr1pzG5oDwjCIQN6lN7Pz7HVLJKv
G7bdGci0SC5X8yTRDKdkPGRt7e4HuyzekVbsvaLm4mbRHEBUa+/L62LO+nuXk+7bwHSq/FRY1hGI
Wfo622VkelNZ1xczVsJTOrqL3CUEn55rpP4vBZsPcnN1Q0Z5M5VGAdhttKLUZ3iHxi0d2eqbsBsb
hG67tHb9KojruPWe6kmgwcCz6u/duUY7n5glIpMqzFrZWOftoWRbig0hCkXQJblydLKSIekqyWtl
PBzMJtO3peAgBjFFSw+Dms4KM5u+yjcYoN3HRJ2KU6f1xk1XZCVMVdHqCVRBbfoQaa4onLvGottC
3jX1gHMgEa0qrpVjrDXNtYJ/tQWP0tQmRRZckitjrL7E96delTMaXwxC6yUup+JQDyVHs3C2aHUx
Qr/mnr0kNEomeClVH5yA8QhmjpxZphaBKkkp0Lqib9Vay+F4xckQON0Y3yx4Ay4E9sFzOppsfjjs
BXk6O2d3cs2PqVGYjEs7nXFrxvo1bSTOLtMbfd8bCp4BQ2rbiHwgBlAYsgsKGxjOgjYJFsFdMqmE
sfV5rrd2Uq3ElXghieJMFm77BgCscMly8XsQrIst0uspd1Wm6d1Npi2JrwkAfrNh2MeBbfbWsY30
lVjygHMO8ezSLUfLU2KnYmm0iuS5qw3KZnBzgv/R2npHz0QPV6ka9rgYl4tWLdpbZ1Gjg6bb4c6Z
+nSbaSZbtp71dju7cfVmjZmNhi+1Xe4Skd6oiUF+KzZUGPFm1n1JQU5f6tXU7whW9bDiwavqYo62
bbKUR3eWNUTQBsAvF1N2GPj1L2rEvqBRWmYbA4hUv3XaCng7aj8NGZmqbMj8mRc6LUcbcNCRz7Io
j1HFzr1oW/2W0Ju4Lmswv2bXAM/R4xWsqsqvdp81d7mEzFfmdnejI9/eJYU5vvIdGsewTnikzT3R
I1MJrW07DcUV5Nb+kQghHjYG2zfZuqkwl8oAuDC44l5WibvNxwmijFbxg8pY+arEZO9gMU94fYrI
EfuWEp5DC1rtSU9t1HxTQLTcLbNSZkEy2sr0S6bgX821/9uWZ5fxMqvf363OIFL+z/8Mr833Uttv
f+xXpU3/yV7jY6xyBiuxsVrWf1XaqK7Cx24YLs4ah9QVItw3pU2oPzkkMFg2id+uy/d3yzO2XuYs
tsk/hiCD92+W5x9CNiYT6rWBwl4DNg7b27Xt4vtkxO+hoVgH+hvFlfBMsy6PmDY6f6LdwBNmZO3c
IulhvbnTXiG7/y1bZOYNKEQirYKnzDIE332V33YS/0v2v7Vqrf763/33vDPr03lvqjzb13wI4uX3
7+z/c3zql9dz1DWOAsJ1zcD98fWWojcZ3YZ5YI4KB7El4CT1i9xMxQqlan/xkTD5/MWHYs/FC6iE
tFR3DQJ+F0SpkB/gBUqDxXjJDllfWvjAKvU1EnJuvKwfe1XZ2q02O3tjVrqPqrFiDlb9Uu8VNgMP
CD/ZA6B7+2owYTkEkmjNM07A/N5BgmNpn6TYpMXQXri1snzAg+AcZU6qDXXPHfUgFWqebdx5ju5B
N8bXzOMjLFMaZ1q/NfCielkXG5xH6K+6j+cKBGiMBVRj0GNkN1I6WeIb7K7eqPtIr806pIeoiPvS
Y0eDeS1uwvi+CrtU8/MuyeoNTxyAWtM0gRqaBBYfJ61YURm7M7FmoMu6Uoc42uHmdeMm6xuMsipM
YmM3INCBh7X1qMAUEQ4vmOrJVReq0j2LYup/Bp4/B6iE8XZ2EgA+RH+Ka90NK1CbEht7OxfRlVVF
+j0HnO65wix6TKmCCICX5v4aX7itkQWeXAbz1whIIgg1vb7QElAoKbyW504X+v2EXnrIxrw4yGWZ
BsCqtrgVbEQu7dF0MAcoMHALWsmWwGAIWvjcUcBa0db7dzQDdjRzGSkYP0GevS6ahj8CYli0Swe2
E8GIcvBcOQWYQdSZ9qwNLgUtTLphnqamcaf2BoytOTQg2qf5swmi9mh2NCW0FUgWE8PLVb5gPkYi
xFCqdTYcij4p4Ri1kC/7ZJTnvp7CYYPAyEysqWq+cTx5CvSHqNDeUbDSizLtm5izH57sTeno8sad
2+pL3bV1i+5eFvC/ugjNJ6+V/hnTgrNTR4fdjEDu1XzbjNS7kFPtlQICdPImrJ2jrypu0WAGl8l7
mLDceZNFQNdaCdkhU75h00v2301C9pLdcJUfCyn7B3tF5Rruql9rvcDBPUXDLYUA9ZH99QStJXXO
RL5Brxhd9UZ/xPJgLG71Npqu+hBXdXyrYZDrNoY9dee00bqERLjdXyi4X2CBGP2nGwbnLaCoW8tp
oVKNmDChAisz9hIGd8DTpqmEKGRYzaNeyYqelgIu8qh0MoigVx4IoIAhM4f245OETHRHR4boqtr2
ipV93MFbRUAUOEy10dx9co+BRltoDol1TqMJkLwOU690sUA3Dpn+T3Bx2ndtxwAUOjHj8jUONOWe
ORvRw0AaCNrRr3Bhd1GBQP8GFs6W0fQyngKBg6n0q+YWVHg5mX2K2tI5fQKBp9psrsPUAsm/coDT
XJV3n/RfRe2RMD4RvyOuXhiK6sjZYeg4CGgARQL+FXAuhHFeVgwv0xpKhJpQoleWHMSMMNzPk6pv
x5EUxidoN5oL7Jsdrv/t72hdZQmNE81rnb1zwZ+ftXEqbhdnwPXTxfldZmbxPTD49hZMH/PcFYTb
RQ5aa9Tbl1mNqQbjwDfAbaE1bLY4B9LHYVjAXx2GndllarXhCPkmI5+iqkX9pnX1Qsda1A2INAy6
6aTLi7OTKtgv6R05CgmNb9fzW4O87Xl8dH0B/VbGDhgG/FG5GPKfnYF5EYabLN0p6dgHA86EgqRF
HL0ZMpFPGU6Ugz42PXOlgVqALjFuEkZr14o1d6ew1vSLpMvdoxXDP8UqHnKaiUy4YWFj+/TJTM/Y
Wxuvt3qX+4gQiDfCXvgiYWe8hHHUH0nGjB9Lg7PcWSz10FqVxu1apZeFWhr7tjXVnR7nSOWogNwv
gGTrfGMwhvqqQ026w/ADcNHkiHzZx1YXmPNiYRMrZgN8/BA2b7MRQkqbSmL7esfzfMW5xEPaNRv6
iOhcEJTNvDBwYeo22ol6GWW9da61Trw1XRhDN9fmk6maSZCEunwu2WH6lO3lb06fhKex1ZR0z4mq
57wzz9lTrAum8ZGbVx8WrMcrpm0pKnGDWLVg3cUk1lGV2FKJV/hJv7Q/h2NHW0dk0MdilvbkRS41
gyEhIW8so+gU0cxxnSepeiOUZoz9ri2acxNn9tWUquVFo0ZAfZPVMxxpg8b4YloOepvGx7QNUQ2Z
U1Ce5KLjbfKkZsVoooElB8wKyOppKS5lU9Q3uVKlu14uEeFedyBJMc1JdQ0lBHNaKKYLjRDyvph7
xLmZSb4nAU+dpSGUW+HgZamwAd4P7hjvwKGEj6M6MEBMgC5Ta8kQxhvSwr1CtCxvKgm0RqBR3uLp
ce/rkdaaqZERoKDObQ5abms9HiWjKD1cevGJyT/LhD6Gyrak54vvOM+tL3a6tCT+UqP9cDHsijAu
D3Gj8W5bODuxZ0Vacdnq8I46XEjvmMcdmktEoQT86sqdwTKeEq8AjYO/r+rXMF7eAesnS94yXyzD
a75bcRtxOdxHnTnfVCrUpFHW8SUjCvUUi6590+we6zGX2ZYrPTtZSQ8zZmyb8hYpseCI3A8fOU1O
gQDEfl7UtqUgo8num6zMf27bGCg52QvjwcX8ZO3kKMcLQF3pfdxOC9b3mjaSSrCqHEJ4WFcQA+Rr
yXImNnNaLQcaUfLLCM7OthF992DHX/5+Y6r9MRn6y07x+03cDwlp4DPKTOi9CDCM+PngtZcvDup8
QA/EKYPz49UHzfcyOkc943RMtqn392/gz5t2m34CNDoHs6n2512kTc0U1tC2CBqfBhmfIfnxPjoP
nvCey637/E/b1j9aWpn0f4IMaNd1VdXmzLH+/+82rUkZdZEyAjLgKcegud6YzuVaBfD3n+qPOuG3
V7GwF3DcMTVyt398ldlRKH2ZeipfsvKdRhS/UaptXtr3RZccufL+YS/+x534+nLQEjR15c9wwuAM
9seX65jQ9joGtaC2n6b5KQRVQsWG74r933+sH36sby+EocJwOWXRR7x+7u++vRimuxorXRG0AVGX
ZI+k4TFQeysKT/UbT/H/6fL44fr89RWx/CK5cqJRf3jFdFixE5TJBSm6kxIYAW0+HoDGzg/FTg3A
PPu2x8I7BaUfb22vD8/GVt1Tl/P3H309of1+gvvz+/jhPqktTZepy/tg/IytgSqMDevEPxwTxV/+
kCAvyPdTwmz96BRpUKJojuVu7HyxFX4SZHvGMNd2UB5EQM6VLrvD338u8ccHwLcPZjlcqYahQRP4
4VJ1esDNwi6KwNh1h6Ly0q3jt76yc7+EX5Fl/+FKFcgAf/oe0QgR8BHrOfH/8HLAHGNwW1FBQsiP
9nIb+t2GMSGiqs9pIvgnvMcnxOfH3+3711t/1++uWMvq8VkbvF4bjMF0D6JtV3qH5JT7xc71mOIG
1inm2mF8zeT0Hx4D6333dy/+w8PGIaK9GDMUE6uvsLh1r3A81goK/a41AH7SMHAWTQvsXBb6P7z0
X1yv2B45NHE+ZyjirL/Dd5+bkMmaiuVKWgh5eNrksvfQ839/U+ClcJBadOxXuvXDj/n/CE/500f5
RIXYSDuYdwg8rFfwdx/l71Eh/0rW+68unv0Hk93a4/6fZ3O7/nVIXpuP79W/b6AL/tzv0zmXR/+q
KgmeFbbD7/2r/Kf/ZJFSsRi1AUJZ53O/yX/aarQjr4K8wcpkr0/wbz47lbgKOiKDOx7tPH6gRv0b
/e/zr/rufiOvAsgHiwTvELkA+NMPN/vQwgFo8zzy8cTXt0XdFp3vhoVuUPJdqdVZt1aFY+2PDojW
tM/1OFoXkaIDkE76MCMF4TJ4KalwCzd1jgmDypyhu2GK4z61NgZyujdczyTi6YX6YgaTnfM4KcV8
0YRae0PDIWjv3IBYUWHNv60sob/j1SVYbxIrPFV9UnxR7QX7QAFszGk7BCijW06zWw/nrJbmPlEz
MyBQneMNyYbtEurh85j34VGgZmzMdtF3ThYRsojK8QQuXV5auakfy9QsvJjP4ZsUl8HlNylrlhTR
WiT2A4YJH6HjUo5k9O0l9jT+lG4Ot1Ur5aOiF5Al5zA7lHOHS1tPxpBKSgrithzC06Mgyxdt+rRK
jk5TGvdjbDjHLJM1PDsM0shajGYe0CLxd6nZyDY+VtQxKDNRN7smEboSzNGEk0UpJiQVCtbw7DUx
lqDYMLNHJncE0Rq8KYuiq74liLe1rpR7dV4QTWpMU8ocH/iS7X0Rx/2FFJPiu2qfBHpMZYPOxghW
LAJvOozwLzRow+U49m9RmndfHAIIoMeJDgH2BJSRDEvkLxG8asLANdTAMGPToMPWY+a1fJ37QdyY
1E+c2w6bQtk12jFbQiDQBlImfph8V7hgtSsqRzxZYVXiAoepQeR3Pxi5vdGqbtpjp2NTkjtDMJn2
vLVTqJHVQnCJGadxdNsRhAKjZUzmLRGbMFyIXmIbM7DBs7GgrSiSWbzvR1V9WmEdB9k3ErGnG30d
x93epiHpZUhrlDLgF3cNPTHIvJnzkkZqvUsJ8u5bWOLHUReUbhqVszOmWt8weV44aRC9lQL6iJrx
rqwupdWY25rPtjIw8bIfGgH+wKKE6rLJx3BXZynp7TZWPJ0bD+JnHhJCWuxtNNLVZvcdX21P6aag
ksWzBY4w9IGK5gOJ+M4ekXKBNACRIX1RFtUuRuyMbYL1/NBoccWkPI+V/ELZp7Wr1jY8WmLqg6n1
dkC2PbqQZRve2dxnOHfK3NeI92+seuyA6QJ4rmgx5avFho/1NwJsaxk5VRJAhjfQOzJPQdvBIDeX
W7pu8mAFcD0BaCDbbjEnZwCJaQn+xrBt01w/2/qQHHXFmraV3kkKFOXkU0lY7ZauIvNqR4wiAdru
Itesvy5ltZziKbQ2JY0Gewe815ZLyj63g6kd9cYyD5GTuTAB6ljskA9gLILt3FPI1L1bHPWgW+vZ
vldEui3kmtnKkvhyrpXoOmkceZgLs7pzLGfkdwQTH2vFeGK9nwMx5tW1GZMaqurS3AMSp0MJuupu
0qxlR4i1oLR6CbF4VprFfxZj+ChwGX/AjKeUS226MeA0Fr0UxTTfk6zN73ubDXSjufUxisNYbuix
zwPJqC5wQgHxMkV7TLTZfIysYbxkPOf4kr/mGs6z2KiVKF9Aidh+gWaBfOfQUGDFYttQjPQytUvJ
ZqfQdjyzIdQmVte/2VO1dIfYSXuOmGrzNMV5eAypWH1T9K64rfhag0Ltp0cd0M2urBIeKib6nt8V
Kh4jHtL3qKDGrSZ7eZ1MDrTocsydow3p8mKG8l1vmkGvPHxH5J/3U1e0p24wo/cY4X+9kDN5CAkk
nQedZkzE2+GIEwjSYzGlFEClyystvEwZnIVnYKXxOEdrnHzZVsoXDenraoDPmYO8FdKvs1w5h7W9
fNBnUEI3X+Co4h92Gk+2ru0lGn60pOjlqZ4T+8ESMyap2HlgsllUFIHgG8uwveyIH4bX8EhMBqUq
wldE2cbbuDD8SCwlf65Ds6JksaifdB0P7mR3hLld1d6XOMMuMYmrO6WhmWLT44ClFkcoLFGza+wb
Mar0sZmFWAtDmhAJ7dNQagOmxXWqotqgd1Cm7ACGzMicbnsZ2u+Vo7WXaCwxk2qEsAw8K7fb6mFd
Pu2s4+psbWU644keKPApFGgXvBfW2083rEjj3cg7xexbW3s4keJOusQ9vXYZBwmHdGGIm+V5FpCw
oi3x02gbxXhuXc1Mj/anEbemy5b7E3duNHWEJRVEnA0Q/9W+W1jZnZ2Tydi4oijPTkQPEg+Q5EtD
dC3Qene8iuLVElzWZh/Mn0ZhNYfXjlEG/3Crtm6+QSDAVtyuDmN9cpMb/dN1DCg4863Vi1xYhUUp
I27xJFLBva6eZUD08JLdcSKDGFvV8wgh/ov+aXJeVr9z20/Gm8qMglFKVIvbVLTjvvw0SdtUCtON
VVuntgiN/ZyIbo+xybwLjUylYX01WrusmId49WOqHblB0LTDBezYtt8ME1cJn730YPZAaOCFp8Fb
Vku3HCx3l682bzpai3d7bYgjUp49Y0Wan6gqwfnJDXJgx5E/NK7UbmAZ1c9zJOKgMdL6su9L7dJl
Fb4L44Z02YDv3O7wkk4zqzu253XxhIgKNIoYKViB3tgL5mdfdXeBtiHTOtkpuetQxapq74bMzFdT
VWAFddQ0sO4x1iHoX1F0hr2BCKK+duaAXj8oasL+oC+cK6XR5X7KEnEhzbG8wy45XWLhk/eQxusL
NzSBJLMixTdAKQp6JckqpbGiWUFLP/bzNCbNfrTDhHRps4bkcgewy6w40y32fYMRgLFc20NsXlW2
DR9d0RcouFQDPJKMG5lgmj0qZlYaB579K6ARmryt6Cv7oy/3ekaZyYaAWkK1JVmFVun0c7zmF+ZB
EmWASY0TCvQ4UaGMaqJRzYcvurEKrHAsvyaohydKXNpjNs7WI3dAvKvX7ATxX0GZcN0hjvfdyZZZ
c+WuaQtSLsXHsiYwQMJgZP6MZRiLoHtS41ep4WnfLXYUPRI4wM/aGvqWdldK5j+DHqHZRrM/KdLd
Log4t2ReoWcBMaDPCwzEhmyreGgw5L9SdpZ9JQbVbJU1WzJFS6w9zNqg9E5QlabDw4h9E35gYb+C
KIronBqNMdu0CgrsJlVSIrfZNARJQuQvaJGhElTgKH7hFZavRFWWG8xN0/0ExMNz+l74NpvpQ5LQ
eLhQ5nFMw6w5SiLju1YW01M1LvUhVbSMxS0d7thEG5Enwig6LBP4eHpUxv5chaP+KlgANsA2Nfo4
hvm6FGUS4AwusWWP2hVel+mVyXHsG/lcBwpbPK/Wev15yLPRp5hdQY0L6WeNNX3bQUk5Lmw8P1KO
PocmccT1Mi3NmVpWetN0c/bowWHyCxzbGxMxXXVEzQL6dRKyHpF7NQ4OEsIwJpc0JMzb1ITfbXah
FXukAlTAciwWQ0Ezl1O3+cmdjeUWvnF+zfaa+uMoZxhdh92TGOrhEfwL0iv7jA1pHgV/1yIPYrSX
V6ZE8hLufBqoCyAOi6z6Fasejl5Hi17x4qUPshPzrhUxulxs6P5UOe4WnlLxskyjsbNixWIoC8DG
tMf0bIcWoKfcISxqdNgpvBJQKLfy4kwU2iiixGvYLcmxDCVDRblQkh4JpcsopaG0ZYPHXF4JO4yv
DZt2QgfF2saPq+OfL531wEDHOyXMDblENlhMtOshPLAXrIjb1l22Gnrco5GKiaqVsrzOq9HZW1mW
Y5SGw4OBsIPNoU9XFJiOO7PtKGaj9voRXg9LApcOmp9qXS+L1d9aLK8CPEbbf5WGG92a/WQFeIu1
R0fp5fuYyepI70H1YVMz+OJGPSFW7MoYFpmV4ZhShnNZZsOJjLh1Zvquv36epP+VsvDfZhj6hrhA
n/zPmsHdq+xe5ftH82fRYKWf/uoZ0n7Cj2MQfjNsDePsatz9VTQwfsIMQxQDO5HhAsBAVP3mGXJ+
EmvsRkUixLrE3OZ31cD8yVYt/joCDPiGdLSIfyMa6D8ohExA7JUzbFoOIG7H0db397281K9rQWwU
C6g0Oz8Qzo0rioGsiIQYmepygE+tV6rT72EzODdjk2WnRVmD2OqayXY+49lE3KmAIZUV5IM15uTn
Qe15sR3r4PQ026RVkKw3xZrJTq0KXsAKcQAGxOEI8IC91bzRqIUa6LWTn6FRkSTvwiE9ztLMPLfv
inEfUcP22hZpmuxJP2QP2mcqnTrX6At0QPmWMgF/51nlnOc1ye60lCvWn/F2zexmy3f6Epx8kznF
l2LNwlMhQ0PNZ0A+d4mqMstcg/NG2TtskY3eOZdrsh59OH9Y1rS9Bk0eVh/m19fYTlsC7zQ4T7HC
8HooO6qoarshuLB2CVr1ctfUo7lX+bqgF5LyB+TPJIxuHgAAOBWtDz3srI/c0WtyEiFyJRJDOQGL
SPqO7MaoEeUYR+OFxmODdoKhv14URRyxDtsfhYGjaxuudILZqWgjMT+hBc7KL1B1SAZR1NHSONdC
sMfDwfOMKzajS+zTsho7w52NRWE7rYyEsem7t643yzMyTXEQOf/DTS24CtCPqUtdYQu4Q/FuEx8/
z/3KYjA/uQwmGd+r1p1ooxkm9bVuB8owaZpsdS+f8MFydHRuOjk5D3JFPgAfr7cj5sQXDB/OjcNP
2XpqqMCJAMBKFxmeoyNUQnWgO0UpLt0ilq+GqcGawCQzvVhSsW5ApplkYWz3a1sndEmWNNZmZIn2
SdnV4DyKeSfgP1y5Tm2AO1T7m1xP+yNs+ejsdlF+veREeTaWkPZ7mVPZbtYM+ZCyukP/f8k7kyTJ
kTQ734V7pACKecEFDbDJzec5fAMJjwgHoJhHBfROfQpejB+ihs4qsilSFCEXzV0u0j3MzA2q//De
90hXq50lOeRLOZ3wneaXtLH0qemH4FeKQ/+SObNBcGDeYpdoNKvO1H33aLlOSJ2mI/VMcmfLpeMF
yfHLrMPiaMvWIN1taG+6BE9eakKQ9eeme3NRCoP65NR14pVgitO6tgpXEVyik9PbBr1WUJFgXdmE
+Ay+hdeptFuDErmpixhRBdPzJpMA7QevEQ9OKydnZyhP/cR6lH2kOTe6rHTxCUIkySLhDOSq6s0n
1i5MxlFeSXGj8rKjxQoLLEgLeRKw7SYK4qmvEja8bUE+YOf5KJBKX5frLvcEn1U/ETYOUMAz3oPM
da7NDJ5kVE8AsTpOrHHHNn6VZ8I4w3u76doPy03UTTLmyYNYm/md4IW0QppuFiJKzBkVhU+UFQ8P
z/huThvMOsXkvEEkAFWIy6p9n2wwFqy18y3UGoW+3pEd1NECbkW67BOfKV9Tl5AyskrfLr9FcHrT
w7VNlT7nv0VybS/LIPZh1X7ldlN0cbAp6mycmNc4C5DZmZbT4yUdyueR/u61RSCPEreqiYAG1vrC
NZu8NG6Pv+m3iI9havFa+9nSXZVFOb8NhJ00sUhr9zuq7vpNenP1DScoAbz5bMPXMZFM3Q+Ixxg+
VMwEzyWZS/2VO7sIszIaS8ir05LPMdFv8IZ0WK/YO9Mk4+E2c/U2hhq/ZxEo8RRMyYA8JkGsFfmT
JtWVgLA+QNhlyItVhOMxQNxzkGa2BpE7OZWJhcDIvyrphgYyZxm8Mf1cD07Qd6gLsJi5O1H3DA02
jT5NxmTy38FvGsXwm0yRbZCKDMDnC3GLTMz8DWJhN4i8+J1whmQzY350sqmPUKmPnzgO9D1JAVs6
tELB3P/GZNilP3kH9v2C4GkgGnBRag4TDxTuQ04gghdj98rulqXMv3LVfDmyVvvQKtJrpismeVLA
Opzf3I5gXozPzFBKxkpOC8THNX+n5fX/skP6/6FwYUf0Hxcu/60mHr6bcuq4X/znuJ5//tf/8teK
hx/8W+Fi/8FEEz4qJQqEeszL/164YDkSlCA4lRx+jqLmT4ULXn8BaoC1mP9XHfRf1x3uH9sKS2wr
ORu+AOz2f6Vw+add/AbnYslhbrppXgCv5J/WYv+vIgVC8Y+4AzbKHpUb02A8UkgSsKb+Y0E1upTj
TTuJGJ54lVwPaGXSqFvXscWliMIxMFee5R4b380CID92rTm4mUoHul8dKKzag/7UoVMBBM0MTj7t
oezbgr+iQi+AVnBeua910gHFCifC7tJl7qi+Kqv9SpUcTgumlL3Rkt1rmrn3AXWwZf5rz4/Wapgf
NMTLdQfV9tE152BPqGl6CPpkgTm0MHs1FgI4u9zM33sTO8kOSUL7IuYRyeD4F2yMl/X3duo217Py
7UujoaYCaLGAzUy/wTM4+Un6QP0LbW+ZQDeaUKBOJbB+89CsdTDvEjEnBtEZs/xCpV3DDsxRAUYz
GdxneCQVmSGJr/cIfzF8MI3joDOLFU2xV4rythf1yMpkOxXrdCGYyzATDsvJQtAGr2yWczx6OJzR
sTdAe1rUcj2XYeka55QtlUKdN8mbERfnSf7lbP59Thfbkd1shzcpG+mDNWeMxlJP9z+AbhSfhLmA
Zz1ozuc2wsipP4csRfCd9iyODNN+TbmEDsPc4iob0aYp7B8bbRw5U+e18z2qKkucMnu217Ox6Z8I
Z1XX/mx278DC5SlPhLeS6qg2b/Mmmho2/dRSG/J5bvPhFv3ycE0WHjm1FLK/iCIZrhiq1Y8eoQe0
hEleXIzfMi09BLcJWo2f5abhItc4u7UqV7OXQOEFZlc+Q7K0HtcZ9tlIR7DEyqxa/m2VQG1LgLt9
WnbW3EnbN7/6pdyq7lRolCVozII+7CM7H9abAOCnjMJwXMtIbMo08nUwYAW/NWvzHCaP6cz1V9gp
GdBSM3FYfovcgIBnl+W39I0bARmctSni1t/iOIJy0qt5U8x585jcg3UmxVsB1wnm1EOAvi1johXe
QH5ue4TLjJyYXZ5ZTYzEskt/WA+V29u/REZykm/SqhwmEg5vKNdmvWdG010zd6gCpoGq/ZWqwH4j
TAoBNdHbIgafZ31O2MFIObStb5MMMShPJsuoyK4R9zPkXD7GPkze4YV7P2xjnG8MK5yjKmPGC6sN
51lStOwcoFQe6foxNi9re0noZNydmhz9JcXqPHWqcwEcp0l9P1Zddc86YLphx6KeQ7/WLyF6sbNl
Jz7pMoU93CxGWGAEs9sXoxpRqKXDpmIka2x4dHLTK0gILfLhm5FsrIaU1OQLKlIia1d2DSSlufnZ
dft+x81dQipy5+90P2vsubpjlZrRrAkAxdOOQsDjgJpzEGvIOpnJzIaJop9007yYkVAQPA/RlbC7
nQx7dz8uguxxy7WiQCs49yajZYhXFJMk3NcvxdLz60rRpiBRF+ukySR4DOvy56ypMbNEg87ziXG9
Lc0efl7ODY9FrGSWqIfwsniMmkxC3q7CqdN7/p5rNIWTGwVjnkeLQfniV5wkGBKQyoIjFASMZsyp
VlVEXdIiJe7JZzQxpGUR1LwNqe0slynw+3cLj+CdveZvMJLvEzLJNnRXieZPDdskPrNSM4IMrX/k
jhTXBS7+p1kKz6QadfJHDjPWz2vqybeAPpXg7dS1mgi6mx33RDTEpbDTlhH1bBG5CZz1w80Zl94K
AmTPLPfIzXSHAamx4k6LemLNINcXCS11YD0La/LlvZ4ImbsCgmLd2qhjwkMw8Uf0WPCd2rQbbpVO
nXjMPXWYAz+xTmwe0xrTGgZc4N4MFQvWs3vPXq2dB+r/YoBD3MMj8T/6xXxg4YzJvoAsJ1PbPKwg
/N5RZoqvTJFeH0B/iHsfkwgc9geyqVb4LtUzPDx9gYs4Pms3s0jn2YLPC5FENmu7szF5kCL1Ghwb
gTh69XrnwA4Ym4o+gLXHEeLZ31epxKHvMIG2DBgPE2OxyJ6Ge4cvJgzi4LxIcess1aFo7H3js8r1
Bvcno/4rFmff5974qBYXaffSX2lmX3vpNW99Je/AQDb7gOzoKGx6QhkKFtICIS2AoRl5ar2aR1nP
MzP8LD9SieJ+T4FlyyD5mGbILIoTnVG3JeLVUOcpU3eeLIs4oRWL1EQ0UNB5vIVc45tdk2Rt8bSw
Xw3llqGta++gM1f85Ds/0pdNJUxlBg9uYfPMYtS7GGzTeUuVi+zCOHrlhmDD6KvnJ7uQe56ph17w
SE0GhmKs06es4xsMLHLj57/Y7cgsUheo/NiR7T3Gj6zOHU4/LjioFQnfIpQDi2fch6N+G1QXsiZJ
nqWNMsARzAx7447OH1imvwTR4LTJDj3wUeYkCOfleDsxJvCKpDqoZbmzwumzmftz7Se3flY9yEXs
8aEfUzDeHDecZnXLQoAl93bTn62JBtwQMIKIzdCe8R0O0IeVC32WOQ7x3pivmPxiRPCvV2+9GVPz
rLPgbVHrfkrLl6EUJysv414MZydjsE44KSuWes/q8KTpH4kaZWTs++oG9sOXSIerSi83pexwOrsP
CHdh96cvqd99uW551dTufWorCQGIAYwo6qPU7EVXv/8SSwpveBxfHa1iOqWbfmVDlky8l7lmgiIf
unVbENTG2SmnXaKzezSBP1seB2Ox930OmlB1J/I7oEM4ctO/EJRcxfMiaM7d9Dr0+kfBdGNOxr1e
gPmk3naj3CvhPJXwG3YOA1ysyR5VACESSXLjVzNmPKf6URjme8nGpFi70zRwoGbuC4DPIR6aoYv0
QuILk+G3dsKPHQB6E9Vswl/0vTtkkusuKcieJdGAciEpBDMz/Kiz4eBWRqcDcal91YgzdlZD6MpW
EDodEcSSfAo5X016isZgOVFZXsIZb0GXwLfZFlNOeykgUDkOUhpN/giBMNyBCzAVasD8rUL0SzZO
m4KhcyZ2uNnZkBzcbvN9yNVxDNWLVeKVtrvPcu1vR7O/TsvpR76OLl/K8rmApdJrZ98v7R0ukTuw
5NtudolZR8eFIa9bwcrWzKfrcsFL4XVVjD/L2JlbBIQjCD8fBfcrrPBd5eVMZLo7oHj1zu3y8TFr
+l/NnBb7YGngZ81W3FacUGNb4WbyPtkqf46Fe+jS7BnTyHfeHidZutzmgzhVznQWfXpjafWc4W5h
yC89yktPRb1PTIorkM0Tl3o2cJ0wIglr45SWTQdTKO/uZeXYD8zVNN+BFhpfs1WpnrbetTU5TwRz
mpe2wYgsK8YoDTZS9m9DR16Mw+FZl/bPAL5itEiZ3YoK5B/LvHDjfD0XZQEAcAIFOdu4oSOm9uNb
mqc8qQP52jZeLire+V0RdPyA5v9bGmBtLq3FubJ9CUszYHe+jibQFfYzMmaz9JokQW9GhpOoO7dt
g0c+rPTdycvkMbNHHoLZxacyMrU9ZmMNNSDIBauv3sBjxUEgUEaTVWSCyYmgPiAqdZTJfYKhhhgI
LIDLyslzlWcEZEf4tYY48f1f8NAqxljqfjGHz9nxGXYkQfc0mWrdkOfyi2JFRsrSm5/Bzm6oFx2m
osH3HI/eUdgDyJKCmsaUk4mSSRVv0Mu9Vw7lhTgS67YJ8WlQFr6xuZ0jMqQhHg/6dRhIVKIsnHez
aHDP1WFAirxz11F47BAZvdbY8ZA1+5t/kfjUjPuZjWeid1Vvf7C5x+7IED4irry8ePBiYlg4EJIM
8uoMf+IG2YapBZPce8tc7F3n5m9QJp/90OChBxsGk4GhZurP4jue87qjjUG91QS6PTd6JPx5lcEZ
Xnl61wZlxb+oM8A4s9LG01AUwS3ugSWyFUdQkZPRzjsfHquMr1OF2P/I2gdEV5kib4NhsVzGRovb
ts2JGaJ7bK8D5Q4Rkyz5WKiqOi2N8B5cqvhfJOuq+7QTvtqlbK2fqEr7PcG4VVx0Hs3E2ujfhW93
l9GOnUJ7yMhB4vgHZ5p2O1E2/ZEI3frokY/7MSqwA75YiX5kz0ZOCrOBeOWmvGcb1u9HG9XBDmYm
ou5RVT9apuEw4ib7MqZ5fQylO6D7adtrSJ0mX6WJLKyeTufTah0bFA2KnChoBIdTnuZnAOF8lcw1
hCYqjfm2IKCCSAE1HEVndxcQxksk27X7gbbDu/hQe+79dKmfxl5xFtW5eVAYvK+dIZ32JGIV75xd
ZkTNPZI4H45vRF00ih16X+1Tg+9e4+nlFKh0ObhLP16z3SYrnsEZG+zaL344tsznyOgCooEtPR6H
Ualmt/ZTn0aVNbRPinXCbeCvvmQUV7tvqzT0GWBeFkSFb5YPpVM8iYTI6wqF48FC5kHirZ6OeF3l
vrJ0eyBZr0iiYUKNVVI1p8eWYuOtNStumV6qnwxcwmM3yelWBO0ELVmIc8/f+pI6GqgioMcHkmS2
WTvjbHkapNBUSKpxf6Zrry7EU4R3ZCG23yu12eRmwoezm03k9FhjHkci6DYT5OVMfpZVxS68yoNb
q8GXGGEpwj4CWRctItqUPZoP86MC6Pht6p029uvMZ7JIEsIZK6PBmj4YbwI4XTfLWvQFF0HFBraA
gX7rdqLlpgXQqqErnHonKw4dVHDi0oChxWQwmvezWupr6OMQnzzEiyk2WNczaHvYU8QNeIYfPZbd
U1YRTx2PFrKCqK5SwEVajXgVW/MNn9l84br1T3WQmQ8cstZPk9d8i2MmZUM7tNtVTSiEXRBZTuZ3
jnRrHT/q3BclUC0HG/WaZ87bJMT49qcx3P1flPF/tslvJop/1MsHvu158O4tN7SwJPzj5Oj/Zhwl
QZhc2ywaPUo6exNL/3kJKGk64ZpxbS4W5Wf/Kdebf30J/J9ZXu4wHf2PJ65P04//lbZ8+6G/TVvZ
Bdt87i5bWI/z689oCTa+Ft13yJqYDM/fNIN/R0vAtXA2CbkwAx9y4t/F5cEfgvkjP0Cz9nv37P8r
01bP56X96bvJmvj30BaOFJVJ4FjeP2nLu4XtCKj7MK5YBO7qbq0iGdjZsVxGE8i2Q/SARAJrsvM5
AT0aokWou1rb4TmfejvydfWNUp/AxG5yIttGBY2/r43XBni9iVdjZ5TW16jBBHfKQi+yqvNce/Y+
JLmHQ6Wb45wFKDp23X03tTZ39VKJ2Omh98iCXJpBEjmOfHPPOwkPmAvfZo0GF3TRnXYqEDxlUp4K
L6xuZTIZFPKsnlvrd+4i/jS88eoYNOG9WgQLtsxGpD2CXNftAK6cxR+hfX74YYruSNDcicS5656e
h1/vgvHz1a2ccZZbRiKjQHjnCes9aTihjoqauCMc9O5VCFOKrhrdEDDaZjfxgVPFwKWzDLQmvgxf
RcUYC6I4fndpvVYputp1rVDdIhffOyXNmy6X+qcrkOP2mTD2LdcSsUffq6RaYmh8iLtq+JqMavZz
NpDhJXuPZCwPLLNpIC4a7maP/U1YYFmeqBsjcHXq0Er2ztxF4VXlt3YketaEZcZfqQItfTvKyYi7
1kgfWbgtTyuXZuwtpEeDri1YOsGGo7i0amYxjroIFvTHuggBgyf9y4SdYuf46MRzkquQdPNZZptl
uCRneZvOkPiezlmEOoF2ijPYNvvw2CBgiaRWN1gSEuyo5oujmu+MQ+Gbu/KrGrVgZQsFiIQxOA98
1YwZ5pTBJcH0SH2h/UVN3q/fs6q8U6pEQRfokzC8IF5XIz0YMBsi0ivXmOll+QPb7FNmcenB0bP2
y0AlkCzEEBVtHUbNHNzbxQoofKQXgZClI0Ew2HU5ApLN7R+j9kEfzBrU2IpQDPw6gUyb9kHWrEnJ
BcmPXe+uJ9/w5tj2nflKtn0YW5PE7TUxdoPXrU/BGNTxlBDRJObm1gXoBPEsf03Jo7hBPwrLEMiX
0RoS0CikJs+VP+wwfUvHYdozwQuiaWjWfeJC4CTPoT2owB+QFvvNhSyFG86PjLSO4IU/y9Vsek68
yC3dlLQcxO9IqTZPeeuM3IjSdqKgZLxkCsO5MtqBTClkcwfXbMqzJuF3N6YNxq2lfexmk7xmxtJx
StkaO4PzNo5htq8y+7aB2h4Zcu3w20t8ypkJr6BGmz4l/jMmaW+f9aj1Am97R84SHJOiewxW/6mo
eBSctsjixVuvWHpeMf6twT0Q3CBVeWhbhloEER9BPmaMv5yW/kNLkjGAc+BAeHShu27KTQIjqvW7
oX1r3/r6B3EAeKD95NlqnCAKzQyX/ZB/42s9H6DT/5KSutWexHRVWJKaAAM4Q0Uwi0SsRslU3KnF
VN/qsfJj4Szr0bNaKpBiKZ4aCJnpEpwzlIiM24i/06vzmuuSR8rIy8jw7PrIDuVaJyZqPFPfNXRU
EbEk8rgao/NQb7QB2CLm3jFmcRzsgOUNqbHPiEJhm651cmbQgH1ubNzzpPP8pA0ltu8NJOFwvYFb
oHeanCQYCtV9AMw1qtq0/5WgzY/4qvcHM8RxUXjoC1Cs8oEznj6VGxwBU04fD1C/bFhgO9OppyfR
BmeR+A/eIm86bTY/KL14rIZiM8U044dKrTvPVK/rxl1AUM/w2bCv6wUFtbBLK+rX6qZbrSlG8IhC
fC4eELU0xwqf/T5LQ5Mlj5uetFNyJMheH+i60n1nbLNMDzWvmGmz7Txg7t5BoQ399AEvDNzsjJV3
OIykLwSjxXLFh1VUSMj1S+cUt7UQQPGnIR92fs+QkKUAgFDX5GNm0k91OTRXVWqTEhhMiFBdW55A
8ayYM8buSO4U3sDZTK+Jf+vOq6/bI9lV6R4YbnslZs87bNz1wxAEhJBqnwGus3FYDUxKljaGIwuF
NpraKjwveLJOrr0yhijMgbut/0aIrnHJRDfGpt+rKOynNi595MFGOsQM79FaKdO7QtABga1a+gMv
ez2iIcyvWzZdEfwWqPt05vEscpY/JhxZBZ/t1LRz8p0rmaBWQhfPojWXLxItu1dzRVceJSIkA8AO
EnGtm470ttRK9XXrD+PRzbG/zN7turrYNTSrEmstUSGP1mVGYg+yloLeoWHPkiRFJmA60FqM7Itn
Ob0G7cBabLDuUXz96ihjYyrk5tUvGq6upNd7o5l1zOyhii2L7FgES96xGZwhboXD1bMQRkfKkM2j
zHQJqwMBMagz4xSzwdUSuNNFt3lzQm+BApxpLCtDeg4bTfK8tsd2TV403//YpFGKpOf8mgciWmBL
sgrq+H3u9OEWApG5x+awb9DbQ3vbeXJsIiXGae+IBZxRZj6VWy4Hb9KKLdt7zrLqCSfGsBM9KgOh
mi7q/GGKc0kwWaJUcVeymGt9x+HKlivq3PBGhjM9YmF5RMl1L0FQ/DLs7laNQ3HLwPgBMXuym5KF
uZSum0gbTKhar76f5hbNp8H8aEGNv1/qeYLlYXLb5QFGNA9Ms0zFTV5b1yCbPEb1aMPSfi1iKCDs
GPr+Z7nAGZ7W6ZXFDM6QrMgP4DFQ6DRrg0h1Xm4NnppdN4d3g5gIR1ddTNjIV4F8Nlb0MswIfpQZ
kmQeHhIjS0PsJmYCj3NesMkoLCwBzEZQUQ9Ri6hxHwjGsQYKKSwifnEc2/GFIOFbAjHR7ARzAtOF
DEg+niwqSgpDPpXyQKIsaHV0L5GarfWcVeJjWJq3rOQ1ryjACCnOT+E4fibK+Cz6XoP1FkQiApI6
qaJD9xc4JLGO3T7Is+CqMez6imyW4gW53rdc2tm3RBoHi/jMPeVzSgKK/QNmpBnzl6uOXqh7FNf+
B1BV/4jBDhhIJXg/A1PWAGI0oxkvOZgBau6GxEdWAFwRSz/g7Gph9hhDfucXk3cPRh71rq6Dc+tD
FGGWsDnXBB+vUK9N1rzrwJnPDHSdaJ7b5r3v8YWZxoJdX4EVtFGKc9HN62macvvod9kcZQk4FvbD
tynbrKMPQItFEOkHMfsifqw1flpU0XtYT8M33yudt0CRcb+06Tt0HfZQuA4fPbervxavtH652P3Q
DRK885GYPjYXyzTuJ6WbC9tRB+TzSpqXPwQACrhLr/rJflACvidB3vy/MzNVI8i2Yio8pAAW7hTC
uChRgYi8vH82bCbglnsjyVONIixWHMpVsleV/eEwXEu14jNNcm7thRoexRUFp7FuZx82MyPHjWiq
4ZywH7l4IiMIMfTOSR9yO1YVvJfg1ejHN7M2H/Olr1BXMljhRQBKlC0lPuauS+7z9RwcgwrAqV58
yoX/A5nPf+bWVPxvW1Ocz3n93//t+/+sBdp+7q/dqef9EbjobAILTTLgIIfu728iZpMQP0tQyTNt
9DeB89+1QM4fpgO5AsShwzAjgE749+7U+sPywBiDPwRdDE4x/JciRmiQ/7E79UxuVuYWrsBoTQft
/5MYaB7p51y0KlFuEvYOJmJtWMMJBuyXwkjQJRBqa18Wx1ue2BKB7OrCML/NpVd/rLMdLBHpD4az
sxBOokXuJ+PB4Lk/yNG2P2a2pWWssl6Pj6ARLWDBatI3smoNEPzo6exTO/Tr7bb22myevilileMS
LuVgEig2lK/+qIlcRjY675mMuceNVlLs597Vb2w2kltSLpMXEmiLj8JJB2dPSLnwWWgaAe1wkTfl
YerD4n3xAv+ttubx2Sjs5DUUrH4Zu6vpIvvO/qEr3R9shnS0mK3X3Lh2GT7NXcArTmaf6Tlr20dQ
vzWiC3QajNBCs3pDl7BiznTC+7UvkZgGLS6Vyio4Gw3vvEqJay2H/nQuJGHfCG1DSQ9U5U8IwOpP
QoXy/RqCV8xCp7slYrO6cPix5q1IrnDd85A4XXZVy3HTQFAq4DcrCwddJCrmX7bfYeaUJiWcO3hL
XBVm3+/pPZYhFv1szvuwtvTVMhXiMTEJULJrNdyWXlne8m3NX1EjVMzXiVj8ppcwfQBSon+5KbKj
yK7WxopTPbNp69zU4SBhwGdEnkxp0mcUl6dxydviaCJODeK0m8CgpSrpa8YRM5u5ri9zIGIMLmAq
WuVjEerpwyzR3PKHLg4Sx9IZE3B3PRrEXx00EtrYE1T5O2Kfy6vaKBqW9jL7uazTePLrxt93gfLw
hS7pS5X3Hi9o9PfKwA9FKK/tfYf5PNyt7GwuOCuLOqoAU5NHyEA3RN2iNCdgrvs3JD34q61m+mLo
Qc1iqKx8W/LVvDD3Hoo4ZPdOb2R4h9owwNkS0uIclQVi3rLC4tcSrN5hyYX/NKfZHC9jy3lveknw
MAm32IcY6o6kcy/f8NCQJrwmpt7b9egcVikW5Kj2wIe7JPmO4G0mJFL7LHlZi9063WrQI23/UzZO
08egQT/mPLlAsSf3S6fU+5kixDGExfZMUwpIph4xmYN3dPqLmqei2s35gNS+HPqTOVDU7ALWy8e+
H0FB9fCAI6vlzWNrCSxa/KE9sN9MjsT3dv0WMt1dewNm9nAyi0vKhpfFj+gJRa+9AuO4nWw/lBgv
Xd7nn409OzjhXINQdkJ/vcuMvOYVbSl4r4GY8dKuyke6khIl0YwrOEOMHE1GAZK7kwFDkKzMn7u+
Kml1m9RDlgJd78wkG502e17CddpOJTTeGM2XZvLO4CwdemFXfBhs+g6IB3ruScdMrkOtNyGUuVgv
jjEmu9xAjwXyzD0bZUD3IwLjzYRoVFIT1fPBHavqoTH1/IF1ZH3rQyu8bjPps+MdZ4ckNp8ohEmN
2Uc2atQN2OtnPHOtCSRA2dWXSKAUQ0jCA94r2Z+Emo1nh9nYNYiT4Zqlbf4AM9Fjx8HOiPpoWfrP
iv79OLU26jBBwLV23PaIJEXc+NIPyBDuiEQZ5aC+LWg/RSw7B7dCYA0XHBF8Y2hTxSNgdv+maTOb
T3PS8j0xSSjZLWGP+jDIjJ88N+l+5UXgO0hWO3YxcVzNbFLpGK3p3Wun4ps/rw45aw5aHciq27Ez
BHszzORPZ0HZgczCml6caeZYgmmmr3xTLeTXjct3ZH/eDbY0PHmyxAWQ9IuNTw0Orl0azrXyTffb
SuF84YHEO6VDebO2lfVrDP3hnCdBcT3gBz+7YZAdJ8CLUOcmj/5Be8kNsz0jrhBtRYHVzq9gAjKO
naaRd+Dz9BEh+/SUpAmN3uJ1B3Iw3edhnRXJ6O3ina18FF+J4bvvEmeHtZ+XPGc0JDEB4GV3IQWE
SAzvKwe1GheRSU3WLMkrsXk3HRQHWzKTKwyhjvTEgehOtKsS8aExSSI3MIZjo6dhtja7eLIZx5vN
Qp71ToGMcuIOyzQOcyExmxPnt7yFcFz3yWZFD53Nhb3Z0+VmVKdVGi9dUNuvDHjYe2ebm93+bWwH
Tjse7WTI3jExJN8mLVag/9kIO5ah7zSlfqw3p7yLgXCzfat7gz9fbLDnvO2oGt/sNjePHKzJqdmc
90Pplnu0eCV4JKSV+6UwR9K6hXM1bZb9cjPv67DLPjS/a7+s3Bww/wJEWiS8BsjqvlsKrAgTU1kj
igEnAMizz8+FE+CraLzqGIqa5FEmUtf1VOBLCtV6JbuguXL6Rp1B5a3PUgbOSW9MAq9emzudIn2p
2J8dxMYu8NYw3DMTyr7Kmk533hgHlm6so+O5gA/ExkAYLCWuAmvN7jNcRwcVkrySbtQESKUoqgK3
+6TVTY79RldQU6gRMEz0ZRuAYaGIOXiTHV7ZODduBuZBR1iIMH7ZapoRAaLQwDLTP7gGDn6S06dH
WQhYD37ASMcJif0ZGwSm3CCS6tloXYX3uLE9ChMPQKOVGlaka+Ud07QeHlOXA3Xn5Q5dCx3vdKi8
Te+YJyELr8oYOzaeYwXRtqLdQOaTp1EKqZYhU9DLD8uaSCIRjEggfdhxrWb/ZFSs4NGSpsdy3UR/
KPteB9kkTFuKeZe1aE5WrcPrYlmcQ1eCijXm1Dj6mnfJkBqgpDMMzAoHuJozD9gRLwYcxaXrThai
6p1a1XJmvSyO/gQo0TEYau3aql6QNLrM31UV7ivD8+85wJjqpb6Ku17nqHwM/AplzrvnOj/2qmQI
77MixRGRRtQe7YWciOYyeoO3s+vCpIex1JGw8OkwjvUGN6EiEwUokDJxewAR+C+7fsDf5JMgNey1
bY+qucjCRxbLu76pkPMcbKPKL6IrnTNrlOQ2TUxmTJao7xy0DHxThDylhbZPrJD9k0vNwhlNEsvR
nrT5yyLOJ5YulepsMWheoNOd9UQ6spcAsogMTMwpM0sdghUL3cTdTU3NH87GT4WNp3O8n12fjK8V
IZ0xKZw6IC9IKizEbbMAIdCLi6wD+Me3odbN21IQQByXTp3WETwU9xrjRflSep7xc24NHF50rszy
DRxS59Voiwc1Ibo8keuXBPuSoeUvxhMMZdoteg5tR9u+pNpnkLEgxn6sJ8e4pyLl65jzUH45WRqc
tZ36j0OXzJ8Kb9CbHpPhOAMuPsylTBoe/XI+kP1Fsipb3vqFL5l48X2jOSk7txjehNo99Z4tLUh5
QfW9Lxzy3ObOnB+GcmxYEQMw+iqZ8AEKGufuEa+X/N5kLdp61YSEImB1YySUezq0qL+UizNJJuTo
mP+DvTNLjttat/RUagJQbDR7A3jNBLJjJvtG5AuCIiX0fY8Z3XHUxOqDjn3to3OOI/xYdSvC4bAs
UUlmA/z7X2t9q13uMa93PUbXpXijeGF56kcrAdgGkOnKsXBJbqDV1K//XzH9c9TEQP3+z4rp9r19
L/4tkGv9ut+Ppe4X1DQEUOUIwrD2nyMq5heiFwb4SUrNSMquivZvoqn6AkaRzSQETMK3nBj/EE2t
LwbH1LWr0uLLyKv9rb4cgh//fCyVDqA/Qi+g+MnrClP+kq2N8Ym31SIbD2sFl2NjWFvYEhxJuJgY
fV7VHFu7aC1sY6AYr7rGKr6FP/vcaDrT7+LWJsfurIVvsdaJq4UF3m40svoxltRraE6oQRFZ2+Kg
lufIMV2LC1IgQOT6jBucruPpLcHIjz06t7VoR6t59qqZLe6Txu2ucEc3n46ycNJRa07/mFC17ZtI
Mig3K11mU4RJF3CrwNi+xWo9vLpwwcHkrIV4UROHr2kzYEVVhcyMU10rgLOBaUDF4rrWPaU5AF+f
W5YcfYig9U43KPyz0oQTbqjLW1FF0oZsRLpkTxpkuclNegBPC0mDK7erswsXwew6n6mgjWFTMYRx
U9gViqTjpkOjrbcCAfhGDFOzlxUrRAInTUNsmPRR5AM67ZNXkrCYYUVVBjgiSTOVGxJ85imlcHGH
y4WiSExMb5aZDZhXG/rTa33QJk+jXSbxbGhdxrEO8bNt46TSb9LQaJOtoDDzSS6N5L6Ry77wa2uK
vw7gkcsr1pTm9w6o04PKK+txbNiXbdjagt+lq8m4ErLGs7pJG0O+B3US3fPj1J+EF1iLdmuLRzop
nOKhox84b7E0JnvKBtIs5+Cb21tip8moO5drM4jljvqjgkeE6zXqha/j5L1ECSombybjVp8CA4ZX
aV81OXtGXKXGlhE0g8GfF/kxWatJrLWkpFrrSvK1uASYR/3APaP4Zlkq3HPUM0+cLLKPie3KbcGV
9557/rTT10qUNp9C+BLUpNRrYQqn5onq57Q/2XUSPreMUrSqRBSssAfgzd+stSvLEtRnm9aw41RK
YoakauorB/PbqbJsuDix0R1kW3EpNxoHun/n3kiqYx/itfAlTTHxbyJ8nEeQxUuHUhGPZCWpiSG1
jqs6HafPNiuTnbn2yYilDY/d2jGjh9Z8btfeGWNc+t2wdtHoo9lhZK5pqAkCyuXCeK2tkSOKebJ2
2eBjJMDRdnXyHpnc/aco0o4kROL7hXHO1xonu4tKk+aWn0U5Tr2sxj41+MYQOqemmJBmIWDZnGhN
0jJr2Y611u7MoMtQhtcynlZRy8NtLyf3buS7uGh1Ol2pTMp+tvlUubNnwjVvG+6SBxA+1P44awNQ
TsryUkDT8dORfqCIcP5FrJ1BTaIIObRy2E5FJibSsenop+TN9oNRwzC24NRqgQ5yG+jdnmI/2+um
0d0lqmouQDGyfRnX6jSn7NTjtdDIjersrVhLjoIhEFea0UNT+dmBRPVQJakPoih823G0v+2g0Zx0
e+1OanouW37ZYn3wRWEiCo/shn6w3aBjoAaO1e/7nz1MUaWsu3AcwyMX63H1edLYVFu1GXmllPNz
l9SztS0IHvgdfsJNaFkDp39yQHcmftqb0pisC52a2WMFpvp7IwewaaWs3/n08tL3Zc8yJLSx/AUQ
xlBRcUJmc0BJaDzzZptT4hudi0U4Mtrvw2Kk4ybgeAehXzAStgHjVQii4ECY2wi5yDlo1sLO70Iy
yfewCvBLIffYn7oCeF5VUpx4U+HI67m+V6VKl63GemH2jArCAjLDEkBBnbSS6GvmnGtbgxMIqvEu
zGZhHaIlCBh0B6V9CwW7BerZDcmQIZidp7rHdF0ZaSj9suzJ20ZcvE9p3uZfAUo5FP0h9W6bCiEY
DRSOqIc/RX5d8pmArt6odGMXYYZ7xc0M/MXuWkVEh+M2iWMA+aMInHOlG/yAIVfQl7Fr0gaaXxnt
28wcnB35ixb0oJN/dEbq0Cfa1dVe456BAbAwomzDaOT0W53a0I1YYsweRGQQ0CejwfQ4JLHdsSmy
KBGttAq/bvKzC5RPH3zCvElbd0uyfSxe5c/u0GKmRlTvDHPbW4l8c52KGtm+wdxKNY+vZqXflKr8
PqoiBC6v4JfUXUXVmRNi7NCDyjemODnIEnEWkDrlpgOVFwkDsK//7D79+4Pa/518E51o6n8ewZ7f
++p//1f7r8LA+mV/TGAsWhXXPaabNQj8J7qJQfmgQQgWPyNtn+aqGfw2gfE7jlj/MQ1Qe4pJ67+F
AU3/YmBco0OZNkMmMUM5f8e3Zv+CN1FIAvSXA1qWP/9a0syMaH+i5yqYbNbQtzatNnJ4lTp0JqKn
Y99tJ32Z2O1FoI0w95g/+r7XKUvAW3B2YAJcESfAVM+ejXMYic9ro+aWpA36BIxRGcUTB1vI+rVL
2Co14nA/RBiz9VIOzyPnbi+d7cqDeOnsIpOOVhXxRwi4pV7vOD21fMMNu8wfyzIcTU4maxLMY/Sj
VG22jDPqiX5EQk741xyT4myHbSEnbvSVpbjgUqA+NdXkU9SR+oWeVOy7u5hjGVv2JoyTPXtsPlN9
hzZBByINvIsAzmeZJ62xaRUZxhxKR+Fs8oq+AS/Wh/41ShUjZsjpruCBt5MW76SZ7lo2W3UmrrDY
doeRqPgOQzU6ga60u3gReMYNHfB5aZIYqaoUv21p7UA/0H1rUI2chFL6UWK42HPZWlg5R2wuguZG
V1zsM2OMbx2Cv5tWMSFljSr2labh1AB46lHrPG5Hrey5Rhg1WMXRvA7DJtuNlkFEJk97v5OO2pKY
sS5dX0QHIICcCCmFvA1tTfuRxUp8sJU0X0VOuAR8RPgDQXXy67otXngWDF9jeGflSTDDZCnfb8Hl
guHGCnvFy+vuiqhhEc9O8n7SSSwtuqgkoATL+i6XVvdNNB7W8k4YU+2QCInNUFk8ZWX8FAoRfnUD
Goh0AuCXIkrCxTMyUU/PInOs4OscOkF9E2DaJxgwN91x6EsXTAkTk9sY3eO4VCyZxq6HSarhp8x6
QIREsdffCJ+n1ISYYVm9veUZbjgW22Q2PISf/Ds2IVAPaTVRbFkjsYB1qY1j24zF80Bl31e34EA8
64O9g7TVgGGD9ggpBF3I4Bbj2xj+WeQP6RWlUHznZALOaac5Z0r+8u9YKJcHkjk6mbOu+arqiWPz
oCftLjUrHViDFdyyUFx8ShrlUwu24a1mrOx2OD1/lEJDocbvE+9M3Ib4u/HNkX6zc6zzudgTcO6O
MsHHPnJ0mHZwgoI79hTtjRTV8Em00qQTcnbl3jLrpKDqpCbcAvBP3VV9Pz6ZMZpAGeTUdiA53Q+T
5OOuy6E6DdFi3xFaUPe6FusMTaRrVDnbIH0Ma9nPjNn3fET5tOocdLZhKVJMfdzE6x0gVjZ7iApw
PIrZ3CRiHH12OKxasNA+YMKlln1RdeOnLsWUboASRBZHF96QjGyNdVt7ZxsffOvnhp6cmNLeDcWg
mMwC+mdc1miG9jYtdrubgDPemz1LUHZU81NkcXgh280hSJ9Ue05sKYtNkIXs0OjJmrdIg8EzZDFJ
dzqvJD3nVEHb1saMSbvyTM9v0c8Vnc1oQzty28bYOkK8UsvPhZ5qIrJ7TVMUH2Y3mT/GcU79BRnY
2IRJ3l23emwdRmx6+hbmCn6KdXkY1usekbATG8GWADdjrxbgxx3XoAcGFmx+pEg0opgZmYF6XBG1
sniFSAHxpjLyTdsIui5CVs7lSrd1qsS4wjRU7xS8tX29UnAdNqP7cqmeozjRXhfTwCZlLyFWof7H
0Nb5nqhA5bmV1Ly+EDvUSmrMV+7uoIpgu8qi24XMm1csGXU4o8p8RS5uJ0OpbSAYI/G2EH1rfNMe
u9WAEh94v6ZdLQfe3NGJ67q5ScFdQqZnpYgnqMVbLKtjkXKUjhebNSgPubHZJew16JR7KovEUYvq
+aAEeZYgjcUbNkZOA2Ok3TdZKo4G2eX3rHfyQ9rGzISZK3d5JeE1hFX9mpv0v+od9GNW7uGWK0iw
aXRzoWtWmh+U+YSbJBU9FfVDuXVWpDLuLaquM2PwOboFHlnR6bAsWIOlNONjkvFhWwnNFKTCal6p
zbWZOLvYUeU+s6vSJ063XDUr51mtxGfcLRVT5Nx7AuucJ8zZXBUTc+uujOgkRWfQWgtFjVorOigc
CNSbETTP3l4Z02Votc8j1s6Phj0mqZwuvWLXBrrKZktqDYLFuRGUxJBb4EYrx3qs2XKWk1T7NE8J
ZHTzFlCW6yVzT467658ro9S8MB4oss0CBGoyKs+GUKREVVU2B5saoolqmVnwMe3xPm6optIughay
ffUTvh1WM1bXzoQmq5sWeO6J7pyn4Se0O00w52yRGfOTsoLmeVj53hN+TJ7mBOo3a1IKYdsWNiqX
my5+iWimOoZV/to7xDr5q6ICsTttr+OyQaMPqBBj27FrVui4ueLH1QoiD1ckebXCyeWKKZ9XYDlZ
JvdEBQQCVOWEKzyq2RRGqF0Nqgpelx4ex6DRGV8l1giWG1b1tOLRzRWUjn0v9iIrLnbLilHvSseh
YrTtbpJeRY85W4fLEI7qW2+FsH/Ql1ZIx+qGrmycniujvW6lCYrXzvfotNLHyZhtk0a4JByBotW5
7nztuqG7q/HyYn8f08XZZIuG7agoQrCdXLrxwMlcnYWq2lckVwAktYVHlPQ1JQtKQSuxPJmM7lNp
6NWRoljtQrov3Vms+O+tQEy3IJXABLA7v0bOz1Ae5uYKN7l9z7uIKDteEl15+BJ6niMMn8XG0Jbl
qebt4aNtFDeNOwdn6cxYGCDa6bejTjQPspR2nwbhx8wTspuADd0FYyCeaya4b3A5gg8OXcsT2mv6
wgRm3JS8HTB0JNZVZmfVI7/UD8Vojk8JAs0tOiLvqaSvmkPSzMVRtE3tB5Mkhcet0je10Dk0ScKa
mBdmMD3NjpPbxEGdbssAe31m1Lel2xRPZW5ZZzsgArDBvj6fcC3jPksmF52Co2t9nkge7zC14SZ3
V6z70ET+nKbaIYbOc4KunWxxBTv7RlRkFCHG2jdmOJW417PVKDnx5lqkPKO+p19FqmkvlBRQEtfU
IFk02JDE/SbnOcrBKakZO96sJu0hyUzzwVHJKniUjrxvM31+zKgtu3FSBcM9d+Irra3TB7dMl69x
vMg9xgDumwD1scvmKrjWAEwYBCkyGsVCfOeP0u0h4ukVqrxJ3rZjWbcHYVM90XhXvDX487dID9Gn
BBJ3sUTe35tuET06k5M+gpSaj0u4hiAhscabYOqid4tK6SO4D+fCiMNMq03BuZ+yNWtbVjlFZL08
WWkDHd3qEnDzjeSYKUwr8oTeJq+D1Rg/Sg1XxJkxAHInpu1j4c5Nu6XsbcTjV9lnR1rRc5r3VPeC
afdrVxU5CPvZ3Kd4RDU0lZ6jZZrag+ONMMS9ACfRM/3cke+GZQNPQZ+vaQsvez+WRVn5vbJbHAxO
cagHNSS7vo/Sg0jz6s2Kg+gNPlv8EEBtOzRZZj2aDZS8uIFmt+mrML5gV2VAGvIAJzIVxmxd27kC
mhEvH+Xo1Bf2rVzPFpVMr0zuFS08fG7VZlRL12+asnSIuiFG9t2inwouoRgh0+itTLSaHVrMD1ig
ddCrx97mx7xkvRcygp/dKbL3LA5rTuxTJq9arD3sjMeZWk7qh6UPh4JJoXImlJVpHp8HXUsvUH+D
i0oG5nMsxwb3Gr1JD1GYsFsyxXioUe6PkN74q9u1ElpfBrFd+Ia2otO7FzKf3E6Ibs8/Ysw+t0FK
ymBj6pH+oLOf0TxNF9pZkR2/woIfP+tw+196GuNpPxJh/m4PdFHigyeEKMDF7FLk8WYT2f184TiT
XscxTitBwzXDQ9mpj65x3BqjF+CGaVY1O9YlnbYw+AI8z8EIzLyNFmev9VN671RcN7F4RuY3IPoN
RUSdQx9oaRKSWJwKG9cUk3mpZk09Ks1IHuowIK2ctrr1XlSNdT2OxFlgy/X92cWRvWf9Ls55NiyH
XLNoRtRhTxxmmNVf/6csI+Rf2hTP7/8Lp2ISN//GqLh+5W/7CBtjIcwZYSmbgz+sMWSf342Ka0WL
Th0QZC5rFY3+2EfoMFrxDLIpkGhC6yrjv/cRuvhCiRCsM+s3Duvfqmj+xaZI9AzxXTngXDkT4ML4
BQ0GNCErRmhVftncB2m/FZj7JZ0Rf1rT3P5rjFT/lUCGjEFpBTsXymUUD/mLGzKzRZgtgLT9seOd
xsQUlObOgUSehBkpeHMfhPMuGNzrrjj/9UP/WuD16yPzHP9521K6IRd4fcLXrp/bzgOBBcmARty/
fhTWQxykAH8XK6mOV+6Xn+8XWU3nFRMaZGSfWWQze4ARPdfTdn/9IP/8Wq0Poru8X2xWUVherV/D
uOhIELkxFdKcZctix3HCj77/9UMgRP7LT2IIl55qx4SMZ9ir5fbPz1fqMMVI6nYINIT2XtiQKYa6
H1kjNFq/peAGaluC6ACVsW+E3wVu8gamM79Kc6v+COeW4hfBsvOx0ZrsZuaNd5aTafxgUU4/HXHI
izalUA+SYl4Oi4SerUYsC2skJrxRai6AocbBcrGVlr9WdaN9nYKyOfeBEZ8M0EfkDFhdvxaNaW+h
z+NCSbT2k1UNzg5g9Gv3aJDqN2NWd3v4n+ktk6zcd4YDMsfsZ5dvPAho7VhWWkkdZNmuTqauPLEA
yIpDEEj1NuaGEZ5zSTAwPATz2NQ/1sB167NzmybJcicgLdTJVmfHlU3EmYIAQpPFCgESupC7rqeh
gU0RS+FOhQfk/uKcR4Y4NUtpMdJW1bYlhrJZmiVic73EKImJXmv1AUMuNDdQ60QeljSc5GOtGQOl
EZErTnMrrNIHYh/bW6VH/XEsU8AGYnEXQpIdSu2EgnJl181IXMmsVjddKa0nA073ZawBEulqnl9S
2eKH0cioBNuJgqUfU25CerXYzIUsBjlYakhLG1cOAwkIckA+lB86X7Lc3NEzMGwT/Mk1Hcsywz6h
6ZQcUuX7MEdD+JZ1WXmpKx1lxB1qorhMkwPG04ueauO1EwT5fjTKyuupStmVLkYW1Ix8i1eK1YGW
9L6DLXhDZ1WLOphCgNY+iRXwgdU5uWktnkZU4vFRC02aUggNnEvQvLsZoeCMZlw+ZHk7v9hWWD9o
QqZXY2Jj7y1g2Ccrbc46Lm2TfaYi7K40i9P8I9ul6JBWGC4Z12wOdip3T7zpePktYz46omzeWUaw
c2jU6FmEl+7TdMo/GqBrx75Q8XUUhda3MeoAOEHcujGVo98bRa526RBZDMJ0lNxOTNBeXQ1FdT1h
FgNH3OswbymmYuebSWDxlsgIJTGxyEvONKyfRG6hsTpzJDd6PbT36KzivpFm91BRy+CXdSpydGya
JI5hOFofYO8n6C5u2tUoVTHh5HZI3G9yjoigVUNnz0e7nIbOG/oMRM1op6RxR2NeNw+s5uj8HkD7
nJNOx2Q5tlb5qmWL2Xr1NJs3AaG49NJ1+AVX1n2Y7koTK9Emj7UGU6FugE6rFyh2hWYaA1qenT24
ekydNrZ01nqt64nMAqNsu6wy7GTemuwUrnvLwsUKMcx8qWqQw8tcRNeyjadn5l7jFoqJs4OF4Z7o
665vDHceIc9goqVwxuy7jW7wYm5TGMsoY60Jxz5oUPS2muEiBZux9Aplm+12CLv5zu4S/XvltMZ3
mw3eJ6bg4DwPFAKPo4W/tcTfzjkojk8rrRm3vsjdXVT3E4sEYXS7kIWE36kIxi6rg4VriLGCZLT4
UVdL2exwH8lzGpXzkeK/9tRoSXykZ8iF4NPNEYXTst46MqBTZDQG4yEhtfdd1wTrKFCNxXd6ST5/
Xsj/B5BiV8HmP0tAW/oB4uKdof7j38xd69f+Pndht5HCAQprKBJVP1H2v89d1he0Weo8+Z+/BETk
F8dcpR5XcWeUjCp/6EDmF9uQjGL4egDUQzj4W06cf/Ta/jEyrLRYF53JUIaFtWeF3f/zjXbC41xR
iTZwBWS3YsqmvVvI3j12EcTuHuHzeehqSCQZdPpmg6lrXIgsSyfbZkq2L7EBvoyEff++TMH4gWbQ
HlRjQzGAXbBa56pAv4msVrI5isNLOOgdPLB6ReKxTvNrCHCX0Oi1e6BwEzeVkh1/RKQqdsb6ARpi
dNENk9hUXFkODpU8TtY6aJ3Y5ETa+2gWg7PRyiz/2kXLckG0b5Ciy1qcgxHhwq6t1xh54OKCOfMQ
4aJ9XGnT9dzrLpVTwQ/66DFb8imq7kv41vs4smk5nSpzY862uNZqCxMo5TQPlHSOO5S+AOJepD3w
MZ7QDeLZh86HgzeYZzAP7LQCN5gh7lD/tygkaSW45GJeYatIN8i26rL8RDC7uxJVZV7TFK6fQNMS
by+06COGxbKvKhHexjZotw39ZfIrroUeK5BRRnfTLK3tyLLqWE6delgWoEfTOE5+KxfxosfuSrWx
JBWBfRSiKtTRI2U5VKIlw3Q0TDMldqjZ3DNVqNd+G1XjhU3KsKti2O13LNyXt6LNx/NiFuTW8b76
epOHvjbPATOK0PNvKNUJRF6DYtZqWubPMO4s3cOsG5xDg+7kctSTG5tASsnLr2c30pqbo2Y31hkD
TXjDs+aQ/JPmeA7nDE3RtmyGcMLIhHe5vfHamSFfvOFlmW+5WxIYNVNvEjFdJJw+EURaO9phdmoe
61A0tybHc+y3usW0ZwGwb3xr6rnAQnS/nbNAxFDEYsCjERTYC+7+xneSGge4ZYroqcH3Td4J7xNq
XzHBC6yDxH1SJftKki2DfstKrr0HlURqBpc15cldGlVkzwcxfc8XGXI8tvGj4YkK8sWfi8l0iUAs
QwPripLIa1JJ43SwkN/02s62diQvJqQzenNymEc3IrKM6lXLRVe/VJGQJ0Ef322kjyLzVxwrdTKA
4bOVJepFdJfs2wWGAI1auHRTUWOlToBlfDRmX90hZlZnLcYBDkaNuqEptNUtSRJ93JCA0d66GsMy
gVwsE/U4jFcsPkZ7W9YBFM2YlsLOsOOXogyaB8b75ECzJJhHcOUUtmQVfqU5xnC4TRhsLNL1UYB1
vAfzIauVtTj34bW7xOnOBZF4MwA1OuDJds9dLeJtqxR8PjlM+tcgjHViZx0aVzEUn3jGWJ7lCukj
nJr+nrRv4Y2M1XyPely+B6HjHsdaR6kYrAE78uQi54zi5FqyeMy6aUWWiPk8u03zZkQJ46OpNeUO
eU/bL1HbvVmqVG+Rw+HA69lIUMNTpNskmfoSg3G1XIYuNK5jMxBvwJyaaxXPNOGAJn7TR0d+G52J
Ls2ADMioVPLUCoxamyFrQ0Kac2rt2eACXOthmn3laKd2FNGw4iviVB7sPA0fRyeiPL13hnNVYIPd
smCy7xf+fMUL56bfUJXmrwVC6KMi5c3nPS3024gEAfJlMyJsOJlWwg/MU+16sXrldy3JBiATRks/
6NQOd0CE89mD8U9PsR7kJxuzsdfOen0zpwZUUau1Nz3a3cEkSw5BJUlvDbNDzGUni4hp1Xz4h7Lw
B1mEb6D/AR8WJkutCUGTolPRgmdN8ufRNlcfHN2RQZu3L2zmidRgBdZfZ9zD95Gl1NuSkToibWv3
uznK7FfOdOGWSGIO+6A38ZZpTn7vZDrvqGS0o6u2n5OneeAgEhp1fzZ1rT+nQcCgqeq+/+xTTmoA
bFTPUsq1nL0SobgJKWZUm7aKm6tGk/ULGWSgVmgYrZdMCYeQXjqBTxlGt19Kw36rmDJxf5d5Rvvo
nCannJYmFAM3vrLNMgk3ZTLHHyHwGS5LRlN868exeAxn8BF55qZvMROeTywuu3C9Fp+BSbNXUTEu
enZsmDfVJINdF9XuVamq5LqsOCZWRVTXaDp6sVOdYItcV8bwNRhnSLqB65RnuxLOjcXz8JRENSTO
3OQty0O2b3k7ls+pQB3aWHlZrnoOgeuuy4JnRwui0+gEnVeVI07Uvh5J43TFVdSN/Z7b71zzaZU3
fFv190lG6l1re9AMXce4WN8BPza+RhqZvCAs47sir/FzRsrAGdUqpk/seeNtn6XLMbPhJHd5pt2W
kQitLZCLQh4bWJ8e1XL5jRW12r5J+/LGBPjW9iV36aHkxAMGaUupLCgwBzsFsWlNqttMxuaBkNT0
EFXW+BwDSbkLyAdcKhVx446WOnsIUg73f3/q/H8zuCyl/ddz6Xv2+f5PzqR/fMXv06j1hUFPgjT7
WTNgrm3Mv0+jkjrm1ZXE/s0y/mEZ/82VBGYLdIztOgbbHs4qDmuz36oLGGGJFwvXxmpOmhnL0t8y
Jf2cNv95GlWYfdnOYRBnwhXrAu9PpqQY/6Vh5ZrwsrRmz04idhOH/efUum+NTrFYGyFZY3u2dxm0
923Ku/fKAG7gm2MjTguVJbvAzYqtmsPoZCQD3jcj5pd98sSWYniqaES6OB1ydNZpDxNsbw7I4r3s
EvOav5CQDlHhbb3QXVM4d2wQiStpXLrZJVSHbBKJlwJnvO6a+JmpCSgn8y2NSWCjpJsBvmmzu9hJ
7yQBfZAo2cdc1f2WG17+CDuyPuYaamuo6DGZMv4jwA3c5ud4lu2xHt1DXc2vNTEWHAJrdWlVPpil
cxSihp2EUA3fCF+U6jBXO/lT2nQ+SG2GEodtVDKlbxbQ1s0Uuk/T2L3LETsTGnuzacwYoRdLK/jT
A2aQYWOaKw2rkuCLaOjFCAgzciJE2dngKdyg+KG6/Ia2xGcAE0Q4wmoXMF5vmKiMfRx2h3yUp3kc
H/pweM/ZGFiudmU22jep2p0jsj3OzM7Ha+PHGA89h/rbDaoyMAcAX1tzBK8QjTG2MDPZ5nXyOZhg
FMbePUxde7YIxWzrdtwnYUx/jgO/KCiwMrUOVoqw1294YBuMuMJXJHkIOw3ExmDL4znuCMVzAuLM
zcvVjY9qGtlbObvAyl6Sqmq8sLSxYurYnKqU3lAt749p3Mynsssfgyl9L2tGNQ4OT0OwNIhaOM/Z
Jn3llsnQl8qj1QwvYgzOKk4fCJd+BnrcHzRH3Va69X1iEmqG9mkwggfT1oPt4LoewYWXtOrgz6fi
MmURk+FMAmuhyOtaE23xYBRBdaHBUBxwIWE1Nk+JTTsADUjXQ4J/ve/4aSOXeUtny4jKm+BeE/GL
CJfGp/7qHbo7wdZQz+/aIXoUukbeCwy5h6HnhVEXjibyNRKj4cmhF+94wRaf9AVFy+livxYxJcdV
b+FroRfzCmyr4WEJJn4bIn33DG2ctlzlUWxQnlsFv4h+E3AgQmLUsOv5mLiVdZANE6k5kh5onGFZ
oaq4NX6+CjTIejFligx0ORnfAFopPjuiuLXq9yDsAz9uCqpXVTb6mUvxQpQUb21pvaPlP4SkmjYt
lQP4OlpQw4ydm8JMsCK6VHXAxba33CbvKUdQG451sGH77ptVBD+00P5ukHDaQHh76c2169mWjjfg
yiT+lcYMC7m9ndc6EIKrOHVTrAD09ZL4DEugsevY2+iYLxymDVW497Eq0jPsz8obJNFTbV4+C4XZ
pxegvKg3rSFZ19kzHb+4kFP1SCCy9wrc9Hy4Oph9Yax5JixVLy5pK1Fphrmq5RuutKjcsv5Z6OPE
Kyiw9CHhZSs5be3kXIedfuT0G0Sj6eM1vYEtTya+7p8kG0dYgCy5BwRFizg/giE0s6SHabDkFxmm
p7wfjQ2xaZ4wPfxm4yUIx+UYRARyQ/EAjP4xou95g0z9jA/F3KiGtwzEnw2bVWox7fg02OVdG7v3
wcBRauxQJa2UgY5bzOSbZgzAGz12V9n1u6U6rBLCYr5vp/fepuVaZJ2H+ZJ5rdNnGOUlBrOGFgI9
Ge9cahi5MEXdJaK4a5MObrmL48ncRoQ03HG661fTWtxm7IZp2fJqAQF5rtAXJ3e0sUOO9HaoiGay
GWU7M91mk9M/uemqFkNNl15WwsoO/sA5WN/+fOIJcPtAeXW/ERClNF37dFlVb4itvATmGn7JzB+Z
XV/pxvCCi+Ajz5eXKIaDjxPoFkt74xku3OIma2ePouhl25U0w6YtuLOZcg6tAc2WN68u9OhJGg9W
DwSwVOZNNxDsjx1MC93w3MvimBbtU1NjThAN3O98VD9CEigbABt7eHleRG+uXySi8qZA8K4U7DGw
Ws63QkwaPOAOdKOdPiRKUe8VRXSrc5uAN6Zv7QyiDiv7ntiJfKJbYtfHOdvD0PRgRWpeqddYXaPy
hULYnthfKn2uVaDbOw40dQZzSa/lrQ25Hwet2HPp/cHxY2/ZzTlyq2+zyu8gTZxTDhEY8HMPtsD3
Pk1/VIozcV5O8Vbay4vhrvkKq9Qh6gK6GenHGdtiPJD7fMjtTO64U1VHgCrNxiVSe4y4a3n5Yjx0
gl7AMeGT0uvxm9CTW+yI+S7M+FkC5Dr6GNQmYF/gS6160RvON10DTjiQK18QkpWXV8NZy+cXk9jF
NtYWaweSn26sytH2A3b7HU/hI1fdu0jLAKJF0ePCnfcFRHi147jabuY09pMF73IaEWInG3PbrE4C
Ngv5fokHzef8fR+Dpt/RkFbuYZbtYJNkByNLDxl1ZNvSmZat0IYOahAYzVSBDaTdLfF0MlfeYMXf
sYyjRKj9gK7F4/0f9s5jx3LszNavImjOAr256O7BOeTx4X1MiMgw9OSmN+90B/cZ+sX621lVUmSo
qxI17MaFAKkkIfM4kvs3a30rzgCzqDwtU0OHMLHYGyYJCPhSq+bmI3oOTHIKhnowNpCCHi0iv3k7
4nGqW1Df6fjUKLHMAVDGs6Iiv0LMy7e6JTC8Y2Gm1oHI7RNHLLLKqL9HMHRQRo6fxPNubCXbu1bM
3WJlr86CMZZooacqzL11bhFVrnuVvkZIAgq8ogtxMidaWVrJEBlR0boyog8eqeaOP/SAVhZwu6aM
W0dLb5niw6lOp3fmIViRJ/GCpoQ8NXd8wysNOnCRh3kyrUKlerdrRl5kbiC8SLBiTfRHsBAuAS+9
N2UzbdWouqkrMFgDRqmow0+hRTqo71nYOz3sHmKw0chYNTAOhAWt1Wlu/MrTK+Zw0YWh1gSvyyzx
ZSRYZhBMXhylOR+7BWncWIhv9kRctc0lWjoNk465RiAh76uF1rBV0jJgK/AQDQ0NOXm+GO65QNxm
fBtVrd853XhjCEg2iG+TAF0Eu4ASrDzLxefc6k0wbR3fXs8Sq7WX2h/RwrNfhIvp5LbYANre4SUE
z2hwJOu92W7VnLgFr5iPKB/ToC2xrKBSDeaZO9Bp78U476K63OvD/Bi7xQbQmnIKWwrlrMDvaFTi
0h1LKBz1sqwSA2RE2CMC1sb43GQzxnjigGIY6HRmXOfwDnbCspSDNxWPCUMuX3OF9J0Nr3nPN6Kb
nJ9Tl1bbnjCuoGlAQ6oRd22fzJeGGE9Ib9DsKi5Z0L3cXmk8rXAestiEgb+uFsSaTlM/6gUsSyeB
G8rw9Lyss53RsJ22EdLP4SJJq1HHggkfwMyJpbRPCQ9tfC2H0KZECvmlhMBtXkB1MzRks01xwrrz
wSl5R/zhBztHceYk0Vsun8TACa7DUBfU/xWMGi27m8q4J5FZ0VaUJ8yrJi8MokZjMA3GBuYQy73x
uxDS9qI1I+QPDWTa2qqt1zg3z6RYgvRvvWP8WB+SqNghihq5umUKuBV+tAQZbvraQwDHXcx6VExn
izdtDDJRzKJ9dKrmmVgcjnIjv+8rZVc4IV7C5YZoI39OF6nre4wn74T99bqN9RHbeb8bY8/jWwxf
mgQDeYyPsMhKzD4AvnIJ5hxMfXiGsuIE1mACk8dbtjYU746z+zbEBFBq8SmtkstUmc4scBu44l4X
4hdpqmy/1JqboRh4XCxPmuMeExxxa2KFnHU5TQSnhTrYCSCoJtN+navYt/Xpg4YIPqYibH8YoBTM
E4t44ju3wzylAY5alTk06qs5pzasexZXlcjVlWI06taCOguLdPLOIzyu5L4XBx2jAUSWDu2AWVV7
q0vMvRmn6vmcFXeWsN+VKPuoOkMS6yDBMp0p1jquimNnpB/qlCq4nwjf+Oszg/+ZZiXp7PnjTdVV
n5Rv//l/q391K8k/9/tcwPqFrh56GIQwlakAM4Z/jgVcvOIqFnL5v/42ETBZQmnIgmwWWLrlkmf4
aSKAvRxfEZNvTdVcnOR/ZSKAtZyO/8eJAH+HyVORfyFc0r9IdnpTa2sk6oufgr0/UZ25iG/1y6XA
uTSWUX/ASp2vaz09AFt9ZTorlQjkptjAINcRs+5VhLoCzBl8KG38JkIr29iRnksgkfcw5AQHWGkB
D4UJPdUt4ntglienV95IRduGGiFMKdQcX42IBjJqWjIT1S/HB+MHdcrJt0mEv1TOW1PMc1AMy1vK
DJVFS4zQM4mfDMFjZMGuDCzptmYWhoHcGVa9W92BkkB8YRtA2AyNuDGvPDM8LD600QP7aVTOuaE+
4cru1oX3fbCGnSnBMCpouNfdFGVrthYCjEl+q9R0eAPDGvnsuuMwhNvg5mTytD2RK2P83BGrttcX
cUooTYMoXawzWu5hXUfWqzk72obySweQXBS4AZx6B7ml9BPHjs8Hd6ath2a3x8YCAtMdHrWojXaa
XhjbaHJgMtNAr6wwo8pT9ewtMoGktWHe3UdVPj4WbfZe0LisMU2/k41irAdB8PVQlFvYXPGmMNmN
9Kp+6TmG2KtYTAluJd1rKHVxSamNbgG3VVeV1cFRRHdp5ew30n6KLqTCch2GVCb89hpqgupk0fs0
8Up3Y5u5r+mgc2+IKVFPRE1kG/wWr0NGFdFa7FR0mE5jOPiuWqsrb4kCTP3fMwzY/gEfyhsquqLM
n50ehHFVdQx5XPOqqxgmY8w/Lbl9MI2EyJgS/FZTHwj5euxQLmMKYa1JHDOeTwXouZ02YyCXwGd4
WZ7NUn8BWiJWLk6wImxZ2PS3nmCZhJ7026goGEG06W0uofUR4n1V5+Ux75LeT4vhaA6udhUvGFXU
rnkdveKYwj5YJXW64YCOgyTFB9Nb47jqTctAAVXskCGdGz1rszFPCbCo023jShIZ7rM+NI+DB+59
GkvZTLwbBozlHr1NnC237YInrOyOoa5czV19Xk7mq9FHIJYhHQyd7ZHsgS3AwFrdeUr+yGDxSGoa
G4dYoHSSDaUHkwcryE4ZlkeELs+hAe4vWurbgrzqM6GBzY3FDiJbRtrhsnZb7gykxNDNbMT4sbLL
C32rNjj6I+/aG3A0hEV5tCpi25zwkI/p9RTP2rpoifDxBu8xSs3XCFkxvvFSwnm7HZb1E15fB2IX
JX0x0W8vdvFAWkYGyohEcFNc1sTv8RUCYTYN86mZrGOc6GeNWjfwyvRsHbbunity17j4iWPCNILS
qnBN0HltwnK49uhHEse9nRPrKWfhCswFMxSrUCwxakM+lmuex1qubmevTwPSez90Qty5dmYd6DRz
JdfOy7OupkWwciMLBEYI34mS9kqN0x6fojKDpmlP4QTHMVbrjroiClc1Fnw2LKINXHu++Oun4f/O
CTo6U4vT6o8PzOukfWnkGP3zifnbn/p0XCKjhaAC3VNjJv5pjG7/oiO0NVUdSyrZc1Jn+48xOvIK
0J5oJtHh4vH9fGjSrtvyb8OTi7TR/CtnJi3jv5yZAEkcpL4M5U2LN/PjFJ2RHCLY1FEJ0LaetGRw
zvEisOjF04LLLar34WJe5vKxO3s2D4YRbdAchRfYAtAw1ZqxLkB/aB4WQWI08k2LVH3tZr2zLTru
hVaeuK1o6k0qPIspVPnQy0m96At95S5WEpQ1zxCyzpKHKAKrYVdeT8FHQYfb4AOhwvsiKz1Z8oUl
d7tusqPXG/e1HZoaVZp1U8vq0JB1Yk/BCLqCvhH6HTH093iDcH/KqtKh0iSDBguObUcqRDOqz1nW
oZa0I4yyNlVklRrLenWkcEX8bvuzisPIoag1ZHWLrb4BOuEQvmiewaIeVrOshdPvVfEYHkvK5JFy
GQ7kY2+Z0r3svpquhW2PAjuKTshLN7MT3iy6czePbbM2v9fk0L0R4VKnA0MdNqGs3SFXPldZzuOd
sn4Q8bdJ1vl52O6675V/q163beqsdHjGSl/7djKecNDIPKR9gQV3O1jds0VXYdJdqHQZKDimM91o
7V2ImSvIanaOg+J8JLI98XBB4DGmY6FzqWQLU6fOt2acr/ukZxeMFplGf/ywLFKEB9kCTSPPGXiR
eaDUNEh5ZdAq5QBeMnCF8NGcLsBldQd8LfFBx4o18OtrLEXAtFrvNZSNmKAja+nMdDKAV7aWUUdh
z6Z1q2UPFyl0cwptHXwPxtz1qRjrJ4e2r63bLcyejrx6s17PtCzsv+FC0CzaNI3o4VyOp+iFXqhG
CMfks5U9pim7zVz2nYrsQBc390DkVPHGlO0pbWpbm81qIO2W9rGEfjnUEPdRzq0y2eEqtLoWQkUe
0gxqY6V6hK2hHDLZGRe0yInslRO3Omeudz4hRkENxeZe9tVoL5ZVtuArZUpxmcvum2wEHQm5pZy0
qNo0wrjS3PoApeGAlvZmTiaGZvT00DtWdUNQ4lLrl5rs9wmcarejnAEkchqgNu7OlfOBXE4KJjkz
AMBbI5hkjuC61LPo9yjgGDLEHVIZ1sHwk+QEAoqH6mdOFtgF5RtmGW+qxy122Ldczi0MOcFQemYZ
ahU/Ig0sg7kv+NvlxEOv27NGZ6DJs05u/nHHs/HicqEoFkgdXcYmi8E4w3AQrdsoGVhF9NU6tBJo
4DIPxMxkwltWoLspzVUqBzTcme9kw0p+OdIdojyYqjPL4fu5aeVwB2HVOyb+S4KLT5oc/7QKYixM
xyrTQvehk0OixsQ6LsdGdWI+l7a8kZXiheTcimK8f49b5mAKiw+IG4yfPHI+FSZSgwc2RDCjIjEF
K4wcW4UGpXvkqO53YtLKkOMtkfCmTW4nMHHLk0F0LGEt2WtTtRjE6FhT5mSL6RE2wOQsr8f7Uo7S
amZqySJQdFmbhllbV+jfUM5U9LsKYm4N+RihJ7az50Zhls7ScKuovF9XxN2xGAaMcrG2n2pIlhUs
4I1lJyiUnIyLKemfChpyDLPd4iOcfnTmTtnA6+kO/YSX2pvGl5m0T1ny68fZnG70rs62/YzChgnm
vJpAA/uoKtIdYuL0FrKLuPESb34aRyUIW51WxVVZT411oHuGtkF+XWwT5vNrnGNpUKXqfEMxxRPL
AIKp2tatFkKMGrKUsWvt3Dn18MGMFhwMpOKoHW4zU8aCTcY3rWuZFZj5S8xmRxmMG4cAWgR74evc
Oc/WlH84zDmGPDkzY1dZWaAIIBYV32c+/bYbXM9f1Ko8CdRy26wW5kkp6+ZK1B0jlEQdIDkvyWW9
JPaFBe4PYxu2ckPFltuFtXLP99efl1kS+SJyEyY5mccot3tz1aH34ypDzR453zwHJlWqG8Nekz7i
qbBbVrjcNqo0P+HFrMmCXUoicpV7Q6jeedE0zEJU8LeApfYaa8vViOjbB5xzM7thu9ZdbYJK3YKY
iAH8AycbTxkoHzYMgDi7lrsZoit4mZAhzYisHA3VWAWhqHCyNyxg4e8UsN/BPrvN3tNRoamAJn3m
kPO21/QE1aKMDuzVBzIe2AyHjPyJaIAF3RxFZ10CHr8QTe4vDcB+XFb7cKQEVxhJJep4Gzps5kB9
nPGMYsyms6IUBbQkt3wea6NCFw6MdpofFTM6mmO16wRh62NWH8mAC1D9RHBwqjPFS5hL9qXmA9Yq
6RTt1I9QyG9Dt3oarOmNRxj+Pf1bOmrXU2OKNe9GrKeF6z/TRbov0/yKKBRtS8xj46d5/YAsL1+P
GstZO3uKPebeUUcQUgIcn6fIhh6BWxABdUnGn4sH0VLNY2ViRg11Pm7CuNfzeUJt56Q/soTDjmFl
ayG91+VUnreDe+fq+TFCV85Fv9HK5SYkHUOoY2BVLYu2aTt69fUARJmnFq9lxckhowwyxXLk5EvX
JaEcjgsSKW629L6XKHHPejXajZ27YZx7aJtma5f2oR05FDpQ2SytaRhU+sBZsD4zhvJupkNs6RTb
7y1jaF8Rhuz4tmwnc/pKHH7c8+TN8InZhrkICGKVr122o6M7+hr9aVaS7dXLlrXr61czp7N26Wa9
uvUN2d4OI2ATk6ZXj9DxYPd+I06Lpswl4C+RPbIpu2Vb9s2t7KBH2Uv/9V7hf9rk7FchC3XxH/cB
54xX//P//TA3+8ef+r0PgP5vSGeco2FT+lHc7f2iYrbDkG2B60Ho+c/hmf6L7RombS/pqOSo6Ciu
f1PTYKlD7u3IXABTt03+Q/tLjcCXNsCxAA+hEndQdVvYqb6Y6lKCbXLOdN3vyKfKxbQqtX3o3n76
Uv4bTx2f48t8js+i0rvQ8bgSBvtjr1FGSR4RhcasYW4ZKz12GvqwZf3nL6JJFfoPU0DYGqZLDKCr
4/XCd/bjq8yYfBQSpaGkBaDJNuPWOA5HGu21ttbOqpvI71d//oryu/nnC7qmQT8m0Uh8JouT0JQf
+5MQKU5j7GD4eVgqfgAP3iZNdUy6iidIe/L6pz9/MVP92cvJKeinl0vNPE08bep8BXYvdXsXcR6J
zJ4LQO/ouk1DVVB9k+Pu0JgGxrwUN8h+OKl4Pl0vI1gzYcweWiFQNv0wZ9dR26SXXuRYPOxJqxu8
iKBbZF/7nufHwwRG2q/rfNspgGPhwZF5l2djduUZ4CNiWXoTfZKJcfTW7ezG51FPePQqGTMWSn0a
qcdpivNvaRuH74g/xKYd2b/Dq3eW647++BrmsP2IlnSYt0rXiEs4Ky46nbpYgNca/N1NV+oX2lQb
GiW1TGIHTtMdW5ndnltWfFlaBdlSHvrPjZ1lLX6nKjngCHO/kUsGB8/FeO1H6pDcDKFLGqytVQr+
lxaJDQL08KoYOwJnm757Sh1c6yu9yOwDFGWGg2Y7KonvdmLGgaTkwy3sq2Vj9Gr7pDh6dcVurQJy
Gyss8+wuHkofKBtjOQTmw4FNZHurjUNGycSZdZfYUXWhCvIL6r5xdnaPoAWUSrx4e0WflLvW0RY/
MhXrRpuM8GUU2pytI+yVB7swjXMXh/2z2VgmQBRlug01MgxWpXA6bSXti6+kVceXkwVVECxXr97x
SI/7VapE3VMz6B57Gh0JWE4441k1sS1hZDtmN3ECtQOXo7LNLGz2UK6i/K5GYHMbY7h/y8t6+UjR
S23n2lgOcarE55rb9TcFH5Ht1tA/enHL54gWEVPXhoAbyMfJwIhrMWaDFfrC+klXUR6QUAgbz6IB
O8GloM23K4ufNC49gtbRrgxXfVM0b2aXa48QaaxLq04Z8HZxlZKhDugfeF9mWbcMM4S+EgbrKYB0
fb4LlX5h2JxPDfIs27kQVV2c4nqcbibcjldpbOjXtTCaNXWnxZC6c5kFGyq0HiYFKZs0aIhof0nT
Uq5Uznzof15nIWsZ++xotmV1Jj2ml6QWvPeeGN77IQrZ9TUTVxXmYRRDjg5t0VQqBACohqOg6DVe
DlWaJJyRW1a3abGNgUz6yA6ze91wG4LZU6LPLVKc2ta1yzVbRiaatD8HJEBQNsvZ+mjDKb5for7x
EQ11VC1aqcN5AWXJl1Ce48aiR5t01Eiu0+b7SoknvzOZ2OA9mMmws5xTkQDt6ie+EW20+iuXe+/F
KIaSHd5oPLCcwRUGHDu8nkWZnqkI3brVbGbY/EpTfWeY2hMb5YgT4V1rEoFLHz+tOIZGzradItcn
9VlOlRn3H0IucPpn25lfw2JoLyI71i+Bz+Bt0fBeWFPSMKfWFWXLspgci7lu9k7OvVdHbnHP/sDZ
RgQ+EXDhRG+tKIsDHCztfRRsXrjE4+aQi967yDVtvolhpZ0xmCaokf2xoHWHZlYj+Vjn8XIXjjQ4
livGG4Uvky0+PUmq6u0TiIH5ok9UYkZo68BbRvF+jlFLsXXNoWK1wjMPscfvSyFktoJfsk0J4PCq
bZs41c00qnguY4EKaCRhgGSxqDgBYKeOjdGar9R5ImTVUzKCKmOvW3lKjISRxBGOIS2x9hbvdpuz
4thVeeKRAA7k7cVqZ/qvxmnvCmVKdwwLu0OVWNaOgndgpuuG+64tvS1sBtyGqs3yaUq5JDBn7JtR
unIhkPvCJrLUHSDxsf7lCYSzcg1f6tHUuFtCUbZ7ZNbVVhcAU9nfN89hJKJp3ddz7HsFwE9bFWpN
NDpJfErWoYbrPYKoJHCD7dRQnhdRofhsipLbLLHsK32Uz3K3TZBxGGJbT3GyG/RueuidecZkypiJ
0Vh2QTJMdecZoFW5MF1YESS6Mvrvt0avhBgdwuTGak37I8ZE/Q08qME3H7lXkE+ULdpkFe5IpUl5
iXtqhMdIoZWkUCXSYmIHmb9hKxuRGqIPIjq28Keyyc7GqCIQM5XAolnyqhxR0FexMGfx7HlQnc2k
Hi9hxaLZ4iz0VgkCunsHMezFQi95OapueWPpNYNQnN4+Kw4lXqvmwL6/j1wiFG0vXKZTHSfqZV1W
2etiyaJpTufwPCT5fQSQXOIMG2JHIfcyKS4yjKdrjsgYob051ZiNleIbT1SEC2h8IrQfZilbuRKS
/EiO+W5SWKaulzm2NzPD5QTFfI9ZJKvsDzzhtAWCJRquBPgrz7SpyYsgNo4uugOScwT5HG3KUi0D
i16m86kkU18sA/IpXTvy4dUHV20WvDtxJMV1WXURL/waFU6syz8vWH5cylKdsu5jiA1LwgQFrltf
qiMH/41tdmgPFqtD/nwvGlR+ZmCW6U8Kv6910a8vBHFAMzHX2V+3v2HBurNbeCHnGF3BZ752TN/5
dfP/Ov2f6L36aQUrP4xcYnusvynJVc1kLP+59lIVK2HQXGh+k4VoOJg6XTA7wX2ThvFPXurHMvbX
lzIg9mjc7prjydL/80uVrZoMC4Idv5rBDVFdMq7+NU/8Dz/Nz17iy0/TixZhm+Al6nYB6W9Q4DKs
/1l5/GPVL8tjh68KLwBtjEM8+petfJlCDkTxpEJ3uhZAOqvGd+E0/PlV9vXH//oiX76ttsRUDyVR
ZubI9KmFMb0fNs1whacUfmbMeHiuf33Nv2RY/t+5+DKkwffTD+C/dC9/ey+7pJvPX4r3f//7/Uue
v//t7T3/2/ql/9HW/Nuf/b3txRCCSPZ31zLXxm9iEVf7xdZsOjV6TtfQUZJ8Wn6pBs821kU0VcQ/
qPxfv3W9OKQ92dTBtOXfTNf5Sx4SaWH51LlZGJplLy7xZjTXrMC+NKQ28c0zggbDHx45tXfLTgnM
Vf5irDlf/J89n368D359MWLkVYsOUb7cl0uU+iRGQ5oZfleXy0ZLYtK09DkNTDWe3j/9GP/NY8p0
//WTmdxzNqBtk36P0cKPTw/iSttEH6fF7ziCOd5DxW8UR0G/PwGObsIhIKRD2yLVd4MmIujVJiLv
G0k44UXipuqxXPo6cBh5BbrJTLGj6iCDNUSsOsMnyOf5ht80gcZOBF/vzqnkb+rrYRr780HQXHpt
Wq5nl03OAoQTbDcFZwUdHga5o+1sYgB2NWPcbJg/GrUA4CDweCNJyJSDO/cEo4ulZ0s1D7C1bHcz
tmpP+aPNmzGJ0/MR25qvOpQ6ThcS697q5lFYhXJ0FVXdRnbuHB02cBc1AB9yyebhrGwd91SUkXVn
IXu8UIQ7YhZxB0Deak22CTsw2CkrEVkk/jbxxEaiyZZ3r59QsOYwGQ+97VWvnRMvb3YyJXcsSaHB
T0PP2Lt1naMEnWNa6GFiYAn4aFoGmutch2Vfk4xirBbN6UFSolBKKNjthU3GbO7xGHmHVM+MoEvH
6r1xl+ljmKJuWTFdjwkfNSeJybcjjPCYmK/LoY21lVrXkACbwbqmTzTulGkprmddjLfVkBDkKpY2
GBty64NCz9NHNcznqwJO8Wa0O7zsXpyzMJgnCORF1ffjuptr5Ui4/TLsGJX217qqoXnOkyi8IUpL
3DY0zXvPUrrNaDXlsckm1mg2i6znmTe8ykmSuOZYzi67BYuQ5ZgEtuVh9kYotLITYVzhMu+6hB88
1K8E6NtdmenLFAywgxw/r83WZXUrtTBalDVnSulhHiCqDYBm7bgIQnqX5ZjWvBSRUj4suXRo5nJU
nAlnPDaxPb1lqUagngbGVE1ZXDS2wHcryPRhi6vjQUghcBChETQ6JAxzKAc8J7m36csemIjQ7r1W
+DVroaCF33NtcS4KUCFF+Iz5tv0G7lp5iHSG9NXU6h8We/tuTf4I0pocuOFZXebcD+HQ7HKMJ89e
USlkBHh9YZy38FwJY8y8sFsTx4ZdE36awUx3Dr1AVaVHd57Ubqv2o4JwaJJ2+rhdZvabtlltkZOL
b6UWRg9O34aWH5Z9tCfeQDN9Isvr5zpmiEMueVUY6ySWRiIieagtMeCuqP64JPuii+4AC6dkf4/c
cuvSIdJR6QrzDOqn89RnhA8HZhqmaGqSyLtMB0sc+4GMLYWZzBXnuXIeh5pb+q6xQBIQGI1RPeOj
2DSL1jmbfmmVq6kg1HIV0ll9pFObvLmK096U+OPvIsE/EU5lk8WpmOAgy6QxL2f4vtBLiPlm190O
lzFEwIsqqdiOqos+3jHyQU5bmlqe8PHG9iqbCdqUKMkUCCwV7qBNynrIsnhrAhK/TpZeHCZUAgcD
ZP19xrWFFSgZqncmK0j8lCVC/aqPBC6xns+JTpkVP+wsNpiwEsWVl4/tK4MHYHdsz47jqPdPte2i
1iJ2PfUJh0N3Rs4SfoukzNnAqPY27/dG79UfDGNGzBSNcwEKMkccb3rTEwhnJYBsTfhV2FTbVF0g
PsZtiIIMe51JaDTrFR0PSbLUAUlf8aFXM20dTVoVZA1emrAJaYcNrpuQAByecQjUcaihpbO8cqcP
/XBCAoH/rc7cQA9jAs+yLL82e0xKXtrmB8tNxWlZ5m/NwPJJ2C6k1wGjn2koNKuxwjqTMc8qKYVL
+nBKInwxZJsyK1gS2Pju+2qJfSNUsEZxiALnqUmBz3nS2mq6nGmaYwZlthBGYJDmiAcsw+XRdc9F
GcNdLYdhs4yVdXTMbjjrnIH7bFDNg9OZWJKn0DowF0muSY5a9sKbtX2aOnjAyxwP9TCBvNLjhdRE
j+nYYY4LrPIRRvY+n9wtBF+clr2nXg0cgEFZ6H0wC3hULdHXOYrIRDk1VTffypbEH6FInS9KbZyp
oOUPBujf7STGkEyqWt0bMXOZCG/JKs0TNKAqWI6xpK1a8Pj7BVDPYFG94Wjkg3KtMY25xsCUMejg
cYM7Ut9NZTScYLpwdoR42cHoxAAUOl0NjNAeQfXULlDVDvZhbvY8dStCNywH73sGgADnyB17yPm+
EWEXeLGBmG5yMY4OZdPcQrJ0Vy6pmvXKyed2leGVPlcHjew9zC7aOo8S/KKtwZbaGbbuUqV4mqDj
7QoyAY4lYW9YKYfFAFpg1SzpiUFBvTGa7p091DDOFLF0Zw3ox/2kzxEeC5VJmExxNNf9NGSXPHyt
g2Y1mR/HXdQdcAoZe4dTombnWU5n+MChfxs14g4Vo5tbqepucKx2C5NzgdrNTAPrFDxXL09e9blX
Av435TgVYXm1EAaKOiRxdh7itQMPw1eFWLV7uxP8MmVlQOyqIvwRU9b7rQu5fc4AxuZkPHL/Um44
mhmttdlWA45hUAtZZsBxSD3lIq1sZI0RQEt9QWcfozfdzGExbzDCAq7mZoR7tqCJ1dv5qRqJJ5k1
ZwxMvTRfsUTE7zOzj8tlVNv3aEq1B2VsptOUmMUxDAUP29jV4pd2wkaxRoJDRLxulnO0nid+foIr
a8RNVBTDFs9kej+Pfb8V2mBcDWM4MVkGIQ75wG6Nq8JbvKfKSNgXGEOyU+ae9103ln0oQ8AIwuy9
n3AF9a9NEotPl7Au1UQaTZTE96Lx0+YgFA1sAdD/0PjKYdXcZkF7t492ZpAEynrZelesbjFt7FUf
NaLf7nbJ5mcNtBSCfyq5WS7J90Bzbqlsu2Dvfim5Y+AGKTNlnsBEIEP+2BbEXXk2/9HvUTUV9bzK
uldP0YJIeOvMA8+dMBRvQbkk6VXhhmwg7oR51Zq5XzH46cKTAUmj1jH+WXdVpq3+vJSWSvc/fcNf
2td2hPfrRrxh8n+VYLpp76yL4twMIIAfrXkdrJQX5ojnlrQC+VhWf92Y/mGPrv3sC/vSNqA9AFQu
vzDsDaBd1bUalJv4As3xqrzPX5rzbtvv/vwzf1mh/euPJN/TpwvFbeAcs0HPg/BM23DBUpNsmBL7
6XVzXm1w3f3sS5Zzk88rtO9XhaPTD6qAqgDOfXnBtBbZknFlstW66Pxotxk2cwBEZnOR7dp1FIDZ
XC2Hep/v1uYGn7e6S38yQfg6pzIcNpO6w2VJ8wmFRN48nz5zGdkD4pfc8CvnaAMiFgIZS/xWt/P+
z79d/esrfb0Nv3xYje+2MbEf8WGzl0fh21s9aLfY4s7HFzYKAU/sExPNNSOze7QCWLZ8YPG/Tsv+
//Di73Lzbqncpn+yryccV44v/nbzUnYv5dt781nA+4+/4PcZBlE7pmMBMeXJ+dt+/nfLCzxcg7kB
zAtmdVLe+48phveLDjjAUOmWMMBQbnLj/jbFQArgGKrlMWQBYaE73PP/8W8/PBHaL//9b2VfXFZJ
2bX//ndDjko+3T1QOzwWz/BVMdJ8H2N80fCW6oAkyhaz77FTVdDW1jURYZZM26TnYG9QG/PlNDT2
bWG4w1laNSFy3K56RsBZkIIslhOehOhct9FEgQ3UH5yUI39FvLR3ms1FrF1yctmOmHrzze1n2Ew4
ULKC+jTL1DuMlcgFVWMwrM2sLtaTunTFyS5HcXSJLeTUywuN9Q8jEVZLGCzudahcgmNY4QEKgX18
oBymx+vq4W5wwDkx9k4TA4d2D8zAGRxhgEMb+GdrcTG1N6jrEeiPeXbHMwXgmFbY2nYyR+8lNUJi
fMzYCLJ2tq9MDIH3xVShbEOM7+sw23AJC/0RzUXuexPinFnRwhqLPXFtDUbsDclv4R6eKBI6bZgk
IV2zJ7/sNCpPQGSPamfqZIbVNBVdqjhrAKtmACTVQYcThQmLCYuKSC+NrVBT+xGUaMwcApNa2QlC
1xlNqE6l37daLPx8wLHdpeRrWDXB6G3aWJu41PW9Po62uy2QJUaYUStvWRnJEK8LOGcroZqgfazK
3CkGWBGv88A81Op439ItpN9ydr/Ndaqj6Lwn2WXYYMl0A6sc5sBy45b3G0L+0Nt2rSb5tA+1hs0+
ay9/coG09pU+HRYWEsdImxB3W6mwHsJ8IJyXdBdxVEJ4DUgOVM3PXU29dd2sxreUz+e2FTJSGWCG
+u4yoJuuVcIqbS21fFPJIozivec3UVxgPUqd81GrWqARDv7+wXKu+Q2Gnbp49qMihPKUxUgpEUh1
xOxhgCB7snDS7ZBZ9bXXdkBbmiVMu7UFg4EGkojPS010rh9lubG17FpbVoQTObu2Lsb7GsEeO7HQ
CC9w8EznjL3Ffd1ZopWBns5+1MbqjhEQe/VGq92bTG3KbeQSE9DPGcvQoY67eztyuicqOGWjGRoe
w4n3+1i12rgzvCiyV//F3pkkR26lW3ovNUcYgIt2UBN4T6eT7uzJCYxNBPruor+7qTXUEt7G6kNI
eopUWmZa1uyZ5UiShRhOdwdw/+ac7zReA0BGOQ4SM/qrba68xYSqnEvqj/ZjmCd46aeooVxNcMf2
RjheNZ5tEKJixPumCpv7MYysD9m3NlU4jeKjCx326EQY4VfkBokXKDY4gTDkOPvOr/vr2LPI9onD
lFzT0nyapFMQqgyDC0xUlZ0csg63gpAu2l5bf05qrzi6iR1/ZuR0fUcmoT2X6QwHtPXbg27m7r0b
y+zN6P3oI2Qud9dRql5p9qSzfghN4GLhBJS+tMpsO1QjKyvPhlzH/auFXzW70W6n8ZDCL0VDuS5F
C6w+L/SrfI4JqhwXFIqTTezt+RX55KU745gLJ4TwcXara+gdmhnu4wovEgYzo/V5WTFnT2PsiB+p
ZZFArjHOuu7KLH21CiiENZqmKGhaR7x6oiqOKibZJq5pWYHsOwbjLRaYb4rhxbhq5WBd99LRXggB
rDMYM2xcArftkARzIX/aJRER69gWQLvyqaHxsvuFLTcZGOsJ8s6TgJxG561kHXgzMjb8zJM6PRqh
hX/KbI36CmAXi1KCGvOP0Gjbgw1K5pNE5fJFV451PY2pcZ/S0xAQK2IEiT6YYho5kBbryey0oE0T
a8QvZVcRNOWBXjASEySGNOn2YK8HshdF5O8HWmSsCM1QeStnqJpnzQcTrRWC4Owywd/c++FFlX62
MwUzTe5CX9tXYxbeChb6OyvH/GZkdf+aqKI41Zqsr/2q0nZaHJM2g3z6SyeS6qD8qmQwiTncqRNx
Yb05Hyymg4taWQsSy9a+CyZQaYBgKD/XZH2dMpH2ECrDgloYckmhqfYMuXba0YI1pzQpyn2a4dpL
clwKATk4Ju1eMjKTy1ljl1TxwdzlBDCMMxAcUhAxLf885P9T8yw1DwJAyvR/XPOc3qOv9/x7+f6X
Uue3n/uj1BHfbAvNh+MD8TKgqiOe+6PUsb7B7+cPPZSKTDh/Rf8b3wTbVyy3eIh03/iTQOt9g8/P
38Pe1PrtT/5S2PyzQufnyvPPLoE6Z0ma/skb485e6qe/LdF7xZikB8298TG3dlgiK3EoTWwbGXlI
yjpMtsOm/8oBLwJp77FOfVg59UPRxUfRwf0a9O2Q9gcnESvXv0lsxAAKtIixT5nX5LH4F60bH9nf
FGasPj2DxSSbD0HLa3p/XRcDT2krTiNvrTmJ824gUn4awjFbe6ng1sytxj5FM3RFHKn+pjFJOfVE
iDK8jLvwUDmeutiwFTYkdg488vxpMwkU81aa+4fYIw2JAKyEoD3PkCdXl85baIBrYxltxsnaIUf6
NWXdYgZM5KofVlm1bxDvxxfA5PixknhMb80pzp5ze6G9ENZe5/u47l9YyEUzMPfepQ8hmvloGmZJ
HlkC9rye4aIU46QBP3fCCiNqDDI2CAG1Fdfom7EpOt6Qxjv8Y/NrSXwxQ7AwxGGiIm24AN1tD6Xu
xD8cyYAz6IkxPkSd3dcB78zbMmsthk1dVAkq9AzdSevpW6sfu62dTS1YqqL1mS/VuFs1D7clx/hW
St06abqzYlx9kImFt2K8I4PoliRqeZsjvz8YvTHvjK4ID4QxouDGb6nuWRz4cVA7mv7SlBNutqko
ayg0Uwjll4I330RZQ54k5w1sFZrmaw9LzFarmvpYCYXEpQ+jGwlqbt8ObnJmXp+eETpMD2jwCF+W
FgGTUZOGGK3C6b7QLQaYeuI9wjQ3rxmOhCuD3djXIgYzgl6aM1MoveT0IiKFusNIIhxupa15T2Oj
5D6OlXM3pQthnLvk7CzU8ayczRspm2ovImg9nIIFSjyrVCAntA/IZGpvY9Y9Jr2NCTVqjArXitYB
10zlxAhsYNnVaPHbiGROX7fwjrExRXxHuV7gnk9cpd4nKy8m6DCRghDmdbAb9bCu9WDu+5yoXXwU
G0wz/q6vw/whaRCka7GYt+2czbwft7rL2fKectV5e5DqjPM1wL6D29msywDn1XDnntnD+gx87HHt
IIO6h3Ulz4UZ+gg4CfFJMf0BkkvHg9vDZqYYbTcT2UdPKPHDa3NOqp8qVChvY69fer2XJDtL/amb
vPY9gtp7leshuk7sDEDdyFVTJGO5RHkFqsbyGCwnEiZAJGvtjvQuYkKdoZNMHxPLHW59BQYfm3iL
0m3Fxrov98OoPGJEK7opYDYdjDJgPhTYhAwWPdDiZljCvlvG/k2MZxDDtv/qR6W6uGnoPWKyBEM0
p2E/Y34IFXS/jKVFUHZR8u6TB3eaCY/0bkksI6qeBI08gbTXjLcOsYP3OnYp7Ps1aURsTar0O54E
O1+7sZk3GCfxx60x4ddPpSfKC4gDLoOpQjLmaF16bSjT+HLrVptWIrUpcVt7QcjKhhxJSh48Isx/
KUCLMixXLHfUYyFSeB4ZewR4n7NzK2swfYYGfh/d6nzVkvT22s6hdZfPqt9NjuY/mQkXY+BLsh2J
0jJOfsbWFOQYvpRo1PSzNbe9S0yDjHazabZItgrG5zKtFW0LrnHi6zLcbWYypdyJlT7xISO2K9Zm
JMtu00DA4+2MNvNgzZ9hhTjuHaJW+sAYRe1+pMA8tMIQD8lYW69FCB/LNwUZYZEwCHtltF23Zv5i
xmVzR8eer8GWtoQJjc1V4TrdK9lT4kHOBVQgZ1lNN2wYrjE/lWdaJHBv5YCKK2lsn1xp2DS48rr+
NcZNT+pa3Y5vNP9RQcuswn8xwDX+ttFfzhOxKKhMRFOs1+2ff/7rjMrsGczV2Pa6NTuEdbuCsrt1
d+YaMMW/mlL9q9da5qK/vBbXUJJYEa81rvSVuSrX+HiyzdbagB7kFscF+9FvyXX01lwea3SOwb8S
TBjLaPXP854KwxImojGmxRBFGc393RgyH1qMC9lm2AKbBCadMYlEar6y35qBPniFweW3EvFvhiu/
DlP+Ign5/TVdA90V0cqwTP8ybq0UXykzi2xjB2gP9jGuzcA7dIG7i4+ML9x/92P++R5/eb2/vEfS
wyyaXcLZozxYD9E6vJgreAqreK2xldsE8TqDhbm2tliIoiD+bej5n4r4fxk6msOfpeg/LolX79g+
u//6P79WxH/+3B8lMcWtiSAJsoyDGBqP3J8lsfONMR76JcaNFhq9Xwz85jefOR1sWrA3XLk6d8/v
wz9NRxHl2MiXbAf8DRBd3/93xn+OuYz3/rxNHGFTXhqk1urILF2Davtv79TC9DLXqHSk+9hrepDb
88yaP+XOFAVZhKpIwttUjPXZred2wi/HAGND2siIyyccxpMao4JMFLY1flATvpJhwi91tc0H6B3I
E9oUczEn6CvpMfk+Iath2IKbl867CnuouI3bEC6EDdU5+ebwYacDi8TcBnq5cFFDkuVYbtlMOhSK
2AhpQRtoaePIQHVLym/sWhA2h8rCMgMHIL6OyB55aLXWh62C5hh6ou6fSevW7nG/LrmJSwjjEseo
kml6GmoRf82R1V9S0dYPftXFF5oC88Wucu8tMkh61HoLaoheM8LroPbAsZk84mpM7TzHiwgnmcXn
vARIFkuUpGbUpEqCpsLFTVO+l5FZP1eznt4NMsT0Xy+BlKAOCFZxSA8nWZu5lieSs/0zw5ITccmz
XKIt9RJnqRjt8NhMnX5t1TI66F2KBsKIEvNZNU18O449eigvKs7dUOdB4Vb9Tg1pdYclq7tlbNG+
cFka16k/a4FKTMJhlyzOwpTGE9UMMuzYIL+mKfkIl/DOyGzyI9Yo4wx0ifRRSzXaIWnHZqvKatk0
6+JNK5Y80F5lQGuHoYcgwr4Z7FBqAZ2PlyDRamzzO+Re4rFHEv8wFpO6K/C8bkfN0U7j1NWHubaK
uw4rxh0szvaeiwrzAzqca+FUwxEA5nAyxzbaCWmR7Zg2Yx1o9ei/eX40/SB4yDoUeB6J8hmGj0Wi
/iwl2PrK8qO7zmubTw/9vA6xp5CXKNeds6zx+0+GBxtAL/xnqAzQBE3N39VlMt/mXdF9YEFvHpMC
6DlJXcbW1mL70sXdsAIq2R+JpI5OOWUGqSC2IAuJkeqSVyRcvlhFk5Ag1sExL4oD+/vYDyw7zO9N
N4zP41yrExo0P2MarHWECakWRnIzReSwE7h8ZWpGtajcvMnCo6GTUoCvwxYrbFiYBLzQIWXHHbFX
dIAxkinTzmVRWztYOMXbXHv+tplnPBwZ+cUVDuudasYUO1BefGZ5W4MPdNNbvezsXVISP9ZZWnFj
jq56NypVIkIptL1LamrQaL7aA4UfnlN97F7KKM8upe8gjWjRdSM4U3e4QfOjmkbEetCJUAOR292h
QI9XmS31m7Kv5w2ptvPdNGDrrXnG3epgcO94oJmbAXPLrZ8wEawNlukM/PHzKJv3NSl50tzROGc8
KA9CU+J778nuyo5NIriqMN6TFsLwNAdFXGOfuU9rNFRMlRC/oGlbwyKY3kXnmrdOVQ0HhBjlcx55
fdBTfcFczMeeFwF+HJhhFB3SEpwQ0pd0uB/APm2aUTWHjqy5l6rrDRzUmbzSvQZtXVKaMG+i9NDX
GbOmJYgsz+P87PA2LmVvqA9Z9YR71lVhwTNpc5oW6WYeOS2FzZjXC/G2j5b8KPwqUjveovuuNQMF
PMPjag+NC7S9IvvJxaXygg2dK7Vq2BQnRiff/dbtyQZORozUVucuDWHuwDbBc073EVdTjGSxbUmk
zfoaTQKRfHe1Zo87JgDTQxoO2bUZmdUnT+Xqxuqb7kOV5Cczve+vHdtgBhgSFUa0nM6YMpombSDS
ugJbHsXyEQsfkv6wCNlkdmFtsklghOEEOa7yc6z3PclVhSR8i6gSyTQiW9xhlmegWxwYsAaxP+Ej
4QrztgyYCTpDjhUFpj5Yd65yjH4TVu14UDMaIKDI5pZOhjj20TBTMOYEz60x3/fNgac+6AirayG+
6FIbnu0ZXwa6zszCP2MLdIhGIzv9SKs3vY5+a3dBr4vMXoFerW7KGvEcPW0ynIEnZ7S3PFCeUnw8
D15Sl4thW7chOWYQKYasHekmYnLFCLtyyh048WZGW5EMzQoCSk0EA+riilgWhcedYUJ3h65OHOrC
1+5LPZrx3LMFxNhRtO/EK9TmPnGLlmcMRX2ghNt+ecPClYNOHE5QRWA0sgDwq5UWG/YZtgY9FV5R
NA2cyATiJNkoQC3oVYIPphdHAhr56dkjAeNgkOKKGIV3dePijHmi6x9AcJYqGlbK5Cm6I4y677eR
i1XE7CrryaVRiyBtIvAL4Lwy0+pDqCqruDSSBcVREurnlAIguV22drGxRhaU8BBd7Z6tD/d842rG
h5xN+jMDOO3Oc0c3CWrlR9CqdOlCox+jA5/9AsicSaNVqgx3rRuSM0+ABVMcfvEfTCK0o+VQZ9DF
JchOPRZ6oDITokaMSrzUmm6s+oRpl2ynAguNosck8DVGp9M43a5sYeJ7GaDeEH3MM2GE1gMumoh4
ukFcT4201mXdi3vNrjggZk8BQgj5Mrn+sdCg9QrCXK/3BsJVDm8gMZmuMU/Tk2a6yrKw/mI7N1EB
6ah/Sayx9j6Q4bWbKvkWRaJcIF+HOgWbxs7dy6pD0ZXjPcFS5ncSsDAxgh9xr5u0tF8r5Q5npM3l
HXh/tHuqTvRAR+mE7EefUckSzuO4JMn1Fok53YJfMDWrvweNqnIUykJ/gQjX7PrK8Z8QFs57enXz
KRWO/EqdIjPXogQZwcc8ROcOXtcH3reRn5m9I88f55aI5eiWVRkwDjfKdqKzF0hJVIxbGIdw7Qnh
tScslIZ98hhKnZPYDtdTaqF+NI14QCZp2VvLLfurbNQ1ghuxga+AdzpEzEyTs1Gdyi9x5okboYGI
Q3xp4dTLcwSPV7iZRjsgwoZHbdyN3ie86AItqz1DovGx3/lWWzy15KIs71oipW3hGcqtnzYaKxxX
0TrVfdREG9Ys848GnmrCrKXMt7D+PGCM/CoIy/QblXn6E/kM9VUxt809e4r2BjvJcN11lg9c2gPz
jwUruQKSO20rQm5KLIoluGYOb5dRgMRn2lveRDBrW8CddhM6RYk4MC+Gac+0tdhOQEw3k15jrIrS
7LPDlnozDG4Kzc3u0xesusPW9RP17FJjHNvebMrVpDVZup4auHGBQeT4JSsK0pezauw/QXNPx6k1
tBfgkPmlLCXcZUJSxr3GKOLGLasY+1vj3NRpUz2XnWMyQtNyRJaN9majgXovrSRLt02MujvIjLD7
5EicaKtdKay7Vg3A4DXlMqI0oJUL6G1JTOFozuoW9g+DPGzT7bXV6OqrZRp5iLtKPMYaxkQBUcdY
JZEjLvHoJe3GnpV3n6NHfCCRbWFAMDt+LCND9Wuckez8tYSZb7DE5Jy8opTfOWN1e5UDDGOdBxaA
EgaRrYJdwfAlMIhhsfD7GsOy4RsMZORZfGulDtgsmHv2Ia2G9sL7SC9GZDD6peZycABaEHv6tDCJ
5vaTUcJihgu/khpHu9lY+cXDn3yUeWmDXrY09dwTMw/VuDclyM24wRdrmeTypCPl2f+HGuZ/HpeC
YtensfwnDe5//V/5VX38ZeXz+4/90d8CaGXRzHYGucpfVj7ON/JacO8tTTEqF4PO8ndAnf/NstgS
+Zj62HH4hAv+d4PrfhM2ihe6YUe3LH/5qX9j6cPf80tzy87HXbSK/INMade0fja/v4yhRhfNNSSA
bIN8uTwk++RKuUH8g5i1Xz6Y82/t8q+Dn59v5u9fidte0OzbjrEoiH4deBF5bfLgr8O1TeLHHUes
TMl4hkIUuFJNDyVqdlBqcByJBiDkCYXMKWYObECVd/wDAh31qHeYMMpJ9Scib40Ta434nvJgJrhh
9HWSAB3tgGTaRYeaE3GF00FDtUjgaBbGiJrt0IF/EzfOHjXyuLI0pNOxId1PqGLaiyjj5LNvaRvC
PmQ3EgF4hxnlGwKkflpECKMz80OkFYdKNGP/trTaep6TqPmuK5eoU0iTzXWiGyMPwqltWdc0WYN8
H6pnbkvx3fKift7WLo9kdMChNh8qqY9sAaRZJYd2RqBHHoWN/7nFyXPx0QxpKyOxQgovfUAzgYcV
xbPb7lMrjB/j2RRvfuzPZHUNIGlncOxs27oo3aJCxUIylPqqD4XYmf08fqFAIMs7qlq6DG1at6NW
Xnm13541xA9YI2ZXOivLxyS/id15ivc6C7OVrJ1MQyzcgOhqCwrvtfBGImAYAkNkYzK7dKE8mJhH
DPbFt2scEZnmnCGEOGfV1tlraihxpUdOuJ0oqB5IQAMTr+sM36HSRVG40oy2QFZO4XPEnDZe8Ahh
1PfBme3R6mRX6AJ8DwpiR43vt0PBw37s39y2n+7SBqR4ACqObQHzkGZd9jRV1C5Q/0vZTTcgl9wH
LFniIRLS2Lqa0zQ8Ed36BByCtVPq+sW9UrV/rB1hnbVxzG5j2ggjcDmdYS9mg2Ib0TTXQodmRzJL
m972fWc8EOLTQK5yIfbpBB4cyjFFLWtPmSrIpUvEMWyT6smpNB9VfZseSCiKrtvI4jpJwjDa6vz7
OvWGZSxQ9V3DoseAJJsM401sFwctDSGNqBZ5qNDmyzR55hsh1dMetWxnbnWbFV0WuuLNLDnv7XbR
8tIjMM9P/OzewiHPm8MQxhZ0NIgJm1mesnbJ/fQEFgEkWWgVDhWVQO5V+S1fUeLmaXOM2qmXK53y
39wqr3bqgIcUuK0sRRh/VcZFz1qLAc28ccshV9umKbNn1QFWDyp6CBYMGjragmC+59hKzWvNa9Rn
ExuRTtgQMLOVmHxEKLSD+UaFvo8sv7HTfmuGZnET1k7ygOMqMbdGXZvnaW7aJ6IiZ7j+ksjTFQs0
pEY10opnvU3B7pPCGNZc35p8MuepehyVHD5ahHzvmkdvDpZhZs8iYvARDWuyazeLR1LRkhIQk9/p
fXkFN6RH/e5O6VYkugOU8t/XRPwPPPnQH/xTtcPf2VI5xX77mT+OPYyplouKwFjSytBvsv/4Q+ng
Em/GQeCwtEdk8HPi+/uxJ5gFM9BdvN+LtpOJ8H8fe/o31Owg0fVlVkyLZ3Ak/hvnHsfpX04+zKkL
LWnROZBuZrjLyfjLyYeqEvNPZJBnS236kjRu/51StDjYhpzvdLNOzmYjygNi5vKx8TTrzWW6i9Mf
hmBVxO0m6Xr7OopHiB3UtRu3nmw2d44jf4BzDW/mMrEwRpj5s6RRuKltQCoRBEbOFbquaum/pi53
tzFQm6NcurNMztYD1Vr/zBNNbirfTR+bBiUaXrzhdTYsmQbt0vBp7LEeyByv1owoxMvIhG49Irdg
tCL68cHwrBHbIBTIo0P5+Aosmkcu43dwcoKCfwTiQvBjzTABEWl0MErhXmjGpwg5h4IVbVqIrNxw
6C9THTE0VYrRXpD7gj0R0iTkCAYGlYCmQ2w9R6FJ6Och7hZPoQ4dnHhZRO017AdbQ1PhzSUBEzi1
0rdUE5zVrYlub50VAxLRTsvmN25K/tIG2uANrkvzu1ZW+r0vTPMUor3Y5nXbnSabzWYOqhBCeuO9
zvoYX3dy8umzLIchS5uoidVhCG51zGoUKqLzsIK64L/vGt+LPoauhgmEYFc/s6yuW6ZGjveCW49M
UAu0IBkYhsV0IWpZiJFKWjZbMHC+uxv6wanWltWLfhVRB7QrL3Isa5sw9Oap51cQEYq0fmHypPPA
t+KvLpnLfejb/aHXCrmStDUtUTHN/DnisCp3cpQAV4iwEPuUxyuIToBdBzwdGMeMsZe4EGY7vMxt
WHXwJ+3wdqaX0CBg25PYSJI5kJ6SwGStfAwn7xWMqfvCsr2XfE7UHpGK/4LHtX6XfkoKXTQn4Zb6
wT+VkZexWBXGTRVl47GTXrP1R2sRFOTODeFeNm9tSq+x+lt0MdlIblsINdV3Kr7/8KeDFwMObl7t
p7M3ahaXr7MYfsvF+lstJmBKjOE0YjTejZ7ZngvM00fd7PRdtRiIQaxgcFtMxboXUqIsRuNhsRxX
vUgB1Ytky0rCCiji6k26+JNbrgvcXUqtGgIxr5rFx+wiV0UiXWsvnlwowp4HzZcEMZut6qqYWIOg
THCCuMAnysDVP5S21Z1MD29SaJFNIxZbNbVwsisUzMiuhNsa8zQKTJcEAGEU5aZaDNr4H50rIT3/
jCst+RAeg2e5WLrTxdxNjjLuY6oL4qslHbApp1Obu5B2J5LcrKzH8jd4TcOCu0pAoGJFKhdTkpgj
7UanJPrpQmbIU+RxcW2mVRoGbRb2O5I7oTW2NdKlVd7NlLNtYXsgvcIq11YIFM23ma18wbgJ9GjE
DPw6XqxU+oipamaWefYiK/puL5arxDDGTb3YsMh8mV4FaQqrcjFpYQJk4bEYt9D4FtvebJ39sNi6
5nwC+o4NeD8WMl5B7dR24U8T2DTo+sZbnGGZ4FMsm3m6uGQfrHp9BMkyzalYzQNBChJR7ZNp98Qa
LR40fXGjgXwpTqjHybFFD7nJFtdaZOJfc3FxPnDtz+txcbe5i88tHMlBtBfvW1I2/mZc/HDeT2tc
ljRMzNl02GskNRB/UATpX3ZqUDSYeWl8zRTQCe7D4S0lwvZAPxye3AK3N9+cp206mvCD2WjEIFmS
wVhQDX29thnowpa3SO5yNMbFJSqkHB1OY22JpkVxqY/JqR+5QtxK6IdS872bGfnSthk9nWo/yq/7
GcH5qLnW7WBk0cp0ZjJtrNh+HTsDOaopM6y33Owz6zqtPhQRKOZ8tCz27UnR0PU3jtghdCqo5IuO
/83Adw6dawF1iQXZVUD8+ZI69N/Z52EPGMqG7gWNCtKXtUC/Jsz1/cqKXaD0OlAwPV74YCzaYIW5
pau5V9q8MMRsmwIu6ExTewrTpmBAkxh3kfFq2mNy61hKHHobnkecOepHsjDKGrPWH/qFW8bAGYTZ
PObAN0NUaDZYpxfuOrNbp3HlnDSxINDENON7Xbhovez4786J9Uf0JNils4WhRgE5vLtpEqJScfEd
ggOz1S1Kvm7rC1k983LZrYzL4h50AbEe5mgg/EU0bLtV+F5NZvFQSNK05aTLTbiQ3cx0nugRfwLf
kla5e7VQ4JxBVrfJQoaLcyT0tDHw4rSaRA+OaiByc0Ei3ToiN4xQIXa5pAkNmXndKHP6su1CbaNh
Hh7cboHT+WGE/pu4ouJHKGFkixkQO04JoHZhU3Q7bwHdVbQDktFZrG37nyS8SqXJvWukkLcdzWCn
kbfJqS6gvAVloauLTuqVs5odVkidoSkCikAF7hzNjOhAOBreZZRVPHdANbeZINkpDOWpMvVpM7vN
BCy9InGqpVt9rMpBp0wJmwjLXs8dDDCxJqMiAVNQzl38Oip/2A2qKkhAQtTerWb8myUO0FR7QEJZ
nychmxP854kY1mG8TEC3dkUaltdtnqinvnH6rc0Q8z/pBlBcDl//+3eFxIJJ+scDJMI6yaftKjAv
ddK953+vlFh+/o+SWnwjsAB2KNFAS/m7KIT/KKmtb0stK4gGIhOYYpux1e8lNbHAWKcAlQgPGznV
OHX971IJQXSQx0iK/wHa5GKw+rcq6p/e0j+FEguBxcfiZzrkEdEOmPYiefqloh4jF1H6lIF6kfip
NfCRAwK/rWO30drOZmJwivbLqR0istgaMEc1TmzwB1LRhBcMGJi9wYJh1ajzzEIy6Lv5lU72iEX6
zffH49CJi2+xWa9MY59RnTAUGDaSWLjUt8H9ps2tLj2WF7X31M1UDZE/PbLMfuGg9oLCUvaqISYo
cCG3rxkFHPFj1Rti0VVgt9piFYH0TyEoSOwqLnGIHCps5mNO67z2/eIix5izXJKgS9WPYR/6x6Me
hd5hJvqH9rfBM96k80ZDv8btTc0XtuJaWcVXAVJ+VbF3PMULy7sfxnOc1c16Vvq0rupGY4OFudWU
V1bMQEO2DqaIqEHyOrWk4XhyP/UtQa1LelJhwykM4/hidCXoQrLq7WRElFtUZ74Whjfk4BYWhK5a
2MGoxINTsHfQUh/gsO5vWJuT0FrmyZrPuthxLvRry+yeQDWzBIDwmBHwwHaP1IY+WZLGiddAzQ1+
sxp9i+OeSjBF/7E1bX5T3UBsUggxMoAz71WHDKS1UqR/2s4K51Oc9ZcZxAtC8vCYNkyMFCeJWYt9
MVA2WxHskIk1mkk+1CzBRbo9p8HIepgVHuIJ+rZyZRnwJozkSIoCtOxcPGeFSo+9bN6ViYKhMWS7
zkdSmIrEeyXbsV6XiTI2M0CYlTs4uHsiXSPQMf1kLUd87iRvUPlgNLeNTY/YlFlF+SNHZ4kBpxh2
iTWTUpfgntbn8r6toEkWdX0kP4pLOolexryQFCnwtlrO4aAsS41f1sgOfqyLOxvYP+TxpApmjXnR
VA83/mB8qojEJryDaD6jgbFL2iyp9Zso5utLbeeSSYZxOrsPYEpjUHFW3+pePB50C29WjRFw0shX
BryLKbmKH/sxe6r95BEUvLERjGSETjCPlAUprzm4tCSt1IowSQQdlbrDSGNjpnPzR7t1h6teCmfd
9eoY1+ZnbGmEDbbZVo+deiNHlEVVOK8pE2ouMitcsdDmDYXyhs5RrJi0wL4J+zexAFltEMSESODX
tqH6x1H4oaX9M3povMyD/FRW9lko7tc0zE9URs+uLH4k3ThsxnmedjnzxaD0VBIYU3Ks6vGRSpOe
JT8WPXsRNxm6DeHMOz3Wd6NvgBmviHXKL/ANBkL8PGgAY3Kxq/6D59EWwOI6L91wxWPqrOp036HB
j6N2a6r0PAzZqWviK8XGbu7j60ZLD3Vd3s+pfUwx3wW8e2gx4PN7U+xCMLChb37HIvPJAOnB9bgy
TW1i51VaoHbK60YsH/LYfodt2NIedzsfwRDTxPmBQdZz15qkN5b50egSbWMZ6Z1lCnbsRfFaxTyp
Knf4EDESfEDDN1OXnTIT8EXaUQ51JAB2rWA3H2Ufiek9jF37AyEn4YzEMtvkANvaQAFIXeNWV5Hy
ToNmX/qYqFDHKqZV5BGb5ZXztQf+dJXGxotSLq2t7zKZLrn/tOoua7Kj3nlvMnE+LC28EK+AJdyT
d650X2d3+GxM91JICP9dfxUi9JnIi3bhlCo59zdhV93bJXhVXam9SJP6ykpYOeVGS+KUzogQs54c
vVXZhZ+qkadl6aRm/1aTZBQP7LBBuewqWd5Rphx1wwNoOpnhVYjwpTUCndHCqk8JlXT6zUCQc5Dh
9itqaComxvi2aY6oqujrC6irhS3eqM3aNcEvNwAnm0OpsOcxYToSzu2t/IQ9s19aiJ8Vu7MMNuuK
AuwrS0KT4NWUTW1aX1LDT/Y5G21Yv0mxqTGTUqLX9hJyfYRBjIss66aNYReXoXTLhdFyg4/t7M5K
W5uqfW+cRMcOEt6HZncwsBoSMg2bJGSOS9xZ661i4dzlvZRXJZnrLgPRLlevoec/8hA8NL1tr7Jk
Ivd30rCamQY5DHPXbfGgYecNXblD2XK0E89dG8ye8iH7IHMKYyTovdsCdRPZkLq6BSJibytDPZpo
80kh4b6bcz62VpJZlxC8ckOLeHaJhCY+aMhW/kAspEsW3CZ16b2AH19CV0+ObUqdmvf8Jk7p2gGh
HUeNgyeAu4YxUVbJDsYGSF+m8cIU5aob8x+57G4hz6B0GGzrWgDmIAnuC1nOLqbJGMqi4UkcqmuF
yqVNmBdplbu3W25G+f/YO7MkWZE0S6+IK8oMj23YbObz7C+Ij8yjAgrsptfQS6iN9YdHRGZEdWWJ
xGNV9WtGulx3M1D9h3O+oz2NOigbXBQwQ60tjQAvoe0XD1GK4aaZ2PLAwb7i0yIyxORjAcLzohb/
q647r5mfEUukCMGoE/ylMEGSda2FWy6T34TL/1/Ji7dtQaujuv3XZer/6vJ/+9/gCT/+HYL/9x/8
oz61qCfZ7mGS93+EvBShf9Sn9i/DoV8hghK5OSUnpevv9amu/0JJDGEfzxsjWa7ef9Snuvhl0MPS
/UEzcTHg/62J728T3T/Xpy6AVPT9DHJ0ABTOD7/lT/Wpm9APt3BRNtYIEHnlNg5ZdSD7ib3KsqHb
y3ZU8Fk0VKVGyB5MWlp9l0Pf3iol04dyae5otEW17DLaK9tpa6ZtLQs2as81Ba56ZfaYbBMbPY7u
k4FOSi+svUk0iMv9T2wajxr8rG3iV29ZHr43CXWkqKZ470NLxy0nyZwgUjc+MSiymBvpxjFUUequ
CKssgsrDOtOMoXklwxaPOorWs4Wc4TwOtXVou5ATvy2RROCwXfd8GwcK8fqY4nMhPm+oidZLtbDb
qdSAgoFgiGAw0nhzrzXT1dgCUXJCDt1hM0iRrpgecCkCSQ3w6pYQ7trslCv4R2FtvSYj814nMrH/
ZCRVqRpxb1Q4AavaeWVMZrdKdAt9MvaSlZ2m+jHrx/vcteJb/pLmuowm85REE6plk1sLePK0agdx
qHrxXOoOGbYN2OwEzNaqsszHrrVfZeKHe2kynzPgRIOO0l9jo4ZIXgjjVGAnWtt2o/aVOx2mNL3x
m9G5QkLx5kXdoUsEpmI5bgqVTWgWSa0iHbpYNzq3jI209VTUA7niJSonHw3MjoHWOzi2ceVIhBuk
UHH3TljfCs0uNyGA8KAxBxngw73WISbupii2m8B0x+5CFwME/ahu4ltQzPEhTrEdRhIPvNTJNs3j
5DM1iSbXy3HnxtOePLJ6laXztzvlnHdY5MDcv3mzHhOmIss1kEiXEAJS12TUqIAZTXPUuvwF8Fy+
K7vxyet0Z4f7K75ORcZUVA2frjm9sM9keugmHyjVUnZ2OMcHj6SWvB0OkCpfGKxdQuPrVnaZExzM
V3y9uJLQME6vZk4012rQe9S2MBY3yNpmnH56uEv0crgy9FwhSC6TT5eeZts1nb/Bk4c3yCSU9TeX
5986eP+rLdAWPQfd9H96pl73XV+8TX85Uf/5c38cqeYv/MMARlGAmDZiEPZhfxyp7i+EJuzWWIb9
ERT8x5H6a+HrwCvBSexA8Hb+eaTijmC8Z7Jhg1Tl0qvbjvF3mn5yEf+yRnNYxrHK87hBaBw515fx
wp+b/l4HfKfGHJcZ3q2NL62xBaf+I69qfqRWRNYhu8oXBRaHMkSB6keY5Rsie6tsN3xtFt0WOylj
0yxarmxRdWlABTcAAfxL6ne1j5EU2xxNlnfWtZysjXyRh8k87j/yH80YmlHrJheSXpPKMU3XHhEQ
ZeAtYjNvkZ1JlySthMnbc1o19Hr9IlArNdO6nHrdfpEF4XqzNxdb9lLjnvso2qofrVuR9hPdyI8G
Thkxerh5kcapwkIlNyyCuWSRzrE76uUaV0i24jMbzv6UdJdMcZq7fBHeDVovHvtFjMdK1Am0EoGe
gx1/y3y0u4qSJnJXvj962drphxTG4Y/Gr/vR+xHviAbRhnd2XbpRDh6q1BkiyJYIv2yRDNJTeR/d
j45wBLdLzSw6f4ckcln70ZouqmgV7eSydV+lrcbdp88FsLsfcWLbOht9YdgF1o96MV+EjBFkteNM
b7EN05CNvjMbk4NWDB47wD+cwn5nYFf90Ui6i1wSRT2RTWIRURazRSloEf9xAcyGWPNFcpmVofOJ
sKO4gtzBXDv7UWdmi1DTmS390ZsIPqtdlp+pV8V7ozGiZznm/bxekIZ3pFqx8cn7voaTm4QciVj5
UDZXfpnWq8ad+SPNRUIaDjMQ+hG99iEBPHjPnFe7sHJpfIHDN74mn02CVebzofPLk2FOIbPgrnuH
ZV+tvcI393zAlblLZMypu2hdM2i1+FsXAWw3Ddalsahi+xHXQKQTn4LT1kLDuOx5p96lD112v7bW
tN+jgr+DFrTJ9xURoGuIKFXgtQ1vhzN4BPOIdDskWbJum0F9kBtUPgxNFjGjxV/dOdp4Oy3r6Mlo
+6/JsvtnZ5m+hsbcb7tlIruMb3+iEcjqS9UNGS0wZuoqvrVEbgfCgnsaRFFiXpU/4171M/qtYOfv
UiKIX6y+NsoNSg9x6n8bGGv+AsiQY3RQiSceumWsDP2GCTM7nu6WfbTcjyjS9qzJx0/XUeETGXTi
u6qqqaVbiMfhLGZp7xl9JH7QYp646cyGNZNtp4z+PZ4ryo/xQV+mDhMIIgftzhItQ3Rze+xaE9q7
48tTqY+ywzmOng7lZmRdJ06XIRfC8bmVuWMZK+Sz9TUt4DDtzCXdRi45N7IvAdwRcMgwUa8TlkBR
n3zWhJmckhJNPEk6FiJ22U7xZVor5SN2VoAZ6zk0WFYyVvjQWFm+T53BA1qg3V7JGC6jDtcZn794
ytrZg6ShJ7cuWI7LGkM8QnWyfbol5UeQ/ozGnG3jtGQA5dIdr/TOrI+NValtTlXJcYFboRXD8JgM
GYYWjUDoIwWrvFY8UBfRYEUboluSe7zs1ms6a3gKUjEyDcSEMTA0m7Bn5Wm17axGovX1wuKDkMKJ
kDGkt83az8p+XcoifUzRZe+rwkDXahbx3nQW25mn98Z7TXb7sWN8e6eTM0hmhGmefYy8z3EYZWjw
vbC6lYbNEqweRkRaA5J2PqNBMc7wHPa9bVwkO8rueJ3w5W3Syu0OTZsmB1I7hHkexCh9Rj6z8TaK
uNjP5WKMKCMT+LHlvRfCTy9bIMLvQjqMZ207P3cOQErPTqFPN5V3s0CMrmoM37elEVprzpD0tWIb
hUTAyGIzGLvB2um1Ja/S2Yr3aaclFI4D2jxHx+CA+pwY0Mrbml7YnuuJmJoo9mXE8da4l5jf9D0B
bdM1igGbAdQg5C0iInFbEsNyNBxc3IYoh4cu8vRdVw3VfS8nCMpT2+r3npzcEzmQMX11yiyMwByv
fh8awzvPg24+x14FjKjjvsuYvyLBmozill1luuWFhjDjSO9a4LfDstBHZbXuZnM6ja5wOfdd2DFE
YwtOtU75NQGJznxfGHgysFMM5QcDQ4cVWNyVEjF2P5wY29kvbhy5HrtivR6D1jR9dYSCPE8wKfoe
mgysy/u0nNunmi78Bb8KEyzs3WC3BK0BXYHVaVg+dC+/MWTLAExrotTbRV2LQ6Ez7PnBnxXu9smM
uo8aQfEtO3XnonEGXOtuHsePDgf5g97Z/kkRdaMQKcgCxT5f8a5qJvOaCfV8QXCOz6RADjejrafY
wIeYibwRQirSMbqtdYwdt51mmcf//uqr34rARYj7rxvyfZ/kb//Bsogf+qNyZCPEBATXGAyInzrv
n5Wj88tB6YtD1lo4eT9F5T/0V2yV2Gfgy/YZ6NB4/7MZp3BcClBWULTEjo6b/G/IrwjS+0vdyBQW
dAs3smm4bBCQdS3//U/NuDbkecJ8qlujWUEUVbX5Xk9N5xRTKQIqd77bzriLediCITZeVGK9dHhe
Lxvw1tew3ONnjHfps8o06wLEF5Xn6KlTY8/Rri3nfD+VaPXZ5kPKoKmSZ1OW3540gNgioAzatiwe
65TXzvUSceXGSbppcELd5MnEtmTMvGrTFyK6ZPxpPaIFKd87T9nbss/slXDqGBoprp615tW8Jzi7
6iZAhJ9cak08fKhcyjVJdfODpCe9nGf2QSYOhksGIGTj6KnmbTu/C9e9XpvWxk1x2KHmxbhkVXYf
zFGkDnyAkG3n2LzvmhGie4WCsp3zGniVj3YynLJiZQLFeRGk8W4KQqGy1QT6jBlYy9C7TPTDNLkx
JtMcXLMko0ZGof4myAjcdK7QeIW1ge1O2qDLJf/TwhG0tiSTilS3D1ZYN1eeW1X7ymAdVHrdXdbN
kI7HD1b6t3Gd5nf5XGmHwTbjr0aYxt5HNUwG1NCfauwJfITauFeOpQVw1K0Ls5TlHZqeKzmZ86Xm
gJgfIsxdtlZYa9B10RYkg/9InjS7Dsg17E/yUJErznzzXbXSfZ6bLr6SjuaVW5DaFak6YCAwyvXo
XvBIbnISZG96TYkL3y6bi75vWVx0lSa30rdDhHo9nxrhoPBuXXMjzLLlG66soPKLbmswG+JmxcsG
ylleGZacFjogU+waoFE+4kTUKjjgiCbSfYHfZdWSqH5FUrLYAt4hp44V+vPgoKFp4/65SNAXzWl1
hViEbGx3tK6mOn/TomEIMnfMb6QlQI/hUhtX7JWmXR8aOinAldjSt1RrYbG/yau2PcD/w76XO+Ea
Ukazh8TCUDgEu3hRMQjFBIQqok7Bz5MzZRH6iEjvalS6tfHatr4ZJs+4/PkMWp2R/UgNfbAMSx2n
ir98bPx6jUiGYcnkOWelm8iunfacZMT3qWF8z8Lm0ao9c50O/qGJ+FZdHa7kpLcpVQYAurqwzK0/
hE+z5QxBZ7XVUShIvbHJ90NnI4OGgOw1PMPqZtA054NQMGOdqZQlhxE/lTOVQkcEwgEC0ryB2HKy
vM7is23JLTY07DNTqgJH7+7QLL8NTXck7/7S7VvxLmzSeu1xgdyAh0zFJ37fbIfOaS8jBMZ+3dxX
DZR+EdrzSdcpve1CSFq8ZBuJGHeXvMEr8zLHzLEbPkbSM/q7qYLH4TL2C0JNlju/GhwWxbbLoAeB
npThSU6DuQlb1wEFU5yBi2tUlfa3Lt1LH9noSNDb8laLFbKlMw/ayG6ivnGyjh0MLqqg5z1foUll
Od0baosI844S4xRlkpIQ9Y5ncRKh1GQJnIXvg+fsR8DjOPnBPBLMlKyL2Xweu3I61WXfrLCVHNPO
OMZJyWrJYsdq3Ooif/ZE1jMna0EL4/xZ1V4RBoWqd7LkkNEJ9nX7YudHrKAyVEdFwwHQGO1j2eEC
Gat0hpjfGnzHJkb9zPLfiDU9mT6A7Ul15D3WJn3PEF9ETblxu/g6REu3Ku10N5bGRZ3XX0rkx2lI
9wit66BV6qyUh+RJOzh2kl2iwSNaOeJTQujkgFsCj9VnJvR0A00qXVyx6qF0ooAC2hGaAL1UTq+b
lypcNtPNMccqiwfX6e4HN6Kg0bN90WvpJoXClObjcprp1zDps2B0GCbOpniHgofSaibJr/JHIEU9
hK2Ic4QhK3lsoeYXJxhVnxYU/KKyX/NIWoFu2xzM0PTBMRDQTMnd7oHhkJvA3bYHTGXjMpjhCXLN
HPSsR4eFaXir2/F9TIFNZifr1GlwhjWxatdUPiAXBz/ctGiP9zNSjZVhWBdW5bUUasxNZZ++GZb1
KmRP3GahTCyXLJxcGV9mSNoJkdgmYXGVh+7MBGGEx+Q21TrOiThGpHDs8cwFQzGHGCMBlKHkzPCT
Rg8uh2BgDO7WjodrZp8XhaaJlbNgFFTvvqWOa+BqzdtbbOTXmYzexz685qk8oEfeIP28Fe50ToW7
2Fw+W6yc6HGv7DmugkrYeWAgwmtTMi9Cg11N8YjN8h51gw0foL7U4/w8V/6poRJZu3b2QDIzYRb5
pRmOYFJRk67xM5xg3l4Zqm5Pw8gVjQ3jrnNm7Iek2/nhsTbx7QLKDEjqvU5AKQQMenJsmths0R0f
dXeKmUKyOTKN3Ahi/vpVj6vYsNnUsU8u/bZdgXe780IFySrpF3BGlq9To3ECZwzdwI5bQhNrn+4w
pL/WPeLAcWeuBBOfNZTcaidE/OCZKURQLTyYmGave7u7qH2ABLaTd1sK63idFsUmRvpM8oOJeGTZ
9QKaggEGTZ0XCclZTsW/csaRZZYyb0plZBtz5AnqDK/CeX0/hjOtxsyUzCQPcUNGKplxvB5IOb11
A8C9xwqEuhVIVJEm9sZ1kHixskjznetEJac7c5w+7EioQysAhMwK2in/jv16XEOlMLcZO3NX5Jjm
M0QXHi/sWo5hsWurukTMEDMYQS6+UUInfpJ/ShpTC7pWxKuMAgmrvyCu1Sm+9KG68Ok52VDO1yYJ
tEFrmQsqEJkYDaK15vlQBGW0uMlSnw45oiRqla9WcdhXOx+Q0z4qhyjgvkQ3maQIHueO01ef75Cq
G5vEtb8NvQe7USak0BsNHiASGwIocGJPwrjiwOnf8X698oWy2AYcGpSi/vQm8GcNFvyV0SF7GMP+
3WbChOCdEUIYD/HerRVRhEumZTO+CyQymyyKmitrRJlgtYiPcThx68y2sWoQY7HwJVrCKkUfFMW8
pKrosAC6ouGa5sjAzB9/MnVqNsCtoovhR6M9hWnlg01WKCHCVOzaqUn3ZWy725BAx1XmUajFpUlK
ZZuQa57n+RZCuxMA2Qq3BsrrdW0hpmVQkwReM81IHat5VTc991FaeidNZM1G6xrJ3NSaj2xwm/to
uRGLuIU80XTq4ECp3fXj/F3QA2xsg68k7Opo1yAS26MGKi4ckov2idW+QV3R72WMSKpEOb+x4ulc
yaQJpEJ05Ejsob2l3bikxpPR0kONSfFRRxaRPqYMj0SdaBsGk/5RL/o+GIZWbHUGGKuY8MXGFrwN
KhVrbcyHINWqKcgdOVFXptrWhviHmHvmNIqgvKiBjJCpCbubSWum16jO8AjXFLp2xEXQV+pADAuR
BEX1niEruCsoBGm01adJCA0i0oYazpmJz8jNcm/VoYc6O3yhBXbdnfpR9FvzkG2SyR5Oc1TzZqM9
Zl7sYrp1wzrdTfijz6XC/CfVdFs71WUdOvllLgd1tlSdPPiAhwhaCb8arb3u8ZrTScCf8zv3kDCc
WA11gzGkN6ARiBQh0uKxCGub/BbNQPWWk8o0I9q5qIWZLZ9Ifmjr3L5pQWdS5gwsdQbzcoyHQzPH
X1z16aYamKrLTH8fOaevuD0yaHKuFXiTbZ56no1gGAc0xal8q83mLcG7EYCnLe/i2uk2k+aWmzos
4cGOwt5hKazvZlXfGpo0whXngLExSKVBEI+nAtQ3slTEeivhIcWIcl0EOiPxXZNzk9ZN0l2wwSTT
1yc5RkZcrJyrZlD6SXTMloockHZxNMF2QDzxvQODhFt2Vjd+VPircSz7ZzzM2SFyJws9nU3hGk8h
yOrqZORVE2RF3F/numo3srKyDSEi4bmA8f1tDyirXQfnIpm8/X0DhWKf4lHYaeEcXRtdZm+10LQg
LmBMLJT2rKwa5zvRtoznsuJRa6o4cGcAd5pmMMY1Lae781HqI8pF1GOMDsaaDOXtWumj91V3Nsfk
UHYUa3O+9eMsP3mG8NdVpafv2eKCaZ1i3qfaNFwMk6sjssIwNKZyUzvCvbRqsfOyDMlj7OIfbamo
Bye5yeL4Kcc28ZJSvj4SZPUbvO5/wJ5s2cP/61HHY/IRv33+R8MOfuz3YYfj/sJfveheuX8IJ/0z
Q0z/JXi/Pd9cRAbCMZho/D7sgC7GGAStggAia5k/iYG/K2ONX+7yv6FIcFmlWSYh8X9j2GEt//5f
vM8evxSgWqj3rgPo7N+T9mKqHeiTzPotCro1xEcu4N4YaAvzudkXYRReQc2nmXCGHl2qHxYXZZLO
b01XdatMJuJCM3ReTsfPL/phSi5a9D2HqLQw50qpZft8NPl/Wq2DEgbjWeDQxW9CXV6Dp7maZ32N
GccyN72dQLeOS2bqLVwh5Kx8BighyE7uwa9YsKcjU8tn2PWd8V0ZtnNg6UEhquUwROrRabjACveI
nrFlz9NpZyuz/WfPpJCkV9e8Cy+bmn0YN9GT8DR9HQmL6GLpzcea3G+SRaJp52KvfsIplmzHJtOv
LWYkRyfSmCN0mXEwu4KjcbmnDezR1xAkyCJRrnOOZIFSrw+d+YYNn0P14Y5vjlDjt5Un4mj3UA+g
DOv9QxW5EUsHMK33Jn7jYwNU9BzGHWtBZi3dk+xqG32qItllNKaTJe34KFIzZbKgyW7vjzIjVMHP
vD3RXmMVJImqrjGTqJ0LrPuespSEgrBkFsp9oREUpclT0lg6AlvdoJ5KpXrphiWuKHUZJLHPM4A3
Rc1O0OlsQmj07ygJc3IjIvle53GZMcppHQ6hqU1uWtBsZztz/LOpBu3ezNt2n7Uj7VCYlwz9w1h8
eTW1/LosehiK3YzXF05c/Nr6fhxUTMeZnrAJvQmVhmoKUuf0VPmxenW6orixVY/eKm/DPIhJansz
y2p+r8IxhLgy6g/Ugma/gv4anpMlE36JspsPDIHUvYfwI1BV7xwwkJC+3vtjstaIgkMFq7k+MX0x
KbeRUWcnwiv688B89xNRai6pr0m1rlMPc4JGzHvQ1VZNmULbuuqdMd/WkZvdElVlPhHGHu9w2eWP
beQ5J60ukQuW5mAxS7BtPFhtqD0MXYLtAXv+sKePEzuyAKmC68HP8JZxx5YmTnydY4CCNAzDXeXr
4kIpo/i2Ii/fIYjVy3UozOEMNENwBaaoWRU72XXrueW3Crk2VuRQSYQlVdei93boLD1vKO7xcsLM
iNp5W+gmIvVh8MrdkFIolU0t6fsm/lGghv0n12JzOcxFft2XsA64Z8Cz9OkAgt1sI/2GURctjj6y
j3QLG9aoIAUuLpxyow1s3gbcSRseGiR8szUrWgfTdrYcZ9kXDCekwYXEn0Enp5EvXbjbMYO+1LJ8
yZioTuKUun3+NBJ5wfZltPrvDgXeOktYBSg7ES3K25oFgeENtOGhXlJqTWaWnYj4k1cOisU3RVb2
AKSqc8kFa53T4GTRA7me+GqwT284r7r9lM7xZ4s65VCi2T06dU+jMAH1X2tEStmbqPP7k4Nm5Jj3
Y3tifgmFLU+G1wQNyW1aurjl06ZFjS7JFv8YRG/VN30mDP3gihjWGlyiZs9KoQRCYOoCnpxjm7dD
I8JLv7IZFDhihB7jYpK/TGq5oBJCW9tnXdd9SBdZzsoYHGrRClPhSwu762YoRBGuwqXP1qOxdFaM
DOHUoX0t0D7L1jc3/ozPYpOz8CRedVGurWbRdooRm94wR2mN5KlEivjll3Z5SFmbnFlsD/1m1ptU
34B/qp743LVHQGXQiXUi7F70JoLZMwtDevtOLTVWM9riIR9FyZYpc53vRhgOIiiE119MTZkYu7LS
n9wO4NsWLqSId7Hw+zBwDcVvDuvIIH/RQ04be0b5CQh9eKjLtqrWjp3FB5EL/pOoqBBXiaaVnwRA
4BJ2lHBulDMZYdAzmz9KqahLJ+WTf14jQMdw25sf1VwxqoKvB+FLjFqnWOBWvbsuNebRQGrm2L4a
sEp1NIZo1Vq/YX9P4XUieyP6SjyFu7XnHMDOSFKMR2JIMd7GVoO6yHDL8Ys2AcI0DyjPrgXo8jJh
QR+vw2LMrjVEp6+wE8Z55UVteuD7bzzcvR5dNSa8/jv3e8JpKp0TlBurlp9yNL37rLFmWlBVRK/9
6Gvwyko2ft1oxq9RwdwQHW97Ta9X7Ho/0xt0cF58kfZIb1ZNaSqx6iq9uQurhQHEIM2NGfUSf7cu
vb7rAmwE9cFZRsorlrXqbDtOZaxw+BovVVpG4cFDW+usJUpG5HF2NWW7Wlr2EIRImb+4rbwvNS0V
t6jiZDyV00RExoyR51SbiNX4sBbPJT5W8z7uIVJAWTe+aCUm4ygmP8Y+EHOvuJNH0Sw1UT5ANjEc
KNKVe2cQh+vgQJ0mcWyaymbp701wE91U2me8bp4WRIMJMIN3+nXZ8b7Udt1uoH7VF5OZwjOa6yr0
g1GC91t1A+C8p9D0Q7HRc7dOjxGm7maTlSLdS27pKycCNx0YXl/T1VgMmZb9CtrsTrTkmdh2Wdks
ZnO/Tfx1F9VevUx4/Zelsb7vnHbZf3iVA+l3SvMbgayD1ArlP/g6v48UTrKj/eVCQ61h7t2k+FI2
g0m/IfNv1Vl5y35DF/xdnmTELaBXtV22y/2yf9N1D6iekcxBXQ/aHjmycVPiRnrFrM5gtfO8NgAn
aKYBFpB0Z0G4/2yYxv+P0auZ/znrKK4+/u3//L87x+Wn/tg5Or/Y8P+Qen9sZv9UqlF+U8ZBg0Df
+2fxr/drCQnlBHVR5lKkL/le/zCnoXlD3wbGl4h73Xb/lk6NW+AvJThsb8pvdL+8VIJYMJaYf903
tkrYGFMaA+GJtPytp2lwfyrL/jAKnq4VQFasHFFl2jdFWsL7H5OGPB8CeyPfzHDTJCPmKlmZ5TPr
KOOqcon5DVVD4q/B+oVCYAkCrvBY0GsWSc8UT2pNMHMLMpbKaDadsB2BkaRJ+xqWGgnDPLTRwfvJ
HU7DNn6y8Da/T75W7QxtiL81YbIizGzKiJWpqvCUybkHj+tm4UagVKpXKrVYqBe5CYIzS2S7cYum
gjRXa6jJ0C/MnLej0ZOu4Jes/TDpjDXLLMKk4txKP8sMetkKm03/YRe2/9VRDXcr6RLktcw11/No
uJsqSU2Ifb2ad3OcV4yVM8WFUM2MPDjiOmtvVgMgQ5RG+YXUknLLGEweXW3gt+w6davQ2MYXhrBt
gJCITt8oIP0rZQp1soDWXgtN2Pe2pUz8KKaf7qtJY2yK0Ne4cTPCOSZdFMTsLqFdLDXWjG3YJkqD
9kkVW2VmBTcn3rem8funovMFOrexq3eWH5c7BgzxSO+S1JRoVbqRiKd2rWeyVys7IkRNj4Owdoat
MeA8D6du0AIyUuaD16n6kdp9zgMChLzLUpcMTtq+hfaTgwdgql+gkmg96u+ZlS/zcxfoXWMmRx60
9FtPwZYysMk3PgK9rxyN+zt6rWKH5iq80ygfcR8bjc9Nl0e7kSf2bC3bP+kXzTGLmvaOirk4GkKm
e9Gp9l4ji2zdWoz1W4gbRwiEckfkg7F2CH/DsydxuGVAm7FNRcmBTjnfzr3k17fbyvzWbK96r8bZ
PheOBWtycvTmUlOuBzCnSu7jImoOcY8ZRaLyPOeskANBv3ZkRWB/+URsb5LC7a4LXuB13boYNelb
73vFuW/Q177ocV9e4FUz1yFwQlCUWARY3Mh4l2ihuycapblKFdVDYFemv0czrna9p8p3KwEhgb7a
Vtd6KOVXFtr1tamS6lD3pnaLaQwVOK71cz7prFdG1oeXRaqPpyqPeF1D3OMwnFvnSFK6vJU8iGtL
qWZfg4wNGJAnDIpMpT90jWJ5RQHlvJFrE13JSHqHGnXMJifn+mjnfbIZ6pFlyyhM/WOA2/BIUHAU
7sJk1s41K9+NljRMi9qhLw6jFc9ra7Qygou9RF+DLCoIzx5U9hSJviDURIHWgMSQ2ntjxhA0m3RS
svK6fpXUbaKeWHHj8FEER5wii4Rv3AO5Yg+Fme+JLDMyyJzKExGjvDbyN7qys+9RF/J9hqz80gJw
RF6cZpSnZrvMsSDDXuZaql/bOYlwONKM+jPx9ek5zBumYELpfrqu0zmNeCBSmhv0hJoewMpWpEIn
c8bSOIS2MDsOr2Wl0NriLkpI/ckqRPND9uYnJjHQXu8/RG2bXI743w80MIO3HUupjiB70veoM6YL
mGDUUKytE2ONLiq7aSLPuCCgTNIxCePolswMO5xPF1MmyF/xk+zDGgY9ABwxPXuRZh/suXEw1CLX
Oztm6d6Vop1vrWqaL8wckW0sHVS2FqXqnZb0+kFAnuXBFu0HgjTGdqqhu4QAEQ7bsBcjupEi2jed
1538edRf2paRt2Sg9xlbdgWMhdiaaVIETruRcwp5gbYREJ4LTzUk3I2aczH0yfStea68neNUkmeS
lvG5Yn1Kn039dscfEgc6TK6zyjzAUnZuXvmRk5AtItRnT/Qp2tJWRU/zEjlUSb/fUlVPD9SLcwzX
tawffNscjm2BNn9C8X0ir2hYE0jdPHad1q57T3ZbojCPELHYro+E3BC70e5tq0DFYHEMJHadrBv/
KdLzeDdbsjz7dma/inbxZACh3jZGYX9VTVKePbMnDmdUhL1GBvy8WiUgQefhaBvwZ8a0GK9YvpFS
TpNufDnhbK1z7HRXyBxsKvrWqeyganzQWaip7waEupd6r1Uncu5oKKUwtGQ9E33+BT0EwIDSQvHu
twCdvcbHljvErJ3yRl07eWzvSkigG7MooscISOYZF0N8ABjHF0bPUENs06VzaechHBy3sq5xGC+R
43OcYZnOOIcTOiiehVRB6yj59QxzXlhADhS42Bs3OXUqjB5QTTfGiBEZCU3T0WHGJnks5cgBscoF
6ehj0pprGg2y/UY//W79xD1PZmni9JTlLcye8mwOlXs0qwmlC1Txb0OZEfTXqbkJQTXaZNlkkn9U
Ly3KaopuvpuYtgSeDkTCsjlgYlNHUhjtTcYl9cANjfSJN01/NrNeBHndOjsXBetlZ5AWF5KWsmfn
LHc6bKJTxeu7w6YMpgZ5EqdsXTvcs1N6zdn4f8k7ryTHsSxNb6UWMCwjNGA2Lw1NTTqdrl5gLiEI
DULuqNfRG5sPkVXTGZ5ZGVPzNjYvkRnhAiDEvef85xfIKhPlJkJqQmWkFumFwY9E9BsM5YZJ/fZG
9e9FOcM15oRKvO8ge4KyTa2TAOBsVKNdur1QaRFC7q50dSwXL1c2npXSCxhFRZVIYDpJ7TVxRdfG
UokhWgWLcGEtRJo+LAV7eVONkfSVKSFd0ZjepMySb8bVQezcqzbZdkZxJ6TIoLD7CBmqTXlP+a9f
BOEq6ogl+/hF6JbRQ4G03clCVS1tGeqzqV376SPEGtVuGUGccmEUvAzPQMSKUvIYpQy/KyNZ7nhk
G2eh60SlUNAdxETrj7U6JUjqyyJBxIQ8yEWHHhJairEWi7Nyh5fS6MbM7tyFDv4R4vsUVJ6WCeXx
WkYhogEcz8Gq+rV4a0JfGG5+HqTT1eRFDraamqrrRiKwKLix9bKXRbYRkdtSAvUMDPLT4RO9EQli
4zhF52uz7B9knP6/SHTAnEQIOnxx1bR9iwwjuNQpFgQp/2pPOa4xbRagJsdQGmIDatp+rA07VIfu
qVIiMhSTHA2UkY/0zpIaxCwTxWeHvbpzRaa6yqox83HvS5lKJKW7SCC7gE4bH+0iDF0MxGsk942Y
mXkyk9enWN/hNNo/10RPuQKO6JR2cnVQS+n2EakQgiHLw/Zox0W7XhgED1nhUm0epKRXLpLKWg9L
NJm84pbcvECXwYWEnrjBAWq0kvZ17Kr9TczXeb4UNrV+1U6olN+GgivXAdDtoixp4IkSOmnP8n7B
EONNTdqXPcqqtCHGodlUHcC11vTLV1Zz8fmKu9kRWhULX9wPH5BY2cK0BhVctACCymHY7LProkDg
GrSvEalrOAOUTZJt0nJaShZugtUKrVL9KOPXf6L6X6wZJuEHpiezb4PIO2nqOuoNJDTFAxr/1iLs
V9tlwkJddZCGdxI0knetFgSvL5XxI0gjjOpnnjbbMUIvE4PIhT+Kva/EqNjKLkx3QPwx2yvy/qcQ
p8VDzZqi045GUNwpaJaAdHpebxTiXpdmHWaQVhbRLOXGdvIT70X8ppMYLa0+RIk/NQjqb4tGeEQ6
MDgtJYwVLcAsBiiLx2QkaBmkQW9ObARwobi6MljJJPaXPC4WIVYAhn5gx5m2WsXqDBQVZOupFOUj
NnekZ/SY0gDnV6LyojBsWDdtLz3nihZ/GAhAvqCMtSwGyzI5V5Nw035roP9lRNAsGPpvlebcqMH2
ktkuiTREC6N88+XD020CJmccjEGOOcTPEZH1HQ/i74ZIx99+399+l+o8hyb+5WG+8U/FJM+vAF+p
s/DVy+QSUGjDvybAt3dVF6XzCZ6D9Ytj0hr/fEydPhejFj6fvuQjfvtoyEKR0ZN8TL7UnPnUWOlZ
td8BT53F8Vd563M65R8OpigCwlnQbVXQ54b4dwRbtDKkCmSEzJO95YqOYIsXTPpt4U5aD576lq4X
/ww9/5e37g/pThIdPKRTiFG6KuqS+u0DpmMB9/3G2Hp4n9OdGi/2FhfsKazMLj3t/8Jacxe/10VT
fN3+5zwofS9KJiRhdPsxrPvvv/2/qR+U/3Iuan02r/Uf4Zj5h/4Jx4h/p13TRbjaIIe/JYr+E5KR
/44ZjI48UJFnd+p5YPlP8eDy78gKVcHAsxq6Gn32/4ZkNNAaemL2A8amEt/1b0EykvxzsJKC6TQ+
QVhs42nEU6oa355QvahJhyOvw5bqQn+b43K2nU4KMzVjKX+p0oIIoGgJs1QJSgr1H/HFS4JRXtVr
cz20fT1elCmevFugICTAy4D4Y0HKgu3SiKnsYlxD8PYjLRkcE/lrsdRzw4PGWl6IiRgISIeCDDkr
ba8u0EeIkI9caMZIakVULsNPr50jmlsIC3clAPWbPgc4LxeDhihcH7dCq7JqzEHP6UDkc0cY4XsE
1RIiobKEElu1tqHGzHT6sjnkjFjp+WEO2CPu2A/aHCx9GxaD28vitFdzIfMyPjsotyRHj1JU6MjM
hbrYyHNYdZ9psmA2t2v2XM9h1sMcaz32gYBrXT6sMa2I4LDMAdhB36GhnEOx9UWkHHVJFh8FCRMN
3tx2YwzXG93fUMPL6vkuPxXk7km50SPh2aIs3Il9Acgrbb7QNLXYIs5B3VdxzD0pEPUz8zB8FkJp
So9BQ1qVoVWwILuSQMRhDv+OcBU84AksS2iWpeVjXCzx/4NB1xD+Ii7Wodqh1o4WmJkQK4DZCdRR
7ZEWCXcdYFtYpkS7b1HQiDlQu5Q5qZYKNGry+KYM9ZJgS7XEr/OGU5GdLJr+jNmoSFMRDMeGtF28
5nDV98QR1MyqkEPda+jHOr+hwRTIg+n1y61PggZWb14+1FF4dfNKnO4p69ODUN0yv0jb0gPXy9YV
OyY01T5deMie6jc5J/kJZ9Ry3V+v+UcyNqqKG8+Q+8otwV84GeIXrtiAVLOV2q2uB+Jp0YaQf4jy
Cgh6UOSrT2pNe5bwbSGvBoHYsZPyeRhMWE2dLGftqBItU1tMBIaqKZTru0VaL1prTAbmT/BdhHXI
5vslLhjtEF/AYCEMNPGci3H2Zog3yFs1aip4wSO+WYQwwCO8XecGoiQEQJ0KeI36QvcC1MaIWgmg
JNhBja4PsBYhCuHT6Qqd3GsMxW6GC/UKjxBAwhgR3DJc4cs6ezeDecKixLr9vUJR8dkj6vxMr3Vw
qiMiwqwmN2Q7lGgQxamaGmu4ij2yc01Em6aGUY5xSZ9BbZ2zWYGGA/hUN3ELAV67pNDG6BfG4Rz9
yHVtriT6YOxZ+GSSNRdlToDVuz4+0qMEXsswFbZNOe6DgsxYbUF6LDxYZbvIfkTKamAX4dBKkaNV
IbyplAEFCUVw9pic1NETK8sAG2jUmotK3/gejtlyK7bEQw1DYKwKTb/uMSvZlu14X3SpXY0yrIzI
Rvl/PSwq7FZCDY19M8fldp34vGhzHT6jkt1IUlSwzoYYEHoKvlUkPinNDkkKfmWiSsJskREEZQIE
qOCdIeZJTD6ir0hHRYc5aHcqhpZch+xHvC+Pq/IkjER7ugA1S9nkOScMuP8RDBzKdYShNcQXekhw
o/viR4xwMLT5qsuUFrsjUoZrOZbw9YWnUBBBTKYYxK6BZOKO7naPa013c5M5uTgv9P6ZpB/4YlKb
azjmzyHH49S1iS0RhAOfqjCUlwmbuY2hgp6FP1KSw/FmrELyD3aVJuBOls8wR/QjZFmb85YRg2Hu
CabhhKOabAC3KYizBHteEr0qm3Br8VJnS+VVnErlGVt+gJcuS6b3aYGrraktGhTYS6R2V+A5mbdE
S0r5lCgkkABXj9Nj1HSYWxG4XPFc3hIRn8Ygul/gQfxSUg7D36+CxVOsCN0ZIk793HL9HytSB2q+
0vaVKWfErJiRNig0jmm0QhEQHPu+a0/tcF3uhKzE9a0bh/a5DQuGoqwUIP4yuLex7ALaI3YgIOkk
CkEQdLV9SsOuOOlDkOwnNIEvdQEHVmFyqq/wo2gI942G9ksjT3hTNqr0HCRZ8CTcqvjhR8X5/wEp
TKHs+NeksP+oieQq4//6z/Q1LP728fm382v+t//IP+r/+s/mf/yNBLAu/vjM3+PXv43zl26vGCxi
rxj/nM7+m9JuPtI/KybmUbwqCNIU/cc0ii/9o2LShb/rCmo6CPwww36zUfxnxaTMdZZBxUSpLYr6
/Av/McQSxL8L6pKgKf6Q5aX8b2nmxJ9HWMzP5jEYv0efa2wq+m/VtSR1CN3LIXJxqem2EZnenUVX
eQXY2QXPwUdcmfUbXIaF01nEVUpWle/KXSugcXIV/KU2v7vkf9ZCzSOz33dq8kzExvyBWpA8V/7v
5w5D0pSyzcIBw5vaJSbPjh1abcWCGYGEr8F94TA5hR3D+7da9bQ0fnH8b8GcrOQ6YDzpjAamQtSy
30d6qAXjAgBx4VRfSIgcsCMvsbFGIFLKMSwk3CvhK78TXptz9EL0YP2LRlX+3mH9OD4edxI+DiAT
6vz133VYeCL0VVKPWLx5HTMXF1fdrl6TxQdZi3UavViXPmEpoDziB9fDTbWuiaMizEFRZxC96Mlv
zVkl/9ZNIHPbErbNZvkpP/aPY+lEbCXorncxmt/jcEh7K3iR+hOMqfOvQnmlnwvx+UJilqQpiAUE
HatQ6dtsVMFPQOjDPHRZYWFaL63JnlaAjbhND+O27FwFA49HoXL753Cr4TZoabvOkRwqJcPG3F3o
UYG4zWIT7PV99ij+ChKYSZo/PWk/TpBORlIF4AFV+9YpQEGgV5g4QYwmbZnGGYMhHbZkb6UMDohF
2sr2SPqhGd4rChipOSgmnsFW5gbOgKIwx83A/8XT/6tzwtLq93e/k283wPYidEsEXp7mAs3Z7TPV
cvrFOegm9H0nt34V2vyzbPYft+p3V+LbM1dgE4hTI0ftXH2NDaoneTNc8Sv0QGTN+sMVh4Mtihqr
Dm3fN3ikZog69OgF3OWJ7TCzsVO/fQQVMQJmfu42mjW6wbuiW+KIZ5s52pKTryMI2iag7C8u9Hwh
f7/MzDf/d6eizU/v716zXEIqg9ExEtEdyLOXEaqGk4LJDm4bXmBKnxiky3d/fdA/eeLAL8hRgLPL
Wit/X1sgS0nxeCNArLd6xwC03gOwviwOxV32UK8QGji4md911uDUZA2opuxm9vKtxBbS/QfO8a9R
lXld//kCcC7QKthA4ERASf75Aow3vDzk4se56F4bW9pGR1QZ2NFolr3dtJbhEXbp4MLalha8gKZ0
il+stfpsw/aXJ/FtjailIM5haWLS73T2ZFdrvFu/lhze0e7FNZacjKi6I+6SdwvDHEcnNQ6pjioO
kR9qxoXwJVR2+a7jeY/4E2cNPLKuFtzCbNYeEbOEvO95EayFlGzGbYqsYDUoTrxXT9Khpu2jVpTW
NPHYoIlfAIRWpZrDdrnGZaCwk228D7zbkaS/al8jXfAT0STCdQ1hOF3dtvUxPeoeVmflatoaG6Jr
TXzPF7UzgG97KMasZWVe/Y6kjT2WYx2Fb2wGD80eSLp9iHOHMUW5nd5FINzanw6dzTkY0HUxIjFw
QPXhw0kwX9dFj0qTMfWxe49Gt0utZvJreybQ4ayyV50RStpGVEzs0vLtYKNtx8qosqu76wYXDV1x
x9TXGYnAUhnsl/51KZ2ECFzSk+qdipgIgMMgk8HEC7KInwTtQ5uzGLxsnx9zsohDXCC3Srfvh11Z
oQdkMbdV3R4rV8dkDXooJmLVJpFstdqHPgkTsBNdmg9r8GmKwpcakq2H1qPYpTczcaPG42JGH1GE
7JQ8ww180DB3ktvaaLhvNj0VwdbSAYpf9orZbAfNvDgy2UV/lzERPSpHY6ucqVYmCmIPPijZt2hz
cRPtrO7+dnPw9BmNJ/lB7LZQWFlbUFpdr0elsPEu2zDU0+9hM9SrW/alh060cLLt4jXY8uBnK0Yo
eO02rnZ3ZVhMU+AjiIx4WwOPXOYKszcnwb3I5jJwaj6Odh1x85ieIau3r+vFY473G+Qzq34jVCh2
3lrYff7g3/zhbjq1T58TgjxTeavM5Vpd43GynkBtq6/ra/ScOeEacQfOqvrHZHb3rYe7LHKrC9mz
qmLnS7vwJM3MLESdFiEUkp95Y2LGbPInmfG3eV+k3kQUiyXdNw4RELniDNvmQiJD46sP7Q5JVIwY
7k78kNDorgvrLf0QAhMnDqSufuiH15XI298gwL+DDjEZl4BHYrL4U1HvmuY9Iyg8MBnHU4dsJLxX
7LJcG/IqPN0e2x6hqpOXj8E9eoGIKMvj4oJnCK0Ybiv+chXKjtTARbWaZ5z9peZYhX6teNH1wHXu
IhOW4/zUEshkwnLXHhXkQQyi1gDoSW4Zjz0H7RG4zcv0RLc7S+r8Tl/rn/WhxY0msAxrRobl/rF6
Qp0mnluXfOE9S6gv+zEcU5VRkBU81Xf9QaGq9dpNSikJb/eQGaubI2IHS+iu07Re5uFlurtltmZd
d7WPswm/aytY4C6Z7g+WcNK80MrX4waLh0NUWQjILLTAgSWtyGXwskP8jlqOSNfKGhtbvN4J8gnD
Lp4pkTIDdwTOH2LuWhJ3xVF/0qT7ofyUik223EchY+XNmLoCBXl3CcUHJTnzeW4QUPiIN6fcw698
H6X9sl2hBS7lA1nWFw1nP68tXeTpKdzlx8hVnF7cDmtl5NLbjGGemQXCstliubAanOoYcytx5e43
uEffrv5VRqBtp194+OxrJ7sP4RC1d8TDKpZwye9iyCHOsHDE2zrSba6ljoZkxSgxIf+it9EQIvFa
jW4rsm2h+hvPuqsKx7A+ZLEzPCyYKPfbZeYCqqapX76mqkvODrkXhKvlkFueU8EftwpP7WR1ve0A
8aX75lh2tr6009CEpcZNvtz2JFuYyZ1GJALETNEUzdLS78JDcsJm7elq+BEGlLlX2PUnNDJHdrVT
+945/A7nBucNX20/cwneDRRH0jfCbh5ZXDv3ihDWE0tfvVpCdpyxi3zdghsxais8BuOVsTLWqd8c
SHW9vveSnXeoP5zi5qA/SHqb2WjnKBbRw4u5xMZ03S1Ww16wqqfsXgpdcAoVU/pdvU9fVTfSrAk9
/D7Z92wLJ0R0XvC0qM1o05+vdowCGQ1xYE2Js6w3TXWuoISHvvZMybkbSxuZhkQsjL4LHnG4MOve
ERTbCBuzV1aaDFzpEIjTLIls45qDOJM3YoJdJ/sKtaQfvkfr8jM56W9AMu29lq3r3Llhx8O66SYP
vU0Ui71Yjbkpb2trMXgh71z5KhquWPhKvyoOhmwOvEAkYMv2gsS+hCp5pW+aFWpZb/S4VD7UCVpE
7Dz3UNRLm01B+mBAHOyXb6lnbKePIlkXj8ZRwmzIVC91b/51rfWHSZVCmaXqyhKtFXavDIl/rm+S
ZhKzaMoSF2aQyiN6Ft5CTvvEDLl8nVSzPUdO5QNGa79p5v51ZfXHKpcjg2jrosLB4Wv/fGSdHMhA
zn9UVvEe1Z8DFeiYmpjnudBpHn/xOX/u3+fa/eejMXT5fSGbdJI4YaWeuOFr8kEW1VrqzNZDKLnl
fmbL/5MyXv1j8fzzMb9d27wTy7KgTXXZk4djsh0MM9yLFsllG8ouEc+9YBdceAiGdYMk5114x7Ic
t3XqnOEIxfOxVXbNxgCNr2zpaWYa+dK2f9EzW3hS15LdXDI2XPVUPSRHw31ZftWrYF2sE55xMzbV
NY491IuBBx/NGfxDwBL/EN8VmxFr6S8iCG/2XD4qbnYq7yMLktr0BoUrcbMdcV6tixftKzvDF47v
/COeHfvYKazcb13pi87jwoLq3TZ4d/c7wWZ3FBtMHk0jIjnX7D701+olfAk/s8JiS6oYhe4RIc9X
nYL9dRlbxDR3q+4AakdRRZF3i00YoiJ+DLyC5LTHd6puDVtMI3bGHtd8OIauag8Qywb8LRzxOXBx
AXm9fuiiPTUuwrngbLzIZ5EE5wUZltBDbPEY9fa1XrHvs97Fx/qhfRJe2AChLTjTunsV1oEPXHGQ
SHjaLfaa09qjPQ9MK3dyJK+cd7vG7u0JkYWV3/3wZLOvxYGNQENN/cpyb4dkVvho5Z36LiL2AQe8
u+zZWAdPIWeCGSNxxnw0XOSfWCaXnbmQ1torvm7TQIluatACdRsGD3RkfNa5/lezf6SwXnxEg9Ux
x6IIIzwD0wiLlFCYbcZzKzgdLscJ3whiHl29QT4Pil1icm42Z51QsV+Pl+eH9edG6OeH+TsANk+0
QtjWNKUomHoHJMBD/AAJRdvMkE9jDymoO8QhJwRO+bdfX/xF8WZhaAp/HLzp59e3kTqS76Mic41z
LOzGV6gwDturc5Pulzar768/7x8bv5+OaHzrfOMSh6dgPuLgNpWFk4a7nJyOVHI78xMXWQwJInt0
zYITPP667/ymWp3XKxy/YGPgJIt4Alzo5w+cQpiPtLYhYR7ea2GmrRe+iqfwDTl1krzA5iGn7mXZ
XSiPoBOzZZrJQbqLF26F7SDeyag1EzNT/eihQy647ZGCJDNAWACVCNbEplk6IU+auBk24afZNofJ
q78wTHKr89gdF8qRKD5EIrqZUKdhiZM+IGGi4yh/sQP9SbePMlsSsZ+dXWyX35HMHCEktK4+BlUp
9rmXWHPXj4dlu1f82Gk7J9xRcLsYTzr5To9sYm15wnQLO/tfwUp/XLA5FVVSGLNDikeP8vNFJ2C1
z8SaHDyFhTo6am5FgSub2onUV/tq51Zg/eK5/iP6h08walmMghV838Rvz7WMzEeOjPQ3qGNOgIZY
CqgUrX8FKv3JAzX7xkEekjVjNpj7thkJg5qp4xTEbv5Ug4ECHVQ2osw62GF1lTB117Ov2eEgrXfN
RD6sCZNwybSORpaI5wJ7U1J0XDV2tBIXleVGvuHRY/b06ginzaz34tYRBAKy7OG2jSaHeldJ/LG9
z7DGAiBR3Nvk9B3SVTO2YUQb2/pdDY4xo3cQOwwaSKCBjg588vbX11j8k7sqkLLNyiHh4wye9PNd
XYp10pcjJc4MYBKo44IxhIoruM1dQYOxo9mFO7sdMIyJLAjma9Gl0LuQ61h7v1rIxLnO+HkZJX/V
AN2C7z77/X27Df1CkZA5UukGl0iEJmFf9zrkPj8/Xu/KadOeiheuDdFIijV+XAsTL58rbhEawrXd
4urVlwWVAVTEv75GP1Dmvzqtb6t7NKpj1sScluyFfnsHX/C59RKXPntmUli3daqZDUgzTTJq2K/x
CXe71zC36hMcttxjfbC1g4af/cKlDF7uu4UprIyVeFfbv3pn/mTB4D2Bo8abI/G2it9GHz3OI2k1
aKHL6HoADjN4R6sW2+T7jIjE8YUbCzGSkoUWI3AC6Suc9nJ1qspnwVFrL6zsaN2zN1c43f31ZcR7
+0/uL2cEWA7PhJPUvtWZYxssKvgBkVs5zZcRAtFF5a4LnWSlZw6+ZgEx4YCGEroG63bdjtEOBcui
PBBjDVs2Fvw+d2LRa16RkNarUKWMq1fqZOEdqrb43OKtYYUEV2W2vNZwUQlMQEkYw6bC5HUygUeQ
Bj4ksXND1zDYS92CwmDUq5YCxtbRUjnKm3wBmIoxGnrNiJ0FrRN28pdheF3mop/QUndc+l3k8IMZ
V/Ljdh+DY5FclQHuXff5dlyXW+Op40Tu+JHeI+4kwFebgWzgNYTqOOWx61Br4EQLlOAZ78BqPfTQ
DAmKmd7XEOFic3HAsBk+JP5Xgg/VILo+A2XIuOXYBN14C3Sme+QAvbbRpnOR+VWOj8Im087ERCvQ
klC7szGltvwJrFXsC4OPLatmHXhJ7+HahHaZjJZg6U/pNoKbUXigfDW9IHVv5CFWKUBZPhaRV0K5
sQTEXZMbdWvDDDxj4ZI8I5/EtQz2lALq0gcBwhkmwNtUmNGKfKx2vVzTsqErfW1iS0zXtWj2kbU4
4w12jS1+pyp6AEcErryrM9j0IZnBqaSYLi2F7O49imMQRKQct4ykTXt2qboDSIwn0E9yLe3sYXSk
reDjWZ2ZAJEkItpzjdo+k5bjqg+szzVr7/qp8m92el/yLnQrSpVqD1CUYlEUmqq9TK3SMZxqhz0L
udu5YKKVvhl+Ndjiw9VZ3JUH+dKtIFv4qTu8wcR9Js6+2jNtCBmIue1kkkOw0tzcrnb5IXpWrWVr
p8/Bg+TnNkO30lg1qD6RBeMoTaKG0DwZM+RstpFFgC8YbNIA7nJPonc+3e1cPxPHZKA/QweBOM5R
NquQj4fP9xl/p3PiYg6muJIdKZcFkoeX9pTa8KO8nELTJzpoI3DQc0Em8r34unTmvkX1SDjfTnbm
DBtMYza3VXDCBX5mL1jELVn4cB2WrzzLJD1+TKJ19Yet5lLy474+bIG3b3zA6MgTVuwNd7CRcK8p
QBaP8Tp4Hj+jd0ygms/yrLmLN+yEMX6IQ3NyJZduSXNbw1o+iAVmZjMqJ14KBDlm/4KF3WzIZJFO
0lzC02QyL7MAAhpA6d7BXdipPHIpgBO9xh3d0e72XvZJn+PQDTGKjMxtcN8hSypRo2PXM6M9SuoI
+0ViKXuQqvN7BVDjk2JGthmEteWOe0D//MRNtMMdo+i3fl8ern7zGm7o9lpH3TGqXccPhSNAP3ez
B4lFutkUPjs3vKX36Vn0pqfl3VIxh0MLCmGlF4lYN7sQQHCY4eqOtmWYe3NTRO4mnZth5ttkpa6T
p+taX2VPyMJ244kNir7GLu3WyTtz9NCq29OW6OLC1/clYDdkd1PldMLX6Ty5XKmlrZ/UNZin13vB
FwX2UXGHc7+D1R+fMArM9oJ9dQoPRY26otfb0y2d6XL747A+JjoQpxl73fr2KHebGgIN0BcOWZPH
JfZytzAbHx4XDooPy134Ij53m1V1imx1Rf7JhBPgKl4ZnuSo79UW3ANNgoku/qMAo/46Xj3MzYqd
bgv+cMZ46oFlyxfM++Yy0PRFDzSINfOUwaRJtdoH8aFaa49XAFZqbCIGSlMAf1Yc6gpruULiaJdf
4Q7bTNtwQXOHcwXEvZwX2mrdbemim4f8CLltuteeADOBKM3WSnf5JX5sH7+w0luRBEcF1fjIYkxV
sMa3AfjAH+9a5sQ70svaNaOIz/Ct7q2v2G4PmOtZI+jksBM4+o0I7W3rGrV5vcxz+mZLJ25jdHOf
7eJtu7teYodYaNr/qxW5y5Vyd3MMz0Nmb7cu8kkP3/rNuFncw7+cnfQ6NzwT7xVs8nfGSin3fVX4
4b62madzl5UQzhPCWzPfffXgW5t2g+XUrnlQ8JRnTPGEMIfCf4CY+Sy5OHM+BBf1xNCJwadfVivV
m7kFg1+dZK6qz5slPJbnxR6ROt9jQaru4zt5XeypP30DBw10rhaJ8LpiSudZNEfpaib34V6PLPmE
mpYYdYKRAaHBCy2s37qncHZWsxZkDD0Z7EnNflzftrJVcVeE93G0ahdDELd9aE/hRqjt64OxUndL
a2SAEVzXWoq5vgXAcy15OfgvO0e9MNPGqbd8jHTVfC1HWFjsd9E95lR7JPBYIDp9amurdB3bwir1
iPLiJ5N7xZ7OER66FoSlI/glc60z7+EI+oZonucakQOrWb+vV4VqjtbyRXhvnMCKDyFvm+zVPNbU
2dvhMLi6x0W5Y6Plgbaikw4tvHkgjufQrZL720rl4WzosyCYWpMXOhWU1ouGbI5lNjM7S/OO3aO0
kXsrXqO6s/SVsh02htM+DafyDSv6ONlTDSadu2QcIyOIteHrUrhWn9d16AyneFjj5jgxF3hLvtoA
D8PQT8WLLD3qCcUJKxZCvE2jQsdw23KLlVfebpL3/sdO7ujr8UtxUxQs5gwwebwYeCTW8XMX49Fn
xyrKb3vYLI99hzuwTZEq+HLvzCs7QOIRKuS8b9zeCmQ4ToXXyop1FO8bJzwC5suCXcLGxIiFyKnc
6t8z2srMykBqTMN57+3IX7qlbunnwA0++mPryvVKZN7B/sJCyhzgQTXYZCdrCPZAYV5nFatpnVKJ
tVayBwghqZkkxtG+7ZlKjk7H/9f2HJxGtFvr3ZBe4yRZ7vttccz38rsCV4YTaOwOYcoSP2eLNl59
H0YWWWtGKPm5jnKktaI9wH+2JSGb7+BoN3Imr778dMsd/FSaVcKImrmcuNZrLOKYowBnqy1mGN6y
Rr2J5NwCSx8pYu6CQ7nHmR+DNYK4zTajTESesslWka+7zTlNN+2xEEzjal/TOzkws+P1KH3FYA1W
yHn0q2QNh+8w/63z8OgJ3coH7+Zd30tO2h0khxNvVqQdbwhpXFducaTWxPXucX8Fbocj4pSvIadv
qsAqu8p9RHJvEZFnhlbhCk585G12633nsAazgOLNvKmt2/72yui0Ml+5Ky7ph7j+JmtIAveMZg9I
YitzjR6PeRby86s9fyF8mgEaJEHHYZ89K+tat6SXUDT1e8kbHhK/Csw8xhqRjABTfboeE58wAlvz
JmcheOK7skaxwxylta7479areQyz3F/VO1Gyugo7Dl961enReNC2xiWmnHCYrEyKKxomtyMK9guv
28+PwLQPPwRGNyj7GhNtI9NExLIPOLzeSU5BsexIXzwYyro6SrxcyoCIDm3uuwhhuEuPKgQzS7ow
jtDZ8tAjLsFNzdyhcn6N37lUHs6kj5WT+AnjFrPycSp+CRQPJrJxjB+TneoYz8m6O9W5LV1qSrt5
qjLj3zTEWObeP+tPPLtMQgx0m8ynhsaUN1xi1V26uIxG+3Q/F7n4lJmV2+3aY3Lq31QyTLycSiwk
1NtaMnDV8MhchYhaOf/gSe9dedszRDNWV6xtzYFiyWzuSfHkIhT25EQ1R5G34mNhi9sFU/+tuO1e
w2MduoC2GNQbutXgHwqfl98MGwBmNptW51VH7StKVwrWKReMMguwyTddsAwcQxmhn5gPpZfqMceL
5moPl9sJva8dMS4v6UmNFYZwj9Fl4VOupl50om0FFlmJXveceN0uPGCaG/m1BZzt1GATRw5s0/nY
V0zA95GzxKjawXWa9rhzgn229ApmWdOutOvt6AW7QjOVVfCyKS3RhqkMleuVDDiNLZdlQtv1x+UB
j0jSNL9Gw2uIfTGjPWodXJXuo8PCkrx+m65RbR5iOzEXXjLf8Nfrfb8iCd1WbPLHdrpfMiOSzokX
8hhc+VSttTbW45mbOKOi40Z9y+z6rplcerPd4PB8c40fb6fEifwMdmDrl1a5jk4MZz9z3S5flzaj
uXvmeKveXh4miyE85Nsd/vTx8+1OfAvdS2+3T8wf5ffsOG6hpW0zydGZicF7vL8Wu3Z1uzM+JwfP
ZDd4NNbIup8KV9wUtryRHsZzizNPc3/VvqC/L5T/Rd2ZLCeOBGH4VRx9J4LVwKE7wgix2WBjvLT7
QsiWDDLaAEkG3maOc+jDxDyCX2y+AmQQYKljxHSMLx3RGKoqs6oyK5c/s/qqpgb3xTs68HGUqUbr
3JLSdunUSzW/bs0kPUMZ5UqZG239cEbQ5HYQjJ6kP9gPL13WlnouKl4zna3kWvicKAp9PWn5dfty
XCNOWDr3O1xufO/D65Ev5X1Ok1wYAmWvzG/GN9SXpbfuWJpgTeRaKXoXDR4WP/jIqo91JV2zy4+l
uRgHoTlWs1xr6m+BbUENIwLKFQKzqbrLlRhdkjch4fmf1bMccErKyaj2GhW8S7X5hV+WRlf8M25m
qO3Li6wPHjsl2Q/ZhtMS7hOZhZG/TXvTng/gu4VMlBdoBLfjtNJ8J38xU4gf8nLmXM80ZLLbRril
G8z8ULqnLsiQ6O5pw7o1e6eNUbVcnbbMe26PfIqbrpJq9h9djeyVZ4fratcIMHiXHHenC/KtXSLW
TOIUpcPwccJuUh+VLPvaH+Nupe6h7XbmGbmQEk+Q2aAFymVSkr2xLE0Js8fEBA+46vB9ERIkYxcH
SnHX651LpfH7LMiyfbmwGxSgqi+aJLbKZmuqCbQrDG4ASEZm+COA1xVf5pPOpI0KN+NcOfteQ5ZC
UjEZtrTBxCkc9hqWhuYwA4ydhN9V2mOFjgi03UHRzwn3AjdvF2KCHEtU4I4TjinzZJvlhHcrLZa0
lWzXn9jF4mgIaNivpZ7yEuYozy5dEblK01u7TsyBxwyv4WYBi7p0Z7ZmPfpGtkGg8mrLNexbWgPU
6MyuZJ/N67xs9Ox6xqzQ0kaeV6lJjzVddRv9Rv/GIcw1k09rdtVp96Vh0+BwSYs2yMsfrjRQ7ZpT
pxTFdbb9LKKx6YZ3Twcj+8rgRJjnxYdh1+jQP+c21v++H6QVPN8wYIfnHgXj9RRo9Fq2W6qLF+rs
XOdRZF7ReUOKz+fMHN7jzXw7zjqqpOnpLGXzai9NFx9IHkMjjwGeIc8gI4soQ5z7N3bGHfdvoe/T
AsVlRoARTpMsqSqt7+qvtVF70EyL4F83zvG/hwslmgFTQRrmsnj+YW/4VC2MwuviZbQYYrQDeyWp
aoi5d8ojzrty6nG5imTV7/m36XQEPCyXIWBHJY/wbL6bnQ5IbR3W9Oc5doFM1czMtIWS/o63vdWn
tnCqit1LElexYrfMlmFVMDzbBG3nlzYOjJtxc6ZkMDZvXn2aHFWM69nz/GKgmqrX9HqTW/2Sspov
7WH7dRB34/cjflTKokgohedIyU7v5roWM0U7bRbYG+zqLm2i6B6NLxzT1zmngEw1+92hlXIrXSVh
PAg3/i/AIutFVEFhyDQSduddT6MfhkYlBHcalNbFwDTU5Z91jVD+r3/h4wFOtOVsTfXrl0LmvYbv
cqKbuaOtpl59R/z/m6JSg6qqT92J/rTCFG/9cYkxHmjIWNa5/vmasP2lH1xT8GFD1yYKGJb5ktr5
epUdxdS+fpEUQ1Wm28hekLJIoc1Cvn4JLXMrPhA17rUOYFiMHQwlmJLlTnI9ko5NuqJuhgZGhZa4
5UkHvlMMQwPgYwDg8Z7CM+SLIoyWdIaOPXHFDCuckKVqk2BMwZ8ycCAESfCR2PR/x/2OMtHf/gp1
exVjo2WTj91WBqpiaGFwE6PTOvYI50Z6+3ui2o8h3pcBigDcTr70vV1lZJDqR1h2xTbefvrKzm6C
1BGtzpMemriG6Euh8+8Py5mpLGwrLARWYLVjbCjZn1GdhxOu/U7xHFB4AY/FJVovnXdGUr5LytjT
3Lc/gpG2RkeTJh297im+rky0YKSt0Y8gaKJ69iXkOQvXrbefoSu6YroITCdlS9fTLfXtZ0h2rUc/
igRwdKCZJ4HSDda7Yb7AQSaloa25h7hzBA0leZYKrtREnR+a4QiSLLoDQsKjIylTxTp45rNHuFFn
k12tvT44R7hPFXuuPB0SBcdQqVJUtduELD/j9/bY0w8cl9wRjvoS77z7jlmxPXcE1dfzng5JyPwR
BE1USZuEPL9QThCS1NY9wHQMg8TyZQt/fqJY6jYEPRh8I9CWiPNIgg5ZFd9C5ocsfh82k2K/8G5o
XXHhLffAEPHfCCyYA0OsmbihU7jW3jH8y9nCls62UI5+LG3NFgwhphE7xwSBhfsRVRFrXlmgEV/Y
JwqxGEXUrkD9PIQhk6MIC8vyT0OW0AZRZO2okc9DF6oiiq49LfN5KENLRVG2p+A+DWVrebXCJx0Q
iPta6hOQRop6OWbHzsy3P3GoKUtHTs97t8lX1D3Z6DILhbS17R8IfOoLCpcop+M3yfzNhB9uWqDf
V8TQxtnSVpT8piXGHSrJNmzzcfPaDJjuWa7wwFKl2voFxr9v8m+iSpQYXLpqoiTBro/nv70tcZTz
eBJfeTI0ZfLtHwAAAP//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olorStr">
        <cx:f>_xlchart.v6.7</cx:f>
        <cx:nf>_xlchart.v6.6</cx:nf>
      </cx:strDim>
      <cx:strDim type="entityId">
        <cx:lvl ptCount="8">
          <cx:pt idx="0">10106924</cx:pt>
          <cx:pt idx="1">10106936</cx:pt>
          <cx:pt idx="2">10106929</cx:pt>
          <cx:pt idx="3">9421486</cx:pt>
          <cx:pt idx="4">10106933</cx:pt>
          <cx:pt idx="5">10106930</cx:pt>
          <cx:pt idx="6">10106928</cx:pt>
          <cx:pt idx="7">10106951</cx:pt>
        </cx:lvl>
      </cx:strDim>
      <cx:strDim type="cat">
        <cx:f>_xlchart.v6.5</cx:f>
        <cx:nf>_xlchart.v6.4</cx:nf>
      </cx:strDim>
    </cx:data>
  </cx:chartData>
  <cx:chart>
    <cx:title pos="t" align="ctr" overlay="0">
      <cx:tx>
        <cx:txData>
          <cx:v>Gas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 STB/d</a:t>
          </a:r>
        </a:p>
      </cx:txPr>
    </cx:title>
    <cx:plotArea>
      <cx:plotAreaRegion>
        <cx:series layoutId="regionMap" uniqueId="{A0D17D48-951A-4646-9730-F0485CA32A9C}">
          <cx:tx>
            <cx:txData>
              <cx:f>_xlchart.v6.6</cx:f>
              <cx:v> Gas production Mscf/d </cx:v>
            </cx:txData>
          </cx:tx>
          <cx:spPr>
            <a:solidFill>
              <a:schemeClr val="bg1">
                <a:lumMod val="95000"/>
              </a:schemeClr>
            </a:solidFill>
          </cx:spPr>
          <cx:dataPt idx="0">
            <cx:spPr>
              <a:solidFill>
                <a:srgbClr val="002060"/>
              </a:solidFill>
            </cx:spPr>
          </cx:dataPt>
          <cx:dataPt idx="4">
            <cx:spPr>
              <a:solidFill>
                <a:srgbClr val="7030A0"/>
              </a:solidFill>
            </cx:spPr>
          </cx:dataPt>
          <cx:dataPt idx="5">
            <cx:spPr>
              <a:solidFill>
                <a:srgbClr val="92D050"/>
              </a:solidFill>
            </cx:spPr>
          </cx:dataPt>
          <cx:dataPt idx="6">
            <cx:spPr>
              <a:solidFill>
                <a:srgbClr val="4472C4">
                  <a:lumMod val="60000"/>
                  <a:lumOff val="40000"/>
                </a:srgbClr>
              </a:solidFill>
            </cx:spPr>
          </cx:dataPt>
          <cx:dataPt idx="7">
            <cx:spPr>
              <a:solidFill>
                <a:srgbClr val="ED7D31">
                  <a:lumMod val="50000"/>
                </a:srgbClr>
              </a:solidFill>
            </cx:spPr>
          </cx:dataPt>
          <cx:dataLabels>
            <cx:txPr>
              <a:bodyPr spcFirstLastPara="1" vertOverflow="ellipsis" horzOverflow="overflow" wrap="square" lIns="0" tIns="0" rIns="0" bIns="0" anchor="ctr" anchorCtr="1"/>
              <a:lstStyle/>
              <a:p>
                <a:pPr algn="ctr" rtl="0">
                  <a:defRPr sz="500">
                    <a:solidFill>
                      <a:sysClr val="windowText" lastClr="000000"/>
                    </a:solidFill>
                  </a:defRPr>
                </a:pPr>
                <a:endParaRPr lang="es-ES" sz="5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lHpZb+Q4tuZfKeTzqIqkqIWNrvtAhWJ1eLczK18Ep9PJVaQkUuuvn5O3a7q77sxczACGgQgtQZGH
33b09/flb+/24234ZWmtC397X37/JGPs/vbbb+FdfrRv4ddWvQ8++B/x13ff/uZ//FDvH799H95m
5cRvBGH627t8G+LH8uk//g53Ex9+9xbfahdVXB/Gj2F9/AijjeG/Pfp/OfjLx3/e5nntPn7/9Pa9
VW6nQhzUe/z056HT998/pWlW0k+//PbvN/nz8O1bC1c+e6vat//DJR9vIf7+KSnor7TISkxLzOBm
LC0//TJ//ONQ/itGRZFnmBVFljKUf/rF+SHK3z9lv6aYkYzlNM0ympdF9umX4Mefh8ivZYEoYyVl
cA7Nyn/Ozb23q/Dun7Px5+df3Njee+VigMdB6NMv3T/O+/l4WVaiDJcE/heozNMcMzj+/vYICwCn
4/9h11GynpB5J/22njslClxn2Iad7IJ8mSKdQy1MLl+TniZ/ELH1nodBIFoR0xa7tlj1bSHdcMSW
JaKyZsG32nl6t6m5v0xTgkVV2H5+mXXRZedemO6SbcjdUDkkh37QZWX7Yuk5mUpyntdVnlCxyr1M
SHseEBV3GrWZ46lTyf3SFPIkxmW8s3l/py06tgTdmKlLvqrYDn+Mdh62Kh1XfRiYkS2fe9c9SS/b
a7GtserHmFdpn8UDY33+QGbhb0jM6CHgptkF7MzrUvqRnoYZudt1xdkZZZmpO9xbxfN+jWs1ZwV5
iZI1RYUJ6s8pttPrknt0x9JhGeBhWZFWskSz5p3SQ8VQkHjHPJXzvgjW11h1bcuZI91TD+e+JsLn
F5HjTnLLFvZjWKO8W0wmbzrikl3he1bDg9DT0pWq4XrN6bJLWSHEznWLmarYlV3LF+yNrpsu0eO+
XYpQqcn7Jz2P/ROj7mQ3ldxlMiQHtHE6wPxWY4nIR65HcddJJGgllE4nvrU9vbT5NN/H3MaaNiSK
SpeDeuqsWjpuQmsfqUPmOC9T/pm48rHZBD4oaravQrH8NcHryGU2rn1lXTce0BzdpQj9eDFuU3uK
srgLs1PnMdrmtejssBvQOL/jNZkYd2H2r7LV6ouywR/S0OQw4F7IF+eS8o5sJDkTmicDJ6tLXsd2
cLYaben2vZN9z2eTJV+ayMhV5TM6p64ItS2y/lELDCCQpPP6FghF32Wj7VX7dKzbYbBf/ea268hK
96yn3H0jaMC7NrHxudOrek8p1YJTytSlUclyVavR51mmVvN+tLngCTLl1yxz8dBqndQqNpvh+cTi
HjehSY8hyfrPq0HL3aZ1vnJlpuxaxGQ6LsVWON4sc5/wNjENzJ8ajxmi3UvJIvsWcyle2DK3b1kc
/VCrPGVyR2g7PPhg1IUwr/fULPKa5Q15suNqm9qwQr1nrAu7dm6aqw2UfQTZ270o1/QrbSmMzrek
v5+KcVyrJOp54q0hUVWFz9lzA/XCuM+n9HFIlhTqtczaq4JLGp6tQp7ntu3uilShM5tp2KpmW5mu
hMuQr5yLy9O4+uzsVoYPphiKrhZ4LX+gzidfxLgVL4ntN30aiWAznxM6VZS5wdbltJUFD3JOXB3n
fPpspCEXkZpmbynuX+2UjDnXo2s+JwmZKz9ZsndNafuqQ1685QaNDyrL8GHyU19baWw1L2k8x9IW
95PH4aU1ME27sttCTXVZVo6V5nXLXfu44D59EaPOHnHfm70uU4H5KNDw6JPetftxkoWpHezUy+ZD
2HhfbsuPZRH+Y1oaUscyL89LudITVL+5TdvCDtxoZhOOCZsoNySf6pQUsq1GZ9u3Bn77umUSjZVx
rDe7Phr1Egq5fW+z0b9HLeVpaFh52LAZDnmU06EvvbrKPsW3WNhhP8whvZlxwfZTGVHJZxG7N4Yp
+wLEsh4tMMgXN63maYCK/dKZDCcV7CgtuSl0oXhTFupzo+bZcpLj4ZZtFtcdaZqq93FeOED9elhE
3L6kQ5M8/idX/vYPsv4LIb37bh2UkH+y9T8//sf1f4mAv/+87F/f/2T8f3266z7cUxw+PuL1rfuv
Z/7lQuC/P3//p1j4y4f/TTn8O63/vx78i3B496OLP3WIUN79uwrI8H+nGipvfftN/UU3/LziT9GQ
57+WGcY/ZQNBJVA9SJA/RUOJfy1SgDeECMgGkmf/Eg04/TUtM1YyDH+0YBS4/E/RkNBfSYrzkjHC
WE7gzuT/RzbAIMh/0Q1Fxij++WskTQlGrPirbggmKN02yuzQMJM71U5KFmctU2XbB9k5KJWVI5ws
ri5RH4qn0E0zPZImGbJbbJIl8kJMd7jrf2zbdEqL6YeOi0gelowJVbVdM827OOXqR5tumGfLmKz7
1eNifaQMC2DxpkHuZIRzxHCnCLH7DaMu40kQZq1dGuP07KQW245Y1C+vbTnbMFSNxgt5m0rvbdUb
Fn2VaZTPVbfYjPE+66y9jAB9CVcOi+FxkJMIp2UjcuPETU36bfJo7H5MwanpkKXKUD5LUyx7gHKg
vYJNna2bMSnc49TpjQIY6viIDMxCZSPrbQVyZM72KE2KwFtbtCCwPDIdnzc9kQNmI7JcbnleVL4f
PYCGYRjt9NDnvqJGL8m5mYVkFQwttydJXdFyOXVNVzdW+KYal156bkQxDjCTk0NDwZfEqLZeu410
uxBtFGdtZ61vdWTr9uqlQUq8o9Cyr4UbnOZAgQNQcd8mD1mfCcX94suEJ8aFt67JLHwzesckTyWa
JB8SW5RfhdQz5T2Z5ubr0DXKIb4Euqz7MbhGf6ErVvbaD5kUp0ip8Ts3+a2raEhVC0AlA9lJRpNh
15SL3z4PeapxveYj87vcxQRbzpIeaJqDpNoebeOxODAS0fY8zqj/Q6E4pYgXwDuydnRq01oCSco6
YE/6qpcxjUdfglY5tnqlOvDEwuhvbSjb6dJi1NgLaPHeVO26jegwplti6jIRcjobKgKtN9Eqc6LL
pul5ymU/P1DaL+WFrKACd1ssUnkd6bauUFSOKY7KJD/R0OL+KJizdJd22Yg4yN/1xxxLs+zaODVZ
dgoN7eUZCkVnfA7Kh5/MMm+PLgs5nGTQMNTB5gzfd+3YjPWY2DK/MQtN1lPawr7Yhcxk3nM5rPM6
cTWNqLiJayxopTu6qGrYusmcWaeV35syX2U9y2FY34oCNd033A293+FpUv1lwz1M+wY8W1xC6Jrm
TSSe+eekAeGyj0wNoi6Cx5/HpJnHLzJgMgmuoACmB1D2pX5fm5SVdQgzGap1ZkxVTiBcnuawzdkl
y/xY7NaEeZXxbe2XjQeUzbHOU7vZB1NKK08uuia7T7YlUTdNUHBOnzdMH1DeO0Z2SYtUx7ux1WZX
lq7oOh4JXvMdaYbR12hbGDrpcWx9F3kYyzwcVdOs800cp8Y8GhHWdGctyvLzGJp+3lObaLojfun1
ZyHX9RJMB3PX0sm+im4luF4ap+cK1OSoTgEX0cLqlsN6yfNpmd62ttRptY3W9TXDISl2jJTLj7KE
DXwjdeugPDrbNgOHdR/csRzXBvYQYWCiDhJDOdYondJsP3kY8x/ErENXtQoM3xkVS4lOfSGj/WNZ
dId3U9u36iIy3NgzNQKqxbuu62tVUNR/G1G6iOc2DmVXTQstQ7/b5tYBv9sFj8Nju3VdeC+GsnxG
mtiu2lwuLgIvOIWy7bLPjZ1GXImOtuIUXB7WHdgftvHZDvNUjzlKijp4WgLWdl3yh5Gg3DgawFrN
JDYLR22hD5MBxc0AahyUXqNjlVHhI7cRDRMX+UQurUzsXANuDWqHTTCX0QkZeNdN5SUlxN00cSGO
ZyhtQb9b/F1Sun7LlgEpPuXddEOjXIadTsL8NFBB6nVqlvsADhzMx9x5QXicdRN2HW3yZLeNJm2u
vZWh2CW0i2uNDTFNnRsRw5udaOmqjKBl2w2UhoYrAuL6WKCNmeM20VDkfCBonQ9a5FpoDi4TdvjQ
NOkKGFF00zmflXXHpsnyr3NLiLhpM8msOELdDf2P2KtkfQlQBLGtYhZwNehN1m2MLyVpKkHYvUDy
MWp8WVjeV8jN5wJ2Et88eV768rEv6FwVE8BfgUnkms5qv2RJUYEhy3keOnRENFFHcJP9uWmnWKMR
5Gvnsy/RZfehKw8uxAcNWMiVh6JJ0Dbt5mbLYT1Sy7WL14TiG9OqHkA0nU+lcHeFx6+DkU8ZqHeO
V/sxq+Wh38K02zIiYCHCh1iSN5HndzoFZmrXuZIr6G0cQsYjJeUNmgf6OSUu5cbh6TxYc3STlJcy
3dAh61OgFVu2e9GDpZtDL6s0MU9zxy6lphPH0RA+QIHX2RLFF5SJsSphTToBViszTXG2XcsOmHjx
EGGLip12oHL5OLv2bsa5RGDAIj0g2X0XWesqmSxgtGF31JPJ31RixI1cgq8L2PxwZ2Z2cmyBx9BG
S1528W6VUgJRQyCwrAsfjFCPXql8X9rs1tomvoGc+ZKsOK+0TsEXmedESVvPsNYH2LCSN5l8Y77H
d7Jd4qHxc+BM0ZYPhWd7lA3kI+rF/ExMfhTrIvcMrRocbXFOWvlItpZd82V6mAgCze5dejDjsh4G
3zXg/Ls36w19XOUMEU07tucos27nIT74ssbEXNzms0PiIj2mzieVwu7bOgyBF914syV9AalH63Zb
ipsqxERwNyDzLUzoaq29KXF7GzeATdeDxZyarq8Sn+U1W8s3aUTPczdpTraBVWvaXgqx6RrYfNen
yleRWX9c6Lono7qHqZtvKNSUn+PKx777aGEn8Bl3x8GVxzjY12Ej37zsj7qnMyfBXlW2nQvKsh0z
4Wbrpa4MGfQpZm6vrbs3Ep1GUbzTGE4BTXuZMsFZs+znZdlLIg9EyvZNJ2Y4zlJ8B7eDuVva7DAv
oT3olX2Z2ALGbMWHYt7ySqT+sEz6UBaikiMilZnLeQcw8Aih3ZPB6SXrhpsgmpX7ZjB8LcNl0RB5
jYChRIukjnmWVmDRzL5JDDomEDWci6mD+ELQNj9gh/p9xwR7ppvyT17q8BlRMj2JNKIP5mTzpFY3
6mpJh/w0aS8Fx80agbUdNi9jF0ElFTnbt16XKw8plheWLvSmWUGiTsM4vo1Tt7wUqjSPcIq9L2MZ
ISPK5FXGIeXSLt0eZHf50RVIHVMQWUcw6N3t2G7iyxSb9dasJlYNdvmPnJbmProx7vK17/0taFFD
4WExbvg2TLGK2xi+eMkSefSWlNl1mbpVc2GbtQU4A4NczXrdhr0FAzueHOjob20CqhScvon9rswT
YWs6rNNTtkoFyD/FYj3BNpziboJMRR2ySTl9TvNxyb5CDlvEGx1xrgElqP9DrUk+fpQWqeLQe+sw
3fWrcKKrmB+SvAqYiZIXJRYPECTBSvse5BsnxpQLV+uiwg7NI3oY0ThcXTGg11UNEZigo2e09m7l
ph/KER4ibvluLEJD+NZhBerKgiPabaAtw6EIY5yqYRhhGqiwELBA8hTZcQFdQ3g5NvibT/LPusSu
pmQpOM7ZqMGljHdzstYJWHq+pWOsJnAVO9iyy0u7DOZiZ9cddYgBcNEAA89dsm9Fm1dZDlTsTcpO
c+MRz7TGZwCEZ1tQ+bgsQ3/vxJpelFgzAGKkT8OETn5EXxzO0W7piaqUDpZ7mr7GIftKbZffkcI/
tb7EXyXphrNvEdBzHPwuy/r5iJPkg/VLfrfh6c1vxbd5CkvdzmY9a6VkJXPk7rLYxkvbTe0Bkqbs
KkkZgE6lqths55duXctd3Lzag8Jof2zMrnsA8a3SrYKs1y72p5MY8UO36ewY6ShrTYfkERwFqmc2
2Z0C/wTSsS13lHWmBYICUQe2ByXnIEBScpSSFigiJKd8SdEVhFw4uN4VFRX0anvd8b4ophtSNEPV
DiU2nCIvn5lD/pKNXQNS3NgDcZ29lnnTA+/M3/vI5notF31QrllOzLVl5dP4Csgg4cHKvf1JF80y
3rY0+170rKIpO2ZNVk2rxbzH6lGk6Qde6R8um55GDJkwUV5XIPsW3kzsj9hQx1WnLND8yGrbZ5S7
lvxBUsi8i4RhiGr9OS8AZ2Y5bZXLwVdvTX5MVH67dOntkMRX0H4rb4PcDYt40V04NmEyHLLua5Kb
t5GEL9SBbNAI3zWU3DD4MuLp5FB5mLGfeYNXf8yZsOcMZ1XfWSAWQhMerM72pZlvl9U8u2n8vqKA
+TZ3V1Be12FF8VooEAFpY1KeG/qD+UTxcs5nYEl0JSQ/mYKlECtuaT2lQ89jCSgq0kMnAwS1KoNs
Cz1HoQ5jDuPI6Qiek8V4GJKG8on6d4m3fj9G5XcN0EhV5OARhQIM1LlKIUPNLMcCBp0sJOVrXL6m
S74boIHADTSZKtQNL0rkLzEEzf2qbBX9+NzE9jAaNvEUxe7glmI6QaA/8gEg9tTN9iFuy24w0VYG
2KHGQ7PvNAHQSPQtm5wHzmBLNUya1cFB06Nr11etxxsUB1L3LIFSSsDlzURzNdjnIfYPKA/o4L1A
fJ0dqTPUv0N7J/C5TB82sVR4Qc9Us/vJ6jOR4Y5mrJJOLzuIycVDN6TdXs8uHokB/NEkgdgi9CUk
LNbc99TRKoTBVLkm48xtOxY3Vocc7qRUJVC+3niVt9xmbuNolKhqrLqZ2hK+kmirxgTdbllxR9dw
ShcHoykHWmUrNBVmVF6YzyCzX+nBrqo9DQmUOQGL1th23W24eM16BpFvmoy8zNmjL+abSdjraloM
PYn0qFPxmtG1RgmR3G3mK8QG15Ctn+0UXlbTz7XcEr/TiFgo/fIImNcdod2A6mJs7A6k0VwFtyUV
nkGlrgAvfIG54D1tBMBpnN21WyE0MLZ5nvxi6651LzjpblqRsgeKfXNaR7hlb8m69xSaDaNg/gah
pDuBjusPPZ4pEE4xvoJaTQWHplQLQrAcTkOYulDhnmaQf6Ml3WfbZDqIcdrQVpp1jai2eWi+9Ws3
naSJWOyzbp0UmNGueYujWca6FN2WHVGaAStmzkyoZrJfFj4ZrPZMNdNjohtyoVvAIGES6HtCWvWs
SthEjVp/JLBohxVNSy1Sut61OW32YzIFBknT2hrADjruBbXxWPgpHLM8tj8sTrJzhCTjFFEPnivH
40GSEfYfUdvqeBS5KuEiMGp8BHNadRMsc7LN8sBQCTH1aBsEMIOaNjuzjen0YloTrpQk45cW54M/
aIMBskkB2caJYcj4FVPsAuHNzK4WW3Fydjawo5hphpNrm1jlWxruUCDobiMNu5cyX9Vjp5ewnGzc
0ptNUWlhgt1wXtqBHHqxoFuNQdEcklmJnx1AavHOQNIFScGKeQ6G7gISYqkHFZcfsilcDbYKH83m
MYSH6QYhfxYTgIOC8CTRD1myrTcKt899SrZLRzLxats53zVUqzsxoPCEB/Hgt+myqvKFDGE4eQJy
dc0HuneqeZZ628N6g5PO07dVz2TfJ7nidBETX0r80rb6oRH97RhTBW3IcE9HrPmSladFk1u6tHvj
09oXqD/kIftudXfG4A2mIfnaLpngcRnOm7So1rn/PLT6rsPO12Wp1gpDYrbL2+Aq0rcj2L3FQJXl
wHt5vheprC040R0pRrQHcXodVQkaP9d/DJO6MSAiK8gZPfTGxmO++mtu2DkpsjoZlpJP5bTuBwuJ
Ytsw/0AzGSHcm8wOC4SAJZmoS9/MdVKCb9B0m3kcivRsCFZ3DJzBXeaI1qCNOs/j6hSAHoXRUeho
Qm7n465no72ZJaRybYvQbYKohu7xdJ0Y+LQE0mKYljbjRiaH3PqbkcpjuU1PKbQzhegeBtI4PiaJ
4Qu1R0jdTBVVciFNeEm7SCu8GVM3ecHqPIkAgpSqU5dDywqauqc57yhf8uSexe1zmHvGoVPzrFPg
X0ril2RI7rSJkXeQslSBdg13iBy0cjPIvHg7ugKYrWl/moo7iGa/+QnquWig590+6IXUmGQHsa6P
dqYZb10HTbQCcH00yQmP5Bv0qC4QFQu+5ckbZuVXrMh20kr73ZCAF/bmvlmLmzVfr1Gg0ybLz8u8
1qOwL8GSIwSmu4GEE5XbwW2z4AS5WpfDcQten5oGk6oo5utK5Q8iwrndlqvV/UPIsgeAnYciES+i
6H9kmT17yABECgLEtOtdT4w76A2cyVoMPyZTxoql0yus7Y4NJVB7WZNmhGeZ3Oe11A/92nScuuRE
7cibTd5P0X/v/FRDaxC2X9hnc38M3kM0C2ubpelO+3Y3LURWIROgOIZHkvTgIGO9LemJQIBPtb+f
CX2yKhs4zULkm8nvZ5fcQlJ3LdpJV5i27yZBX2wu78zaH8fAgKizF8D8sAs+9NW2xFh1c/m5Gwdu
S2hUk3ZCELYW+R0GewduZPW8aZKUh8aQQ2zQSUwJrYwEgu1w0b2GCHE79mHg3QBise9eYAbvSj2d
x22sYrkctUcXNoGi6pvlrHO7L2l3MWVfUwrZyYZLtdt6I6tlRS2Hnf+5RSzjwnVizwQduR/kCdJF
Pmf+Laj5AKLyRZTpYdP+m12HW4jEboQd39UaMyhK+2z0UA8brYelu9NDegcvH0ggvmUHAeHOJPoG
9OlXnesHq5vKbpC+tPGtmLOEo4zBxiPyp4ALh3TeFG/BR9mpv4tSfi469ezNoPjienGUfvjwk4CI
G4wgyBm861p1KqEvWamFfVtC8y2abA+d9+c0sDd4UH3JxXKrAhTmT6WEmhvZjDeQnFdLm3RVamla
E5nIOiPdsyPsMC3Ov9E2Y+exVQMPPzULmTFsTe0eFhOaHVMdXJ0tsp628b5oIP4gxN+red27JGEV
UnZPmu7Z5OGV+jmrie+3PbxV873o8uQwhpZW3ZD5PU3EI6Q/7/COwHVOoMkJL5z8FJzbRTX4OpS9
5PPUPWSQFlVrPx4jnmFSs/FhlAtUhxfPcZ6+wFaVR9WxQ9mT51LZ07hZz4clmfey2KZyv8DrCecM
Mf1NRLJeyRbhNZPSREV2PSkNLEmbXsemC3uYFnKGbgpEAtAyAj2Eemg1K/NOpwlXE9jkL6VIstPa
YRD9abPRmxzi5Sfo12yP1K/bNbUjvIcTcggbaFOOT4ka8el/snNmO3bj2pb9l3pXgq0oPZak3UXf
OSIcL4LDDdVREtVQov6mvqV+rOa2z7npdJ6TiVu4DxeoAhIGEnaE9pYocq05x1zQsdYrE5Lhcwk1
a0oX24se1Unu9vlM1o9TY/TRovG/jLeVfhwGMXyCrPLurIesos6iiytyOCMSp3hREvyvydPcl3dD
w8oEgMhT5Hh7aHEad0o2KTz+nV7m+TparDqiEb2VPRCScfYs3QjdkthIu7PlktFAQRk+m8qa4S3N
CbaBMIZQHuM1gdrhErQE96IWF5QPj/D9sExV5PdhW/O7kvMpgS5K4DrZJsPtKvCcwjWpoaknxqo6
gSL7EHR9lHSNzeItevEmHHDz67ewUu8d6uN0LmqZ8t5ZWI35ix6KrIm60aD3Wd/DUr36Igpe5dgd
YCQNOyK2o5nIQ07p+2D5l0KtaRxuQcYVlALh6he/riTtYZdklWVd0ucotSlcjpM8N6FrgP58KPH4
VsdPzbw9qSIIoRVOr1MdXCnNbkdHbybLfKbNGB712MRpq+mYhTjUk6EwTRKUI9gidFq07S9VXB67
AKQJs9srtItbo4ZPDSGPpbRbQufufQs9uaGDO1IhHvN1A3kyQrlfeXMqeHjiWHSrtyIpVtQwJifD
UUKo2M1iYlkp+zKrnfMHJfDxoZXcCd/Z1K89pDM4SG9kOEsMrRJ7y4z82tmyvYr4DApiXeyp0ax4
5P1SPq7t5i4kw0vPomW9jaa8gdrbC/BEWMgZzKDqFraRzAGLhZ2Ekxm3EIeL6tFZpm/oHHSXYzyi
3xsJC7CBCtt8hVdHWsAgOXmPh8YlkY3h/2G1psA7lruwKSQk7JntuDH6WQclv5oiABJ041jzoVl7
usfhG95IqLKnQHXibptCkS3LVtRBstYGvXazErxO1dJAYcfHY3yz2ViGKKCKaN1ByII605XTfM/W
eYVIv9mpxx7BVQ/1EHpH0hBPT2s5QOa06KDMGlffhrjEIc5bfmX52D40a9tecdepC955dozjwHxj
C9eXjnp7n9M4lElR1iMuSlvRX3sXBXhMRfRUR3o91VtrTzEvlguaW7mrp5h8gHDGpww7IH3l9UzS
ph/Cs/jU3kysCw45dcsx5914oGIYLjsKr2zUrZoSHxue5X0f7s+s3l3ge2zElZzYlOIuzR8M7/hz
eO65xqjHDXUczUK7TRAQAlneuKUXJzFP826JwvIS4hXZLxRuVGK46/fRhrK3JmN1kgudwqSwrMpc
F+FML1U9pmGfN6c80EEasMgsKdGLuLS+4N+M1B1LfDNxk4oprnd00qjFN9nE3QMARE8SjRcosRtK
Mag9Hyj8mih1einfqCPFcyenemdgPPQZzFMoQvWyfdFwXLPZNvy+PQu7hgKSi2pevRQNDE4bV+S6
MuuIWjaKUKMIecsqtdwNAGK2rOm7KtwRKF97P696V49ywNYXyQc/3AYRdBKdKDYOsOrjyNdww9Vy
waZRH+k6HVsgU3WSt9DrEpALVVbAi2wepLXS7POpropdoF37leacfsnHeLnwWtVfBQ/zMnNtPr7l
UCKeHa+7MJk6K7bEbWV03Te8oMmZlnoDoLi+tQXp5A7lzCQvQx8H416YeFhNMlZ4l/EB0DQkbglH
B7XIoBD3/bBo1HcDxTmhHM93oJtaSLVoh5rwTqsCe0GY62E5bl2BQs+SnKqTZ8tRlme5sBe1w10s
WHkp8y7+EKFX7zIvGg6eosWBs5u7HGAh1T4O92r+7ge3CyqpZZrqQwPAjO96Hk9N1sQQAJNRtsLs
yqGFXV/HC8rQwcPhS4yXnU61VZE+SuabC7pGxbSfhJveIcCOdWboCJdmnsDFQcNl9hXkCk6YUuqg
SPO+WYf9xDSPLpqoL25KiuMvK5U7QAFW9Kh8UG0PAFHOq6noQb0azre2hp7R0i9dG8ChjIIWO20Y
zvO612aGiiq1QCuLvwS7wcPhLEPlGyrKOee12FGBAzob21mEu4pErbkscORGsJmksdeh01F53a3Q
gT+BJG3k9dLN63o91rL9OFbzsuJTswbeCJ2p94m20qU5UA1j16mD0ZLHX1nr5bc8RE2RbFAJx8u4
XM19VLjApCPEorQawECkQdRt0ExAi8wJH6eoP0gytS4bc113O7ZAQzrNMZm+ioDB4iAb8SRriu1D
vsQ+kVEPGzUWG3YMMGifzSrmftdP8RxDQWg5aBATx/6BTiioSTeZ+XJmPPoMk8OvKeCfec3mPAeA
Q8IgIvuB5PW1jt32bapXNP0h6YnNghw4+IGYQEW7Ym2GPgsIfI5kKueyyLrF9Fdi8Wy9cmdk5IDK
ewBFq9YCzWgVjfxy7kaoZVhD0u8XLxSQhzDOt/VKBHOnHpXLVZAta2lue+gZehdqIBWp0Y0ebueS
a77zMQeQoGYIPAfnQJ1cDVMQy8u5Nv2dWvONp4bRywnH7IIOa17rxwo133DNZu1Q0GwBA7YT5liG
MN6WAGV9G4FHWklvcTurrU/AQgEcWUSMnZiGKBR21LXc7J0K6Aqv3pp411Zj8LnoCeFXPeAcKB/U
QU7qclt9WTdV5MkUdjyNZIUvarvo3gUdABKQOqEDYlMXPMUKhgxZlzFsJUPyOE97v6yPQINGjbbL
Vx9AJ7Lo3uulea/kNm6nRRWFfTIAH+h+CgO082TU4I4rFG35cxOy1VzTYiynxOG3rDDMihln9Jrz
EWWQa81HFZxLIBEUukIVPkYQqNkY+hc5SFKmJFoKBaW6GkKA0EXxjFqXR4kNCqvvw5ZtXxY751sG
ihT4zRSU22tdhXBOfd5GIgGfP79Tu5k6LU0BzXBalBhue924b7A/KyCrBX7jro+3cU0oBTy9MWNQ
fimLw7SHmlGn4LKC9SuBi2T3GnSNOpDY6SIlRRQqvGCFM6jDq0pfNKzy34QB7XDiQyOiXdc3AJAb
v27glUnXDmmz9GCpWlmJZg+WtwiT0lTs2YkFVKQF+e93isn8UwGRd36TgDTGCxDYbMh0JS32cTUs
cTqh3IFgHJjgCm152SYh1gxPYqfGh9YN5MZ3uamzUgetzEY/dHPi5wacDTZztNTAVZrjChhqj90w
TEviXJ/WNavghHv0haj1DJdXoV3tkJUFacaLhutYYFscsH3C3IBLMTWKwu6Hp99mcyXgxstiE+s+
d9bOL/Awo085jEboqrRhn5mJg5e8lr3LYt8INPpYHHAE+liYfefWQd5D8eB1SqSvi5PNRyWuqiUY
bkXVt1ValuMGwLwRA0unYFnlCTvtxC+nGA1EtgAxG7Op1dLijOu2PGtoCAoZL+9UXHU850DKVllf
Nxp/cWkGasq0tr6GPx1FK16LflxuUdOt5Z6PHKBX2QbNcDn1G1Qy2nfbOaTA6+JqhDyygXENp8/G
287sW5vrMR0bz2XqYaTYg+dWlIcCNcqEb7MtnyesnxjiGpHRgZU1gKlC67U/0LzO32Ohg+0ABspE
h2AWQ7wPHYHtC6DWgtoa1hZ12Fx0ZbqUJoRSWLjh2sYlr3e2ktLhBFy220k5tqbN2KgqGYQfAJr0
AFHQQXekvBiYmdYdqBnsHLyaxHjauonPkL+GeNyF+ax8avCzciegCo6pWrrJHUYLVgwddwNDsOgg
zqWCmb4UKwD11X+oO3/WjQIvPAjvkfqLpmIyKJJINBovkwn9dkOVsNVBxItEhoDkzGCXwYkdJj/B
rv8idnKGQ38PnUQoaVRMaMiVZBGaGAby9efQCdDJImhNwdBU5QPehmmk2Jr4sBdz0Ce4k/XR28Nf
X/McZPnDNRUyLsBfEcOJFTjYM9D6U9CFclFCmq95JpQhDyqC6sitBZJad+MesnS+b7XwWY0bgYzH
sM1/852R2Pn1+iFnEuYnF0wR/st3hopXbF7i+pNttz0tC3dUzIOXIMX69a+/6r+6lCAqlpECB6x+
ZXO3BYVnX/Q8o2xobhhBQx4AmMtqXUcPf30pev7Yf7ytDDCxCAFGhsAbJP/jbdUl3m4HyRVlhgdp
O0NR1BYFpsxyG5Crah4hfNUDSiCPzbeHBJ/MJCTpX38MQM+/fopIRJCiCQ4LiAi/fApU62bGrsEz
PRn2XqMwdelaB03S26a9H9GObX9zxT8tYYXvGsYqYqCgqQp/WU5ojvMS7yS+ZhcWSVe5r4BvSAYI
+LUYyL3VAAT/+jv++alyKYTkiofQDyN2vgc/LeDBrIWwbpEZbJk2Q0m6JbwBJESUm/7mXfnT7YyE
imQYxjyUgnOBzNrPl+IOvNuCcM4up5V9LdaouthmQZNIQ0noEPQ6/vVXA87+x8eHi4lQMSFAu3MR
//LVLC/6SuoWLUFkebULbAkAboW2GP3NU/sXF1KU40RGdYfN59d7GK8zjpu1AygwEPcIJra4WYVT
u7/+OvTPl4kiqHtMAhgUKhTnxfPTo5o94PhVi2rXGsn3bVexQ01FjSNhrNIB0lGqh2hL8CGefavz
HUiONqlFW6QqKs4dwQqDWuX6b1bQ+bH94V1FU/vzx/rlsbZ1ji/rZLXzbQH4owaIsM1G47UM6lRu
crquta7umjxmf7Og/nRDsN/iseKV4ZRS/v2G/XRD+hI8Aed1A5GFt1dd7uM7XxL1N1f59Q0RETb2
iCEagVWLyvmX70egVzQw2Si8exASQ1Sutx3qvCSq8iL760f86xfC+xdxQXGmMGQ0Of9lxQ4cdDu6
d+SuAgqnbAvrAdD+2qvlb9bSr98JKxX5CpwcigHtkuE5v/nTnRsJ6Bck54o9XT0brmXnqgcRrgRw
D5gT9+Nr/b+Tx/m3QV5KKAEfj9v777O8/9N82rr20/hzjuf3n/tnNif+jcfYOvBui5gw5P7+I5uD
rC9SvBQbGccDQ12Dq/0j0Et+w7pHZiZG7UHOizP8LwvnhOp82v3+nuMtwwVCgdcMVYbEf78szr/M
5rRBr5rNJtb0g0lQoSmTukkCSNAtv9li173BGiu/1CwAH7Py7lVT6pAjafrNpFSV+sHEdXgOj0b9
cxdNQ9b5vqv3ZlMTuMdxuNuQi73MHV2RKCsbNPpAU25ggcCMWnL4uQZZnvsaaOAV2UxXJh4Q77XD
nnkZkaIMEk+3dT/WSPCk06TMIwdgjJdYgZYuYytuWBHJ8pDnbAMOiRoD/kl9GBARmq/WhZKbrh/E
TcSN+NTrHF2lDFj12AQ+fGJV2d93M4BG4LNcHXHaGHh3kS13ofTsHZoDHHXt1vphKjboAxDN28yH
YN7yutUHE5iKJLTp4kMeu2I3D1FsU1rm8nNVVQgx57blOztv4dUQK3sfAW+AELoF5gQcBzYTnJUi
7RvffAoaPpZZgyzEB7ze7UcJB/BS2M3e0VlJZD46DrJggHP/Ad2ku2sG4r/VcgRcokgbXGBTopej
hOgJFwJpgD6iK8gXmu9WSLhgqCue08QheIALQqQ5QtCKXyww3GdADu2nduZwpbGQ5G6GkOJ3dWuI
BxoomwNZmawTSH3qENRsufLKzhltyAidG/pS0i4DfRIFlBrcq6D8GNZz/nkzrjtM00YvWrcNB5jB
ESDUdp5B5lU43kKQnoDMHcRrYCFx/M1YZL/xm9vdotR8Xw0dkGqYqa8NMs1wm5etvySSFPstZPG7
63V57VdasIQNJrrnAF+fICyzIyQKf4rNAIaOQsN5c/CAjgupdIwU1VK+AhNZL6KthXowuBHRk2iE
uLEzm/U3ue6G+9CCcAgLNdxH8JMOTa1clMl8Rutdw9cMEpiHHIFyJESPBr3vbizL4ZGEQ/Gcj726
gsK3ZPBNEPAqeoBR8RZW+z6wZL2qsK1/o3SsPmI8QJFBw+d4fnhKJ1kPCrqln5GRZRKk1bQ29i4X
Cp6qlNUh7troWga2PyErV3yyepiQJ9KdvsXBs51q0o53edibV07M/ACXY7g2UG+/jF6W8GR0hwSW
7z/Mta8O0wyeMQ+a9wnEyR4SfpSFzSKREtLLvpEMEbnZT6ctjtsrXYUTSzpRw4dH5GtJwzmiWVFu
8tCvzL9uQ149diYqL+vRr0eQlDDLSeefahhTTwsS2AYKIIe6EVGkow89AHy6d6KgJpP9EkO+CIfh
FhRNxxPSikmmCzgt8Gx17kwmEIGD3B8Rd29jJKoTbjqi9nPeDWD1ZyfgchLfHOG65h/9hiIiHdha
VMBUIEQCX7JnDG5pZQzQTpsKLPOS76qmKhAc9/UzgpUVykwEsG6nwefDXgbrdvRBs94RqtyFW2IJ
cqBs4g8cefEJGCGEgLQQDHFvgvz0BVikAgtVBNsL3zYEFMZw0mcYpbmnrBRX8G7wEZa4XAbAucV0
P84WQYKg59AKGazJT1EMiyPpw8lB/oTX9xY0xtEE3BGULYJmKumB/8HuHMfpo9gaJCIMBkE08Ig1
zv3YtMNXVyz2uhpLAsZuqkqdYT/zcyYj2XwIESSUCEfNy9PUt9FjuUTluENshQMI4R1Ny4B0SdNT
/gGQlD91eb196aKw+YrQk8B1pW1uHXZmi8SQmyg2MLc95yv0Z0n6fshPnYqah8aW/OOfdLsN5T08
JUnfmq2rDgVf+zatoat9QN49RB5gHY5IFaqsbajMZtDjn8YaNreoJ34inRrvXDs31wLzKorElnmL
zFwlSxgXSGokPwl/vhfkgBXSfIxznQNzFEN9ZjjOEuAGfPBlQWOEWFhpbJtNXdTrHQ5nkERxGC/P
+WLHHahocxFAJmJJDqka6msvttdBVsF7GUTtI5Km1VdFI3roAOBdx3aSH0lLFfI+XciA03ctS76L
iJIu9YrwPtcnwnv1WkITPCJ6RdNVLyxbN4Q+UrkKmrZkNiARFHJi2A+7224KEHrqWhx6MH2k+fBD
dwy2ar6GMcJeZhpBja14c6sUVjg02HxLXQ7iVxUUyYnSxZcGdOf+uzCp9bgdCoCoZWL1Flw1QRfh
HVyKz3GFZVvkXCQ5wF0QZLUIj9XQV5eO9XRXw9T+RHtkpdJAG/3iciSYAcuX5LghnGeyxvagVy0J
gXpZNGhPPwuczQIWtJsl3tGtlpk7Y5UY3EJOrFrNha3dcPlD8gRsD0NuHINL5FKDrPZUXAbGg0fn
HoGFnxXQ2fsN+mLUu5fvMqiomuE4VDUH3oM5EJpRmMWiykGT/K6NFr51p2VwiE78LJBiT3NHkNtI
B2FBtxhygbfyw0iH9q7BdSH9zNOUeWtqME/bxEBQGXPBaGUuMJSgv2kbrb9iqsH2GkcakqEbAQzM
tNlz3phDIYfqrlKgwNYBZFzScd4df2isYJCaUxdF9o3wSb2zuetA2QQqT3hkepxIQRz3hwh1xZMs
HL8fUcvsi8Xld7XjNjMqn69JA5++AURzyaD/AdGI2foCGuH8ptL2YW7K9kKOmJcRDVN8EvBYnjE8
BbvPBkc/sctMP5NiDoDEl248rHxV72r1+acwd9tFua24V4Xg2/VIVnIXiFWcdAk5OgX6EH7DdBR2
HY85uf2u7pK6ak5RjkWb/JB4sVmQnV3GCC8nbu1J5LF+a+fQADax0fAaVuc8atO0soMA3pELgRL8
pJFkYEihcfUZLO9wkoqvuwp7xV2/tPFhZAohvVgrFBiBnAHCbMsxLkew8osha9qpCXa8rhZsqaaM
9ZMI2fwpLob1Kl7mYR/pqMhATZ0P2wLYN2amLBMIxDAHjFnGFzm37WkeuIKfYEHy+K24Gb3odsOw
1BlmtKwSyS9IzD6aOnSqg5lT/l1nRlzGELjc0dmrkbM7lXG7HSZvEOXIybymTk360OIDX5Srp2+m
NT3LYOMjNfNDiy46JZ4UyhVYcrB3gTus8yfEEWqfVGHB0hYg0w6C93ywBqh9kheuPGBsxXirdVG0
aZircgdHTDQ7Oop4HzcDRORxJuXJlKp4ZLUY96qVKgJagfXQ50XTJ1GpsA/TKOJDtsiNopyZQFlH
o452y9ybfVyMxYWOJ3MjZAi2wVdEHpq2UgqtQhy+xSYeZbZOfDn+ELyDjam7rRX1EbSFmNKO5Rss
HUX6U4Q/36O5rW69ic3DdwmcEDfdykZU2CYrzm6gRfTfkClkCkNv/kMRzxFphcUv7AdERuUl+ChQ
qRXI1p36ro/bQYVfYZE5vPOm1Z9/KOUzj5hLtTNIInUhDh1Y0A+rjtcnDAEaXmvWx/ty5sF7PFXd
7oeK7orJPYelzJ/GaIPhvjZGvJBJ6ctceP3RQ/FLW1ptNwvrI5sAVaneYXv626rCzCHYa3F8mKna
3lrm0DxJgPJV8kN23wbC76oe/EcBUZ7TZU7DEamw+fRdiI+ZpT5pFTefZ+cReOpFCQ2mtvIqZ36B
2+UaDLSBjfp5aEekkrfSDqiM5qYDRsoasOg/JPtBD7BOcxOMr7Ptxj77Wb33JB63nQ2i2O2qcqIj
0EZrp+uStd1n5ma7/94p/3/l4H/8UAA4hJd/rxwgO/Lp8//+X38WDs4/9s9JYPS3GF0ZiyKpBFTj
80yvf04CE7+FGA12ltGxbiDvQlP4h3CgfiNSRDwOKYWNJMIQotY/hnqcf0hGBEpmDKoLUrT8z8z0
gJT8B9ng/KvOoi8j8GfQ9kv1i6QNJjrwDHVHVlDmXhEsiq9gipFniSxZnE0i3C5wpPeZdFs1otXt
8huEvsCGNbqKICVihNV8HjvBeTq0LshWdNP3ZTw9TbSBHi+DWlbJrKb1NM8trLxQGXtYFUd909HI
fFaSjldTw0FZos0qDsjFEJLaFnxCJtmg46uyLJuPmFfQ28NURpweejqEAFyMz1/sFspXZ6XkWTB5
jvRerDHvw7k22tWhNK9ltxQXUing+6NZdbmfVJVL9EWEQVho+tFAy/f+hvq8280uDN71liMs1omc
iiNcUH2DE0MeOnREV0WMMiGxnS72vN8KAb4x7xHTg/mKUJvERCrALfHVuHhE5+yII10PqTQrcrOQ
YO2uM1X/UNPa3W59zFJXdoNNp9wWGZcrHH7MOxp8gsq3/0RCh0sB6qH7kYYWwdpV5ZeeIZmyIHc4
gnFe3VUkQHNU5ahPUSftp1FC1Y77wX1dkEl86tkqrmm55XeAieyV6Gq57oouJEkXbDUotGKt9u00
+WuzIMqCmUvTEa6zSno9BxcGpdRuK9BoQDAK3UWr/AabfLA54Axk0xrUTMH85Ou+WDDRwS+v4PPZ
jYvNPB/qqWd7FQPeQFqvmarjTFlRYWpDL78BDQTbSisMMiqSAEzVSy+H8XoI5tygRY1wGIP1ZhrD
pVYMM9iq+CpCS3VmFSV9ycHVQUzR+mbeuu5QhwM7YUpc+7aG67I7N6oZMrUigyE9P3Wronf5iolJ
xzBA+jK1s7VZPlniIDjBPkI6qgL+w6RHAMYG+fCMuXHIk0EGxPgU7s0n7Vh9hZZ1+YiBB9NjSbb6
Igec8k7aCbzbyKcSQ9ewsm+dHesvE5hGQMB6eoXgH33oGqgWRVTqnQB6ysFcRjCMiYH9n0y5zO9C
Vhm92+Y+iDO/WXG7sq1NZ0e6D440FshhizBPsbXTHvNjzKnhHn0nW/EmLWNIv7Qr/iZolbpvNA6g
EjnJIYmnmXzs/KAvPNH2agGGopA33dw9nF6biSWsoAVi05pAg7XNS0CL+cKseVdkcz1rFHVhU10T
X7DrwMHlyxFoQfMt3X0LHgdoPQRqBJX6ufIQmwbUtV1phm+kK7dvWltbJQ0Gg533ifymlK0/kLKs
rwqE5fdzmAfPDlGqm6K283VINr0lwSTxTE0A7CeK5/zejKsEHaJ8+03NrvnQkiJ8UFsNxtt7FaQF
ZDiFyV+TF6jlPJBuwFDTsZldu3MtpS+xycGcRx76SzYUyOwlhEFI3LpAX2I6QXWp/AKok4a+/Rxr
p5/xpNF7b0HTfIBnUzToNib3ETm1zh/tGNdpjykDF6wFOnRQM0boiHr5ns7C1ppCj4tRqgztlwaF
cJ0gnaz7pKmD4pAPDBNbmJKvzKF/2Eu54A2eIXZBcTSm2+keU0xiUZAxoXY2TwR4HhRTVHeXZMvN
81bj3DjIalZgOpv5uqm9PkGsWvHpFakOGtv3TmEEyXMjwCU2grgqq9cyeJdosIJkguO+m8cBJmUc
bF8i7NkJH1qJYQidttfrxBjLRlzjEQWOCtEoiRDZzViJU1vIFbsPwoIolJaOWHCX0j42tq0fpPfn
MntuizipauCICfCp8iWai/4FeUAkkb1uypRa2j2VcxE8TWVRV5iHKLstaTGbBsFvsI5NEjLZYC2W
tsBOgalPWwphZdt7JlbETCzmWWhKtptKUXJQBYrCXcfI/A2gNSD1zTURmBFKIpK4wdR3anHnJBEG
3KFutwhFYQVgTQVtj7cJ4Eii2r565qwO8UQhbd604wby12CM37e17AHHxmGTCTiuewDaNapCg02j
IXN9tyjMwMScljAB0VFc8G1RGAG1TTvGhuIuxsgZ6A1te2GggGSLJu2cgXxu7vs51G02Yp4hjswB
eoSsy+VGoUU/W+Qa0ws0X8clAcNG7kqkAJAMR23+JLC/PLq4Cr6M0lYgFG2tHiYJcDmd5whzUAaA
tW5d9BOyzfKYb6bv99SJEIgXRr5VzjmSBGst0JKPGtlcUiGmi1d2uWIrz78uZGiuGtB833QYlxjx
AFT0xhcTfZsnzW6wDW3XGDuFuTohogjphNz9TVwrbK/C8PAtgJL1hu01OLBg6PZeV1C3isHQtxxY
/lU9reamwAJ/qvR5HOO5ZzHQ8Q5LG+UIyETxySH//1ZuUQd0b2GhzjDDTyKK7dovNaa94B+V9FK4
lb4OIdZEOlqgZnnFo6tQifbQSXC5JDIYC1m19WO8hvwjWvsYhGhjRpECUGIhkgZF/i0v8xmx5jIv
dwNG7Dyi0SxfFP7ZEVxQvO+acMVusrjlspZAwkETFw8ELOIxMoKZpN88AypJq+56RtJxzGaQLKCG
0I7dlZsAk2xHi752EYVFg9+I62Ca4TVEfa/+L5y6/6Yz8f7Gg2Mobv99JX39dfr05zL6/DO/l9FE
KeAtEfALKsiZvPi9jMaMXTA+AnU26ulzhf2PMlr8FqO6BvmDOVOCY5AhLPl/lNH0t5BQeHn4UQYy
Bwbdf6qMVn+aqIsuGkqiIgCNojPl9EfH9v9Qd2a5lRtrl51KTYAGgz0f65A8rY56pZoXQinJ7IN9
O6d/FDWxWpTTdjrta8OFerkGDBgwMk9HMiL2t/faE4rcaIP78iMdv4OP7EOIZUgzgBJOa/e5x8am
ea3LelSQADXr2mXX+HOMAHtBwLkaLoaQ64VZGpL/yWr16Hoqk+mxMLv0HfBP+MqBc7mfC60vMPjh
61eNatw2zuxe9gReZt9I7AJSQFfPnjXY6RHLZ3enCU1Cz2rKfY287SOqjwHglhprUN3q29kMw7eK
6NeHA2M40MO+uSomvTstcaceFWlNV1U1ZlA8AKuoUWQ/Mkmxt0niyKuutpKvFjwv7HNT9yT0LLmy
ytJGCzFIFCU6afJNFK3Y1cTQobI681VYMqZoDFTyTWIQpWPTQAQtXYDZjnl+GCIz3c+l036MRhQF
kWakD3i08dTnTfwymT0ItDgkXmAZxrmXhXWbpmzb9Hxun4twtF6Z0eEnLytct+gU2mFyFetLNif6
EhRaXF50ojJOKePJuxSXf4pH3qoIatbRLmMCcUi6xjoqGSeeyDBZhSt4wB/QcFriwwTDA1WDOoAn
v8pvhdrY5zix2RH3mjJdJ30xgMMBN3Weo0hc97ZE3YwAOfp8WfrRHbLiNI9O/+70sEuwVObhCRm8
QG0hzw5eCWSDO2uXetLXl5bGY0jpq/qZqZp2YwPUekjCziEeokIGLAiRVWLOnhkSRTdFnhfv7Eby
4+LG4Y5wm/OzkWcDj+PFnUAKZSnpJCl55CmWqwLuEcMF5kFgP2GmHqbe1Q+JWIy7QeH69aJOlafE
ctEUnaEnGzAMd3wRCsGhTh33DMDF7cLomG3OEplv7DHcO9J/CRbwVqtKT3fZvHq4Uet7dVzGbZ3a
1c6oM/KfGjQR0xidLwivbPI1vVjubKdMb8DhzdeYkthGZJIpw4aUQxjg++IQsKAfIp1XSk+QwgEY
V1uN+UjcFnVoruRpmKJiXysumS45MywADFc/8uuzzQZoU/WbyIHPbGDPu6lxk2+sUWMQXpVJdlSi
LLqtpcPYU4L0xoMrQLUx40G9LuJRbCeoNA9u6zpXDks7Fw0mUgL35RogMs0ro1Wt/SDT/DQXto5N
2Tb1vWMaacFgSoPWPMbxXsi4uyy0znl3CItvs0i1T8sc6WAqjMg+jYzzTkaU6vqmMXEJb2yVkS2f
OOrVJq6OSwbtdRyU4aJiR3VWtFycQi5rcSwFZIAlNxZj60xqyvzPqMzrUXH0wHJj8S6kYxP+Krm/
t6DgrFtt9dl6rNQc2ztAbsWRUFPL1wRO5SkmQsfMOJSEXbV6eDZyeD14TGUbYgYVnWR8mzPrbpeZ
uenidFDNipL3G+GwfQcDR1iVUFT/OA95PW15GthMSaZkeinIgJO96nLji1T19kJtw9jZ5HziA1PL
8dW2lOLDKM3qnp872sPlS8g6tOHFDDcE42ZSi5uYdKjgeq7k11Cpx1NEKPDCQj/eCiWynmVjym6j
D6KaSbzgo+VAhz+Ys+MUBiEnGC/Jc/MCnRMGOBOOA4CA1MMNLP2KoBf5sD4bsUHNRBOt8WnQRHw3
VUXvw00ozxMqwGkwUvNlSoF8l7MxvAAtKdrNnE+W9pTObCr9oTYgbmazuaaX5ChetIRg+OiRd6mU
e8Al9bCBeC4Yc9rjtG/MPkkvkQvYAztlkce+rWPRCByCl7UftVr+2LUKTKw+i4np5Rjob2BMylNb
oej7XCPt7eBY4romf8weOExdSNkTsfd6SgSTRzIdE8+VMn5oR5EIYvF5E7iJmZ4ZgpUu90HHc4h5
c3odNobyoTcLAeRkwD3sczTj9mHy01zDaAIC2Qhzh5FbAwdYhT2SfvRop4lzYydJUfKxGEx5aVuH
8HxUYkfcc7O65rv18cJsMwdLg9FFV6HdkHbF+Hxwqia/EqRyF38WdnsyQjvzzb4pbude13cI/3YA
wcoKQoZ6e6jVANTSKb2IYo2khkm64qikWPQhF0y7RLMZIs6gJjMrJe2kpG257XHV8wcjQEswlWrf
DgfriAMagaoo2QIPBvHEhhHtFHfZldvmw84y2SC3Hcfajah0ZcvD0z5GEeeMWCbtntBatquTqt6X
gjHqrcxtZHK3mhnJNF1BOFUamnshx1kquyyfWgYseYtzxITHASVABf3LJE3ty41ZRe0F2YOqChwX
2ORGNkz6IgL9z3LsIUxXraNNwbC0+Z2jl/l1xxaA+2tUuUc5zdfzVsli8WjqWjwSXKltuatnq4cu
VM9sje3M+WqHbfaVr1C6fp4kPc/YGTO5WcAo3bj1vPiETrhsQ2jrl6CmycsMaP1IDXmf3jTJxJO7
z1Q14H5c5N7ManUvCxfSQhXye7bhNDyOi55D6UuR3wg2VsWwCztVZD6wOJYdBZ4T3oWcbQaWe488
0niwFtTCQKiDcYthg6OZhdx0ARKoEaAVa5QgBSu2l8G3JHvVuHpJBtqOeh/cXX+Z5WN5nZJvtHj9
ikAOx3wOVHj+16Rh1bGQzH14LS1J+iKbECD9Whkrx2OO0l90Vu4+gXrMvkYJn1nE8fLzaiHmUd8B
0jLmcddaqnK7GFWteLZC8GwTlVN8ipYMCNi/F87/SzfyWNj+80b+fzev/dtfbeX5U79b6TAYGQjP
loPjmC3Q71t57ac1JIC6ba5e+e+cdDalGca6XWfw+IvP7redvPUTnk/8BZYGMRs/OFvvXwHf17/4
4/6uG4OZ4g+COGcBMgqEcS3eG3v1H3byA+NVgJ+gOoQBTzMwlhgthA1pWW0sGJ2tcjlBJCnCQyHV
iRy/0QNlNcYqyGy9bBAB7IV0/KAi9hnVFHsyL83nqnKLs5yQqUs9nvdjUmu37HRir7ZgDurkUDfc
RhNBe0CDOafSk1vp+nuVacXPijK2x7B0iP92LdRGZ9K8dp4TL9VKRoWd1oRBtCypvuq06ntndQBz
pFm/L63ML5MhNA4Mvm3MH6lIHlwtq19lDbEntN2I8gAL4JsR9l9bJRm9CVSwzyeed9mssZua65HN
fGbLfN/rdbzXItHuQo35XdZxuBcgWa/i2I0uEiiz3rIamcJ2zj5kZYVX02CxFM+5DC+nKEp8m8D1
nv1edDEAZCUIm6pbN6ttUj5oUfgSl265no1OXpalaftZKm6bwr1pzG5oDwjCIQN6lN7Pz7HVLJKv
G7bdGci0SC5X8yTRDKdkPGRt7e4HuyzekVbsvaLm4mbRHEBUa+/L62LO+nuXk+7bwHSq/FRY1hGI
Wfo622VkelNZ1xczVsJTOrqL3CUEn55rpP4vBZsPcnN1Q0Z5M5VGAdhttKLUZ3iHxi0d2eqbsBsb
hG67tHb9KojruPWe6kmgwcCz6u/duUY7n5glIpMqzFrZWOftoWRbig0hCkXQJblydLKSIekqyWtl
PBzMJtO3peAgBjFFSw+Dms4KM5u+yjcYoN3HRJ2KU6f1xk1XZCVMVdHqCVRBbfoQaa4onLvGottC
3jX1gHMgEa0qrpVjrDXNtYJ/tQWP0tQmRRZckitjrL7E96delTMaXwxC6yUup+JQDyVHs3C2aHUx
Qr/mnr0kNEomeClVH5yA8QhmjpxZphaBKkkp0Lqib9Vay+F4xckQON0Y3yx4Ay4E9sFzOppsfjjs
BXk6O2d3cs2PqVGYjEs7nXFrxvo1bSTOLtMbfd8bCp4BQ2rbiHwgBlAYsgsKGxjOgjYJFsFdMqmE
sfV5rrd2Uq3ElXghieJMFm77BgCscMly8XsQrIst0uspd1Wm6d1Npi2JrwkAfrNh2MeBbfbWsY30
lVjygHMO8ezSLUfLU2KnYmm0iuS5qw3KZnBzgv/R2npHz0QPV6ka9rgYl4tWLdpbZ1Gjg6bb4c6Z
+nSbaSZbtp71dju7cfVmjZmNhi+1Xe4Skd6oiUF+KzZUGPFm1n1JQU5f6tXU7whW9bDiwavqYo62
bbKUR3eWNUTQBsAvF1N2GPj1L2rEvqBRWmYbA4hUv3XaCng7aj8NGZmqbMj8mRc6LUcbcNCRz7Io
j1HFzr1oW/2W0Ju4Lmswv2bXAM/R4xWsqsqvdp81d7mEzFfmdnejI9/eJYU5vvIdGsewTnikzT3R
I1MJrW07DcUV5Nb+kQghHjYG2zfZuqkwl8oAuDC44l5WibvNxwmijFbxg8pY+arEZO9gMU94fYrI
EfuWEp5DC1rtSU9t1HxTQLTcLbNSZkEy2sr0S6bgX821/9uWZ5fxMqvf363OIFL+z/8Mr833Uttv
f+xXpU3/yV7jY6xyBiuxsVrWf1XaqK7Cx24YLs4ah9QVItw3pU2oPzkkMFg2id+uy/d3yzO2XuYs
tsk/hiCD92+W5x9CNiYT6rWBwl4DNg7b27Xt4vtkxO+hoVgH+hvFlfBMsy6PmDY6f6LdwBNmZO3c
IulhvbnTXiG7/y1bZOYNKEQirYKnzDIE332V33YS/0v2v7Vqrf763/33vDPr03lvqjzb13wI4uX3
7+z/c3zql9dz1DWOAsJ1zcD98fWWojcZ3YZ5YI4KB7El4CT1i9xMxQqlan/xkTD5/MWHYs/FC6iE
tFR3DQJ+F0SpkB/gBUqDxXjJDllfWvjAKvU1EnJuvKwfe1XZ2q02O3tjVrqPqrFiDlb9Uu8VNgMP
CD/ZA6B7+2owYTkEkmjNM07A/N5BgmNpn6TYpMXQXri1snzAg+AcZU6qDXXPHfUgFWqebdx5ju5B
N8bXzOMjLFMaZ1q/NfCielkXG5xH6K+6j+cKBGiMBVRj0GNkN1I6WeIb7K7eqPtIr806pIeoiPvS
Y0eDeS1uwvi+CrtU8/MuyeoNTxyAWtM0gRqaBBYfJ61YURm7M7FmoMu6Uoc42uHmdeMm6xuMsipM
YmM3INCBh7X1qMAUEQ4vmOrJVReq0j2LYup/Bp4/B6iE8XZ2EgA+RH+Ka90NK1CbEht7OxfRlVVF
+j0HnO65wix6TKmCCICX5v4aX7itkQWeXAbz1whIIgg1vb7QElAoKbyW504X+v2EXnrIxrw4yGWZ
BsCqtrgVbEQu7dF0MAcoMHALWsmWwGAIWvjcUcBa0db7dzQDdjRzGSkYP0GevS6ahj8CYli0Swe2
E8GIcvBcOQWYQdSZ9qwNLgUtTLphnqamcaf2BoytOTQg2qf5swmi9mh2NCW0FUgWE8PLVb5gPkYi
xFCqdTYcij4p4Ri1kC/7ZJTnvp7CYYPAyEysqWq+cTx5CvSHqNDeUbDSizLtm5izH57sTeno8sad
2+pL3bV1i+5eFvC/ugjNJ6+V/hnTgrNTR4fdjEDu1XzbjNS7kFPtlQICdPImrJ2jrypu0WAGl8l7
mLDceZNFQNdaCdkhU75h00v2301C9pLdcJUfCyn7B3tF5Rruql9rvcDBPUXDLYUA9ZH99QStJXXO
RL5Brxhd9UZ/xPJgLG71Npqu+hBXdXyrYZDrNoY9dee00bqERLjdXyi4X2CBGP2nGwbnLaCoW8tp
oVKNmDChAisz9hIGd8DTpqmEKGRYzaNeyYqelgIu8qh0MoigVx4IoIAhM4f245OETHRHR4boqtr2
ipV93MFbRUAUOEy10dx9co+BRltoDol1TqMJkLwOU690sUA3Dpn+T3Bx2ndtxwAUOjHj8jUONOWe
ORvRw0AaCNrRr3Bhd1GBQP8GFs6W0fQyngKBg6n0q+YWVHg5mX2K2tI5fQKBp9psrsPUAsm/coDT
XJV3n/RfRe2RMD4RvyOuXhiK6sjZYeg4CGgARQL+FXAuhHFeVgwv0xpKhJpQoleWHMSMMNzPk6pv
x5EUxidoN5oL7Jsdrv/t72hdZQmNE81rnb1zwZ+ftXEqbhdnwPXTxfldZmbxPTD49hZMH/PcFYTb
RQ5aa9Tbl1mNqQbjwDfAbaE1bLY4B9LHYVjAXx2GndllarXhCPkmI5+iqkX9pnX1Qsda1A2INAy6
6aTLi7OTKtgv6R05CgmNb9fzW4O87Xl8dH0B/VbGDhgG/FG5GPKfnYF5EYabLN0p6dgHA86EgqRF
HL0ZMpFPGU6Ugz42PXOlgVqALjFuEkZr14o1d6ew1vSLpMvdoxXDP8UqHnKaiUy4YWFj+/TJTM/Y
Wxuvt3qX+4gQiDfCXvgiYWe8hHHUH0nGjB9Lg7PcWSz10FqVxu1apZeFWhr7tjXVnR7nSOWogNwv
gGTrfGMwhvqqQ026w/ADcNHkiHzZx1YXmPNiYRMrZgN8/BA2b7MRQkqbSmL7esfzfMW5xEPaNRv6
iOhcEJTNvDBwYeo22ol6GWW9da61Trw1XRhDN9fmk6maSZCEunwu2WH6lO3lb06fhKex1ZR0z4mq
57wzz9lTrAum8ZGbVx8WrMcrpm0pKnGDWLVg3cUk1lGV2FKJV/hJv7Q/h2NHW0dk0MdilvbkRS41
gyEhIW8so+gU0cxxnSepeiOUZoz9ri2acxNn9tWUquVFo0ZAfZPVMxxpg8b4YloOepvGx7QNUQ2Z
U1Ce5KLjbfKkZsVoooElB8wKyOppKS5lU9Q3uVKlu14uEeFedyBJMc1JdQ0lBHNaKKYLjRDyvph7
xLmZSb4nAU+dpSGUW+HgZamwAd4P7hjvwKGEj6M6MEBMgC5Ta8kQxhvSwr1CtCxvKgm0RqBR3uLp
ce/rkdaaqZERoKDObQ5abms9HiWjKD1cevGJyT/LhD6Gyrak54vvOM+tL3a6tCT+UqP9cDHsijAu
D3Gj8W5bODuxZ0Vacdnq8I46XEjvmMcdmktEoQT86sqdwTKeEq8AjYO/r+rXMF7eAesnS94yXyzD
a75bcRtxOdxHnTnfVCrUpFHW8SUjCvUUi6590+we6zGX2ZYrPTtZSQ8zZmyb8hYpseCI3A8fOU1O
gQDEfl7UtqUgo8num6zMf27bGCg52QvjwcX8ZO3kKMcLQF3pfdxOC9b3mjaSSrCqHEJ4WFcQA+Rr
yXImNnNaLQcaUfLLCM7OthF992DHX/5+Y6r9MRn6y07x+03cDwlp4DPKTOi9CDCM+PngtZcvDup8
QA/EKYPz49UHzfcyOkc943RMtqn392/gz5t2m34CNDoHs6n2512kTc0U1tC2CBqfBhmfIfnxPjoP
nvCey637/E/b1j9aWpn0f4IMaNd1VdXmzLH+/+82rUkZdZEyAjLgKcegud6YzuVaBfD3n+qPOuG3
V7GwF3DcMTVyt398ldlRKH2ZeipfsvKdRhS/UaptXtr3RZccufL+YS/+x534+nLQEjR15c9wwuAM
9seX65jQ9joGtaC2n6b5KQRVQsWG74r933+sH36sby+EocJwOWXRR7x+7u++vRimuxorXRG0AVGX
ZI+k4TFQeysKT/UbT/H/6fL44fr89RWx/CK5cqJRf3jFdFixE5TJBSm6kxIYAW0+HoDGzg/FTg3A
PPu2x8I7BaUfb22vD8/GVt1Tl/P3H309of1+gvvz+/jhPqktTZepy/tg/IytgSqMDevEPxwTxV/+
kCAvyPdTwmz96BRpUKJojuVu7HyxFX4SZHvGMNd2UB5EQM6VLrvD338u8ccHwLcPZjlcqYahQRP4
4VJ1esDNwi6KwNh1h6Ly0q3jt76yc7+EX5Fl/+FKFcgAf/oe0QgR8BHrOfH/8HLAHGNwW1FBQsiP
9nIb+t2GMSGiqs9pIvgnvMcnxOfH3+3711t/1++uWMvq8VkbvF4bjMF0D6JtV3qH5JT7xc71mOIG
1inm2mF8zeT0Hx4D6333dy/+w8PGIaK9GDMUE6uvsLh1r3A81goK/a41AH7SMHAWTQvsXBb6P7z0
X1yv2B45NHE+ZyjirL/Dd5+bkMmaiuVKWgh5eNrksvfQ839/U+ClcJBadOxXuvXDj/n/CE/500f5
RIXYSDuYdwg8rFfwdx/l71Eh/0rW+68unv0Hk93a4/6fZ3O7/nVIXpuP79W/b6AL/tzv0zmXR/+q
KgmeFbbD7/2r/Kf/ZJFSsRi1AUJZ53O/yX/aarQjr4K8wcpkr0/wbz47lbgKOiKDOx7tPH6gRv0b
/e/zr/rufiOvAsgHiwTvELkA+NMPN/vQwgFo8zzy8cTXt0XdFp3vhoVuUPJdqdVZt1aFY+2PDojW
tM/1OFoXkaIDkE76MCMF4TJ4KalwCzd1jgmDypyhu2GK4z61NgZyujdczyTi6YX6YgaTnfM4KcV8
0YRae0PDIWjv3IBYUWHNv60sob/j1SVYbxIrPFV9UnxR7QX7QAFszGk7BCijW06zWw/nrJbmPlEz
MyBQneMNyYbtEurh85j34VGgZmzMdtF3ThYRsojK8QQuXV5auakfy9QsvJjP4ZsUl8HlNylrlhTR
WiT2A4YJH6HjUo5k9O0l9jT+lG4Ot1Ur5aOiF5Al5zA7lHOHS1tPxpBKSgrithzC06Mgyxdt+rRK
jk5TGvdjbDjHLJM1PDsM0shajGYe0CLxd6nZyDY+VtQxKDNRN7smEboSzNGEk0UpJiQVCtbw7DUx
lqDYMLNHJncE0Rq8KYuiq74liLe1rpR7dV4QTWpMU8ocH/iS7X0Rx/2FFJPiu2qfBHpMZYPOxghW
LAJvOozwLzRow+U49m9RmndfHAIIoMeJDgH2BJSRDEvkLxG8asLANdTAMGPToMPWY+a1fJ37QdyY
1E+c2w6bQtk12jFbQiDQBlImfph8V7hgtSsqRzxZYVXiAoepQeR3Pxi5vdGqbtpjp2NTkjtDMJn2
vLVTqJHVQnCJGadxdNsRhAKjZUzmLRGbMFyIXmIbM7DBs7GgrSiSWbzvR1V9WmEdB9k3ErGnG30d
x93epiHpZUhrlDLgF3cNPTHIvJnzkkZqvUsJ8u5bWOLHUReUbhqVszOmWt8weV44aRC9lQL6iJrx
rqwupdWY25rPtjIw8bIfGgH+wKKE6rLJx3BXZynp7TZWPJ0bD+JnHhJCWuxtNNLVZvcdX21P6aag
ksWzBY4w9IGK5gOJ+M4ekXKBNACRIX1RFtUuRuyMbYL1/NBoccWkPI+V/ELZp7Wr1jY8WmLqg6n1
dkC2PbqQZRve2dxnOHfK3NeI92+seuyA6QJ4rmgx5avFho/1NwJsaxk5VRJAhjfQOzJPQdvBIDeX
W7pu8mAFcD0BaCDbbjEnZwCJaQn+xrBt01w/2/qQHHXFmraV3kkKFOXkU0lY7ZauIvNqR4wiAdru
Itesvy5ltZziKbQ2JY0Gewe815ZLyj63g6kd9cYyD5GTuTAB6ljskA9gLILt3FPI1L1bHPWgW+vZ
vldEui3kmtnKkvhyrpXoOmkceZgLs7pzLGfkdwQTH2vFeGK9nwMx5tW1GZMaqurS3AMSp0MJuupu
0qxlR4i1oLR6CbF4VprFfxZj+ChwGX/AjKeUS226MeA0Fr0UxTTfk6zN73ubDXSjufUxisNYbuix
zwPJqC5wQgHxMkV7TLTZfIysYbxkPOf4kr/mGs6z2KiVKF9Aidh+gWaBfOfQUGDFYttQjPQytUvJ
ZqfQdjyzIdQmVte/2VO1dIfYSXuOmGrzNMV5eAypWH1T9K64rfhag0Ltp0cd0M2urBIeKib6nt8V
Kh4jHtL3qKDGrSZ7eZ1MDrTocsydow3p8mKG8l1vmkGvPHxH5J/3U1e0p24wo/cY4X+9kDN5CAkk
nQedZkzE2+GIEwjSYzGlFEClyystvEwZnIVnYKXxOEdrnHzZVsoXDenraoDPmYO8FdKvs1w5h7W9
fNBnUEI3X+Co4h92Gk+2ru0lGn60pOjlqZ4T+8ESMyap2HlgsllUFIHgG8uwveyIH4bX8EhMBqUq
wldE2cbbuDD8SCwlf65Ds6JksaifdB0P7mR3hLld1d6XOMMuMYmrO6WhmWLT44ClFkcoLFGza+wb
Mar0sZmFWAtDmhAJ7dNQagOmxXWqotqgd1Cm7ACGzMicbnsZ2u+Vo7WXaCwxk2qEsAw8K7fb6mFd
Pu2s4+psbWU644keKPApFGgXvBfW2083rEjj3cg7xexbW3s4keJOusQ9vXYZBwmHdGGIm+V5FpCw
oi3x02gbxXhuXc1Mj/anEbemy5b7E3duNHWEJRVEnA0Q/9W+W1jZnZ2Tydi4oijPTkQPEg+Q5EtD
dC3Qene8iuLVElzWZh/Mn0ZhNYfXjlEG/3Crtm6+QSDAVtyuDmN9cpMb/dN1DCg4863Vi1xYhUUp
I27xJFLBva6eZUD08JLdcSKDGFvV8wgh/ov+aXJeVr9z20/Gm8qMglFKVIvbVLTjvvw0SdtUCtON
VVuntgiN/ZyIbo+xybwLjUylYX01WrusmId49WOqHblB0LTDBezYtt8ME1cJn730YPZAaOCFp8Fb
Vku3HCx3l682bzpai3d7bYgjUp49Y0Wan6gqwfnJDXJgx5E/NK7UbmAZ1c9zJOKgMdL6su9L7dJl
Fb4L44Z02YDv3O7wkk4zqzu253XxhIgKNIoYKViB3tgL5mdfdXeBtiHTOtkpuetQxapq74bMzFdT
VWAFddQ0sO4x1iHoX1F0hr2BCKK+duaAXj8oasL+oC+cK6XR5X7KEnEhzbG8wy45XWLhk/eQxusL
NzSBJLMixTdAKQp6JckqpbGiWUFLP/bzNCbNfrTDhHRps4bkcgewy6w40y32fYMRgLFc20NsXlW2
DR9d0RcouFQDPJKMG5lgmj0qZlYaB579K6ARmryt6Cv7oy/3ekaZyYaAWkK1JVmFVun0c7zmF+ZB
EmWASY0TCvQ4UaGMaqJRzYcvurEKrHAsvyaohydKXNpjNs7WI3dAvKvX7ATxX0GZcN0hjvfdyZZZ
c+WuaQtSLsXHsiYwQMJgZP6MZRiLoHtS41ep4WnfLXYUPRI4wM/aGvqWdldK5j+DHqHZRrM/KdLd
Log4t2ReoWcBMaDPCwzEhmyreGgw5L9SdpZ9JQbVbJU1WzJFS6w9zNqg9E5QlabDw4h9E35gYb+C
KIronBqNMdu0CgrsJlVSIrfZNARJQuQvaJGhElTgKH7hFZavRFWWG8xN0/0ExMNz+l74NpvpQ5LQ
eLhQ5nFMw6w5SiLju1YW01M1LvUhVbSMxS0d7thEG5Enwig6LBP4eHpUxv5chaP+KlgANsA2Nfo4
hvm6FGUS4AwusWWP2hVel+mVyXHsG/lcBwpbPK/Wev15yLPRp5hdQY0L6WeNNX3bQUk5Lmw8P1KO
PocmccT1Mi3NmVpWetN0c/bowWHyCxzbGxMxXXVEzQL6dRKyHpF7NQ4OEsIwJpc0JMzb1ITfbXah
FXukAlTAciwWQ0Ezl1O3+cmdjeUWvnF+zfaa+uMoZxhdh92TGOrhEfwL0iv7jA1pHgV/1yIPYrSX
V6ZE8hLufBqoCyAOi6z6Fasejl5Hi17x4qUPshPzrhUxulxs6P5UOe4WnlLxskyjsbNixWIoC8DG
tMf0bIcWoKfcISxqdNgpvBJQKLfy4kwU2iiixGvYLcmxDCVDRblQkh4JpcsopaG0ZYPHXF4JO4yv
DZt2QgfF2saPq+OfL531wEDHOyXMDblENlhMtOshPLAXrIjb1l22Gnrco5GKiaqVsrzOq9HZW1mW
Y5SGw4OBsIPNoU9XFJiOO7PtKGaj9voRXg9LApcOmp9qXS+L1d9aLK8CPEbbf5WGG92a/WQFeIu1
R0fp5fuYyepI70H1YVMz+OJGPSFW7MoYFpmV4ZhShnNZZsOJjLh1Zvquv36epP+VsvDfZhj6hrhA
n/zPmsHdq+xe5ftH82fRYKWf/uoZ0n7Cj2MQfjNsDePsatz9VTQwfsIMQxQDO5HhAsBAVP3mGXJ+
EmvsRkUixLrE3OZ31cD8yVYt/joCDPiGdLSIfyMa6D8ohExA7JUzbFoOIG7H0db397281K9rQWwU
C6g0Oz8Qzo0rioGsiIQYmepygE+tV6rT72EzODdjk2WnRVmD2OqayXY+49lE3KmAIZUV5IM15uTn
Qe15sR3r4PQ026RVkKw3xZrJTq0KXsAKcQAGxOEI8IC91bzRqIUa6LWTn6FRkSTvwiE9ztLMPLfv
inEfUcP22hZpmuxJP2QP2mcqnTrX6At0QPmWMgF/51nlnOc1ye60lCvWn/F2zexmy3f6Epx8kznF
l2LNwlMhQ0PNZ0A+d4mqMstcg/NG2TtskY3eOZdrsh59OH9Y1rS9Bk0eVh/m19fYTlsC7zQ4T7HC
8HooO6qoarshuLB2CVr1ctfUo7lX+bqgF5LyB+TPJIxuHgAAOBWtDz3srI/c0WtyEiFyJRJDOQGL
SPqO7MaoEeUYR+OFxmODdoKhv14URRyxDtsfhYGjaxuudILZqWgjMT+hBc7KL1B1SAZR1NHSONdC
sMfDwfOMKzajS+zTsho7w52NRWE7rYyEsem7t643yzMyTXEQOf/DTS24CtCPqUtdYQu4Q/FuEx8/
z/3KYjA/uQwmGd+r1p1ooxkm9bVuB8owaZpsdS+f8MFydHRuOjk5D3JFPgAfr7cj5sQXDB/OjcNP
2XpqqMCJAMBKFxmeoyNUQnWgO0UpLt0ilq+GqcGawCQzvVhSsW5ApplkYWz3a1sndEmWNNZmZIn2
SdnV4DyKeSfgP1y5Tm2AO1T7m1xP+yNs+ejsdlF+veREeTaWkPZ7mVPZbtYM+ZCyukP/f8k7kyTJ
kTQ734V7pACKecEFDbDJzec5fAMJjwgHoJhHBfROfQpejB+ihs4qsilSFCEXzV0u0j3MzA2q//De
90hXq50lOeRLOZ3wneaXtLH0qemH4FeKQ/+SObNBcGDeYpdoNKvO1H33aLlOSJ2mI/VMcmfLpeMF
yfHLrMPiaMvWIN1taG+6BE9eakKQ9eeme3NRCoP65NR14pVgitO6tgpXEVyik9PbBr1WUJFgXdmE
+Ay+hdeptFuDErmpixhRBdPzJpMA7QevEQ9OKydnZyhP/cR6lH2kOTe6rHTxCUIkySLhDOSq6s0n
1i5MxlFeSXGj8rKjxQoLLEgLeRKw7SYK4qmvEja8bUE+YOf5KJBKX5frLvcEn1U/ETYOUMAz3oPM
da7NDJ5kVE8AsTpOrHHHNn6VZ8I4w3u76doPy03UTTLmyYNYm/md4IW0QppuFiJKzBkVhU+UFQ8P
z/huThvMOsXkvEEkAFWIy6p9n2wwFqy18y3UGoW+3pEd1NECbkW67BOfKV9Tl5AyskrfLr9FcHrT
w7VNlT7nv0VybS/LIPZh1X7ldlN0cbAp6mycmNc4C5DZmZbT4yUdyueR/u61RSCPEreqiYAG1vrC
NZu8NG6Pv+m3iI9havFa+9nSXZVFOb8NhJ00sUhr9zuq7vpNenP1DScoAbz5bMPXMZFM3Q+Ixxg+
VMwEzyWZS/2VO7sIszIaS8ir05LPMdFv8IZ0WK/YO9Mk4+E2c/U2hhq/ZxEo8RRMyYA8JkGsFfmT
JtWVgLA+QNhlyItVhOMxQNxzkGa2BpE7OZWJhcDIvyrphgYyZxm8Mf1cD07Qd6gLsJi5O1H3DA02
jT5NxmTy38FvGsXwm0yRbZCKDMDnC3GLTMz8DWJhN4i8+J1whmQzY350sqmPUKmPnzgO9D1JAVs6
tELB3P/GZNilP3kH9v2C4GkgGnBRag4TDxTuQ04gghdj98rulqXMv3LVfDmyVvvQKtJrpismeVLA
Opzf3I5gXozPzFBKxkpOC8THNX+n5fX/skP6/6FwYUf0Hxcu/60mHr6bcuq4X/znuJ5//tf/8teK
hx/8W+Fi/8FEEz4qJQqEeszL/164YDkSlCA4lRx+jqLmT4ULXn8BaoC1mP9XHfRf1x3uH9sKS2wr
ORu+AOz2f6Vw+add/AbnYslhbrppXgCv5J/WYv+vIgVC8Y+4AzbKHpUb02A8UkgSsKb+Y0E1upTj
TTuJGJ54lVwPaGXSqFvXscWliMIxMFee5R4b380CID92rTm4mUoHul8dKKzag/7UoVMBBM0MTj7t
oezbgr+iQi+AVnBeua910gHFCifC7tJl7qi+Kqv9SpUcTgumlL3Rkt1rmrn3AXWwZf5rz4/Wapgf
NMTLdQfV9tE152BPqGl6CPpkgTm0MHs1FgI4u9zM33sTO8kOSUL7IuYRyeD4F2yMl/X3duo217Py
7UujoaYCaLGAzUy/wTM4+Un6QP0LbW+ZQDeaUKBOJbB+89CsdTDvEjEnBtEZs/xCpV3DDsxRAUYz
GdxneCQVmSGJr/cIfzF8MI3joDOLFU2xV4rythf1yMpkOxXrdCGYyzATDsvJQtAGr2yWczx6OJzR
sTdAe1rUcj2XYeka55QtlUKdN8mbERfnSf7lbP59Thfbkd1shzcpG+mDNWeMxlJP9z+AbhSfhLmA
Zz1ozuc2wsipP4csRfCd9iyODNN+TbmEDsPc4iob0aYp7B8bbRw5U+e18z2qKkucMnu217Ox6Z8I
Z1XX/mx278DC5SlPhLeS6qg2b/Mmmho2/dRSG/J5bvPhFv3ycE0WHjm1FLK/iCIZrhiq1Y8eoQe0
hEleXIzfMi09BLcJWo2f5abhItc4u7UqV7OXQOEFZlc+Q7K0HtcZ9tlIR7DEyqxa/m2VQG1LgLt9
WnbW3EnbN7/6pdyq7lRolCVozII+7CM7H9abAOCnjMJwXMtIbMo08nUwYAW/NWvzHCaP6cz1V9gp
GdBSM3FYfovcgIBnl+W39I0bARmctSni1t/iOIJy0qt5U8x585jcg3UmxVsB1wnm1EOAvi1johXe
QH5ue4TLjJyYXZ5ZTYzEskt/WA+V29u/REZykm/SqhwmEg5vKNdmvWdG010zd6gCpoGq/ZWqwH4j
TAoBNdHbIgafZ31O2MFIObStb5MMMShPJsuoyK4R9zPkXD7GPkze4YV7P2xjnG8MK5yjKmPGC6sN
51lStOwcoFQe6foxNi9re0noZNydmhz9JcXqPHWqcwEcp0l9P1Zddc86YLphx6KeQ7/WLyF6sbNl
Jz7pMoU93CxGWGAEs9sXoxpRqKXDpmIka2x4dHLTK0gILfLhm5FsrIaU1OQLKlIia1d2DSSlufnZ
dft+x81dQipy5+90P2vsubpjlZrRrAkAxdOOQsDjgJpzEGvIOpnJzIaJop9007yYkVAQPA/RlbC7
nQx7dz8uguxxy7WiQCs49yajZYhXFJMk3NcvxdLz60rRpiBRF+ukySR4DOvy56ypMbNEg87ziXG9
Lc0efl7ODY9FrGSWqIfwsniMmkxC3q7CqdN7/p5rNIWTGwVjnkeLQfniV5wkGBKQyoIjFASMZsyp
VlVEXdIiJe7JZzQxpGUR1LwNqe0slynw+3cLj+CdveZvMJLvEzLJNnRXieZPDdskPrNSM4IMrX/k
jhTXBS7+p1kKz6QadfJHDjPWz2vqybeAPpXg7dS1mgi6mx33RDTEpbDTlhH1bBG5CZz1w80Zl94K
AmTPLPfIzXSHAamx4k6LemLNINcXCS11YD0La/LlvZ4ImbsCgmLd2qhjwkMw8Uf0WPCd2rQbbpVO
nXjMPXWYAz+xTmwe0xrTGgZc4N4MFQvWs3vPXq2dB+r/YoBD3MMj8T/6xXxg4YzJvoAsJ1PbPKwg
/N5RZoqvTJFeH0B/iHsfkwgc9geyqVb4LtUzPDx9gYs4Pms3s0jn2YLPC5FENmu7szF5kCL1Ghwb
gTh69XrnwA4Ym4o+gLXHEeLZ31epxKHvMIG2DBgPE2OxyJ6Ge4cvJgzi4LxIcess1aFo7H3js8r1
Bvcno/4rFmff5974qBYXaffSX2lmX3vpNW99Je/AQDb7gOzoKGx6QhkKFtICIS2AoRl5ar2aR1nP
MzP8LD9SieJ+T4FlyyD5mGbILIoTnVG3JeLVUOcpU3eeLIs4oRWL1EQ0UNB5vIVc45tdk2Rt8bSw
Xw3llqGta++gM1f85Ds/0pdNJUxlBg9uYfPMYtS7GGzTeUuVi+zCOHrlhmDD6KvnJ7uQe56ph17w
SE0GhmKs06es4xsMLHLj57/Y7cgsUheo/NiR7T3Gj6zOHU4/LjioFQnfIpQDi2fch6N+G1QXsiZJ
nqWNMsARzAx7447OH1imvwTR4LTJDj3wUeYkCOfleDsxJvCKpDqoZbmzwumzmftz7Se3flY9yEXs
8aEfUzDeHDecZnXLQoAl93bTn62JBtwQMIKIzdCe8R0O0IeVC32WOQ7x3pivmPxiRPCvV2+9GVPz
rLPgbVHrfkrLl6EUJysv414MZydjsE44KSuWes/q8KTpH4kaZWTs++oG9sOXSIerSi83pexwOrsP
CHdh96cvqd99uW551dTufWorCQGIAYwo6qPU7EVXv/8SSwpveBxfHa1iOqWbfmVDlky8l7lmgiIf
unVbENTG2SmnXaKzezSBP1seB2Ox930OmlB1J/I7oEM4ctO/EJRcxfMiaM7d9Dr0+kfBdGNOxr1e
gPmk3naj3CvhPJXwG3YOA1ysyR5VACESSXLjVzNmPKf6URjme8nGpFi70zRwoGbuC4DPIR6aoYv0
QuILk+G3dsKPHQB6E9Vswl/0vTtkkusuKcieJdGAciEpBDMz/Kiz4eBWRqcDcal91YgzdlZD6MpW
EDodEcSSfAo5X016isZgOVFZXsIZb0GXwLfZFlNOeykgUDkOUhpN/giBMNyBCzAVasD8rUL0SzZO
m4KhcyZ2uNnZkBzcbvN9yNVxDNWLVeKVtrvPcu1vR7O/TsvpR76OLl/K8rmApdJrZ98v7R0ukTuw
5NtudolZR8eFIa9bwcrWzKfrcsFL4XVVjD/L2JlbBIQjCD8fBfcrrPBd5eVMZLo7oHj1zu3y8TFr
+l/NnBb7YGngZ81W3FacUGNb4WbyPtkqf46Fe+jS7BnTyHfeHidZutzmgzhVznQWfXpjafWc4W5h
yC89yktPRb1PTIorkM0Tl3o2cJ0wIglr45SWTQdTKO/uZeXYD8zVNN+BFhpfs1WpnrbetTU5TwRz
mpe2wYgsK8YoDTZS9m9DR16Mw+FZl/bPAL5itEiZ3YoK5B/LvHDjfD0XZQEAcAIFOdu4oSOm9uNb
mqc8qQP52jZeLire+V0RdPyA5v9bGmBtLq3FubJ9CUszYHe+jibQFfYzMmaz9JokQW9GhpOoO7dt
g0c+rPTdycvkMbNHHoLZxacyMrU9ZmMNNSDIBauv3sBjxUEgUEaTVWSCyYmgPiAqdZTJfYKhhhgI
LIDLyslzlWcEZEf4tYY48f1f8NAqxljqfjGHz9nxGXYkQfc0mWrdkOfyi2JFRsrSm5/Bzm6oFx2m
osH3HI/eUdgDyJKCmsaUk4mSSRVv0Mu9Vw7lhTgS67YJ8WlQFr6xuZ0jMqQhHg/6dRhIVKIsnHez
aHDP1WFAirxz11F47BAZvdbY8ZA1+5t/kfjUjPuZjWeid1Vvf7C5x+7IED4irry8ePBiYlg4EJIM
8uoMf+IG2YapBZPce8tc7F3n5m9QJp/90OChBxsGk4GhZurP4jue87qjjUG91QS6PTd6JPx5lcEZ
Xnl61wZlxb+oM8A4s9LG01AUwS3ugSWyFUdQkZPRzjsfHquMr1OF2P/I2gdEV5kib4NhsVzGRovb
ts2JGaJ7bK8D5Q4Rkyz5WKiqOi2N8B5cqvhfJOuq+7QTvtqlbK2fqEr7PcG4VVx0Hs3E2ujfhW93
l9GOnUJ7yMhB4vgHZ5p2O1E2/ZEI3frokY/7MSqwA75YiX5kz0ZOCrOBeOWmvGcb1u9HG9XBDmYm
ou5RVT9apuEw4ib7MqZ5fQylO6D7adtrSJ0mX6WJLKyeTufTah0bFA2KnChoBIdTnuZnAOF8lcw1
hCYqjfm2IKCCSAE1HEVndxcQxksk27X7gbbDu/hQe+79dKmfxl5xFtW5eVAYvK+dIZ32JGIV75xd
ZkTNPZI4H45vRF00ih16X+1Tg+9e4+nlFKh0ObhLP16z3SYrnsEZG+zaL344tsznyOgCooEtPR6H
Ualmt/ZTn0aVNbRPinXCbeCvvmQUV7tvqzT0GWBeFkSFb5YPpVM8iYTI6wqF48FC5kHirZ6OeF3l
vrJ0eyBZr0iiYUKNVVI1p8eWYuOtNStumV6qnwxcwmM3yelWBO0ELVmIc8/f+pI6GqgioMcHkmS2
WTvjbHkapNBUSKpxf6Zrry7EU4R3ZCG23yu12eRmwoezm03k9FhjHkci6DYT5OVMfpZVxS68yoNb
q8GXGGEpwj4CWRctItqUPZoP86MC6Pht6p029uvMZ7JIEsIZK6PBmj4YbwI4XTfLWvQFF0HFBraA
gX7rdqLlpgXQqqErnHonKw4dVHDi0oChxWQwmvezWupr6OMQnzzEiyk2WNczaHvYU8QNeIYfPZbd
U1YRTx2PFrKCqK5SwEVajXgVW/MNn9l84br1T3WQmQ8cstZPk9d8i2MmZUM7tNtVTSiEXRBZTuZ3
jnRrHT/q3BclUC0HG/WaZ87bJMT49qcx3P1flPF/tslvJop/1MsHvu158O4tN7SwJPzj5Oj/Zhwl
QZhc2ywaPUo6exNL/3kJKGk64ZpxbS4W5Wf/Kdebf30J/J9ZXu4wHf2PJ65P04//lbZ8+6G/TVvZ
Bdt87i5bWI/z689oCTa+Ft13yJqYDM/fNIN/R0vAtXA2CbkwAx9y4t/F5cEfgvkjP0Cz9nv37P8r
01bP56X96bvJmvj30BaOFJVJ4FjeP2nLu4XtCKj7MK5YBO7qbq0iGdjZsVxGE8i2Q/SARAJrsvM5
AT0aokWou1rb4TmfejvydfWNUp/AxG5yIttGBY2/r43XBni9iVdjZ5TW16jBBHfKQi+yqvNce/Y+
JLmHQ6Wb45wFKDp23X03tTZ39VKJ2Omh98iCXJpBEjmOfHPPOwkPmAvfZo0GF3TRnXYqEDxlUp4K
L6xuZTIZFPKsnlvrd+4i/jS88eoYNOG9WgQLtsxGpD2CXNftAK6cxR+hfX74YYruSNDcicS5656e
h1/vgvHz1a2ccZZbRiKjQHjnCes9aTihjoqauCMc9O5VCFOKrhrdEDDaZjfxgVPFwKWzDLQmvgxf
RcUYC6I4fndpvVYputp1rVDdIhffOyXNmy6X+qcrkOP2mTD2LdcSsUffq6RaYmh8iLtq+JqMavZz
NpDhJXuPZCwPLLNpIC4a7maP/U1YYFmeqBsjcHXq0Er2ztxF4VXlt3YketaEZcZfqQItfTvKyYi7
1kgfWbgtTyuXZuwtpEeDri1YOsGGo7i0amYxjroIFvTHuggBgyf9y4SdYuf46MRzkquQdPNZZptl
uCRneZvOkPiezlmEOoF2ijPYNvvw2CBgiaRWN1gSEuyo5oujmu+MQ+Gbu/KrGrVgZQsFiIQxOA98
1YwZ5pTBJcH0SH2h/UVN3q/fs6q8U6pEQRfokzC8IF5XIz0YMBsi0ivXmOll+QPb7FNmcenB0bP2
y0AlkCzEEBVtHUbNHNzbxQoofKQXgZClI0Ew2HU5ApLN7R+j9kEfzBrU2IpQDPw6gUyb9kHWrEnJ
BcmPXe+uJ9/w5tj2nflKtn0YW5PE7TUxdoPXrU/BGNTxlBDRJObm1gXoBPEsf03Jo7hBPwrLEMiX
0RoS0CikJs+VP+wwfUvHYdozwQuiaWjWfeJC4CTPoT2owB+QFvvNhSyFG86PjLSO4IU/y9Vsek68
yC3dlLQcxO9IqTZPeeuM3IjSdqKgZLxkCsO5MtqBTClkcwfXbMqzJuF3N6YNxq2lfexmk7xmxtJx
StkaO4PzNo5htq8y+7aB2h4Zcu3w20t8ypkJr6BGmz4l/jMmaW+f9aj1Am97R84SHJOiewxW/6mo
eBSctsjixVuvWHpeMf6twT0Q3CBVeWhbhloEER9BPmaMv5yW/kNLkjGAc+BAeHShu27KTQIjqvW7
oX1r3/r6B3EAeKD95NlqnCAKzQyX/ZB/42s9H6DT/5KSutWexHRVWJKaAAM4Q0Uwi0SsRslU3KnF
VN/qsfJj4Szr0bNaKpBiKZ4aCJnpEpwzlIiM24i/06vzmuuSR8rIy8jw7PrIDuVaJyZqPFPfNXRU
EbEk8rgao/NQb7QB2CLm3jFmcRzsgOUNqbHPiEJhm651cmbQgH1ubNzzpPP8pA0ltu8NJOFwvYFb
oHeanCQYCtV9AMw1qtq0/5WgzY/4qvcHM8RxUXjoC1Cs8oEznj6VGxwBU04fD1C/bFhgO9OppyfR
BmeR+A/eIm86bTY/KL14rIZiM8U044dKrTvPVK/rxl1AUM/w2bCv6wUFtbBLK+rX6qZbrSlG8IhC
fC4eELU0xwqf/T5LQ5Mlj5uetFNyJMheH+i60n1nbLNMDzWvmGmz7Txg7t5BoQ399AEvDNzsjJV3
OIykLwSjxXLFh1VUSMj1S+cUt7UQQPGnIR92fs+QkKUAgFDX5GNm0k91OTRXVWqTEhhMiFBdW55A
8ayYM8buSO4U3sDZTK+Jf+vOq6/bI9lV6R4YbnslZs87bNz1wxAEhJBqnwGus3FYDUxKljaGIwuF
NpraKjwveLJOrr0yhijMgbut/0aIrnHJRDfGpt+rKOynNi595MFGOsQM79FaKdO7QtABga1a+gMv
ez2iIcyvWzZdEfwWqPt05vEscpY/JhxZBZ/t1LRz8p0rmaBWQhfPojWXLxItu1dzRVceJSIkA8AO
EnGtm470ttRK9XXrD+PRzbG/zN7turrYNTSrEmstUSGP1mVGYg+yloLeoWHPkiRFJmA60FqM7Itn
Ob0G7cBabLDuUXz96ihjYyrk5tUvGq6upNd7o5l1zOyhii2L7FgES96xGZwhboXD1bMQRkfKkM2j
zHQJqwMBMagz4xSzwdUSuNNFt3lzQm+BApxpLCtDeg4bTfK8tsd2TV403//YpFGKpOf8mgciWmBL
sgrq+H3u9OEWApG5x+awb9DbQ3vbeXJsIiXGae+IBZxRZj6VWy4Hb9KKLdt7zrLqCSfGsBM9KgOh
mi7q/GGKc0kwWaJUcVeymGt9x+HKlivq3PBGhjM9YmF5RMl1L0FQ/DLs7laNQ3HLwPgBMXuym5KF
uZSum0gbTKhar76f5hbNp8H8aEGNv1/qeYLlYXLb5QFGNA9Ms0zFTV5b1yCbPEb1aMPSfi1iKCDs
GPr+Z7nAGZ7W6ZXFDM6QrMgP4DFQ6DRrg0h1Xm4NnppdN4d3g5gIR1ddTNjIV4F8Nlb0MswIfpQZ
kmQeHhIjS0PsJmYCj3NesMkoLCwBzEZQUQ9Ri6hxHwjGsQYKKSwifnEc2/GFIOFbAjHR7ARzAtOF
DEg+niwqSgpDPpXyQKIsaHV0L5GarfWcVeJjWJq3rOQ1ryjACCnOT+E4fibK+Cz6XoP1FkQiApI6
qaJD9xc4JLGO3T7Is+CqMez6imyW4gW53rdc2tm3RBoHi/jMPeVzSgKK/QNmpBnzl6uOXqh7FNf+
B1BV/4jBDhhIJXg/A1PWAGI0oxkvOZgBau6GxEdWAFwRSz/g7Gph9hhDfucXk3cPRh71rq6Dc+tD
FGGWsDnXBB+vUK9N1rzrwJnPDHSdaJ7b5r3v8YWZxoJdX4EVtFGKc9HN62macvvod9kcZQk4FvbD
tynbrKMPQItFEOkHMfsifqw1flpU0XtYT8M33yudt0CRcb+06Tt0HfZQuA4fPbervxavtH652P3Q
DRK885GYPjYXyzTuJ6WbC9tRB+TzSpqXPwQACrhLr/rJflACvidB3vy/MzNVI8i2Yio8pAAW7hTC
uChRgYi8vH82bCbglnsjyVONIixWHMpVsleV/eEwXEu14jNNcm7thRoexRUFp7FuZx82MyPHjWiq
4ZywH7l4IiMIMfTOSR9yO1YVvJfg1ejHN7M2H/Olr1BXMljhRQBKlC0lPuauS+7z9RwcgwrAqV58
yoX/A5nPf+bWVPxvW1Ocz3n93//t+/+sBdp+7q/dqef9EbjobAILTTLgIIfu728iZpMQP0tQyTNt
9DeB89+1QM4fpgO5AsShwzAjgE749+7U+sPywBiDPwRdDE4x/JciRmiQ/7E79UxuVuYWrsBoTQft
/5MYaB7p51y0KlFuEvYOJmJtWMMJBuyXwkjQJRBqa18Wx1ue2BKB7OrCML/NpVd/rLMdLBHpD4az
sxBOokXuJ+PB4Lk/yNG2P2a2pWWssl6Pj6ARLWDBatI3smoNEPzo6exTO/Tr7bb22myevilileMS
LuVgEig2lK/+qIlcRjY675mMuceNVlLs597Vb2w2kltSLpMXEmiLj8JJB2dPSLnwWWgaAe1wkTfl
YerD4n3xAv+ttubx2Sjs5DUUrH4Zu6vpIvvO/qEr3R9shnS0mK3X3Lh2GT7NXcArTmaf6Tlr20dQ
vzWiC3QajNBCs3pDl7BiznTC+7UvkZgGLS6Vyio4Gw3vvEqJay2H/nQuJGHfCG1DSQ9U5U8IwOpP
QoXy/RqCV8xCp7slYrO6cPix5q1IrnDd85A4XXZVy3HTQFAq4DcrCwddJCrmX7bfYeaUJiWcO3hL
XBVm3+/pPZYhFv1szvuwtvTVMhXiMTEJULJrNdyWXlne8m3NX1EjVMzXiVj8ppcwfQBSon+5KbKj
yK7WxopTPbNp69zU4SBhwGdEnkxp0mcUl6dxydviaCJODeK0m8CgpSrpa8YRM5u5ri9zIGIMLmAq
WuVjEerpwyzR3PKHLg4Sx9IZE3B3PRrEXx00EtrYE1T5O2Kfy6vaKBqW9jL7uazTePLrxt93gfLw
hS7pS5X3Hi9o9PfKwA9FKK/tfYf5PNyt7GwuOCuLOqoAU5NHyEA3RN2iNCdgrvs3JD34q61m+mLo
Qc1iqKx8W/LVvDD3Hoo4ZPdOb2R4h9owwNkS0uIclQVi3rLC4tcSrN5hyYX/NKfZHC9jy3lveknw
MAm32IcY6o6kcy/f8NCQJrwmpt7b9egcVikW5Kj2wIe7JPmO4G0mJFL7LHlZi9063WrQI23/UzZO
08egQT/mPLlAsSf3S6fU+5kixDGExfZMUwpIph4xmYN3dPqLmqei2s35gNS+HPqTOVDU7ALWy8e+
H0FB9fCAI6vlzWNrCSxa/KE9sN9MjsT3dv0WMt1dewNm9nAyi0vKhpfFj+gJRa+9AuO4nWw/lBgv
Xd7nn409OzjhXINQdkJ/vcuMvOYVbSl4r4GY8dKuyke6khIl0YwrOEOMHE1GAZK7kwFDkKzMn7u+
Kml1m9RDlgJd78wkG502e17CddpOJTTeGM2XZvLO4CwdemFXfBhs+g6IB3ruScdMrkOtNyGUuVgv
jjEmu9xAjwXyzD0bZUD3IwLjzYRoVFIT1fPBHavqoTH1/IF1ZH3rQyu8bjPps+MdZ4ckNp8ohEmN
2Uc2atQN2OtnPHOtCSRA2dWXSKAUQ0jCA94r2Z+Emo1nh9nYNYiT4Zqlbf4AM9Fjx8HOiPpoWfrP
iv79OLU26jBBwLV23PaIJEXc+NIPyBDuiEQZ5aC+LWg/RSw7B7dCYA0XHBF8Y2hTxSNgdv+maTOb
T3PS8j0xSSjZLWGP+jDIjJ88N+l+5UXgO0hWO3YxcVzNbFLpGK3p3Wun4ps/rw45aw5aHciq27Ez
BHszzORPZ0HZgczCml6caeZYgmmmr3xTLeTXjct3ZH/eDbY0PHmyxAWQ9IuNTw0Orl0azrXyTffb
SuF84YHEO6VDebO2lfVrDP3hnCdBcT3gBz+7YZAdJ8CLUOcmj/5Be8kNsz0jrhBtRYHVzq9gAjKO
naaRd+Dz9BEh+/SUpAmN3uJ1B3Iw3edhnRXJ6O3ina18FF+J4bvvEmeHtZ+XPGc0JDEB4GV3IQWE
SAzvKwe1GheRSU3WLMkrsXk3HRQHWzKTKwyhjvTEgehOtKsS8aExSSI3MIZjo6dhtja7eLIZx5vN
Qp71ToGMcuIOyzQOcyExmxPnt7yFcFz3yWZFD53Nhb3Z0+VmVKdVGi9dUNuvDHjYe2ebm93+bWwH
Tjse7WTI3jExJN8mLVag/9kIO5ah7zSlfqw3p7yLgXCzfat7gz9fbLDnvO2oGt/sNjePHKzJqdmc
90Pplnu0eCV4JKSV+6UwR9K6hXM1bZb9cjPv67DLPjS/a7+s3Bww/wJEWiS8BsjqvlsKrAgTU1kj
igEnAMizz8+FE+CraLzqGIqa5FEmUtf1VOBLCtV6JbuguXL6Rp1B5a3PUgbOSW9MAq9emzudIn2p
2J8dxMYu8NYw3DMTyr7Kmk533hgHlm6so+O5gA/ExkAYLCWuAmvN7jNcRwcVkrySbtQESKUoqgK3
+6TVTY79RldQU6gRMEz0ZRuAYaGIOXiTHV7ZODduBuZBR1iIMH7ZapoRAaLQwDLTP7gGDn6S06dH
WQhYD37ASMcJif0ZGwSm3CCS6tloXYX3uLE9ChMPQKOVGlaka+Ud07QeHlOXA3Xn5Q5dCx3vdKi8
Te+YJyELr8oYOzaeYwXRtqLdQOaTp1EKqZYhU9DLD8uaSCIRjEggfdhxrWb/ZFSs4NGSpsdy3UR/
KPteB9kkTFuKeZe1aE5WrcPrYlmcQ1eCijXm1Dj6mnfJkBqgpDMMzAoHuJozD9gRLwYcxaXrThai
6p1a1XJmvSyO/gQo0TEYau3aql6QNLrM31UV7ivD8+85wJjqpb6Ku17nqHwM/AplzrvnOj/2qmQI
77MixRGRRtQe7YWciOYyeoO3s+vCpIex1JGw8OkwjvUGN6EiEwUokDJxewAR+C+7fsDf5JMgNey1
bY+qucjCRxbLu76pkPMcbKPKL6IrnTNrlOQ2TUxmTJao7xy0DHxThDylhbZPrJD9k0vNwhlNEsvR
nrT5yyLOJ5YulepsMWheoNOd9UQ6spcAsogMTMwpM0sdghUL3cTdTU3NH87GT4WNp3O8n12fjK8V
IZ0xKZw6IC9IKizEbbMAIdCLi6wD+Me3odbN21IQQByXTp3WETwU9xrjRflSep7xc24NHF50rszy
DRxS59Voiwc1Ibo8keuXBPuSoeUvxhMMZdoteg5tR9u+pNpnkLEgxn6sJ8e4pyLl65jzUH45WRqc
tZ36j0OXzJ8Kb9CbHpPhOAMuPsylTBoe/XI+kP1Fsipb3vqFL5l48X2jOSk7txjehNo99Z4tLUh5
QfW9Lxzy3ObOnB+GcmxYEQMw+iqZ8AEKGufuEa+X/N5kLdp61YSEImB1YySUezq0qL+UizNJJuTo
mP+DvTNLjttat/RUagJQbDR7A3jNBLJjJvtG5AuCIiX0fY8Z3XHUxOqDjn3to3OOI/xYdSvC4bAs
UUlmA/z7X2t9q13uMa93PUbXpXijeGF56kcrAdgGkOnKsXBJbqDV1K//XzH9c9TEQP3+z4rp9r19
L/4tkGv9ut+Ppe4X1DQEUOUIwrD2nyMq5heiFwb4SUrNSMquivZvoqn6AkaRzSQETMK3nBj/EE2t
LwbH1LWr0uLLyKv9rb4cgh//fCyVDqA/Qi+g+MnrClP+kq2N8Ym31SIbD2sFl2NjWFvYEhxJuJgY
fV7VHFu7aC1sY6AYr7rGKr6FP/vcaDrT7+LWJsfurIVvsdaJq4UF3m40svoxltRraE6oQRFZ2+Kg
lufIMV2LC1IgQOT6jBucruPpLcHIjz06t7VoR6t59qqZLe6Txu2ucEc3n46ycNJRa07/mFC17ZtI
Mig3K11mU4RJF3CrwNi+xWo9vLpwwcHkrIV4UROHr2kzYEVVhcyMU10rgLOBaUDF4rrWPaU5AF+f
W5YcfYig9U43KPyz0oQTbqjLW1FF0oZsRLpkTxpkuclNegBPC0mDK7erswsXwew6n6mgjWFTMYRx
U9gViqTjpkOjrbcCAfhGDFOzlxUrRAInTUNsmPRR5AM67ZNXkrCYYUVVBjgiSTOVGxJ85imlcHGH
y4WiSExMb5aZDZhXG/rTa33QJk+jXSbxbGhdxrEO8bNt46TSb9LQaJOtoDDzSS6N5L6Ry77wa2uK
vw7gkcsr1pTm9w6o04PKK+txbNiXbdjagt+lq8m4ErLGs7pJG0O+B3US3fPj1J+EF1iLdmuLRzop
nOKhox84b7E0JnvKBtIs5+Cb21tip8moO5drM4jljvqjgkeE6zXqha/j5L1ECSombybjVp8CA4ZX
aV81OXtGXKXGlhE0g8GfF/kxWatJrLWkpFrrSvK1uASYR/3APaP4Zlkq3HPUM0+cLLKPie3KbcGV
9557/rTT10qUNp9C+BLUpNRrYQqn5onq57Q/2XUSPreMUrSqRBSssAfgzd+stSvLEtRnm9aw41RK
YoakauorB/PbqbJsuDix0R1kW3EpNxoHun/n3kiqYx/itfAlTTHxbyJ8nEeQxUuHUhGPZCWpiSG1
jqs6HafPNiuTnbn2yYilDY/d2jGjh9Z8btfeGWNc+t2wdtHoo9lhZK5pqAkCyuXCeK2tkSOKebJ2
2eBjJMDRdnXyHpnc/aco0o4kROL7hXHO1xonu4tKk+aWn0U5Tr2sxj41+MYQOqemmJBmIWDZnGhN
0jJr2Y611u7MoMtQhtcynlZRy8NtLyf3buS7uGh1Ol2pTMp+tvlUubNnwjVvG+6SBxA+1P44awNQ
TsryUkDT8dORfqCIcP5FrJ1BTaIIObRy2E5FJibSsenop+TN9oNRwzC24NRqgQ5yG+jdnmI/2+um
0d0lqmouQDGyfRnX6jSn7NTjtdDIjersrVhLjoIhEFea0UNT+dmBRPVQJakPoih823G0v+2g0Zx0
e+1OanouW37ZYn3wRWEiCo/shn6w3aBjoAaO1e/7nz1MUaWsu3AcwyMX63H1edLYVFu1GXmllPNz
l9SztS0IHvgdfsJNaFkDp39yQHcmftqb0pisC52a2WMFpvp7IwewaaWs3/n08tL3Zc8yJLSx/AUQ
xlBRcUJmc0BJaDzzZptT4hudi0U4Mtrvw2Kk4ybgeAehXzAStgHjVQii4ECY2wi5yDlo1sLO70Iy
yfewCvBLIffYn7oCeF5VUpx4U+HI67m+V6VKl63GemH2jArCAjLDEkBBnbSS6GvmnGtbgxMIqvEu
zGZhHaIlCBh0B6V9CwW7BerZDcmQIZidp7rHdF0ZaSj9suzJ20ZcvE9p3uZfAUo5FP0h9W6bCiEY
DRSOqIc/RX5d8pmArt6odGMXYYZ7xc0M/MXuWkVEh+M2iWMA+aMInHOlG/yAIVfQl7Fr0gaaXxnt
28wcnB35ixb0oJN/dEbq0Cfa1dVe456BAbAwomzDaOT0W53a0I1YYsweRGQQ0CejwfQ4JLHdsSmy
KBGttAq/bvKzC5RPH3zCvElbd0uyfSxe5c/u0GKmRlTvDHPbW4l8c52KGtm+wdxKNY+vZqXflKr8
PqoiBC6v4JfUXUXVmRNi7NCDyjemODnIEnEWkDrlpgOVFwkDsK//7D79+4Pa/518E51o6n8ewZ7f
++p//1f7r8LA+mV/TGAsWhXXPaabNQj8J7qJQfmgQQgWPyNtn+aqGfw2gfE7jlj/MQ1Qe4pJ67+F
AU3/YmBco0OZNkMmMUM5f8e3Zv+CN1FIAvSXA1qWP/9a0syMaH+i5yqYbNbQtzatNnJ4lTp0JqKn
Y99tJ32Z2O1FoI0w95g/+r7XKUvAW3B2YAJcESfAVM+ejXMYic9ro+aWpA36BIxRGcUTB1vI+rVL
2Co14nA/RBiz9VIOzyPnbi+d7cqDeOnsIpOOVhXxRwi4pV7vOD21fMMNu8wfyzIcTU4maxLMY/Sj
VG22jDPqiX5EQk741xyT4myHbSEnbvSVpbjgUqA+NdXkU9SR+oWeVOy7u5hjGVv2JoyTPXtsPlN9
hzZBByINvIsAzmeZJ62xaRUZxhxKR+Fs8oq+AS/Wh/41ShUjZsjpruCBt5MW76SZ7lo2W3UmrrDY
doeRqPgOQzU6ga60u3gReMYNHfB5aZIYqaoUv21p7UA/0H1rUI2chFL6UWK42HPZWlg5R2wuguZG
V1zsM2OMbx2Cv5tWMSFljSr2labh1AB46lHrPG5Hrey5Rhg1WMXRvA7DJtuNlkFEJk97v5OO2pKY
sS5dX0QHIICcCCmFvA1tTfuRxUp8sJU0X0VOuAR8RPgDQXXy67otXngWDF9jeGflSTDDZCnfb8Hl
guHGCnvFy+vuiqhhEc9O8n7SSSwtuqgkoATL+i6XVvdNNB7W8k4YU+2QCInNUFk8ZWX8FAoRfnUD
Goh0AuCXIkrCxTMyUU/PInOs4OscOkF9E2DaJxgwN91x6EsXTAkTk9sY3eO4VCyZxq6HSarhp8x6
QIREsdffCJ+n1ISYYVm9veUZbjgW22Q2PISf/Ds2IVAPaTVRbFkjsYB1qY1j24zF80Bl31e34EA8
64O9g7TVgGGD9ggpBF3I4Bbj2xj+WeQP6RWlUHznZALOaac5Z0r+8u9YKJcHkjk6mbOu+arqiWPz
oCftLjUrHViDFdyyUFx8ShrlUwu24a1mrOx2OD1/lEJDocbvE+9M3Ib4u/HNkX6zc6zzudgTcO6O
MsHHPnJ0mHZwgoI79hTtjRTV8Em00qQTcnbl3jLrpKDqpCbcAvBP3VV9Pz6ZMZpAGeTUdiA53Q+T
5OOuy6E6DdFi3xFaUPe6FusMTaRrVDnbIH0Ma9nPjNn3fET5tOocdLZhKVJMfdzE6x0gVjZ7iApw
PIrZ3CRiHH12OKxasNA+YMKlln1RdeOnLsWUboASRBZHF96QjGyNdVt7ZxsffOvnhp6cmNLeDcWg
mMwC+mdc1miG9jYtdrubgDPemz1LUHZU81NkcXgh280hSJ9Ue05sKYtNkIXs0OjJmrdIg8EzZDFJ
dzqvJD3nVEHb1saMSbvyTM9v0c8Vnc1oQzty28bYOkK8UsvPhZ5qIrJ7TVMUH2Y3mT/GcU79BRnY
2IRJ3l23emwdRmx6+hbmCn6KdXkY1usekbATG8GWADdjrxbgxx3XoAcGFmx+pEg0opgZmYF6XBG1
sniFSAHxpjLyTdsIui5CVs7lSrd1qsS4wjRU7xS8tX29UnAdNqP7cqmeozjRXhfTwCZlLyFWof7H
0Nb5nqhA5bmV1Ly+EDvUSmrMV+7uoIpgu8qi24XMm1csGXU4o8p8RS5uJ0OpbSAYI/G2EH1rfNMe
u9WAEh94v6ZdLQfe3NGJ67q5ScFdQqZnpYgnqMVbLKtjkXKUjhebNSgPubHZJew16JR7KovEUYvq
+aAEeZYgjcUbNkZOA2Ok3TdZKo4G2eX3rHfyQ9rGzISZK3d5JeE1hFX9mpv0v+od9GNW7uGWK0iw
aXRzoWtWmh+U+YSbJBU9FfVDuXVWpDLuLaquM2PwOboFHlnR6bAsWIOlNONjkvFhWwnNFKTCal6p
zbWZOLvYUeU+s6vSJ063XDUr51mtxGfcLRVT5Nx7AuucJ8zZXBUTc+uujOgkRWfQWgtFjVorOigc
CNSbETTP3l4Z02Votc8j1s6Phj0mqZwuvWLXBrrKZktqDYLFuRGUxJBb4EYrx3qs2XKWk1T7NE8J
ZHTzFlCW6yVzT467658ro9S8MB4oss0CBGoyKs+GUKREVVU2B5saoolqmVnwMe3xPm6optIughay
ffUTvh1WM1bXzoQmq5sWeO6J7pyn4Se0O00w52yRGfOTsoLmeVj53hN+TJ7mBOo3a1IKYdsWNiqX
my5+iWimOoZV/to7xDr5q6ICsTttr+OyQaMPqBBj27FrVui4ueLH1QoiD1ckebXCyeWKKZ9XYDlZ
JvdEBQQCVOWEKzyq2RRGqF0Nqgpelx4ex6DRGV8l1giWG1b1tOLRzRWUjn0v9iIrLnbLilHvSseh
YrTtbpJeRY85W4fLEI7qW2+FsH/Ql1ZIx+qGrmycniujvW6lCYrXzvfotNLHyZhtk0a4JByBotW5
7nztuqG7q/HyYn8f08XZZIuG7agoQrCdXLrxwMlcnYWq2lckVwAktYVHlPQ1JQtKQSuxPJmM7lNp
6NWRoljtQrov3Vms+O+tQEy3IJXABLA7v0bOz1Ae5uYKN7l9z7uIKDteEl15+BJ6niMMn8XG0Jbl
qebt4aNtFDeNOwdn6cxYGCDa6bejTjQPspR2nwbhx8wTspuADd0FYyCeaya4b3A5gg8OXcsT2mv6
wgRm3JS8HTB0JNZVZmfVI7/UD8Vojk8JAs0tOiLvqaSvmkPSzMVRtE3tB5Mkhcet0je10Dk0ScKa
mBdmMD3NjpPbxEGdbssAe31m1Lel2xRPZW5ZZzsgArDBvj6fcC3jPksmF52Co2t9nkge7zC14SZ3
V6z70ET+nKbaIYbOc4KunWxxBTv7RlRkFCHG2jdmOJW417PVKDnx5lqkPKO+p19FqmkvlBRQEtfU
IFk02JDE/SbnOcrBKakZO96sJu0hyUzzwVHJKniUjrxvM31+zKgtu3FSBcM9d+Irra3TB7dMl69x
vMg9xgDumwD1scvmKrjWAEwYBCkyGsVCfOeP0u0h4ukVqrxJ3rZjWbcHYVM90XhXvDX487dID9Gn
BBJ3sUTe35tuET06k5M+gpSaj0u4hiAhscabYOqid4tK6SO4D+fCiMNMq03BuZ+yNWtbVjlFZL08
WWkDHd3qEnDzjeSYKUwr8oTeJq+D1Rg/Sg1XxJkxAHInpu1j4c5Nu6XsbcTjV9lnR1rRc5r3VPeC
afdrVxU5CPvZ3Kd4RDU0lZ6jZZrag+ONMMS9ACfRM/3cke+GZQNPQZ+vaQsvez+WRVn5vbJbHAxO
cagHNSS7vo/Sg0jz6s2Kg+gNPlv8EEBtOzRZZj2aDZS8uIFmt+mrML5gV2VAGvIAJzIVxmxd27kC
mhEvH+Xo1Bf2rVzPFpVMr0zuFS08fG7VZlRL12+asnSIuiFG9t2inwouoRgh0+itTLSaHVrMD1ig
ddCrx97mx7xkvRcygp/dKbL3LA5rTuxTJq9arD3sjMeZWk7qh6UPh4JJoXImlJVpHp8HXUsvUH+D
i0oG5nMsxwb3Gr1JD1GYsFsyxXioUe6PkN74q9u1ElpfBrFd+Ia2otO7FzKf3E6Ibs8/Ysw+t0FK
ymBj6pH+oLOf0TxNF9pZkR2/woIfP+tw+196GuNpPxJh/m4PdFHigyeEKMDF7FLk8WYT2f184TiT
XscxTitBwzXDQ9mpj65x3BqjF+CGaVY1O9YlnbYw+AI8z8EIzLyNFmev9VN671RcN7F4RuY3IPoN
RUSdQx9oaRKSWJwKG9cUk3mpZk09Ks1IHuowIK2ctrr1XlSNdT2OxFlgy/X92cWRvWf9Ls55NiyH
XLNoRtRhTxxmmNVf/6csI+Rf2hTP7/8Lp2ISN//GqLh+5W/7CBtjIcwZYSmbgz+sMWSf342Ka0WL
Th0QZC5rFY3+2EfoMFrxDLIpkGhC6yrjv/cRuvhCiRCsM+s3Duvfqmj+xaZI9AzxXTngXDkT4ML4
BQ0GNCErRmhVftncB2m/FZj7JZ0Rf1rT3P5rjFT/lUCGjEFpBTsXymUUD/mLGzKzRZgtgLT9seOd
xsQUlObOgUSehBkpeHMfhPMuGNzrrjj/9UP/WuD16yPzHP9521K6IRd4fcLXrp/bzgOBBcmARty/
fhTWQxykAH8XK6mOV+6Xn+8XWU3nFRMaZGSfWWQze4ARPdfTdn/9IP/8Wq0Poru8X2xWUVherV/D
uOhIELkxFdKcZctix3HCj77/9UMgRP7LT2IIl55qx4SMZ9ir5fbPz1fqMMVI6nYINIT2XtiQKYa6
H1kjNFq/peAGaluC6ACVsW+E3wVu8gamM79Kc6v+COeW4hfBsvOx0ZrsZuaNd5aTafxgUU4/HXHI
izalUA+SYl4Oi4SerUYsC2skJrxRai6AocbBcrGVlr9WdaN9nYKyOfeBEZ8M0EfkDFhdvxaNaW+h
z+NCSbT2k1UNzg5g9Gv3aJDqN2NWd3v4n+ktk6zcd4YDMsfsZ5dvPAho7VhWWkkdZNmuTqauPLEA
yIpDEEj1NuaGEZ5zSTAwPATz2NQ/1sB167NzmybJcicgLdTJVmfHlU3EmYIAQpPFCgESupC7rqeh
gU0RS+FOhQfk/uKcR4Y4NUtpMdJW1bYlhrJZmiVic73EKImJXmv1AUMuNDdQ60QeljSc5GOtGQOl
EZErTnMrrNIHYh/bW6VH/XEsU8AGYnEXQpIdSu2EgnJl181IXMmsVjddKa0nA073ZawBEulqnl9S
2eKH0cioBNuJgqUfU25CerXYzIUsBjlYakhLG1cOAwkIckA+lB86X7Lc3NEzMGwT/Mk1Hcsywz6h
6ZQcUuX7MEdD+JZ1WXmpKx1lxB1qorhMkwPG04ueauO1EwT5fjTKyuupStmVLkYW1Ix8i1eK1YGW
9L6DLXhDZ1WLOphCgNY+iRXwgdU5uWktnkZU4vFRC02aUggNnEvQvLsZoeCMZlw+ZHk7v9hWWD9o
QqZXY2Jj7y1g2Ccrbc46Lm2TfaYi7K40i9P8I9ul6JBWGC4Z12wOdip3T7zpePktYz46omzeWUaw
c2jU6FmEl+7TdMo/GqBrx75Q8XUUhda3MeoAOEHcujGVo98bRa526RBZDMJ0lNxOTNBeXQ1FdT1h
FgNH3OswbymmYuebSWDxlsgIJTGxyEvONKyfRG6hsTpzJDd6PbT36KzivpFm91BRy+CXdSpydGya
JI5hOFofYO8n6C5u2tUoVTHh5HZI3G9yjoigVUNnz0e7nIbOG/oMRM1op6RxR2NeNw+s5uj8HkD7
nJNOx2Q5tlb5qmWL2Xr1NJs3AaG49NJ1+AVX1n2Y7koTK9Emj7UGU6FugE6rFyh2hWYaA1qenT24
ekydNrZ01nqt64nMAqNsu6wy7GTemuwUrnvLwsUKMcx8qWqQw8tcRNeyjadn5l7jFoqJs4OF4Z7o
665vDHceIc9goqVwxuy7jW7wYm5TGMsoY60Jxz5oUPS2muEiBZux9Aplm+12CLv5zu4S/XvltMZ3
mw3eJ6bg4DwPFAKPo4W/tcTfzjkojk8rrRm3vsjdXVT3E4sEYXS7kIWE36kIxi6rg4VriLGCZLT4
UVdL2exwH8lzGpXzkeK/9tRoSXykZ8iF4NPNEYXTst46MqBTZDQG4yEhtfdd1wTrKFCNxXd6ST5/
Xsj/B5BiV8HmP0tAW/oB4uKdof7j38xd69f+Pndht5HCAQprKBJVP1H2v89d1he0Weo8+Z+/BETk
F8dcpR5XcWeUjCp/6EDmF9uQjGL4egDUQzj4W06cf/Ta/jEyrLRYF53JUIaFtWeF3f/zjXbC41xR
iTZwBWS3YsqmvVvI3j12EcTuHuHzeehqSCQZdPpmg6lrXIgsSyfbZkq2L7EBvoyEff++TMH4gWbQ
HlRjQzGAXbBa56pAv4msVrI5isNLOOgdPLB6ReKxTvNrCHCX0Oi1e6BwEzeVkh1/RKQqdsb6ARpi
dNENk9hUXFkODpU8TtY6aJ3Y5ETa+2gWg7PRyiz/2kXLckG0b5Ciy1qcgxHhwq6t1xh54OKCOfMQ
4aJ9XGnT9dzrLpVTwQ/66DFb8imq7kv41vs4smk5nSpzY862uNZqCxMo5TQPlHSOO5S+AOJepD3w
MZ7QDeLZh86HgzeYZzAP7LQCN5gh7lD/tygkaSW45GJeYatIN8i26rL8RDC7uxJVZV7TFK6fQNMS
by+06COGxbKvKhHexjZotw39ZfIrroUeK5BRRnfTLK3tyLLqWE6delgWoEfTOE5+KxfxosfuSrWx
JBWBfRSiKtTRI2U5VKIlw3Q0TDMldqjZ3DNVqNd+G1XjhU3KsKti2O13LNyXt6LNx/NiFuTW8b76
epOHvjbPATOK0PNvKNUJRF6DYtZqWubPMO4s3cOsG5xDg+7kctSTG5tASsnLr2c30pqbo2Y31hkD
TXjDs+aQ/JPmeA7nDE3RtmyGcMLIhHe5vfHamSFfvOFlmW+5WxIYNVNvEjFdJJw+EURaO9phdmoe
61A0tybHc+y3usW0ZwGwb3xr6rnAQnS/nbNAxFDEYsCjERTYC+7+xneSGge4ZYroqcH3Td4J7xNq
XzHBC6yDxH1SJftKki2DfstKrr0HlURqBpc15cldGlVkzwcxfc8XGXI8tvGj4YkK8sWfi8l0iUAs
QwPripLIa1JJ43SwkN/02s62diQvJqQzenNymEc3IrKM6lXLRVe/VJGQJ0Ef322kjyLzVxwrdTKA
4bOVJepFdJfs2wWGAI1auHRTUWOlToBlfDRmX90hZlZnLcYBDkaNuqEptNUtSRJ93JCA0d66GsMy
gVwsE/U4jFcsPkZ7W9YBFM2YlsLOsOOXogyaB8b75ECzJJhHcOUUtmQVfqU5xnC4TRhsLNL1UYB1
vAfzIauVtTj34bW7xOnOBZF4MwA1OuDJds9dLeJtqxR8PjlM+tcgjHViZx0aVzEUn3jGWJ7lCukj
nJr+nrRv4Y2M1XyPely+B6HjHsdaR6kYrAE78uQi54zi5FqyeMy6aUWWiPk8u03zZkQJ46OpNeUO
eU/bL1HbvVmqVG+Rw+HA69lIUMNTpNskmfoSg3G1XIYuNK5jMxBvwJyaaxXPNOGAJn7TR0d+G52J
Ls2ADMioVPLUCoxamyFrQ0Kac2rt2eACXOthmn3laKd2FNGw4iviVB7sPA0fRyeiPL13hnNVYIPd
smCy7xf+fMUL56bfUJXmrwVC6KMi5c3nPS3024gEAfJlMyJsOJlWwg/MU+16sXrldy3JBiATRks/
6NQOd0CE89mD8U9PsR7kJxuzsdfOen0zpwZUUau1Nz3a3cEkSw5BJUlvDbNDzGUni4hp1Xz4h7Lw
B1mEb6D/AR8WJkutCUGTolPRgmdN8ufRNlcfHN2RQZu3L2zmidRgBdZfZ9zD95Gl1NuSkToibWv3
uznK7FfOdOGWSGIO+6A38ZZpTn7vZDrvqGS0o6u2n5OneeAgEhp1fzZ1rT+nQcCgqeq+/+xTTmoA
bFTPUsq1nL0SobgJKWZUm7aKm6tGk/ULGWSgVmgYrZdMCYeQXjqBTxlGt19Kw36rmDJxf5d5Rvvo
nCannJYmFAM3vrLNMgk3ZTLHHyHwGS5LRlN868exeAxn8BF55qZvMROeTywuu3C9Fp+BSbNXUTEu
enZsmDfVJINdF9XuVamq5LqsOCZWRVTXaDp6sVOdYItcV8bwNRhnSLqB65RnuxLOjcXz8JRENSTO
3OQty0O2b3k7ls+pQB3aWHlZrnoOgeuuy4JnRwui0+gEnVeVI07Uvh5J43TFVdSN/Z7b71zzaZU3
fFv190lG6l1re9AMXce4WN8BPza+RhqZvCAs47sir/FzRsrAGdUqpk/seeNtn6XLMbPhJHd5pt2W
kQitLZCLQh4bWJ8e1XL5jRW12r5J+/LGBPjW9iV36aHkxAMGaUupLCgwBzsFsWlNqttMxuaBkNT0
EFXW+BwDSbkLyAdcKhVx446WOnsIUg73f3/q/H8zuCyl/ddz6Xv2+f5PzqR/fMXv06j1hUFPgjT7
WTNgrm3Mv0+jkjrm1ZXE/s0y/mEZ/82VBGYLdIztOgbbHs4qDmuz36oLGGGJFwvXxmpOmhnL0t8y
Jf2cNv95GlWYfdnOYRBnwhXrAu9PpqQY/6Vh5ZrwsrRmz04idhOH/efUum+NTrFYGyFZY3u2dxm0
923Ku/fKAG7gm2MjTguVJbvAzYqtmsPoZCQD3jcj5pd98sSWYniqaES6OB1ydNZpDxNsbw7I4r3s
EvOav5CQDlHhbb3QXVM4d2wQiStpXLrZJVSHbBKJlwJnvO6a+JmpCSgn8y2NSWCjpJsBvmmzu9hJ
7yQBfZAo2cdc1f2WG17+CDuyPuYaamuo6DGZMv4jwA3c5ud4lu2xHt1DXc2vNTEWHAJrdWlVPpil
cxSihp2EUA3fCF+U6jBXO/lT2nQ+SG2GEodtVDKlbxbQ1s0Uuk/T2L3LETsTGnuzacwYoRdLK/jT
A2aQYWOaKw2rkuCLaOjFCAgzciJE2dngKdyg+KG6/Ia2xGcAE0Q4wmoXMF5vmKiMfRx2h3yUp3kc
H/pweM/ZGFiudmU22jep2p0jsj3OzM7Ha+PHGA89h/rbDaoyMAcAX1tzBK8QjTG2MDPZ5nXyOZhg
FMbePUxde7YIxWzrdtwnYUx/jgO/KCiwMrUOVoqw1294YBuMuMJXJHkIOw3ExmDL4znuCMVzAuLM
zcvVjY9qGtlbObvAyl6Sqmq8sLSxYurYnKqU3lAt749p3Mynsssfgyl9L2tGNQ4OT0OwNIhaOM/Z
Jn3llsnQl8qj1QwvYgzOKk4fCJd+BnrcHzRH3Va69X1iEmqG9mkwggfT1oPt4LoewYWXtOrgz6fi
MmURk+FMAmuhyOtaE23xYBRBdaHBUBxwIWE1Nk+JTTsADUjXQ4J/ve/4aSOXeUtny4jKm+BeE/GL
CJfGp/7qHbo7wdZQz+/aIXoUukbeCwy5h6HnhVEXjibyNRKj4cmhF+94wRaf9AVFy+livxYxJcdV
b+FroRfzCmyr4WEJJn4bIn33DG2ctlzlUWxQnlsFv4h+E3AgQmLUsOv5mLiVdZANE6k5kh5onGFZ
oaq4NX6+CjTIejFligx0ORnfAFopPjuiuLXq9yDsAz9uCqpXVTb6mUvxQpQUb21pvaPlP4SkmjYt
lQP4OlpQw4ydm8JMsCK6VHXAxba33CbvKUdQG451sGH77ptVBD+00P5ukHDaQHh76c2169mWjjfg
yiT+lcYMC7m9ndc6EIKrOHVTrAD09ZL4DEugsevY2+iYLxymDVW497Eq0jPsz8obJNFTbV4+C4XZ
pxegvKg3rSFZ19kzHb+4kFP1SCCy9wrc9Hy4Oph9Yax5JixVLy5pK1Fphrmq5RuutKjcsv5Z6OPE
Kyiw9CHhZSs5be3kXIedfuT0G0Sj6eM1vYEtTya+7p8kG0dYgCy5BwRFizg/giE0s6SHabDkFxmm
p7wfjQ2xaZ4wPfxm4yUIx+UYRARyQ/EAjP4xou95g0z9jA/F3KiGtwzEnw2bVWox7fg02OVdG7v3
wcBRauxQJa2UgY5bzOSbZgzAGz12V9n1u6U6rBLCYr5vp/fepuVaZJ2H+ZJ5rdNnGOUlBrOGFgI9
Ge9cahi5MEXdJaK4a5MObrmL48ncRoQ03HG661fTWtxm7IZp2fJqAQF5rtAXJ3e0sUOO9HaoiGay
GWU7M91mk9M/uemqFkNNl15WwsoO/sA5WN/+fOIJcPtAeXW/ERClNF37dFlVb4itvATmGn7JzB+Z
XV/pxvCCi+Ajz5eXKIaDjxPoFkt74xku3OIma2ePouhl25U0w6YtuLOZcg6tAc2WN68u9OhJGg9W
DwSwVOZNNxDsjx1MC93w3MvimBbtU1NjThAN3O98VD9CEigbABt7eHleRG+uXySi8qZA8K4U7DGw
Ws63QkwaPOAOdKOdPiRKUe8VRXSrc5uAN6Zv7QyiDiv7ntiJfKJbYtfHOdvD0PRgRWpeqddYXaPy
hULYnthfKn2uVaDbOw40dQZzSa/lrQ25Hwet2HPp/cHxY2/ZzTlyq2+zyu8gTZxTDhEY8HMPtsD3
Pk1/VIozcV5O8Vbay4vhrvkKq9Qh6gK6GenHGdtiPJD7fMjtTO64U1VHgCrNxiVSe4y4a3n5Yjx0
gl7AMeGT0uvxm9CTW+yI+S7M+FkC5Dr6GNQmYF/gS6160RvON10DTjiQK18QkpWXV8NZy+cXk9jF
NtYWaweSn26sytH2A3b7HU/hI1fdu0jLAKJF0ePCnfcFRHi147jabuY09pMF73IaEWInG3PbrE4C
Ngv5fokHzef8fR+Dpt/RkFbuYZbtYJNkByNLDxl1ZNvSmZat0IYOahAYzVSBDaTdLfF0MlfeYMXf
sYyjRKj9gK7F4/0f9s5jx3LszNavImjOAr256O7BOeTx4X1MiMgw9OSmN+90B/cZ+sX621lVUmSo
qxI17MaFAKkkIfM4kvs3a30rzgCzqDwtU0OHMLHYGyYJCPhSq+bmI3oOTHIKhnowNpCCHi0iv3k7
4nGqW1Df6fjUKLHMAVDGs6Iiv0LMy7e6JTC8Y2Gm1oHI7RNHLLLKqL9HMHRQRo6fxPNubCXbu1bM
3WJlr86CMZZooacqzL11bhFVrnuVvkZIAgq8ogtxMidaWVrJEBlR0boyog8eqeaOP/SAVhZwu6aM
W0dLb5niw6lOp3fmIViRJ/GCpoQ8NXd8wysNOnCRh3kyrUKlerdrRl5kbiC8SLBiTfRHsBAuAS+9
N2UzbdWouqkrMFgDRqmow0+hRTqo71nYOz3sHmKw0chYNTAOhAWt1Wlu/MrTK+Zw0YWh1gSvyyzx
ZSRYZhBMXhylOR+7BWncWIhv9kRctc0lWjoNk465RiAh76uF1rBV0jJgK/AQDQ0NOXm+GO65QNxm
fBtVrd853XhjCEg2iG+TAF0Eu4ASrDzLxefc6k0wbR3fXs8Sq7WX2h/RwrNfhIvp5LbYANre4SUE
z2hwJOu92W7VnLgFr5iPKB/ToC2xrKBSDeaZO9Bp78U476K63OvD/Bi7xQbQmnIKWwrlrMDvaFTi
0h1LKBz1sqwSA2RE2CMC1sb43GQzxnjigGIY6HRmXOfwDnbCspSDNxWPCUMuX3OF9J0Nr3nPN6Kb
nJ9Tl1bbnjCuoGlAQ6oRd22fzJeGGE9Ib9DsKi5Z0L3cXmk8rXAestiEgb+uFsSaTlM/6gUsSyeB
G8rw9Lyss53RsJ22EdLP4SJJq1HHggkfwMyJpbRPCQ9tfC2H0KZECvmlhMBtXkB1MzRks01xwrrz
wSl5R/zhBztHceYk0Vsun8TACa7DUBfU/xWMGi27m8q4J5FZ0VaUJ8yrJi8MokZjMA3GBuYQy73x
uxDS9qI1I+QPDWTa2qqt1zg3z6RYgvRvvWP8WB+SqNghihq5umUKuBV+tAQZbvraQwDHXcx6VExn
izdtDDJRzKJ9dKrmmVgcjnIjv+8rZVc4IV7C5YZoI39OF6nre4wn74T99bqN9RHbeb8bY8/jWwxf
mgQDeYyPsMhKzD4AvnIJ5hxMfXiGsuIE1mACk8dbtjYU746z+zbEBFBq8SmtkstUmc4scBu44l4X
4hdpqmy/1JqboRh4XCxPmuMeExxxa2KFnHU5TQSnhTrYCSCoJtN+navYt/Xpg4YIPqYibH8YoBTM
E4t44ju3wzylAY5alTk06qs5pzasexZXlcjVlWI06taCOguLdPLOIzyu5L4XBx2jAUSWDu2AWVV7
q0vMvRmn6vmcFXeWsN+VKPuoOkMS6yDBMp0p1jquimNnpB/qlCq4nwjf+Oszg/+ZZiXp7PnjTdVV
n5Rv//l/q391K8k/9/tcwPqFrh56GIQwlakAM4Z/jgVcvOIqFnL5v/42ETBZQmnIgmwWWLrlkmf4
aSKAvRxfEZNvTdVcnOR/ZSKAtZyO/8eJAH+HyVORfyFc0r9IdnpTa2sk6oufgr0/UZ25iG/1y6XA
uTSWUX/ASp2vaz09AFt9ZTorlQjkptjAINcRs+5VhLoCzBl8KG38JkIr29iRnksgkfcw5AQHWGkB
D4UJPdUt4ntglienV95IRduGGiFMKdQcX42IBjJqWjIT1S/HB+MHdcrJt0mEv1TOW1PMc1AMy1vK
DJVFS4zQM4mfDMFjZMGuDCzptmYWhoHcGVa9W92BkkB8YRtA2AyNuDGvPDM8LD600QP7aVTOuaE+
4cru1oX3fbCGnSnBMCpouNfdFGVrthYCjEl+q9R0eAPDGvnsuuMwhNvg5mTytD2RK2P83BGrttcX
cUooTYMoXawzWu5hXUfWqzk72obySweQXBS4AZx6B7ml9BPHjs8Hd6ath2a3x8YCAtMdHrWojXaa
XhjbaHJgMtNAr6wwo8pT9ewtMoGktWHe3UdVPj4WbfZe0LisMU2/k41irAdB8PVQlFvYXPGmMNmN
9Kp+6TmG2KtYTAluJd1rKHVxSamNbgG3VVeV1cFRRHdp5ew30n6KLqTCch2GVCb89hpqgupk0fs0
8Up3Y5u5r+mgc2+IKVFPRE1kG/wWr0NGFdFa7FR0mE5jOPiuWqsrb4kCTP3fMwzY/gEfyhsquqLM
n50ehHFVdQx5XPOqqxgmY8w/Lbl9MI2EyJgS/FZTHwj5euxQLmMKYa1JHDOeTwXouZ02YyCXwGd4
WZ7NUn8BWiJWLk6wImxZ2PS3nmCZhJ7026goGEG06W0uofUR4n1V5+Ux75LeT4vhaA6udhUvGFXU
rnkdveKYwj5YJXW64YCOgyTFB9Nb47jqTctAAVXskCGdGz1rszFPCbCo023jShIZ7rM+NI+DB+59
GkvZTLwbBozlHr1NnC237YInrOyOoa5czV19Xk7mq9FHIJYhHQyd7ZHsgS3AwFrdeUr+yGDxSGoa
G4dYoHSSDaUHkwcryE4ZlkeELs+hAe4vWurbgrzqM6GBzY3FDiJbRtrhsnZb7gykxNDNbMT4sbLL
C32rNjj6I+/aG3A0hEV5tCpi25zwkI/p9RTP2rpoifDxBu8xSs3XCFkxvvFSwnm7HZb1E15fB2IX
JX0x0W8vdvFAWkYGyohEcFNc1sTv8RUCYTYN86mZrGOc6GeNWjfwyvRsHbbunity17j4iWPCNILS
qnBN0HltwnK49uhHEse9nRPrKWfhCswFMxSrUCwxakM+lmuex1qubmevTwPSez90Qty5dmYd6DRz
JdfOy7OupkWwciMLBEYI34mS9kqN0x6fojKDpmlP4QTHMVbrjroiClc1Fnw2LKINXHu++Oun4f/O
CTo6U4vT6o8PzOukfWnkGP3zifnbn/p0XCKjhaAC3VNjJv5pjG7/oiO0NVUdSyrZc1Jn+48xOvIK
0J5oJtHh4vH9fGjSrtvyb8OTi7TR/CtnJi3jv5yZAEkcpL4M5U2LN/PjFJ2RHCLY1FEJ0LaetGRw
zvEisOjF04LLLar34WJe5vKxO3s2D4YRbdAchRfYAtAw1ZqxLkB/aB4WQWI08k2LVH3tZr2zLTru
hVaeuK1o6k0qPIspVPnQy0m96At95S5WEpQ1zxCyzpKHKAKrYVdeT8FHQYfb4AOhwvsiKz1Z8oUl
d7tusqPXG/e1HZoaVZp1U8vq0JB1Yk/BCLqCvhH6HTH093iDcH/KqtKh0iSDBguObUcqRDOqz1nW
oZa0I4yyNlVklRrLenWkcEX8bvuzisPIoag1ZHWLrb4BOuEQvmiewaIeVrOshdPvVfEYHkvK5JFy
GQ7kY2+Z0r3svpquhW2PAjuKTshLN7MT3iy6czePbbM2v9fk0L0R4VKnA0MdNqGs3SFXPldZzuOd
sn4Q8bdJ1vl52O6675V/q163beqsdHjGSl/7djKecNDIPKR9gQV3O1jds0VXYdJdqHQZKDimM91o
7V2ImSvIanaOg+J8JLI98XBB4DGmY6FzqWQLU6fOt2acr/ukZxeMFplGf/ywLFKEB9kCTSPPGXiR
eaDUNEh5ZdAq5QBeMnCF8NGcLsBldQd8LfFBx4o18OtrLEXAtFrvNZSNmKAja+nMdDKAV7aWUUdh
z6Z1q2UPFyl0cwptHXwPxtz1qRjrJ4e2r63bLcyejrx6s17PtCzsv+FC0CzaNI3o4VyOp+iFXqhG
CMfks5U9pim7zVz2nYrsQBc390DkVPHGlO0pbWpbm81qIO2W9rGEfjnUEPdRzq0y2eEqtLoWQkUe
0gxqY6V6hK2hHDLZGRe0yInslRO3Omeudz4hRkENxeZe9tVoL5ZVtuArZUpxmcvum2wEHQm5pZy0
qNo0wrjS3PoApeGAlvZmTiaGZvT00DtWdUNQ4lLrl5rs9wmcarejnAEkchqgNu7OlfOBXE4KJjkz
AMBbI5hkjuC61LPo9yjgGDLEHVIZ1sHwk+QEAoqH6mdOFtgF5RtmGW+qxy122Ldczi0MOcFQemYZ
ahU/Ig0sg7kv+NvlxEOv27NGZ6DJs05u/nHHs/HicqEoFkgdXcYmi8E4w3AQrdsoGVhF9NU6tBJo
4DIPxMxkwltWoLspzVUqBzTcme9kw0p+OdIdojyYqjPL4fu5aeVwB2HVOyb+S4KLT5oc/7QKYixM
xyrTQvehk0OixsQ6LsdGdWI+l7a8kZXiheTcimK8f49b5mAKiw+IG4yfPHI+FSZSgwc2RDCjIjEF
K4wcW4UGpXvkqO53YtLKkOMtkfCmTW4nMHHLk0F0LGEt2WtTtRjE6FhT5mSL6RE2wOQsr8f7Uo7S
amZqySJQdFmbhllbV+jfUM5U9LsKYm4N+RihJ7az50Zhls7ScKuovF9XxN2xGAaMcrG2n2pIlhUs
4I1lJyiUnIyLKemfChpyDLPd4iOcfnTmTtnA6+kO/YSX2pvGl5m0T1ny68fZnG70rs62/YzChgnm
vJpAA/uoKtIdYuL0FrKLuPESb34aRyUIW51WxVVZT411oHuGtkF+XWwT5vNrnGNpUKXqfEMxxRPL
AIKp2tatFkKMGrKUsWvt3Dn18MGMFhwMpOKoHW4zU8aCTcY3rWuZFZj5S8xmRxmMG4cAWgR74evc
Oc/WlH84zDmGPDkzY1dZWaAIIBYV32c+/bYbXM9f1Ko8CdRy26wW5kkp6+ZK1B0jlEQdIDkvyWW9
JPaFBe4PYxu2ckPFltuFtXLP99efl1kS+SJyEyY5mccot3tz1aH34ypDzR453zwHJlWqG8Nekz7i
qbBbVrjcNqo0P+HFrMmCXUoicpV7Q6jeedE0zEJU8LeApfYaa8vViOjbB5xzM7thu9ZdbYJK3YKY
iAH8AycbTxkoHzYMgDi7lrsZoit4mZAhzYisHA3VWAWhqHCyNyxg4e8UsN/BPrvN3tNRoamAJn3m
kPO21/QE1aKMDuzVBzIe2AyHjPyJaIAF3RxFZ10CHr8QTe4vDcB+XFb7cKQEVxhJJep4Gzps5kB9
nPGMYsyms6IUBbQkt3wea6NCFw6MdpofFTM6mmO16wRh62NWH8mAC1D9RHBwqjPFS5hL9qXmA9Yq
6RTt1I9QyG9Dt3oarOmNRxj+Pf1bOmrXU2OKNe9GrKeF6z/TRbov0/yKKBRtS8xj46d5/YAsL1+P
GstZO3uKPebeUUcQUgIcn6fIhh6BWxABdUnGn4sH0VLNY2ViRg11Pm7CuNfzeUJt56Q/soTDjmFl
ayG91+VUnreDe+fq+TFCV85Fv9HK5SYkHUOoY2BVLYu2aTt69fUARJmnFq9lxckhowwyxXLk5EvX
JaEcjgsSKW629L6XKHHPejXajZ27YZx7aJtma5f2oR05FDpQ2SytaRhU+sBZsD4zhvJupkNs6RTb
7y1jaF8Rhuz4tmwnc/pKHH7c8+TN8InZhrkICGKVr122o6M7+hr9aVaS7dXLlrXr61czp7N26Wa9
uvUN2d4OI2ATk6ZXj9DxYPd+I06Lpswl4C+RPbIpu2Vb9s2t7KBH2Uv/9V7hf9rk7FchC3XxH/cB
54xX//P//TA3+8ef+r0PgP5vSGeco2FT+lHc7f2iYrbDkG2B60Ho+c/hmf6L7RombS/pqOSo6Ciu
f1PTYKlD7u3IXABTt03+Q/tLjcCXNsCxAA+hEndQdVvYqb6Y6lKCbXLOdN3vyKfKxbQqtX3o3n76
Uv4bTx2f48t8js+i0rvQ8bgSBvtjr1FGSR4RhcasYW4ZKz12GvqwZf3nL6JJFfoPU0DYGqZLDKCr
4/XCd/bjq8yYfBQSpaGkBaDJNuPWOA5HGu21ttbOqpvI71d//oryu/nnC7qmQT8m0Uh8JouT0JQf
+5MQKU5j7GD4eVgqfgAP3iZNdUy6iidIe/L6pz9/MVP92cvJKeinl0vNPE08bep8BXYvdXsXcR6J
zJ4LQO/ouk1DVVB9k+Pu0JgGxrwUN8h+OKl4Pl0vI1gzYcweWiFQNv0wZ9dR26SXXuRYPOxJqxu8
iKBbZF/7nufHwwRG2q/rfNspgGPhwZF5l2djduUZ4CNiWXoTfZKJcfTW7ezG51FPePQqGTMWSn0a
qcdpivNvaRuH74g/xKYd2b/Dq3eW647++BrmsP2IlnSYt0rXiEs4Ky46nbpYgNca/N1NV+oX2lQb
GiW1TGIHTtMdW5ndnltWfFlaBdlSHvrPjZ1lLX6nKjngCHO/kUsGB8/FeO1H6pDcDKFLGqytVQr+
lxaJDQL08KoYOwJnm757Sh1c6yu9yOwDFGWGg2Y7KonvdmLGgaTkwy3sq2Vj9Gr7pDh6dcVurQJy
Gyss8+wuHkofKBtjOQTmw4FNZHurjUNGycSZdZfYUXWhCvIL6r5xdnaPoAWUSrx4e0WflLvW0RY/
MhXrRpuM8GUU2pytI+yVB7swjXMXh/2z2VgmQBRlug01MgxWpXA6bSXti6+kVceXkwVVECxXr97x
SI/7VapE3VMz6B57Gh0JWE4441k1sS1hZDtmN3ECtQOXo7LNLGz2UK6i/K5GYHMbY7h/y8t6+UjR
S23n2lgOcarE55rb9TcFH5Ht1tA/enHL54gWEVPXhoAbyMfJwIhrMWaDFfrC+klXUR6QUAgbz6IB
O8GloM23K4ufNC49gtbRrgxXfVM0b2aXa48QaaxLq04Z8HZxlZKhDugfeF9mWbcMM4S+EgbrKYB0
fb4LlX5h2JxPDfIs27kQVV2c4nqcbibcjldpbOjXtTCaNXWnxZC6c5kFGyq0HiYFKZs0aIhof0nT
Uq5Uznzof15nIWsZ++xotmV1Jj2ml6QWvPeeGN77IQrZ9TUTVxXmYRRDjg5t0VQqBACohqOg6DVe
DlWaJJyRW1a3abGNgUz6yA6ze91wG4LZU6LPLVKc2ta1yzVbRiaatD8HJEBQNsvZ+mjDKb5for7x
EQ11VC1aqcN5AWXJl1Ce48aiR5t01Eiu0+b7SoknvzOZ2OA9mMmws5xTkQDt6ie+EW20+iuXe+/F
KIaSHd5oPLCcwRUGHDu8nkWZnqkI3brVbGbY/EpTfWeY2hMb5YgT4V1rEoFLHz+tOIZGzradItcn
9VlOlRn3H0IucPpn25lfw2JoLyI71i+Bz+Bt0fBeWFPSMKfWFWXLspgci7lu9k7OvVdHbnHP/sDZ
RgQ+EXDhRG+tKIsDHCztfRRsXrjE4+aQi967yDVtvolhpZ0xmCaokf2xoHWHZlYj+Vjn8XIXjjQ4
livGG4Uvky0+PUmq6u0TiIH5ok9UYkZo68BbRvF+jlFLsXXNoWK1wjMPscfvSyFktoJfsk0J4PCq
bZs41c00qnguY4EKaCRhgGSxqDgBYKeOjdGar9R5ImTVUzKCKmOvW3lKjISRxBGOIS2x9hbvdpuz
4thVeeKRAA7k7cVqZ/qvxmnvCmVKdwwLu0OVWNaOgndgpuuG+64tvS1sBtyGqs3yaUq5JDBn7JtR
unIhkPvCJrLUHSDxsf7lCYSzcg1f6tHUuFtCUbZ7ZNbVVhcAU9nfN89hJKJp3ddz7HsFwE9bFWpN
NDpJfErWoYbrPYKoJHCD7dRQnhdRofhsipLbLLHsK32Uz3K3TZBxGGJbT3GyG/RueuidecZkypiJ
0Vh2QTJMdecZoFW5MF1YESS6Mvrvt0avhBgdwuTGak37I8ZE/Q08qME3H7lXkE+ULdpkFe5IpUl5
iXtqhMdIoZWkUCXSYmIHmb9hKxuRGqIPIjq28Keyyc7GqCIQM5XAolnyqhxR0FexMGfx7HlQnc2k
Hi9hxaLZ4iz0VgkCunsHMezFQi95OapueWPpNYNQnN4+Kw4lXqvmwL6/j1wiFG0vXKZTHSfqZV1W
2etiyaJpTufwPCT5fQSQXOIMG2JHIfcyKS4yjKdrjsgYob051ZiNleIbT1SEC2h8IrQfZilbuRKS
/EiO+W5SWKaulzm2NzPD5QTFfI9ZJKvsDzzhtAWCJRquBPgrz7SpyYsgNo4uugOScwT5HG3KUi0D
i16m86kkU18sA/IpXTvy4dUHV20WvDtxJMV1WXURL/waFU6syz8vWH5cylKdsu5jiA1LwgQFrltf
qiMH/41tdmgPFqtD/nwvGlR+ZmCW6U8Kv6910a8vBHFAMzHX2V+3v2HBurNbeCHnGF3BZ752TN/5
dfP/Ov2f6L36aQUrP4xcYnusvynJVc1kLP+59lIVK2HQXGh+k4VoOJg6XTA7wX2ThvFPXurHMvbX
lzIg9mjc7prjydL/80uVrZoMC4Idv5rBDVFdMq7+NU/8Dz/Nz17iy0/TixZhm+Al6nYB6W9Q4DKs
/1l5/GPVL8tjh68KLwBtjEM8+petfJlCDkTxpEJ3uhZAOqvGd+E0/PlV9vXH//oiX76ttsRUDyVR
ZubI9KmFMb0fNs1whacUfmbMeHiuf33Nv2RY/t+5+DKkwffTD+C/dC9/ey+7pJvPX4r3f//7/Uue
v//t7T3/2/ql/9HW/Nuf/b3txRCCSPZ31zLXxm9iEVf7xdZsOjV6TtfQUZJ8Wn6pBs821kU0VcQ/
qPxfv3W9OKQ92dTBtOXfTNf5Sx4SaWH51LlZGJplLy7xZjTXrMC+NKQ28c0zggbDHx45tXfLTgnM
Vf5irDlf/J89n368D359MWLkVYsOUb7cl0uU+iRGQ5oZfleXy0ZLYtK09DkNTDWe3j/9GP/NY8p0
//WTmdxzNqBtk36P0cKPTw/iSttEH6fF7ziCOd5DxW8UR0G/PwGObsIhIKRD2yLVd4MmIujVJiLv
G0k44UXipuqxXPo6cBh5BbrJTLGj6iCDNUSsOsMnyOf5ht80gcZOBF/vzqnkb+rrYRr780HQXHpt
Wq5nl03OAoQTbDcFZwUdHga5o+1sYgB2NWPcbJg/GrUA4CDweCNJyJSDO/cEo4ulZ0s1D7C1bHcz
tmpP+aPNmzGJ0/MR25qvOpQ6ThcS697q5lFYhXJ0FVXdRnbuHB02cBc1AB9yyebhrGwd91SUkXVn
IXu8UIQ7YhZxB0Deak22CTsw2CkrEVkk/jbxxEaiyZZ3r59QsOYwGQ+97VWvnRMvb3YyJXcsSaHB
T0PP2Lt1naMEnWNa6GFiYAn4aFoGmutch2Vfk4xirBbN6UFSolBKKNjthU3GbO7xGHmHVM+MoEvH
6r1xl+ljmKJuWTFdjwkfNSeJybcjjPCYmK/LoY21lVrXkACbwbqmTzTulGkprmddjLfVkBDkKpY2
GBty64NCz9NHNcznqwJO8Wa0O7zsXpyzMJgnCORF1ffjuptr5Ui4/TLsGJX217qqoXnOkyi8IUpL
3DY0zXvPUrrNaDXlsckm1mg2i6znmTe8ykmSuOZYzi67BYuQ5ZgEtuVh9kYotLITYVzhMu+6hB88
1K8E6NtdmenLFAywgxw/r83WZXUrtTBalDVnSulhHiCqDYBm7bgIQnqX5ZjWvBSRUj4suXRo5nJU
nAlnPDaxPb1lqUagngbGVE1ZXDS2wHcryPRhi6vjQUghcBChETQ6JAxzKAc8J7m36csemIjQ7r1W
+DVroaCF33NtcS4KUCFF+Iz5tv0G7lp5iHSG9NXU6h8We/tuTf4I0pocuOFZXebcD+HQ7HKMJ89e
USlkBHh9YZy38FwJY8y8sFsTx4ZdE36awUx3Dr1AVaVHd57Ubqv2o4JwaJJ2+rhdZvabtlltkZOL
b6UWRg9O34aWH5Z9tCfeQDN9Isvr5zpmiEMueVUY6ySWRiIieagtMeCuqP64JPuii+4AC6dkf4/c
cuvSIdJR6QrzDOqn89RnhA8HZhqmaGqSyLtMB0sc+4GMLYWZzBXnuXIeh5pb+q6xQBIQGI1RPeOj
2DSL1jmbfmmVq6kg1HIV0ll9pFObvLmK096U+OPvIsE/EU5lk8WpmOAgy6QxL2f4vtBLiPlm190O
lzFEwIsqqdiOqos+3jHyQU5bmlqe8PHG9iqbCdqUKMkUCCwV7qBNynrIsnhrAhK/TpZeHCZUAgcD
ZP19xrWFFSgZqncmK0j8lCVC/aqPBC6xns+JTpkVP+wsNpiwEsWVl4/tK4MHYHdsz47jqPdPte2i
1iJ2PfUJh0N3Rs4SfoukzNnAqPY27/dG79UfDGNGzBSNcwEKMkccb3rTEwhnJYBsTfhV2FTbVF0g
PsZtiIIMe51JaDTrFR0PSbLUAUlf8aFXM20dTVoVZA1emrAJaYcNrpuQAByecQjUcaihpbO8cqcP
/XBCAoH/rc7cQA9jAs+yLL82e0xKXtrmB8tNxWlZ5m/NwPJJ2C6k1wGjn2koNKuxwjqTMc8qKYVL
+nBKInwxZJsyK1gS2Pju+2qJfSNUsEZxiALnqUmBz3nS2mq6nGmaYwZlthBGYJDmiAcsw+XRdc9F
GcNdLYdhs4yVdXTMbjjrnIH7bFDNg9OZWJKn0DowF0muSY5a9sKbtX2aOnjAyxwP9TCBvNLjhdRE
j+nYYY4LrPIRRvY+n9wtBF+clr2nXg0cgEFZ6H0wC3hULdHXOYrIRDk1VTffypbEH6FInS9KbZyp
oOUPBujf7STGkEyqWt0bMXOZCG/JKs0TNKAqWI6xpK1a8Pj7BVDPYFG94Wjkg3KtMY25xsCUMejg
cYM7Ut9NZTScYLpwdoR42cHoxAAUOl0NjNAeQfXULlDVDvZhbvY8dStCNywH73sGgADnyB17yPm+
EWEXeLGBmG5yMY4OZdPcQrJ0Vy6pmvXKyed2leGVPlcHjew9zC7aOo8S/KKtwZbaGbbuUqV4mqDj
7QoyAY4lYW9YKYfFAFpg1SzpiUFBvTGa7p091DDOFLF0Zw3ox/2kzxEeC5VJmExxNNf9NGSXPHyt
g2Y1mR/HXdQdcAoZe4dTombnWU5n+MChfxs14g4Vo5tbqepucKx2C5NzgdrNTAPrFDxXL09e9blX
Av435TgVYXm1EAaKOiRxdh7itQMPw1eFWLV7uxP8MmVlQOyqIvwRU9b7rQu5fc4AxuZkPHL/Um44
mhmttdlWA45hUAtZZsBxSD3lIq1sZI0RQEt9QWcfozfdzGExbzDCAq7mZoR7tqCJ1dv5qRqJJ5k1
ZwxMvTRfsUTE7zOzj8tlVNv3aEq1B2VsptOUmMUxDAUP29jV4pd2wkaxRoJDRLxulnO0nid+foIr
a8RNVBTDFs9kej+Pfb8V2mBcDWM4MVkGIQ75wG6Nq8JbvKfKSNgXGEOyU+ae9103ln0oQ8AIwuy9
n3AF9a9NEotPl7Au1UQaTZTE96Lx0+YgFA1sAdD/0PjKYdXcZkF7t492ZpAEynrZelesbjFt7FUf
NaLf7nbJ5mcNtBSCfyq5WS7J90Bzbqlsu2Dvfim5Y+AGKTNlnsBEIEP+2BbEXXk2/9HvUTUV9bzK
uldP0YJIeOvMA8+dMBRvQbkk6VXhhmwg7oR51Zq5XzH46cKTAUmj1jH+WXdVpq3+vJSWSvc/fcNf
2td2hPfrRrxh8n+VYLpp76yL4twMIIAfrXkdrJQX5ojnlrQC+VhWf92Y/mGPrv3sC/vSNqA9AFQu
vzDsDaBd1bUalJv4As3xqrzPX5rzbtvv/vwzf1mh/euPJN/TpwvFbeAcs0HPg/BM23DBUpNsmBL7
6XVzXm1w3f3sS5Zzk88rtO9XhaPTD6qAqgDOfXnBtBbZknFlstW66Pxotxk2cwBEZnOR7dp1FIDZ
XC2Hep/v1uYGn7e6S38yQfg6pzIcNpO6w2VJ8wmFRN48nz5zGdkD4pfc8CvnaAMiFgIZS/xWt/P+
z79d/esrfb0Nv3xYje+2MbEf8WGzl0fh21s9aLfY4s7HFzYKAU/sExPNNSOze7QCWLZ8YPG/Tsv+
//Di73Lzbqncpn+yryccV44v/nbzUnYv5dt781nA+4+/4PcZBlE7pmMBMeXJ+dt+/nfLCzxcg7kB
zAtmdVLe+48phveLDjjAUOmWMMBQbnLj/jbFQArgGKrlMWQBYaE73PP/8W8/PBHaL//9b2VfXFZJ
2bX//ndDjko+3T1QOzwWz/BVMdJ8H2N80fCW6oAkyhaz77FTVdDW1jURYZZM26TnYG9QG/PlNDT2
bWG4w1laNSFy3K56RsBZkIIslhOehOhct9FEgQ3UH5yUI39FvLR3ms1FrF1yctmOmHrzze1n2Ew4
ULKC+jTL1DuMlcgFVWMwrM2sLtaTunTFyS5HcXSJLeTUywuN9Q8jEVZLGCzudahcgmNY4QEKgX18
oBymx+vq4W5wwDkx9k4TA4d2D8zAGRxhgEMb+GdrcTG1N6jrEeiPeXbHMwXgmFbY2nYyR+8lNUJi
fMzYCLJ2tq9MDIH3xVShbEOM7+sw23AJC/0RzUXuexPinFnRwhqLPXFtDUbsDclv4R6eKBI6bZgk
IV2zJ7/sNCpPQGSPamfqZIbVNBVdqjhrAKtmACTVQYcThQmLCYuKSC+NrVBT+xGUaMwcApNa2QlC
1xlNqE6l37daLPx8wLHdpeRrWDXB6G3aWJu41PW9Po62uy2QJUaYUStvWRnJEK8LOGcroZqgfazK
3CkGWBGv88A81Op439ItpN9ydr/Ndaqj6Lwn2WXYYMl0A6sc5sBy45b3G0L+0Nt2rSb5tA+1hs0+
ay9/coG09pU+HRYWEsdImxB3W6mwHsJ8IJyXdBdxVEJ4DUgOVM3PXU29dd2sxreUz+e2FTJSGWCG
+u4yoJuuVcIqbS21fFPJIozivec3UVxgPUqd81GrWqARDv7+wXKu+Q2Gnbp49qMihPKUxUgpEUh1
xOxhgCB7snDS7ZBZ9bXXdkBbmiVMu7UFg4EGkojPS010rh9lubG17FpbVoQTObu2Lsb7GsEeO7HQ
CC9w8EznjL3Ffd1ZopWBns5+1MbqjhEQe/VGq92bTG3KbeQSE9DPGcvQoY67eztyuicqOGWjGRoe
w4n3+1i12rgzvCiyV//F3pkkR26lW3ovNUcYgIt2UBN4T6eT7uzJCYxNBPruor+7qTXUEt7G6kNI
eopUWmZa1uyZ5UiShRhOdwdw/+ac7zReA0BGOQ4SM/qrba68xYSqnEvqj/ZjmCd46aeooVxNcMf2
RjheNZ5tEKJixPumCpv7MYysD9m3NlU4jeKjCx326EQY4VfkBokXKDY4gTDkOPvOr/vr2LPI9onD
lFzT0nyapFMQqgyDC0xUlZ0csg63gpAu2l5bf05qrzi6iR1/ZuR0fUcmoT2X6QwHtPXbg27m7r0b
y+zN6P3oI2Qud9dRql5p9qSzfghN4GLhBJS+tMpsO1QjKyvPhlzH/auFXzW70W6n8ZDCL0VDuS5F
C6w+L/SrfI4JqhwXFIqTTezt+RX55KU745gLJ4TwcXara+gdmhnu4wovEgYzo/V5WTFnT2PsiB+p
ZZFArjHOuu7KLH21CiiENZqmKGhaR7x6oiqOKibZJq5pWYHsOwbjLRaYb4rhxbhq5WBd99LRXggB
rDMYM2xcArftkARzIX/aJRER69gWQLvyqaHxsvuFLTcZGOsJ8s6TgJxG561kHXgzMjb8zJM6PRqh
hX/KbI36CmAXi1KCGvOP0Gjbgw1K5pNE5fJFV451PY2pcZ/S0xAQK2IEiT6YYho5kBbryey0oE0T
a8QvZVcRNOWBXjASEySGNOn2YK8HshdF5O8HWmSsCM1QeStnqJpnzQcTrRWC4Owywd/c++FFlX62
MwUzTe5CX9tXYxbeChb6OyvH/GZkdf+aqKI41Zqsr/2q0nZaHJM2g3z6SyeS6qD8qmQwiTncqRNx
Yb05Hyymg4taWQsSy9a+CyZQaYBgKD/XZH2dMpH2ECrDgloYckmhqfYMuXba0YI1pzQpyn2a4dpL
clwKATk4Ju1eMjKTy1ljl1TxwdzlBDCMMxAcUhAxLf885P9T8yw1DwJAyvR/XPOc3qOv9/x7+f6X
Uue3n/uj1BHfbAvNh+MD8TKgqiOe+6PUsb7B7+cPPZSKTDh/Rf8b3wTbVyy3eIh03/iTQOt9g8/P
38Pe1PrtT/5S2PyzQufnyvPPLoE6Z0ma/skb485e6qe/LdF7xZikB8298TG3dlgiK3EoTWwbGXlI
yjpMtsOm/8oBLwJp77FOfVg59UPRxUfRwf0a9O2Q9gcnESvXv0lsxAAKtIixT5nX5LH4F60bH9nf
FGasPj2DxSSbD0HLa3p/XRcDT2krTiNvrTmJ824gUn4awjFbe6ng1sytxj5FM3RFHKn+pjFJOfVE
iDK8jLvwUDmeutiwFTYkdg488vxpMwkU81aa+4fYIw2JAKyEoD3PkCdXl85baIBrYxltxsnaIUf6
NWXdYgZM5KofVlm1bxDvxxfA5PixknhMb80pzp5ze6G9ENZe5/u47l9YyEUzMPfepQ8hmvloGmZJ
HlkC9rye4aIU46QBP3fCCiNqDDI2CAG1Fdfom7EpOt6Qxjv8Y/NrSXwxQ7AwxGGiIm24AN1tD6Xu
xD8cyYAz6IkxPkSd3dcB78zbMmsthk1dVAkq9AzdSevpW6sfu62dTS1YqqL1mS/VuFs1D7clx/hW
St06abqzYlx9kImFt2K8I4PoliRqeZsjvz8YvTHvjK4ID4QxouDGb6nuWRz4cVA7mv7SlBNutqko
ayg0Uwjll4I330RZQ54k5w1sFZrmaw9LzFarmvpYCYXEpQ+jGwlqbt8ObnJmXp+eETpMD2jwCF+W
FgGTUZOGGK3C6b7QLQaYeuI9wjQ3rxmOhCuD3djXIgYzgl6aM1MoveT0IiKFusNIIhxupa15T2Oj
5D6OlXM3pQthnLvk7CzU8ayczRspm2ovImg9nIIFSjyrVCAntA/IZGpvY9Y9Jr2NCTVqjArXitYB
10zlxAhsYNnVaPHbiGROX7fwjrExRXxHuV7gnk9cpd4nKy8m6DCRghDmdbAb9bCu9WDu+5yoXXwU
G0wz/q6vw/whaRCka7GYt+2czbwft7rL2fKectV5e5DqjPM1wL6D29msywDn1XDnntnD+gx87HHt
IIO6h3Ulz4UZ+gg4CfFJMf0BkkvHg9vDZqYYbTcT2UdPKPHDa3NOqp8qVChvY69fer2XJDtL/amb
vPY9gtp7leshuk7sDEDdyFVTJGO5RHkFqsbyGCwnEiZAJGvtjvQuYkKdoZNMHxPLHW59BQYfm3iL
0m3Fxrov98OoPGJEK7opYDYdjDJgPhTYhAwWPdDiZljCvlvG/k2MZxDDtv/qR6W6uGnoPWKyBEM0
p2E/Y34IFXS/jKVFUHZR8u6TB3eaCY/0bkksI6qeBI08gbTXjLcOsYP3OnYp7Ps1aURsTar0O54E
O1+7sZk3GCfxx60x4ddPpSfKC4gDLoOpQjLmaF16bSjT+HLrVptWIrUpcVt7QcjKhhxJSh48Isx/
KUCLMixXLHfUYyFSeB4ZewR4n7NzK2swfYYGfh/d6nzVkvT22s6hdZfPqt9NjuY/mQkXY+BLsh2J
0jJOfsbWFOQYvpRo1PSzNbe9S0yDjHazabZItgrG5zKtFW0LrnHi6zLcbWYypdyJlT7xISO2K9Zm
JMtu00DA4+2MNvNgzZ9hhTjuHaJW+sAYRe1+pMA8tMIQD8lYW69FCB/LNwUZYZEwCHtltF23Zv5i
xmVzR8eer8GWtoQJjc1V4TrdK9lT4kHOBVQgZ1lNN2wYrjE/lWdaJHBv5YCKK2lsn1xp2DS48rr+
NcZNT+pa3Y5vNP9RQcuswn8xwDX+ttFfzhOxKKhMRFOs1+2ff/7rjMrsGczV2Pa6NTuEdbuCsrt1
d+YaMMW/mlL9q9da5qK/vBbXUJJYEa81rvSVuSrX+HiyzdbagB7kFscF+9FvyXX01lwea3SOwb8S
TBjLaPXP854KwxImojGmxRBFGc393RgyH1qMC9lm2AKbBCadMYlEar6y35qBPniFweW3EvFvhiu/
DlP+Ign5/TVdA90V0cqwTP8ybq0UXykzi2xjB2gP9jGuzcA7dIG7i4+ML9x/92P++R5/eb2/vEfS
wyyaXcLZozxYD9E6vJgreAqreK2xldsE8TqDhbm2tliIoiD+bej5n4r4fxk6msOfpeg/LolX79g+
u//6P79WxH/+3B8lMcWtiSAJsoyDGBqP3J8lsfONMR76JcaNFhq9Xwz85jefOR1sWrA3XLk6d8/v
wz9NRxHl2MiXbAf8DRBd3/93xn+OuYz3/rxNHGFTXhqk1urILF2Davtv79TC9DLXqHSk+9hrepDb
88yaP+XOFAVZhKpIwttUjPXZred2wi/HAGND2siIyyccxpMao4JMFLY1flATvpJhwi91tc0H6B3I
E9oUczEn6CvpMfk+Iath2IKbl867CnuouI3bEC6EDdU5+ebwYacDi8TcBnq5cFFDkuVYbtlMOhSK
2AhpQRtoaePIQHVLym/sWhA2h8rCMgMHIL6OyB55aLXWh62C5hh6ou6fSevW7nG/LrmJSwjjEseo
kml6GmoRf82R1V9S0dYPftXFF5oC88Wucu8tMkh61HoLaoheM8LroPbAsZk84mpM7TzHiwgnmcXn
vARIFkuUpGbUpEqCpsLFTVO+l5FZP1eznt4NMsT0Xy+BlKAOCFZxSA8nWZu5lieSs/0zw5ITccmz
XKIt9RJnqRjt8NhMnX5t1TI66F2KBsKIEvNZNU18O449eigvKs7dUOdB4Vb9Tg1pdYclq7tlbNG+
cFka16k/a4FKTMJhlyzOwpTGE9UMMuzYIL+mKfkIl/DOyGzyI9Yo4wx0ifRRSzXaIWnHZqvKatk0
6+JNK5Y80F5lQGuHoYcgwr4Z7FBqAZ2PlyDRamzzO+Re4rFHEv8wFpO6K/C8bkfN0U7j1NWHubaK
uw4rxh0szvaeiwrzAzqca+FUwxEA5nAyxzbaCWmR7Zg2Yx1o9ei/eX40/SB4yDoUeB6J8hmGj0Wi
/iwl2PrK8qO7zmubTw/9vA6xp5CXKNeds6zx+0+GBxtAL/xnqAzQBE3N39VlMt/mXdF9YEFvHpMC
6DlJXcbW1mL70sXdsAIq2R+JpI5OOWUGqSC2IAuJkeqSVyRcvlhFk5Ag1sExL4oD+/vYDyw7zO9N
N4zP41yrExo0P2MarHWECakWRnIzReSwE7h8ZWpGtajcvMnCo6GTUoCvwxYrbFiYBLzQIWXHHbFX
dIAxkinTzmVRWztYOMXbXHv+tplnPBwZ+cUVDuudasYUO1BefGZ5W4MPdNNbvezsXVISP9ZZWnFj
jq56NypVIkIptL1LamrQaL7aA4UfnlN97F7KKM8upe8gjWjRdSM4U3e4QfOjmkbEetCJUAOR292h
QI9XmS31m7Kv5w2ptvPdNGDrrXnG3epgcO94oJmbAXPLrZ8wEawNlukM/PHzKJv3NSl50tzROGc8
KA9CU+J778nuyo5NIriqMN6TFsLwNAdFXGOfuU9rNFRMlRC/oGlbwyKY3kXnmrdOVQ0HhBjlcx55
fdBTfcFczMeeFwF+HJhhFB3SEpwQ0pd0uB/APm2aUTWHjqy5l6rrDRzUmbzSvQZtXVKaMG+i9NDX
GbOmJYgsz+P87PA2LmVvqA9Z9YR71lVhwTNpc5oW6WYeOS2FzZjXC/G2j5b8KPwqUjveovuuNQMF
PMPjag+NC7S9IvvJxaXygg2dK7Vq2BQnRiff/dbtyQZORozUVucuDWHuwDbBc073EVdTjGSxbUmk
zfoaTQKRfHe1Zo87JgDTQxoO2bUZmdUnT+Xqxuqb7kOV5Cczve+vHdtgBhgSFUa0nM6YMpombSDS
ugJbHsXyEQsfkv6wCNlkdmFtsklghOEEOa7yc6z3PclVhSR8i6gSyTQiW9xhlmegWxwYsAaxP+Ej
4QrztgyYCTpDjhUFpj5Yd65yjH4TVu14UDMaIKDI5pZOhjj20TBTMOYEz60x3/fNgac+6AirayG+
6FIbnu0ZXwa6zszCP2MLdIhGIzv9SKs3vY5+a3dBr4vMXoFerW7KGvEcPW0ynIEnZ7S3PFCeUnw8
D15Sl4thW7chOWYQKYasHekmYnLFCLtyyh048WZGW5EMzQoCSk0EA+riilgWhcedYUJ3h65OHOrC
1+5LPZrx3LMFxNhRtO/EK9TmPnGLlmcMRX2ghNt+ecPClYNOHE5QRWA0sgDwq5UWG/YZtgY9FV5R
NA2cyATiJNkoQC3oVYIPphdHAhr56dkjAeNgkOKKGIV3dePijHmi6x9AcJYqGlbK5Cm6I4y677eR
i1XE7CrryaVRiyBtIvAL4Lwy0+pDqCqruDSSBcVREurnlAIguV22drGxRhaU8BBd7Z6tD/d842rG
h5xN+jMDOO3Oc0c3CWrlR9CqdOlCox+jA5/9AsicSaNVqgx3rRuSM0+ABVMcfvEfTCK0o+VQZ9DF
JchOPRZ6oDITokaMSrzUmm6s+oRpl2ynAguNosck8DVGp9M43a5sYeJ7GaDeEH3MM2GE1gMumoh4
ukFcT4201mXdi3vNrjggZk8BQgj5Mrn+sdCg9QrCXK/3BsJVDm8gMZmuMU/Tk2a6yrKw/mI7N1EB
6ah/Sayx9j6Q4bWbKvkWRaJcIF+HOgWbxs7dy6pD0ZXjPcFS5ncSsDAxgh9xr5u0tF8r5Q5npM3l
HXh/tHuqTvRAR+mE7EefUckSzuO4JMn1Fok53YJfMDWrvweNqnIUykJ/gQjX7PrK8Z8QFs57enXz
KRWO/EqdIjPXogQZwcc8ROcOXtcH3reRn5m9I88f55aI5eiWVRkwDjfKdqKzF0hJVIxbGIdw7Qnh
tScslIZ98hhKnZPYDtdTaqF+NI14QCZp2VvLLfurbNQ1ghuxga+AdzpEzEyTs1Gdyi9x5okboYGI
Q3xp4dTLcwSPV7iZRjsgwoZHbdyN3ie86AItqz1DovGx3/lWWzy15KIs71oipW3hGcqtnzYaKxxX
0TrVfdREG9Ys848GnmrCrKXMt7D+PGCM/CoIy/QblXn6E/kM9VUxt809e4r2BjvJcN11lg9c2gPz
jwUruQKSO20rQm5KLIoluGYOb5dRgMRn2lveRDBrW8CddhM6RYk4MC+Gac+0tdhOQEw3k15jrIrS
7LPDlnozDG4Kzc3u0xesusPW9RP17FJjHNvebMrVpDVZup4auHGBQeT4JSsK0pezauw/QXNPx6k1
tBfgkPmlLCXcZUJSxr3GKOLGLasY+1vj3NRpUz2XnWMyQtNyRJaN9majgXovrSRLt02MujvIjLD7
5EicaKtdKay7Vg3A4DXlMqI0oJUL6G1JTOFozuoW9g+DPGzT7bXV6OqrZRp5iLtKPMYaxkQBUcdY
JZEjLvHoJe3GnpV3n6NHfCCRbWFAMDt+LCND9Wuckez8tYSZb7DE5Jy8opTfOWN1e5UDDGOdBxaA
EgaRrYJdwfAlMIhhsfD7GsOy4RsMZORZfGulDtgsmHv2Ia2G9sL7SC9GZDD6peZycABaEHv6tDCJ
5vaTUcJihgu/khpHu9lY+cXDn3yUeWmDXrY09dwTMw/VuDclyM24wRdrmeTypCPl2f+HGuZ/HpeC
YtensfwnDe5//V/5VX38ZeXz+4/90d8CaGXRzHYGucpfVj7ON/JacO8tTTEqF4PO8ndAnf/NstgS
+Zj62HH4hAv+d4PrfhM2ihe6YUe3LH/5qX9j6cPf80tzy87HXbSK/INMade0fja/v4yhRhfNNSSA
bIN8uTwk++RKuUH8g5i1Xz6Y82/t8q+Dn59v5u9fidte0OzbjrEoiH4deBF5bfLgr8O1TeLHHUes
TMl4hkIUuFJNDyVqdlBqcByJBiDkCYXMKWYObECVd/wDAh31qHeYMMpJ9Scib40Ta434nvJgJrhh
9HWSAB3tgGTaRYeaE3GF00FDtUjgaBbGiJrt0IF/EzfOHjXyuLI0pNOxId1PqGLaiyjj5LNvaRvC
PmQ3EgF4hxnlGwKkflpECKMz80OkFYdKNGP/trTaep6TqPmuK5eoU0iTzXWiGyMPwqltWdc0WYN8
H6pnbkvx3fKift7WLo9kdMChNh8qqY9sAaRZJYd2RqBHHoWN/7nFyXPx0QxpKyOxQgovfUAzgYcV
xbPb7lMrjB/j2RRvfuzPZHUNIGlncOxs27oo3aJCxUIylPqqD4XYmf08fqFAIMs7qlq6DG1at6NW
Xnm13541xA9YI2ZXOivLxyS/id15ivc6C7OVrJ1MQyzcgOhqCwrvtfBGImAYAkNkYzK7dKE8mJhH
DPbFt2scEZnmnCGEOGfV1tlraihxpUdOuJ0oqB5IQAMTr+sM36HSRVG40oy2QFZO4XPEnDZe8Ahh
1PfBme3R6mRX6AJ8DwpiR43vt0PBw37s39y2n+7SBqR4ACqObQHzkGZd9jRV1C5Q/0vZTTcgl9wH
LFniIRLS2Lqa0zQ8Ed36BByCtVPq+sW9UrV/rB1hnbVxzG5j2ggjcDmdYS9mg2Ib0TTXQodmRzJL
m972fWc8EOLTQK5yIfbpBB4cyjFFLWtPmSrIpUvEMWyT6smpNB9VfZseSCiKrtvI4jpJwjDa6vz7
OvWGZSxQ9V3DoseAJJsM401sFwctDSGNqBZ5qNDmyzR55hsh1dMetWxnbnWbFV0WuuLNLDnv7XbR
8tIjMM9P/OzewiHPm8MQxhZ0NIgJm1mesnbJ/fQEFgEkWWgVDhWVQO5V+S1fUeLmaXOM2qmXK53y
39wqr3bqgIcUuK0sRRh/VcZFz1qLAc28ccshV9umKbNn1QFWDyp6CBYMGjragmC+59hKzWvNa9Rn
ExuRTtgQMLOVmHxEKLSD+UaFvo8sv7HTfmuGZnET1k7ygOMqMbdGXZvnaW7aJ6IiZ7j+ksjTFQs0
pEY10opnvU3B7pPCGNZc35p8MuepehyVHD5ahHzvmkdvDpZhZs8iYvARDWuyazeLR1LRkhIQk9/p
fXkFN6RH/e5O6VYkugOU8t/XRPwPPPnQH/xTtcPf2VI5xX77mT+OPYyplouKwFjSytBvsv/4Q+ng
Em/GQeCwtEdk8HPi+/uxJ5gFM9BdvN+LtpOJ8H8fe/o31Owg0fVlVkyLZ3Ak/hvnHsfpX04+zKkL
LWnROZBuZrjLyfjLyYeqEvNPZJBnS236kjRu/51StDjYhpzvdLNOzmYjygNi5vKx8TTrzWW6i9Mf
hmBVxO0m6Xr7OopHiB3UtRu3nmw2d44jf4BzDW/mMrEwRpj5s6RRuKltQCoRBEbOFbquaum/pi53
tzFQm6NcurNMztYD1Vr/zBNNbirfTR+bBiUaXrzhdTYsmQbt0vBp7LEeyByv1owoxMvIhG49Irdg
tCL68cHwrBHbIBTIo0P5+Aosmkcu43dwcoKCfwTiQvBjzTABEWl0MErhXmjGpwg5h4IVbVqIrNxw
6C9THTE0VYrRXpD7gj0R0iTkCAYGlYCmQ2w9R6FJ6Och7hZPoQ4dnHhZRO017AdbQ1PhzSUBEzi1
0rdUE5zVrYlub50VAxLRTsvmN25K/tIG2uANrkvzu1ZW+r0vTPMUor3Y5nXbnSabzWYOqhBCeuO9
zvoYX3dy8umzLIchS5uoidVhCG51zGoUKqLzsIK64L/vGt+LPoauhgmEYFc/s6yuW6ZGjveCW49M
UAu0IBkYhsV0IWpZiJFKWjZbMHC+uxv6wanWltWLfhVRB7QrL3Isa5sw9Oap51cQEYq0fmHypPPA
t+KvLpnLfejb/aHXCrmStDUtUTHN/DnisCp3cpQAV4iwEPuUxyuIToBdBzwdGMeMsZe4EGY7vMxt
WHXwJ+3wdqaX0CBg25PYSJI5kJ6SwGStfAwn7xWMqfvCsr2XfE7UHpGK/4LHtX6XfkoKXTQn4Zb6
wT+VkZexWBXGTRVl47GTXrP1R2sRFOTODeFeNm9tSq+x+lt0MdlIblsINdV3Kr7/8KeDFwMObl7t
p7M3ahaXr7MYfsvF+lstJmBKjOE0YjTejZ7ZngvM00fd7PRdtRiIQaxgcFtMxboXUqIsRuNhsRxX
vUgB1Ytky0rCCiji6k26+JNbrgvcXUqtGgIxr5rFx+wiV0UiXWsvnlwowp4HzZcEMZut6qqYWIOg
THCCuMAnysDVP5S21Z1MD29SaJFNIxZbNbVwsisUzMiuhNsa8zQKTJcEAGEU5aZaDNr4H50rIT3/
jCst+RAeg2e5WLrTxdxNjjLuY6oL4qslHbApp1Obu5B2J5LcrKzH8jd4TcOCu0pAoGJFKhdTkpgj
7UanJPrpQmbIU+RxcW2mVRoGbRb2O5I7oTW2NdKlVd7NlLNtYXsgvcIq11YIFM23ma18wbgJ9GjE
DPw6XqxU+oipamaWefYiK/puL5arxDDGTb3YsMh8mV4FaQqrcjFpYQJk4bEYt9D4FtvebJ39sNi6
5nwC+o4NeD8WMl5B7dR24U8T2DTo+sZbnGGZ4FMsm3m6uGQfrHp9BMkyzalYzQNBChJR7ZNp98Qa
LR40fXGjgXwpTqjHybFFD7nJFtdaZOJfc3FxPnDtz+txcbe5i88tHMlBtBfvW1I2/mZc/HDeT2tc
ljRMzNl02GskNRB/UATpX3ZqUDSYeWl8zRTQCe7D4S0lwvZAPxye3AK3N9+cp206mvCD2WjEIFmS
wVhQDX29thnowpa3SO5yNMbFJSqkHB1OY22JpkVxqY/JqR+5QtxK6IdS872bGfnSthk9nWo/yq/7
GcH5qLnW7WBk0cp0ZjJtrNh+HTsDOaopM6y33Owz6zqtPhQRKOZ8tCz27UnR0PU3jtghdCqo5IuO
/83Adw6dawF1iQXZVUD8+ZI69N/Z52EPGMqG7gWNCtKXtUC/Jsz1/cqKXaD0OlAwPV74YCzaYIW5
pau5V9q8MMRsmwIu6ExTewrTpmBAkxh3kfFq2mNy61hKHHobnkecOepHsjDKGrPWH/qFW8bAGYTZ
PObAN0NUaDZYpxfuOrNbp3HlnDSxINDENON7Xbhovez4786J9Uf0JNils4WhRgE5vLtpEqJScfEd
ggOz1S1Kvm7rC1k983LZrYzL4h50AbEe5mgg/EU0bLtV+F5NZvFQSNK05aTLTbiQ3cx0nugRfwLf
kla5e7VQ4JxBVrfJQoaLcyT0tDHw4rSaRA+OaiByc0Ei3ToiN4xQIXa5pAkNmXndKHP6su1CbaNh
Hh7cboHT+WGE/pu4ouJHKGFkixkQO04JoHZhU3Q7bwHdVbQDktFZrG37nyS8SqXJvWukkLcdzWCn
kbfJqS6gvAVloauLTuqVs5odVkidoSkCikAF7hzNjOhAOBreZZRVPHdANbeZINkpDOWpMvVpM7vN
BCy9InGqpVt9rMpBp0wJmwjLXs8dDDCxJqMiAVNQzl38Oip/2A2qKkhAQtTerWb8myUO0FR7QEJZ
nychmxP854kY1mG8TEC3dkUaltdtnqinvnH6rc0Q8z/pBlBcDl//+3eFxIJJ+scDJMI6yaftKjAv
ddK953+vlFh+/o+SWnwjsAB2KNFAS/m7KIT/KKmtb0stK4gGIhOYYpux1e8lNbHAWKcAlQgPGznV
OHX971IJQXSQx0iK/wHa5GKw+rcq6p/e0j+FEguBxcfiZzrkEdEOmPYiefqloh4jF1H6lIF6kfip
NfCRAwK/rWO30drOZmJwivbLqR0istgaMEc1TmzwB1LRhBcMGJi9wYJh1ajzzEIy6Lv5lU72iEX6
zffH49CJi2+xWa9MY59RnTAUGDaSWLjUt8H9ps2tLj2WF7X31M1UDZE/PbLMfuGg9oLCUvaqISYo
cCG3rxkFHPFj1Rti0VVgt9piFYH0TyEoSOwqLnGIHCps5mNO67z2/eIix5izXJKgS9WPYR/6x6Me
hd5hJvqH9rfBM96k80ZDv8btTc0XtuJaWcVXAVJ+VbF3PMULy7sfxnOc1c16Vvq0rupGY4OFudWU
V1bMQEO2DqaIqEHyOrWk4XhyP/UtQa1LelJhwykM4/hidCXoQrLq7WRElFtUZ74Whjfk4BYWhK5a
2MGoxINTsHfQUh/gsO5vWJuT0FrmyZrPuthxLvRry+yeQDWzBIDwmBHwwHaP1IY+WZLGiddAzQ1+
sxp9i+OeSjBF/7E1bX5T3UBsUggxMoAz71WHDKS1UqR/2s4K51Oc9ZcZxAtC8vCYNkyMFCeJWYt9
MVA2WxHskIk1mkk+1CzBRbo9p8HIepgVHuIJ+rZyZRnwJozkSIoCtOxcPGeFSo+9bN6ViYKhMWS7
zkdSmIrEeyXbsV6XiTI2M0CYlTs4uHsiXSPQMf1kLUd87iRvUPlgNLeNTY/YlFlF+SNHZ4kBpxh2
iTWTUpfgntbn8r6toEkWdX0kP4pLOolexryQFCnwtlrO4aAsS41f1sgOfqyLOxvYP+TxpApmjXnR
VA83/mB8qojEJryDaD6jgbFL2iyp9Zso5utLbeeSSYZxOrsPYEpjUHFW3+pePB50C29WjRFw0shX
BryLKbmKH/sxe6r95BEUvLERjGSETjCPlAUprzm4tCSt1IowSQQdlbrDSGNjpnPzR7t1h6teCmfd
9eoY1+ZnbGmEDbbZVo+deiNHlEVVOK8pE2ouMitcsdDmDYXyhs5RrJi0wL4J+zexAFltEMSESODX
tqH6x1H4oaX9M3povMyD/FRW9lko7tc0zE9URs+uLH4k3ThsxnmedjnzxaD0VBIYU3Ks6vGRSpOe
JT8WPXsRNxm6DeHMOz3Wd6NvgBmviHXKL/ANBkL8PGgAY3Kxq/6D59EWwOI6L91wxWPqrOp036HB
j6N2a6r0PAzZqWviK8XGbu7j60ZLD3Vd3s+pfUwx3wW8e2gx4PN7U+xCMLChb37HIvPJAOnB9bgy
TW1i51VaoHbK60YsH/LYfodt2NIedzsfwRDTxPmBQdZz15qkN5b50egSbWMZ6Z1lCnbsRfFaxTyp
Knf4EDESfEDDN1OXnTIT8EXaUQ51JAB2rWA3H2Ufiek9jF37AyEn4YzEMtvkANvaQAFIXeNWV5Hy
ToNmX/qYqFDHKqZV5BGb5ZXztQf+dJXGxotSLq2t7zKZLrn/tOoua7Kj3nlvMnE+LC28EK+AJdyT
d650X2d3+GxM91JICP9dfxUi9JnIi3bhlCo59zdhV93bJXhVXam9SJP6ykpYOeVGS+KUzogQs54c
vVXZhZ+qkadl6aRm/1aTZBQP7LBBuewqWd5Rphx1wwNoOpnhVYjwpTUCndHCqk8JlXT6zUCQc5Dh
9itqaComxvi2aY6oqujrC6irhS3eqM3aNcEvNwAnm0OpsOcxYToSzu2t/IQ9s19aiJ8Vu7MMNuuK
AuwrS0KT4NWUTW1aX1LDT/Y5G21Yv0mxqTGTUqLX9hJyfYRBjIss66aNYReXoXTLhdFyg4/t7M5K
W5uqfW+cRMcOEt6HZncwsBoSMg2bJGSOS9xZ661i4dzlvZRXJZnrLgPRLlevoec/8hA8NL1tr7Jk
Ivd30rCamQY5DHPXbfGgYecNXblD2XK0E89dG8ye8iH7IHMKYyTovdsCdRPZkLq6BSJibytDPZpo
80kh4b6bcz62VpJZlxC8ckOLeHaJhCY+aMhW/kAspEsW3CZ16b2AH19CV0+ObUqdmvf8Jk7p2gGh
HUeNgyeAu4YxUVbJDsYGSF+m8cIU5aob8x+57G4hz6B0GGzrWgDmIAnuC1nOLqbJGMqi4UkcqmuF
yqVNmBdplbu3W25G+f/YO7MkWZE0S6+IK8oMj23YbObz7C+Ij8yjAgrsptfQS6iN9YdHRGZEdWWJ
xGNV9WtGulx3M1D9h3O+oz2NOigbXBQwQ60tjQAvoe0XD1GK4aaZ2PLAwb7i0yIyxORjAcLzohb/
q647r5mfEUukCMGoE/ylMEGSda2FWy6T34TL/1/Ji7dtQaujuv3XZer/6vJ/+9/gCT/+HYL/9x/8
oz61qCfZ7mGS93+EvBShf9Sn9i/DoV8hghK5OSUnpevv9amu/0JJDGEfzxsjWa7ef9Snuvhl0MPS
/UEzcTHg/62J728T3T/Xpy6AVPT9DHJ0ABTOD7/lT/Wpm9APt3BRNtYIEHnlNg5ZdSD7ib3KsqHb
y3ZU8Fk0VKVGyB5MWlp9l0Pf3iol04dyae5otEW17DLaK9tpa6ZtLQs2as81Ba56ZfaYbBMbPY7u
k4FOSi+svUk0iMv9T2wajxr8rG3iV29ZHr43CXWkqKZ470NLxy0nyZwgUjc+MSiymBvpxjFUUequ
CKssgsrDOtOMoXklwxaPOorWs4Wc4TwOtXVou5ATvy2RROCwXfd8GwcK8fqY4nMhPm+oidZLtbDb
qdSAgoFgiGAw0nhzrzXT1dgCUXJCDt1hM0iRrpgecCkCSQ3w6pYQ7trslCv4R2FtvSYj814nMrH/
ZCRVqRpxb1Q4AavaeWVMZrdKdAt9MvaSlZ2m+jHrx/vcteJb/pLmuowm85REE6plk1sLePK0agdx
qHrxXOoOGbYN2OwEzNaqsszHrrVfZeKHe2kynzPgRIOO0l9jo4ZIXgjjVGAnWtt2o/aVOx2mNL3x
m9G5QkLx5kXdoUsEpmI5bgqVTWgWSa0iHbpYNzq3jI209VTUA7niJSonHw3MjoHWOzi2ceVIhBuk
UHH3TljfCs0uNyGA8KAxBxngw73WISbupii2m8B0x+5CFwME/ahu4ltQzPEhTrEdRhIPvNTJNs3j
5DM1iSbXy3HnxtOePLJ6laXztzvlnHdY5MDcv3mzHhOmIss1kEiXEAJS12TUqIAZTXPUuvwF8Fy+
K7vxyet0Z4f7K75ORcZUVA2frjm9sM9keugmHyjVUnZ2OMcHj6SWvB0OkCpfGKxdQuPrVnaZExzM
V3y9uJLQME6vZk4012rQe9S2MBY3yNpmnH56uEv0crgy9FwhSC6TT5eeZts1nb/Bk4c3yCSU9TeX
5986eP+rLdAWPQfd9H96pl73XV+8TX85Uf/5c38cqeYv/MMARlGAmDZiEPZhfxyp7i+EJuzWWIb9
ERT8x5H6a+HrwCvBSexA8Hb+eaTijmC8Z7Jhg1Tl0qvbjvF3mn5yEf+yRnNYxrHK87hBaBw515fx
wp+b/l4HfKfGHJcZ3q2NL62xBaf+I69qfqRWRNYhu8oXBRaHMkSB6keY5Rsie6tsN3xtFt0WOylj
0yxarmxRdWlABTcAAfxL6ne1j5EU2xxNlnfWtZysjXyRh8k87j/yH80YmlHrJheSXpPKMU3XHhEQ
ZeAtYjNvkZ1JlySthMnbc1o19Hr9IlArNdO6nHrdfpEF4XqzNxdb9lLjnvso2qofrVuR9hPdyI8G
Thkxerh5kcapwkIlNyyCuWSRzrE76uUaV0i24jMbzv6UdJdMcZq7fBHeDVovHvtFjMdK1Am0EoGe
gx1/y3y0u4qSJnJXvj962drphxTG4Y/Gr/vR+xHviAbRhnd2XbpRDh6q1BkiyJYIv2yRDNJTeR/d
j45wBLdLzSw6f4ckcln70ZouqmgV7eSydV+lrcbdp88FsLsfcWLbOht9YdgF1o96MV+EjBFkteNM
b7EN05CNvjMbk4NWDB47wD+cwn5nYFf90Ui6i1wSRT2RTWIRURazRSloEf9xAcyGWPNFcpmVofOJ
sKO4gtzBXDv7UWdmi1DTmS390ZsIPqtdlp+pV8V7ozGiZznm/bxekIZ3pFqx8cn7voaTm4QciVj5
UDZXfpnWq8ad+SPNRUIaDjMQ+hG99iEBPHjPnFe7sHJpfIHDN74mn02CVebzofPLk2FOIbPgrnuH
ZV+tvcI393zAlblLZMypu2hdM2i1+FsXAWw3Ddalsahi+xHXQKQTn4LT1kLDuOx5p96lD112v7bW
tN+jgr+DFrTJ9xURoGuIKFXgtQ1vhzN4BPOIdDskWbJum0F9kBtUPgxNFjGjxV/dOdp4Oy3r6Mlo
+6/JsvtnZ5m+hsbcb7tlIruMb3+iEcjqS9UNGS0wZuoqvrVEbgfCgnsaRFFiXpU/4171M/qtYOfv
UiKIX6y+NsoNSg9x6n8bGGv+AsiQY3RQiSceumWsDP2GCTM7nu6WfbTcjyjS9qzJx0/XUeETGXTi
u6qqqaVbiMfhLGZp7xl9JH7QYp646cyGNZNtp4z+PZ4ryo/xQV+mDhMIIgftzhItQ3Rze+xaE9q7
48tTqY+ywzmOng7lZmRdJ06XIRfC8bmVuWMZK+Sz9TUt4DDtzCXdRi45N7IvAdwRcMgwUa8TlkBR
n3zWhJmckhJNPEk6FiJ22U7xZVor5SN2VoAZ6zk0WFYyVvjQWFm+T53BA1qg3V7JGC6jDtcZn794
ytrZg6ShJ7cuWI7LGkM8QnWyfbol5UeQ/ozGnG3jtGQA5dIdr/TOrI+NValtTlXJcYFboRXD8JgM
GYYWjUDoIwWrvFY8UBfRYEUboluSe7zs1ms6a3gKUjEyDcSEMTA0m7Bn5Wm17axGovX1wuKDkMKJ
kDGkt83az8p+XcoifUzRZe+rwkDXahbx3nQW25mn98Z7TXb7sWN8e6eTM0hmhGmefYy8z3EYZWjw
vbC6lYbNEqweRkRaA5J2PqNBMc7wHPa9bVwkO8rueJ3w5W3Syu0OTZsmB1I7hHkexCh9Rj6z8TaK
uNjP5WKMKCMT+LHlvRfCTy9bIMLvQjqMZ207P3cOQErPTqFPN5V3s0CMrmoM37elEVprzpD0tWIb
hUTAyGIzGLvB2um1Ja/S2Yr3aaclFI4D2jxHx+CA+pwY0Mrbml7YnuuJmJoo9mXE8da4l5jf9D0B
bdM1igGbAdQg5C0iInFbEsNyNBxc3IYoh4cu8vRdVw3VfS8nCMpT2+r3npzcEzmQMX11yiyMwByv
fh8awzvPg24+x14FjKjjvsuYvyLBmozill1luuWFhjDjSO9a4LfDstBHZbXuZnM6ja5wOfdd2DFE
YwtOtU75NQGJznxfGHgysFMM5QcDQ4cVWNyVEjF2P5wY29kvbhy5HrtivR6D1jR9dYSCPE8wKfoe
mgysy/u0nNunmi78Bb8KEyzs3WC3BK0BXYHVaVg+dC+/MWTLAExrotTbRV2LQ6Ez7PnBnxXu9smM
uo8aQfEtO3XnonEGXOtuHsePDgf5g97Z/kkRdaMQKcgCxT5f8a5qJvOaCfV8QXCOz6RADjejrafY
wIeYibwRQirSMbqtdYwdt51mmcf//uqr34rARYj7rxvyfZ/kb//Bsogf+qNyZCPEBATXGAyInzrv
n5Wj88tB6YtD1lo4eT9F5T/0V2yV2Gfgy/YZ6NB4/7MZp3BcClBWULTEjo6b/G/IrwjS+0vdyBQW
dAs3smm4bBCQdS3//U/NuDbkecJ8qlujWUEUVbX5Xk9N5xRTKQIqd77bzriLediCITZeVGK9dHhe
Lxvw1tew3ONnjHfps8o06wLEF5Xn6KlTY8/Rri3nfD+VaPXZ5kPKoKmSZ1OW3540gNgioAzatiwe
65TXzvUSceXGSbppcELd5MnEtmTMvGrTFyK6ZPxpPaIFKd87T9nbss/slXDqGBoprp615tW8Jzi7
6iZAhJ9cak08fKhcyjVJdfODpCe9nGf2QSYOhksGIGTj6KnmbTu/C9e9XpvWxk1x2KHmxbhkVXYf
zFGkDnyAkG3n2LzvmhGie4WCsp3zGniVj3YynLJiZQLFeRGk8W4KQqGy1QT6jBlYy9C7TPTDNLkx
JtMcXLMko0ZGof4myAjcdK7QeIW1ge1O2qDLJf/TwhG0tiSTilS3D1ZYN1eeW1X7ymAdVHrdXdbN
kI7HD1b6t3Gd5nf5XGmHwTbjr0aYxt5HNUwG1NCfauwJfITauFeOpQVw1K0Ls5TlHZqeKzmZ86Xm
gJgfIsxdtlZYa9B10RYkg/9InjS7Dsg17E/yUJErznzzXbXSfZ6bLr6SjuaVW5DaFak6YCAwyvXo
XvBIbnISZG96TYkL3y6bi75vWVx0lSa30rdDhHo9nxrhoPBuXXMjzLLlG66soPKLbmswG+JmxcsG
ylleGZacFjogU+waoFE+4kTUKjjgiCbSfYHfZdWSqH5FUrLYAt4hp44V+vPgoKFp4/65SNAXzWl1
hViEbGx3tK6mOn/TomEIMnfMb6QlQI/hUhtX7JWmXR8aOinAldjSt1RrYbG/yau2PcD/w76XO+Ea
Ukazh8TCUDgEu3hRMQjFBIQqok7Bz5MzZRH6iEjvalS6tfHatr4ZJs+4/PkMWp2R/UgNfbAMSx2n
ir98bPx6jUiGYcnkOWelm8iunfacZMT3qWF8z8Lm0ao9c50O/qGJ+FZdHa7kpLcpVQYAurqwzK0/
hE+z5QxBZ7XVUShIvbHJ90NnI4OGgOw1PMPqZtA054NQMGOdqZQlhxE/lTOVQkcEwgEC0ryB2HKy
vM7is23JLTY07DNTqgJH7+7QLL8NTXck7/7S7VvxLmzSeu1xgdyAh0zFJ37fbIfOaS8jBMZ+3dxX
DZR+EdrzSdcpve1CSFq8ZBuJGHeXvMEr8zLHzLEbPkbSM/q7qYLH4TL2C0JNlju/GhwWxbbLoAeB
npThSU6DuQlb1wEFU5yBi2tUlfa3Lt1LH9noSNDb8laLFbKlMw/ayG6ivnGyjh0MLqqg5z1foUll
Od0baosI844S4xRlkpIQ9Y5ncRKh1GQJnIXvg+fsR8DjOPnBPBLMlKyL2Xweu3I61WXfrLCVHNPO
OMZJyWrJYsdq3Ooif/ZE1jMna0EL4/xZ1V4RBoWqd7LkkNEJ9nX7YudHrKAyVEdFwwHQGO1j2eEC
Gat0hpjfGnzHJkb9zPLfiDU9mT6A7Ul15D3WJn3PEF9ETblxu/g6REu3Ku10N5bGRZ3XX0rkx2lI
9wit66BV6qyUh+RJOzh2kl2iwSNaOeJTQujkgFsCj9VnJvR0A00qXVyx6qF0ooAC2hGaAL1UTq+b
lypcNtPNMccqiwfX6e4HN6Kg0bN90WvpJoXClObjcprp1zDps2B0GCbOpniHgofSaibJr/JHIEU9
hK2Ic4QhK3lsoeYXJxhVnxYU/KKyX/NIWoFu2xzM0PTBMRDQTMnd7oHhkJvA3bYHTGXjMpjhCXLN
HPSsR4eFaXir2/F9TIFNZifr1GlwhjWxatdUPiAXBz/ctGiP9zNSjZVhWBdW5bUUasxNZZ++GZb1
KmRP3GahTCyXLJxcGV9mSNoJkdgmYXGVh+7MBGGEx+Q21TrOiThGpHDs8cwFQzGHGCMBlKHkzPCT
Rg8uh2BgDO7WjodrZp8XhaaJlbNgFFTvvqWOa+BqzdtbbOTXmYzexz685qk8oEfeIP28Fe50ToW7
2Fw+W6yc6HGv7DmugkrYeWAgwmtTMi9Cg11N8YjN8h51gw0foL7U4/w8V/6poRJZu3b2QDIzYRb5
pRmOYFJRk67xM5xg3l4Zqm5Pw8gVjQ3jrnNm7Iek2/nhsTbx7QLKDEjqvU5AKQQMenJsmths0R0f
dXeKmUKyOTKN3Ahi/vpVj6vYsNnUsU8u/bZdgXe780IFySrpF3BGlq9To3ECZwzdwI5bQhNrn+4w
pL/WPeLAcWeuBBOfNZTcaidE/OCZKURQLTyYmGave7u7qH2ABLaTd1sK63idFsUmRvpM8oOJeGTZ
9QKaggEGTZ0XCclZTsW/csaRZZYyb0plZBtz5AnqDK/CeX0/hjOtxsyUzCQPcUNGKplxvB5IOb11
A8C9xwqEuhVIVJEm9sZ1kHixskjznetEJac7c5w+7EioQysAhMwK2in/jv16XEOlMLcZO3NX5Jjm
M0QXHi/sWo5hsWurukTMEDMYQS6+UUInfpJ/ShpTC7pWxKuMAgmrvyCu1Sm+9KG68Ok52VDO1yYJ
tEFrmQsqEJkYDaK15vlQBGW0uMlSnw45oiRqla9WcdhXOx+Q0z4qhyjgvkQ3maQIHueO01ef75Cq
G5vEtb8NvQe7USak0BsNHiASGwIocGJPwrjiwOnf8X698oWy2AYcGpSi/vQm8GcNFvyV0SF7GMP+
3WbChOCdEUIYD/HerRVRhEumZTO+CyQymyyKmitrRJlgtYiPcThx68y2sWoQY7HwJVrCKkUfFMW8
pKrosAC6ouGa5sjAzB9/MnVqNsCtoovhR6M9hWnlg01WKCHCVOzaqUn3ZWy725BAx1XmUajFpUlK
ZZuQa57n+RZCuxMA2Qq3BsrrdW0hpmVQkwReM81IHat5VTc991FaeidNZM1G6xrJ3NSaj2xwm/to
uRGLuIU80XTq4ECp3fXj/F3QA2xsg68k7Opo1yAS26MGKi4ckov2idW+QV3R72WMSKpEOb+x4ulc
yaQJpEJ05Ejsob2l3bikxpPR0kONSfFRRxaRPqYMj0SdaBsGk/5RL/o+GIZWbHUGGKuY8MXGFrwN
KhVrbcyHINWqKcgdOVFXptrWhviHmHvmNIqgvKiBjJCpCbubSWum16jO8AjXFLp2xEXQV+pADAuR
BEX1niEruCsoBGm01adJCA0i0oYazpmJz8jNcm/VoYc6O3yhBXbdnfpR9FvzkG2SyR5Oc1TzZqM9
Zl7sYrp1wzrdTfijz6XC/CfVdFs71WUdOvllLgd1tlSdPPiAhwhaCb8arb3u8ZrTScCf8zv3kDCc
WA11gzGkN6ARiBQh0uKxCGub/BbNQPWWk8o0I9q5qIWZLZ9Ifmjr3L5pQWdS5gwsdQbzcoyHQzPH
X1z16aYamKrLTH8fOaevuD0yaHKuFXiTbZ56no1gGAc0xal8q83mLcG7EYCnLe/i2uk2k+aWmzos
4cGOwt5hKazvZlXfGpo0whXngLExSKVBEI+nAtQ3slTEeivhIcWIcl0EOiPxXZNzk9ZN0l2wwSTT
1yc5RkZcrJyrZlD6SXTMloockHZxNMF2QDzxvQODhFt2Vjd+VPircSz7ZzzM2SFyJws9nU3hGk8h
yOrqZORVE2RF3F/numo3srKyDSEi4bmA8f1tDyirXQfnIpm8/X0DhWKf4lHYaeEcXRtdZm+10LQg
LmBMLJT2rKwa5zvRtoznsuJRa6o4cGcAd5pmMMY1Lae781HqI8pF1GOMDsaaDOXtWumj91V3Nsfk
UHYUa3O+9eMsP3mG8NdVpafv2eKCaZ1i3qfaNFwMk6sjssIwNKZyUzvCvbRqsfOyDMlj7OIfbamo
Bye5yeL4Kcc28ZJSvj4SZPUbvO5/wJ5s2cP/61HHY/IRv33+R8MOfuz3YYfj/sJfveheuX8IJ/0z
Q0z/JXi/Pd9cRAbCMZho/D7sgC7GGAStggAia5k/iYG/K2ONX+7yv6FIcFmlWSYh8X9j2GEt//5f
vM8evxSgWqj3rgPo7N+T9mKqHeiTzPotCro1xEcu4N4YaAvzudkXYRReQc2nmXCGHl2qHxYXZZLO
b01XdatMJuJCM3ReTsfPL/phSi5a9D2HqLQw50qpZft8NPl/Wq2DEgbjWeDQxW9CXV6Dp7maZ32N
GccyN72dQLeOS2bqLVwh5Kx8BighyE7uwa9YsKcjU8tn2PWd8V0ZtnNg6UEhquUwROrRabjACveI
nrFlz9NpZyuz/WfPpJCkV9e8Cy+bmn0YN9GT8DR9HQmL6GLpzcea3G+SRaJp52KvfsIplmzHJtOv
LWYkRyfSmCN0mXEwu4KjcbmnDezR1xAkyCJRrnOOZIFSrw+d+YYNn0P14Y5vjlDjt5Un4mj3UA+g
DOv9QxW5EUsHMK33Jn7jYwNU9BzGHWtBZi3dk+xqG32qItllNKaTJe34KFIzZbKgyW7vjzIjVMHP
vD3RXmMVJImqrjGTqJ0LrPuespSEgrBkFsp9oREUpclT0lg6AlvdoJ5KpXrphiWuKHUZJLHPM4A3
Rc1O0OlsQmj07ygJc3IjIvle53GZMcppHQ6hqU1uWtBsZztz/LOpBu3ezNt2n7Uj7VCYlwz9w1h8
eTW1/LosehiK3YzXF05c/Nr6fhxUTMeZnrAJvQmVhmoKUuf0VPmxenW6orixVY/eKm/DPIhJansz
y2p+r8IxhLgy6g/Ugma/gv4anpMlE36JspsPDIHUvYfwI1BV7xwwkJC+3vtjstaIgkMFq7k+MX0x
KbeRUWcnwiv688B89xNRai6pr0m1rlMPc4JGzHvQ1VZNmULbuuqdMd/WkZvdElVlPhHGHu9w2eWP
beQ5J60ukQuW5mAxS7BtPFhtqD0MXYLtAXv+sKePEzuyAKmC68HP8JZxx5YmTnydY4CCNAzDXeXr
4kIpo/i2Ii/fIYjVy3UozOEMNENwBaaoWRU72XXrueW3Crk2VuRQSYQlVdei93boLD1vKO7xcsLM
iNp5W+gmIvVh8MrdkFIolU0t6fsm/lGghv0n12JzOcxFft2XsA64Z8Cz9OkAgt1sI/2GURctjj6y
j3QLG9aoIAUuLpxyow1s3gbcSRseGiR8szUrWgfTdrYcZ9kXDCekwYXEn0Enp5EvXbjbMYO+1LJ8
yZioTuKUun3+NBJ5wfZltPrvDgXeOktYBSg7ES3K25oFgeENtOGhXlJqTWaWnYj4k1cOisU3RVb2
AKSqc8kFa53T4GTRA7me+GqwT284r7r9lM7xZ4s65VCi2T06dU+jMAH1X2tEStmbqPP7k4Nm5Jj3
Y3tifgmFLU+G1wQNyW1aurjl06ZFjS7JFv8YRG/VN30mDP3gihjWGlyiZs9KoQRCYOoCnpxjm7dD
I8JLv7IZFDhihB7jYpK/TGq5oBJCW9tnXdd9SBdZzsoYHGrRClPhSwu762YoRBGuwqXP1qOxdFaM
DOHUoX0t0D7L1jc3/ozPYpOz8CRedVGurWbRdooRm94wR2mN5KlEivjll3Z5SFmbnFlsD/1m1ptU
34B/qp743LVHQGXQiXUi7F70JoLZMwtDevtOLTVWM9riIR9FyZYpc53vRhgOIiiE119MTZkYu7LS
n9wO4NsWLqSId7Hw+zBwDcVvDuvIIH/RQ04be0b5CQh9eKjLtqrWjp3FB5EL/pOoqBBXiaaVnwRA
4BJ2lHBulDMZYdAzmz9KqahLJ+WTf14jQMdw25sf1VwxqoKvB+FLjFqnWOBWvbsuNebRQGrm2L4a
sEp1NIZo1Vq/YX9P4XUieyP6SjyFu7XnHMDOSFKMR2JIMd7GVoO6yHDL8Ys2AcI0DyjPrgXo8jJh
QR+vw2LMrjVEp6+wE8Z55UVteuD7bzzcvR5dNSa8/jv3e8JpKp0TlBurlp9yNL37rLFmWlBVRK/9
6Gvwyko2ft1oxq9RwdwQHW97Ta9X7Ho/0xt0cF58kfZIb1ZNaSqx6iq9uQurhQHEIM2NGfUSf7cu
vb7rAmwE9cFZRsorlrXqbDtOZaxw+BovVVpG4cFDW+usJUpG5HF2NWW7Wlr2EIRImb+4rbwvNS0V
t6jiZDyV00RExoyR51SbiNX4sBbPJT5W8z7uIVJAWTe+aCUm4ygmP8Y+EHOvuJNH0Sw1UT5ANjEc
KNKVe2cQh+vgQJ0mcWyaymbp701wE91U2me8bp4WRIMJMIN3+nXZ8b7Udt1uoH7VF5OZwjOa6yr0
g1GC91t1A+C8p9D0Q7HRc7dOjxGm7maTlSLdS27pKycCNx0YXl/T1VgMmZb9CtrsTrTkmdh2Wdks
ZnO/Tfx1F9VevUx4/Zelsb7vnHbZf3iVA+l3SvMbgayD1ArlP/g6v48UTrKj/eVCQ61h7t2k+FI2
g0m/IfNv1Vl5y35DF/xdnmTELaBXtV22y/2yf9N1D6iekcxBXQ/aHjmycVPiRnrFrM5gtfO8NgAn
aKYBFpB0Z0G4/2yYxv+P0auZ/znrKK4+/u3//L87x+Wn/tg5Or/Y8P+Qen9sZv9UqlF+U8ZBg0Df
+2fxr/drCQnlBHVR5lKkL/le/zCnoXlD3wbGl4h73Xb/lk6NW+AvJThsb8pvdL+8VIJYMJaYf903
tkrYGFMaA+GJtPytp2lwfyrL/jAKnq4VQFasHFFl2jdFWsL7H5OGPB8CeyPfzHDTJCPmKlmZ5TPr
KOOqcon5DVVD4q/B+oVCYAkCrvBY0GsWSc8UT2pNMHMLMpbKaDadsB2BkaRJ+xqWGgnDPLTRwfvJ
HU7DNn6y8Da/T75W7QxtiL81YbIizGzKiJWpqvCUybkHj+tm4UagVKpXKrVYqBe5CYIzS2S7cYum
gjRXa6jJ0C/MnLej0ZOu4Jes/TDpjDXLLMKk4txKP8sMetkKm03/YRe2/9VRDXcr6RLktcw11/No
uJsqSU2Ifb2ad3OcV4yVM8WFUM2MPDjiOmtvVgMgQ5RG+YXUknLLGEweXW3gt+w6davQ2MYXhrBt
gJCITt8oIP0rZQp1soDWXgtN2Pe2pUz8KKaf7qtJY2yK0Ne4cTPCOSZdFMTsLqFdLDXWjG3YJkqD
9kkVW2VmBTcn3rem8funovMFOrexq3eWH5c7BgzxSO+S1JRoVbqRiKd2rWeyVys7IkRNj4Owdoat
MeA8D6du0AIyUuaD16n6kdp9zgMChLzLUpcMTtq+hfaTgwdgql+gkmg96u+ZlS/zcxfoXWMmRx60
9FtPwZYysMk3PgK9rxyN+zt6rWKH5iq80ygfcR8bjc9Nl0e7kSf2bC3bP+kXzTGLmvaOirk4GkKm
e9Gp9l4ji2zdWoz1W4gbRwiEckfkg7F2CH/DsydxuGVAm7FNRcmBTjnfzr3k17fbyvzWbK96r8bZ
PheOBWtycvTmUlOuBzCnSu7jImoOcY8ZRaLyPOeskANBv3ZkRWB/+URsb5LC7a4LXuB13boYNelb
73vFuW/Q177ocV9e4FUz1yFwQlCUWARY3Mh4l2ihuycapblKFdVDYFemv0czrna9p8p3KwEhgb7a
Vtd6KOVXFtr1tamS6lD3pnaLaQwVOK71cz7prFdG1oeXRaqPpyqPeF1D3OMwnFvnSFK6vJU8iGtL
qWZfg4wNGJAnDIpMpT90jWJ5RQHlvJFrE13JSHqHGnXMJifn+mjnfbIZ6pFlyyhM/WOA2/BIUHAU
7sJk1s41K9+NljRMi9qhLw6jFc9ra7Qygou9RF+DLCoIzx5U9hSJviDURIHWgMSQ2ntjxhA0m3RS
svK6fpXUbaKeWHHj8FEER5wii4Rv3AO5Yg+Fme+JLDMyyJzKExGjvDbyN7qys+9RF/J9hqz80gJw
RF6cZpSnZrvMsSDDXuZaql/bOYlwONKM+jPx9ek5zBumYELpfrqu0zmNeCBSmhv0hJoewMpWpEIn
c8bSOIS2MDsOr2Wl0NriLkpI/ckqRPND9uYnJjHQXu8/RG2bXI743w80MIO3HUupjiB70veoM6YL
mGDUUKytE2ONLiq7aSLPuCCgTNIxCePolswMO5xPF1MmyF/xk+zDGgY9ABwxPXuRZh/suXEw1CLX
Oztm6d6Vop1vrWqaL8wckW0sHVS2FqXqnZb0+kFAnuXBFu0HgjTGdqqhu4QAEQ7bsBcjupEi2jed
1538edRf2paRt2Sg9xlbdgWMhdiaaVIETruRcwp5gbYREJ4LTzUk3I2aczH0yfStea68neNUkmeS
lvG5Yn1Kn039dscfEgc6TK6zyjzAUnZuXvmRk5AtItRnT/Qp2tJWRU/zEjlUSb/fUlVPD9SLcwzX
tawffNscjm2BNn9C8X0ir2hYE0jdPHad1q57T3ZbojCPELHYro+E3BC70e5tq0DFYHEMJHadrBv/
KdLzeDdbsjz7dma/inbxZACh3jZGYX9VTVKePbMnDmdUhL1GBvy8WiUgQefhaBvwZ8a0GK9YvpFS
TpNufDnhbK1z7HRXyBxsKvrWqeyganzQWaip7waEupd6r1Uncu5oKKUwtGQ9E33+BT0EwIDSQvHu
twCdvcbHljvErJ3yRl07eWzvSkigG7MooscISOYZF0N8ABjHF0bPUENs06VzaechHBy3sq5xGC+R
43OcYZnOOIcTOiiehVRB6yj59QxzXlhADhS42Bs3OXUqjB5QTTfGiBEZCU3T0WHGJnks5cgBscoF
6ehj0pprGg2y/UY//W79xD1PZmni9JTlLcye8mwOlXs0qwmlC1Txb0OZEfTXqbkJQTXaZNlkkn9U
Ly3KaopuvpuYtgSeDkTCsjlgYlNHUhjtTcYl9cANjfSJN01/NrNeBHndOjsXBetlZ5AWF5KWsmfn
LHc6bKJTxeu7w6YMpgZ5EqdsXTvcs1N6zdn4f8k7ryTHsSxNb6UWMCwjNGA2Lw1NTTqdrl5gLiEI
DULuqNfRG5sPkVXTGZ5ZGVPzNjYvkRnhAiDEvef85xfIKhPlJkJqQmWkFumFwY9E9BsM5YZJ/fZG
9e9FOcM15oRKvO8ge4KyTa2TAOBsVKNdur1QaRFC7q50dSwXL1c2npXSCxhFRZVIYDpJ7TVxRdfG
UokhWgWLcGEtRJo+LAV7eVONkfSVKSFd0ZjepMySb8bVQezcqzbZdkZxJ6TIoLD7CBmqTXlP+a9f
BOEq6ogl+/hF6JbRQ4G03clCVS1tGeqzqV376SPEGtVuGUGccmEUvAzPQMSKUvIYpQy/KyNZ7nhk
G2eh60SlUNAdxETrj7U6JUjqyyJBxIQ8yEWHHhJairEWi7Nyh5fS6MbM7tyFDv4R4vsUVJ6WCeXx
WkYhogEcz8Gq+rV4a0JfGG5+HqTT1eRFDraamqrrRiKwKLix9bKXRbYRkdtSAvUMDPLT4RO9EQli
4zhF52uz7B9knP6/SHTAnEQIOnxx1bR9iwwjuNQpFgQp/2pPOa4xbRagJsdQGmIDatp+rA07VIfu
qVIiMhSTHA2UkY/0zpIaxCwTxWeHvbpzRaa6yqox83HvS5lKJKW7SCC7gE4bH+0iDF0MxGsk942Y
mXkyk9enWN/hNNo/10RPuQKO6JR2cnVQS+n2EakQgiHLw/Zox0W7XhgED1nhUm0epKRXLpLKWg9L
NJm84pbcvECXwYWEnrjBAWq0kvZ17Kr9TczXeb4UNrV+1U6olN+GgivXAdDtoixp4IkSOmnP8n7B
EONNTdqXPcqqtCHGodlUHcC11vTLV1Zz8fmKu9kRWhULX9wPH5BY2cK0BhVctACCymHY7LProkDg
GrSvEalrOAOUTZJt0nJaShZugtUKrVL9KOPXf6L6X6wZJuEHpiezb4PIO2nqOuoNJDTFAxr/1iLs
V9tlwkJddZCGdxI0knetFgSvL5XxI0gjjOpnnjbbMUIvE4PIhT+Kva/EqNjKLkx3QPwx2yvy/qcQ
p8VDzZqi045GUNwpaJaAdHpebxTiXpdmHWaQVhbRLOXGdvIT70X8ppMYLa0+RIk/NQjqb4tGeEQ6
MDgtJYwVLcAsBiiLx2QkaBmkQW9ObARwobi6MljJJPaXPC4WIVYAhn5gx5m2WsXqDBQVZOupFOUj
NnekZ/SY0gDnV6LyojBsWDdtLz3nihZ/GAhAvqCMtSwGyzI5V5Nw035roP9lRNAsGPpvlebcqMH2
ktkuiTREC6N88+XD020CJmccjEGOOcTPEZH1HQ/i74ZIx99+399+l+o8hyb+5WG+8U/FJM+vAF+p
s/DVy+QSUGjDvybAt3dVF6XzCZ6D9Ytj0hr/fEydPhejFj6fvuQjfvtoyEKR0ZN8TL7UnPnUWOlZ
td8BT53F8Vd563M65R8OpigCwlnQbVXQ54b4dwRbtDKkCmSEzJO95YqOYIsXTPpt4U5aD576lq4X
/ww9/5e37g/pThIdPKRTiFG6KuqS+u0DpmMB9/3G2Hp4n9OdGi/2FhfsKazMLj3t/8Jacxe/10VT
fN3+5zwofS9KJiRhdPsxrPvvv/2/qR+U/3Iuan02r/Uf4Zj5h/4Jx4h/p13TRbjaIIe/JYr+E5KR
/44ZjI48UJFnd+p5YPlP8eDy78gKVcHAsxq6Gn32/4ZkNNAaemL2A8amEt/1b0EykvxzsJKC6TQ+
QVhs42nEU6oa355QvahJhyOvw5bqQn+b43K2nU4KMzVjKX+p0oIIoGgJs1QJSgr1H/HFS4JRXtVr
cz20fT1elCmevFugICTAy4D4Y0HKgu3SiKnsYlxD8PYjLRkcE/lrsdRzw4PGWl6IiRgISIeCDDkr
ba8u0EeIkI9caMZIakVULsNPr50jmlsIC3clAPWbPgc4LxeDhihcH7dCq7JqzEHP6UDkc0cY4XsE
1RIiobKEElu1tqHGzHT6sjnkjFjp+WEO2CPu2A/aHCx9GxaD28vitFdzIfMyPjsotyRHj1JU6MjM
hbrYyHNYdZ9psmA2t2v2XM9h1sMcaz32gYBrXT6sMa2I4LDMAdhB36GhnEOx9UWkHHVJFh8FCRMN
3tx2YwzXG93fUMPL6vkuPxXk7km50SPh2aIs3Il9Acgrbb7QNLXYIs5B3VdxzD0pEPUz8zB8FkJp
So9BQ1qVoVWwILuSQMRhDv+OcBU84AksS2iWpeVjXCzx/4NB1xD+Ii7Wodqh1o4WmJkQK4DZCdRR
7ZEWCXcdYFtYpkS7b1HQiDlQu5Q5qZYKNGry+KYM9ZJgS7XEr/OGU5GdLJr+jNmoSFMRDMeGtF28
5nDV98QR1MyqkEPda+jHOr+hwRTIg+n1y61PggZWb14+1FF4dfNKnO4p69ODUN0yv0jb0gPXy9YV
OyY01T5deMie6jc5J/kJZ9Ry3V+v+UcyNqqKG8+Q+8otwV84GeIXrtiAVLOV2q2uB+Jp0YaQf4jy
Cgh6UOSrT2pNe5bwbSGvBoHYsZPyeRhMWE2dLGftqBItU1tMBIaqKZTru0VaL1prTAbmT/BdhHXI
5vslLhjtEF/AYCEMNPGci3H2Zog3yFs1aip4wSO+WYQwwCO8XecGoiQEQJ0KeI36QvcC1MaIWgmg
JNhBja4PsBYhCuHT6Qqd3GsMxW6GC/UKjxBAwhgR3DJc4cs6ezeDecKixLr9vUJR8dkj6vxMr3Vw
qiMiwqwmN2Q7lGgQxamaGmu4ij2yc01Em6aGUY5xSZ9BbZ2zWYGGA/hUN3ELAV67pNDG6BfG4Rz9
yHVtriT6YOxZ+GSSNRdlToDVuz4+0qMEXsswFbZNOe6DgsxYbUF6LDxYZbvIfkTKamAX4dBKkaNV
IbyplAEFCUVw9pic1NETK8sAG2jUmotK3/gejtlyK7bEQw1DYKwKTb/uMSvZlu14X3SpXY0yrIzI
Rvl/PSwq7FZCDY19M8fldp34vGhzHT6jkt1IUlSwzoYYEHoKvlUkPinNDkkKfmWiSsJskREEZQIE
qOCdIeZJTD6ir0hHRYc5aHcqhpZch+xHvC+Pq/IkjER7ugA1S9nkOScMuP8RDBzKdYShNcQXekhw
o/viR4xwMLT5qsuUFrsjUoZrOZbw9YWnUBBBTKYYxK6BZOKO7naPa013c5M5uTgv9P6ZpB/4YlKb
azjmzyHH49S1iS0RhAOfqjCUlwmbuY2hgp6FP1KSw/FmrELyD3aVJuBOls8wR/QjZFmb85YRg2Hu
CabhhKOabAC3KYizBHteEr0qm3Br8VJnS+VVnErlGVt+gJcuS6b3aYGrraktGhTYS6R2V+A5mbdE
S0r5lCgkkABXj9Nj1HSYWxG4XPFc3hIRn8Ygul/gQfxSUg7D36+CxVOsCN0ZIk793HL9HytSB2q+
0vaVKWfErJiRNig0jmm0QhEQHPu+a0/tcF3uhKzE9a0bh/a5DQuGoqwUIP4yuLex7ALaI3YgIOkk
CkEQdLV9SsOuOOlDkOwnNIEvdQEHVmFyqq/wo2gI942G9ksjT3hTNqr0HCRZ8CTcqvjhR8X5/wEp
TKHs+NeksP+oieQq4//6z/Q1LP728fm382v+t//IP+r/+s/mf/yNBLAu/vjM3+PXv43zl26vGCxi
rxj/nM7+m9JuPtI/KybmUbwqCNIU/cc0ii/9o2LShb/rCmo6CPwww36zUfxnxaTMdZZBxUSpLYr6
/Av/McQSxL8L6pKgKf6Q5aX8b2nmxJ9HWMzP5jEYv0efa2wq+m/VtSR1CN3LIXJxqem2EZnenUVX
eQXY2QXPwUdcmfUbXIaF01nEVUpWle/KXSugcXIV/KU2v7vkf9ZCzSOz33dq8kzExvyBWpA8V/7v
5w5D0pSyzcIBw5vaJSbPjh1abcWCGYGEr8F94TA5hR3D+7da9bQ0fnH8b8GcrOQ6YDzpjAamQtSy
30d6qAXjAgBx4VRfSIgcsCMvsbFGIFLKMSwk3CvhK78TXptz9EL0YP2LRlX+3mH9OD4edxI+DiAT
6vz133VYeCL0VVKPWLx5HTMXF1fdrl6TxQdZi3UavViXPmEpoDziB9fDTbWuiaMizEFRZxC96Mlv
zVkl/9ZNIHPbErbNZvkpP/aPY+lEbCXorncxmt/jcEh7K3iR+hOMqfOvQnmlnwvx+UJilqQpiAUE
HatQ6dtsVMFPQOjDPHRZYWFaL63JnlaAjbhND+O27FwFA49HoXL753Cr4TZoabvOkRwqJcPG3F3o
UYG4zWIT7PV99ij+ChKYSZo/PWk/TpBORlIF4AFV+9YpQEGgV5g4QYwmbZnGGYMhHbZkb6UMDohF
2sr2SPqhGd4rChipOSgmnsFW5gbOgKIwx83A/8XT/6tzwtLq93e/k283wPYidEsEXp7mAs3Z7TPV
cvrFOegm9H0nt34V2vyzbPYft+p3V+LbM1dgE4hTI0ftXH2NDaoneTNc8Sv0QGTN+sMVh4Mtihqr
Dm3fN3ikZog69OgF3OWJ7TCzsVO/fQQVMQJmfu42mjW6wbuiW+KIZ5s52pKTryMI2iag7C8u9Hwh
f7/MzDf/d6eizU/v716zXEIqg9ExEtEdyLOXEaqGk4LJDm4bXmBKnxiky3d/fdA/eeLAL8hRgLPL
Wit/X1sgS0nxeCNArLd6xwC03gOwviwOxV32UK8QGji4md911uDUZA2opuxm9vKtxBbS/QfO8a9R
lXld//kCcC7QKthA4ERASf75Aow3vDzk4se56F4bW9pGR1QZ2NFolr3dtJbhEXbp4MLalha8gKZ0
il+stfpsw/aXJ/FtjailIM5haWLS73T2ZFdrvFu/lhze0e7FNZacjKi6I+6SdwvDHEcnNQ6pjioO
kR9qxoXwJVR2+a7jeY/4E2cNPLKuFtzCbNYeEbOEvO95EayFlGzGbYqsYDUoTrxXT9Khpu2jVpTW
NPHYoIlfAIRWpZrDdrnGZaCwk228D7zbkaS/al8jXfAT0STCdQ1hOF3dtvUxPeoeVmflatoaG6Jr
TXzPF7UzgG97KMasZWVe/Y6kjT2WYx2Fb2wGD80eSLp9iHOHMUW5nd5FINzanw6dzTkY0HUxIjFw
QPXhw0kwX9dFj0qTMfWxe49Gt0utZvJreybQ4ayyV50RStpGVEzs0vLtYKNtx8qosqu76wYXDV1x
x9TXGYnAUhnsl/51KZ2ECFzSk+qdipgIgMMgk8HEC7KInwTtQ5uzGLxsnx9zsohDXCC3Srfvh11Z
oQdkMbdV3R4rV8dkDXooJmLVJpFstdqHPgkTsBNdmg9r8GmKwpcakq2H1qPYpTczcaPG42JGH1GE
7JQ8ww180DB3ktvaaLhvNj0VwdbSAYpf9orZbAfNvDgy2UV/lzERPSpHY6ucqVYmCmIPPijZt2hz
cRPtrO7+dnPw9BmNJ/lB7LZQWFlbUFpdr0elsPEu2zDU0+9hM9SrW/alh060cLLt4jXY8uBnK0Yo
eO02rnZ3ZVhMU+AjiIx4WwOPXOYKszcnwb3I5jJwaj6Odh1x85ieIau3r+vFY473G+Qzq34jVCh2
3lrYff7g3/zhbjq1T58TgjxTeavM5Vpd43GynkBtq6/ra/ScOeEacQfOqvrHZHb3rYe7LHKrC9mz
qmLnS7vwJM3MLESdFiEUkp95Y2LGbPInmfG3eV+k3kQUiyXdNw4RELniDNvmQiJD46sP7Q5JVIwY
7k78kNDorgvrLf0QAhMnDqSufuiH15XI298gwL+DDjEZl4BHYrL4U1HvmuY9Iyg8MBnHU4dsJLxX
7LJcG/IqPN0e2x6hqpOXj8E9eoGIKMvj4oJnCK0Ybiv+chXKjtTARbWaZ5z9peZYhX6teNH1wHXu
IhOW4/zUEshkwnLXHhXkQQyi1gDoSW4Zjz0H7RG4zcv0RLc7S+r8Tl/rn/WhxY0msAxrRobl/rF6
Qp0mnluXfOE9S6gv+zEcU5VRkBU81Xf9QaGq9dpNSikJb/eQGaubI2IHS+iu07Re5uFlurtltmZd
d7WPswm/aytY4C6Z7g+WcNK80MrX4waLh0NUWQjILLTAgSWtyGXwskP8jlqOSNfKGhtbvN4J8gnD
Lp4pkTIDdwTOH2LuWhJ3xVF/0qT7ofyUik223EchY+XNmLoCBXl3CcUHJTnzeW4QUPiIN6fcw698
H6X9sl2hBS7lA1nWFw1nP68tXeTpKdzlx8hVnF7cDmtl5NLbjGGemQXCstliubAanOoYcytx5e43
uEffrv5VRqBtp194+OxrJ7sP4RC1d8TDKpZwye9iyCHOsHDE2zrSba6ljoZkxSgxIf+it9EQIvFa
jW4rsm2h+hvPuqsKx7A+ZLEzPCyYKPfbZeYCqqapX76mqkvODrkXhKvlkFueU8EftwpP7WR1ve0A
8aX75lh2tr6009CEpcZNvtz2JFuYyZ1GJALETNEUzdLS78JDcsJm7elq+BEGlLlX2PUnNDJHdrVT
+945/A7nBucNX20/cwneDRRH0jfCbh5ZXDv3ihDWE0tfvVpCdpyxi3zdghsxais8BuOVsTLWqd8c
SHW9vveSnXeoP5zi5qA/SHqb2WjnKBbRw4u5xMZ03S1Ww16wqqfsXgpdcAoVU/pdvU9fVTfSrAk9
/D7Z92wLJ0R0XvC0qM1o05+vdowCGQ1xYE2Js6w3TXWuoISHvvZMybkbSxuZhkQsjL4LHnG4MOve
ERTbCBuzV1aaDFzpEIjTLIls45qDOJM3YoJdJ/sKtaQfvkfr8jM56W9AMu29lq3r3Llhx8O66SYP
vU0Ui71Yjbkpb2trMXgh71z5KhquWPhKvyoOhmwOvEAkYMv2gsS+hCp5pW+aFWpZb/S4VD7UCVpE
7Dz3UNRLm01B+mBAHOyXb6lnbKePIlkXj8ZRwmzIVC91b/51rfWHSZVCmaXqyhKtFXavDIl/rm+S
ZhKzaMoSF2aQyiN6Ft5CTvvEDLl8nVSzPUdO5QNGa79p5v51ZfXHKpcjg2jrosLB4Wv/fGSdHMhA
zn9UVvEe1Z8DFeiYmpjnudBpHn/xOX/u3+fa/eejMXT5fSGbdJI4YaWeuOFr8kEW1VrqzNZDKLnl
fmbL/5MyXv1j8fzzMb9d27wTy7KgTXXZk4djsh0MM9yLFsllG8ouEc+9YBdceAiGdYMk5114x7Ic
t3XqnOEIxfOxVXbNxgCNr2zpaWYa+dK2f9EzW3hS15LdXDI2XPVUPSRHw31ZftWrYF2sE55xMzbV
NY491IuBBx/NGfxDwBL/EN8VmxFr6S8iCG/2XD4qbnYq7yMLktr0BoUrcbMdcV6tixftKzvDF47v
/COeHfvYKazcb13pi87jwoLq3TZ4d/c7wWZ3FBtMHk0jIjnX7D701+olfAk/s8JiS6oYhe4RIc9X
nYL9dRlbxDR3q+4AakdRRZF3i00YoiJ+DLyC5LTHd6puDVtMI3bGHtd8OIauag8Qywb8LRzxOXBx
AXm9fuiiPTUuwrngbLzIZ5EE5wUZltBDbPEY9fa1XrHvs97Fx/qhfRJe2AChLTjTunsV1oEPXHGQ
SHjaLfaa09qjPQ9MK3dyJK+cd7vG7u0JkYWV3/3wZLOvxYGNQENN/cpyb4dkVvho5Z36LiL2AQe8
u+zZWAdPIWeCGSNxxnw0XOSfWCaXnbmQ1torvm7TQIluatACdRsGD3RkfNa5/lezf6SwXnxEg9Ux
x6IIIzwD0wiLlFCYbcZzKzgdLscJ3whiHl29QT4Pil1icm42Z51QsV+Pl+eH9edG6OeH+TsANk+0
QtjWNKUomHoHJMBD/AAJRdvMkE9jDymoO8QhJwRO+bdfX/xF8WZhaAp/HLzp59e3kTqS76Mic41z
LOzGV6gwDturc5Pulzar768/7x8bv5+OaHzrfOMSh6dgPuLgNpWFk4a7nJyOVHI78xMXWQwJInt0
zYITPP667/ymWp3XKxy/YGPgJIt4Alzo5w+cQpiPtLYhYR7ea2GmrRe+iqfwDTl1krzA5iGn7mXZ
XSiPoBOzZZrJQbqLF26F7SDeyag1EzNT/eihQy647ZGCJDNAWACVCNbEplk6IU+auBk24afZNofJ
q78wTHKr89gdF8qRKD5EIrqZUKdhiZM+IGGi4yh/sQP9SbePMlsSsZ+dXWyX35HMHCEktK4+BlUp
9rmXWHPXj4dlu1f82Gk7J9xRcLsYTzr5To9sYm15wnQLO/tfwUp/XLA5FVVSGLNDikeP8vNFJ2C1
z8SaHDyFhTo6am5FgSub2onUV/tq51Zg/eK5/iP6h08walmMghV838Rvz7WMzEeOjPQ3qGNOgIZY
CqgUrX8FKv3JAzX7xkEekjVjNpj7thkJg5qp4xTEbv5Ug4ECHVQ2osw62GF1lTB117Ov2eEgrXfN
RD6sCZNwybSORpaI5wJ7U1J0XDV2tBIXleVGvuHRY/b06ginzaz34tYRBAKy7OG2jSaHeldJ/LG9
z7DGAiBR3Nvk9B3SVTO2YUQb2/pdDY4xo3cQOwwaSKCBjg588vbX11j8k7sqkLLNyiHh4wye9PNd
XYp10pcjJc4MYBKo44IxhIoruM1dQYOxo9mFO7sdMIyJLAjma9Gl0LuQ61h7v1rIxLnO+HkZJX/V
AN2C7z77/X27Df1CkZA5UukGl0iEJmFf9zrkPj8/Xu/KadOeiheuDdFIijV+XAsTL58rbhEawrXd
4urVlwWVAVTEv75GP1Dmvzqtb6t7NKpj1sScluyFfnsHX/C59RKXPntmUli3daqZDUgzTTJq2K/x
CXe71zC36hMcttxjfbC1g4af/cKlDF7uu4UprIyVeFfbv3pn/mTB4D2Bo8abI/G2it9GHz3OI2k1
aKHL6HoADjN4R6sW2+T7jIjE8YUbCzGSkoUWI3AC6Suc9nJ1qspnwVFrL6zsaN2zN1c43f31ZcR7
+0/uL2cEWA7PhJPUvtWZYxssKvgBkVs5zZcRAtFF5a4LnWSlZw6+ZgEx4YCGEroG63bdjtEOBcui
PBBjDVs2Fvw+d2LRa16RkNarUKWMq1fqZOEdqrb43OKtYYUEV2W2vNZwUQlMQEkYw6bC5HUygUeQ
Bj4ksXND1zDYS92CwmDUq5YCxtbRUjnKm3wBmIoxGnrNiJ0FrRN28pdheF3mop/QUndc+l3k8IMZ
V/Ljdh+DY5FclQHuXff5dlyXW+Op40Tu+JHeI+4kwFebgWzgNYTqOOWx61Br4EQLlOAZ78BqPfTQ
DAmKmd7XEOFic3HAsBk+JP5Xgg/VILo+A2XIuOXYBN14C3Sme+QAvbbRpnOR+VWOj8Im087ERCvQ
klC7szGltvwJrFXsC4OPLatmHXhJ7+HahHaZjJZg6U/pNoKbUXigfDW9IHVv5CFWKUBZPhaRV0K5
sQTEXZMbdWvDDDxj4ZI8I5/EtQz2lALq0gcBwhkmwNtUmNGKfKx2vVzTsqErfW1iS0zXtWj2kbU4
4w12jS1+pyp6AEcErryrM9j0IZnBqaSYLi2F7O49imMQRKQct4ykTXt2qboDSIwn0E9yLe3sYXSk
reDjWZ2ZAJEkItpzjdo+k5bjqg+szzVr7/qp8m92el/yLnQrSpVqD1CUYlEUmqq9TK3SMZxqhz0L
udu5YKKVvhl+Ndjiw9VZ3JUH+dKtIFv4qTu8wcR9Js6+2jNtCBmIue1kkkOw0tzcrnb5IXpWrWVr
p8/Bg+TnNkO30lg1qD6RBeMoTaKG0DwZM+RstpFFgC8YbNIA7nJPonc+3e1cPxPHZKA/QweBOM5R
NquQj4fP9xl/p3PiYg6muJIdKZcFkoeX9pTa8KO8nELTJzpoI3DQc0Em8r34unTmvkX1SDjfTnbm
DBtMYza3VXDCBX5mL1jELVn4cB2WrzzLJD1+TKJ19Yet5lLy474+bIG3b3zA6MgTVuwNd7CRcK8p
QBaP8Tp4Hj+jd0ygms/yrLmLN+yEMX6IQ3NyJZduSXNbw1o+iAVmZjMqJ14KBDlm/4KF3WzIZJFO
0lzC02QyL7MAAhpA6d7BXdipPHIpgBO9xh3d0e72XvZJn+PQDTGKjMxtcN8hSypRo2PXM6M9SuoI
+0ViKXuQqvN7BVDjk2JGthmEteWOe0D//MRNtMMdo+i3fl8ern7zGm7o9lpH3TGqXccPhSNAP3ez
B4lFutkUPjs3vKX36Vn0pqfl3VIxh0MLCmGlF4lYN7sQQHCY4eqOtmWYe3NTRO4mnZth5ttkpa6T
p+taX2VPyMJ244kNir7GLu3WyTtz9NCq29OW6OLC1/clYDdkd1PldMLX6Ty5XKmlrZ/UNZin13vB
FwX2UXGHc7+D1R+fMArM9oJ9dQoPRY26otfb0y2d6XL747A+JjoQpxl73fr2KHebGgIN0BcOWZPH
JfZytzAbHx4XDooPy134Ij53m1V1imx1Rf7JhBPgKl4ZnuSo79UW3ANNgoku/qMAo/46Xj3MzYqd
bgv+cMZ46oFlyxfM++Yy0PRFDzSINfOUwaRJtdoH8aFaa49XAFZqbCIGSlMAf1Yc6gpruULiaJdf
4Q7bTNtwQXOHcwXEvZwX2mrdbemim4f8CLltuteeADOBKM3WSnf5JX5sH7+w0luRBEcF1fjIYkxV
sMa3AfjAH+9a5sQ70svaNaOIz/Ct7q2v2G4PmOtZI+jksBM4+o0I7W3rGrV5vcxz+mZLJ25jdHOf
7eJtu7teYodYaNr/qxW5y5Vyd3MMz0Nmb7cu8kkP3/rNuFncw7+cnfQ6NzwT7xVs8nfGSin3fVX4
4b62madzl5UQzhPCWzPfffXgW5t2g+XUrnlQ8JRnTPGEMIfCf4CY+Sy5OHM+BBf1xNCJwadfVivV
m7kFg1+dZK6qz5slPJbnxR6ROt9jQaru4zt5XeypP30DBw10rhaJ8LpiSudZNEfpaib34V6PLPmE
mpYYdYKRAaHBCy2s37qncHZWsxZkDD0Z7EnNflzftrJVcVeE93G0ahdDELd9aE/hRqjt64OxUndL
a2SAEVzXWoq5vgXAcy15OfgvO0e9MNPGqbd8jHTVfC1HWFjsd9E95lR7JPBYIDp9amurdB3bwir1
iPLiJ5N7xZ7OER66FoSlI/glc60z7+EI+oZonucakQOrWb+vV4VqjtbyRXhvnMCKDyFvm+zVPNbU
2dvhMLi6x0W5Y6Plgbaikw4tvHkgjufQrZL720rl4WzosyCYWpMXOhWU1ouGbI5lNjM7S/OO3aO0
kXsrXqO6s/SVsh02htM+DafyDSv6ONlTDSadu2QcIyOIteHrUrhWn9d16AyneFjj5jgxF3hLvtoA
D8PQT8WLLD3qCcUJKxZCvE2jQsdw23KLlVfebpL3/sdO7ujr8UtxUxQs5gwwebwYeCTW8XMX49Fn
xyrKb3vYLI99hzuwTZEq+HLvzCs7QOIRKuS8b9zeCmQ4ToXXyop1FO8bJzwC5suCXcLGxIiFyKnc
6t8z2srMykBqTMN57+3IX7qlbunnwA0++mPryvVKZN7B/sJCyhzgQTXYZCdrCPZAYV5nFatpnVKJ
tVayBwghqZkkxtG+7ZlKjk7H/9f2HJxGtFvr3ZBe4yRZ7vttccz38rsCV4YTaOwOYcoSP2eLNl59
H0YWWWtGKPm5jnKktaI9wH+2JSGb7+BoN3Imr778dMsd/FSaVcKImrmcuNZrLOKYowBnqy1mGN6y
Rr2J5NwCSx8pYu6CQ7nHmR+DNYK4zTajTESesslWka+7zTlNN+2xEEzjal/TOzkws+P1KH3FYA1W
yHn0q2QNh+8w/63z8OgJ3coH7+Zd30tO2h0khxNvVqQdbwhpXFducaTWxPXucX8Fbocj4pSvIadv
qsAqu8p9RHJvEZFnhlbhCk585G12633nsAazgOLNvKmt2/72yui0Ml+5Ky7ph7j+JmtIAveMZg9I
YitzjR6PeRby86s9fyF8mgEaJEHHYZ89K+tat6SXUDT1e8kbHhK/Csw8xhqRjABTfboeE58wAlvz
JmcheOK7skaxwxylta7479areQyz3F/VO1Gyugo7Dl961enReNC2xiWmnHCYrEyKKxomtyMK9guv
28+PwLQPPwRGNyj7GhNtI9NExLIPOLzeSU5BsexIXzwYyro6SrxcyoCIDm3uuwhhuEuPKgQzS7ow
jtDZ8tAjLsFNzdyhcn6N37lUHs6kj5WT+AnjFrPycSp+CRQPJrJxjB+TneoYz8m6O9W5LV1qSrt5
qjLj3zTEWObeP+tPPLtMQgx0m8ynhsaUN1xi1V26uIxG+3Q/F7n4lJmV2+3aY3Lq31QyTLycSiwk
1NtaMnDV8MhchYhaOf/gSe9dedszRDNWV6xtzYFiyWzuSfHkIhT25EQ1R5G34mNhi9sFU/+tuO1e
w2MduoC2GNQbutXgHwqfl98MGwBmNptW51VH7StKVwrWKReMMguwyTddsAwcQxmhn5gPpZfqMceL
5moPl9sJva8dMS4v6UmNFYZwj9Fl4VOupl50om0FFlmJXveceN0uPGCaG/m1BZzt1GATRw5s0/nY
V0zA95GzxKjawXWa9rhzgn229ApmWdOutOvt6AW7QjOVVfCyKS3RhqkMleuVDDiNLZdlQtv1x+UB
j0jSNL9Gw2uIfTGjPWodXJXuo8PCkrx+m65RbR5iOzEXXjLf8Nfrfb8iCd1WbPLHdrpfMiOSzokX
8hhc+VSttTbW45mbOKOi40Z9y+z6rplcerPd4PB8c40fb6fEifwMdmDrl1a5jk4MZz9z3S5flzaj
uXvmeKveXh4miyE85Nsd/vTx8+1OfAvdS2+3T8wf5ffsOG6hpW0zydGZicF7vL8Wu3Z1uzM+JwfP
ZDd4NNbIup8KV9wUtryRHsZzizNPc3/VvqC/L5T/Rd2ZLCeOBGH4VRx9J4LVwKE7wgix2WBjvLT7
QsiWDDLaAEkG3maOc+jDxDyCX2y+AmQQYKljxHSMLx3RGKoqs6oyK5c/s/qqpgb3xTs68HGUqUbr
3JLSdunUSzW/bs0kPUMZ5UqZG239cEbQ5HYQjJ6kP9gPL13WlnouKl4zna3kWvicKAp9PWn5dfty
XCNOWDr3O1xufO/D65Ev5X1Ok1wYAmWvzG/GN9SXpbfuWJpgTeRaKXoXDR4WP/jIqo91JV2zy4+l
uRgHoTlWs1xr6m+BbUENIwLKFQKzqbrLlRhdkjch4fmf1bMccErKyaj2GhW8S7X5hV+WRlf8M25m
qO3Li6wPHjsl2Q/ZhtMS7hOZhZG/TXvTng/gu4VMlBdoBLfjtNJ8J38xU4gf8nLmXM80ZLLbRril
G8z8ULqnLsiQ6O5pw7o1e6eNUbVcnbbMe26PfIqbrpJq9h9djeyVZ4fratcIMHiXHHenC/KtXSLW
TOIUpcPwccJuUh+VLPvaH+Nupe6h7XbmGbmQEk+Q2aAFymVSkr2xLE0Js8fEBA+46vB9ERIkYxcH
SnHX651LpfH7LMiyfbmwGxSgqi+aJLbKZmuqCbQrDG4ASEZm+COA1xVf5pPOpI0KN+NcOfteQ5ZC
UjEZtrTBxCkc9hqWhuYwA4ydhN9V2mOFjgi03UHRzwn3AjdvF2KCHEtU4I4TjinzZJvlhHcrLZa0
lWzXn9jF4mgIaNivpZ7yEuYozy5dEblK01u7TsyBxwyv4WYBi7p0Z7ZmPfpGtkGg8mrLNexbWgPU
6MyuZJ/N67xs9Ox6xqzQ0kaeV6lJjzVddRv9Rv/GIcw1k09rdtVp96Vh0+BwSYs2yMsfrjRQ7ZpT
pxTFdbb9LKKx6YZ3Twcj+8rgRJjnxYdh1+jQP+c21v++H6QVPN8wYIfnHgXj9RRo9Fq2W6qLF+rs
XOdRZF7ReUOKz+fMHN7jzXw7zjqqpOnpLGXzai9NFx9IHkMjjwGeIc8gI4soQ5z7N3bGHfdvoe/T
AsVlRoARTpMsqSqt7+qvtVF70EyL4F83zvG/hwslmgFTQRrmsnj+YW/4VC2MwuviZbQYYrQDeyWp
aoi5d8ojzrty6nG5imTV7/m36XQEPCyXIWBHJY/wbL6bnQ5IbR3W9Oc5doFM1czMtIWS/o63vdWn
tnCqit1LElexYrfMlmFVMDzbBG3nlzYOjJtxc6ZkMDZvXn2aHFWM69nz/GKgmqrX9HqTW/2Sspov
7WH7dRB34/cjflTKokgohedIyU7v5roWM0U7bRbYG+zqLm2i6B6NLxzT1zmngEw1+92hlXIrXSVh
PAg3/i/AIutFVEFhyDQSduddT6MfhkYlBHcalNbFwDTU5Z91jVD+r3/h4wFOtOVsTfXrl0LmvYbv
cqKbuaOtpl59R/z/m6JSg6qqT92J/rTCFG/9cYkxHmjIWNa5/vmasP2lH1xT8GFD1yYKGJb5ktr5
epUdxdS+fpEUQ1Wm28hekLJIoc1Cvn4JLXMrPhA17rUOYFiMHQwlmJLlTnI9ko5NuqJuhgZGhZa4
5UkHvlMMQwPgYwDg8Z7CM+SLIoyWdIaOPXHFDCuckKVqk2BMwZ8ycCAESfCR2PR/x/2OMtHf/gp1
exVjo2WTj91WBqpiaGFwE6PTOvYI50Z6+3ui2o8h3pcBigDcTr70vV1lZJDqR1h2xTbefvrKzm6C
1BGtzpMemriG6Euh8+8Py5mpLGwrLARWYLVjbCjZn1GdhxOu/U7xHFB4AY/FJVovnXdGUr5LytjT
3Lc/gpG2RkeTJh297im+rky0YKSt0Y8gaKJ69iXkOQvXrbefoSu6YroITCdlS9fTLfXtZ0h2rUc/
igRwdKCZJ4HSDda7Yb7AQSaloa25h7hzBA0leZYKrtREnR+a4QiSLLoDQsKjIylTxTp45rNHuFFn
k12tvT44R7hPFXuuPB0SBcdQqVJUtduELD/j9/bY0w8cl9wRjvoS77z7jlmxPXcE1dfzng5JyPwR
BE1USZuEPL9QThCS1NY9wHQMg8TyZQt/fqJY6jYEPRh8I9CWiPNIgg5ZFd9C5ocsfh82k2K/8G5o
XXHhLffAEPHfCCyYA0OsmbihU7jW3jH8y9nCls62UI5+LG3NFgwhphE7xwSBhfsRVRFrXlmgEV/Y
JwqxGEXUrkD9PIQhk6MIC8vyT0OW0AZRZO2okc9DF6oiiq49LfN5KENLRVG2p+A+DWVrebXCJx0Q
iPta6hOQRop6OWbHzsy3P3GoKUtHTs97t8lX1D3Z6DILhbS17R8IfOoLCpcop+M3yfzNhB9uWqDf
V8TQxtnSVpT8piXGHSrJNmzzcfPaDJjuWa7wwFKl2voFxr9v8m+iSpQYXLpqoiTBro/nv70tcZTz
eBJfeTI0ZfLtHwAAAP//</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openxmlformats.org/officeDocument/2006/relationships/image" Target="../media/image1.png"/><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1358153</xdr:colOff>
      <xdr:row>48</xdr:row>
      <xdr:rowOff>62752</xdr:rowOff>
    </xdr:from>
    <xdr:to>
      <xdr:col>7</xdr:col>
      <xdr:colOff>282388</xdr:colOff>
      <xdr:row>63</xdr:row>
      <xdr:rowOff>71717</xdr:rowOff>
    </xdr:to>
    <mc:AlternateContent xmlns:mc="http://schemas.openxmlformats.org/markup-compatibility/2006">
      <mc:Choice xmlns:cx6="http://schemas.microsoft.com/office/drawing/2016/5/12/chartex" Requires="cx6">
        <xdr:graphicFrame macro="">
          <xdr:nvGraphicFramePr>
            <xdr:cNvPr id="2" name="Gráfico 1">
              <a:extLst>
                <a:ext uri="{FF2B5EF4-FFF2-40B4-BE49-F238E27FC236}">
                  <a16:creationId xmlns:a16="http://schemas.microsoft.com/office/drawing/2014/main" id="{6A24CE40-7FCA-4D08-8F7D-9A94C6E94C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6303" y="9702052"/>
              <a:ext cx="4420160"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4</xdr:col>
      <xdr:colOff>1251921</xdr:colOff>
      <xdr:row>64</xdr:row>
      <xdr:rowOff>152400</xdr:rowOff>
    </xdr:from>
    <xdr:to>
      <xdr:col>7</xdr:col>
      <xdr:colOff>304800</xdr:colOff>
      <xdr:row>83</xdr:row>
      <xdr:rowOff>30480</xdr:rowOff>
    </xdr:to>
    <mc:AlternateContent xmlns:mc="http://schemas.openxmlformats.org/markup-compatibility/2006">
      <mc:Choice xmlns:cx6="http://schemas.microsoft.com/office/drawing/2016/5/12/chartex" Requires="cx6">
        <xdr:graphicFrame macro="">
          <xdr:nvGraphicFramePr>
            <xdr:cNvPr id="3" name="Gráfico 2">
              <a:extLst>
                <a:ext uri="{FF2B5EF4-FFF2-40B4-BE49-F238E27FC236}">
                  <a16:creationId xmlns:a16="http://schemas.microsoft.com/office/drawing/2014/main" id="{A8CD012F-0C19-45E2-8058-11223424B0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00071" y="12906375"/>
              <a:ext cx="4548804"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48</xdr:row>
      <xdr:rowOff>62752</xdr:rowOff>
    </xdr:from>
    <xdr:to>
      <xdr:col>4</xdr:col>
      <xdr:colOff>1342757</xdr:colOff>
      <xdr:row>63</xdr:row>
      <xdr:rowOff>71717</xdr:rowOff>
    </xdr:to>
    <mc:AlternateContent xmlns:mc="http://schemas.openxmlformats.org/markup-compatibility/2006">
      <mc:Choice xmlns:cx6="http://schemas.microsoft.com/office/drawing/2016/5/12/chartex" Requires="cx6">
        <xdr:graphicFrame macro="">
          <xdr:nvGraphicFramePr>
            <xdr:cNvPr id="4" name="Gráfico 3">
              <a:extLst>
                <a:ext uri="{FF2B5EF4-FFF2-40B4-BE49-F238E27FC236}">
                  <a16:creationId xmlns:a16="http://schemas.microsoft.com/office/drawing/2014/main" id="{BA0E4976-96C8-437C-BD9F-F526DB98F9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9702052"/>
              <a:ext cx="5590907"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64</xdr:row>
      <xdr:rowOff>152400</xdr:rowOff>
    </xdr:from>
    <xdr:to>
      <xdr:col>4</xdr:col>
      <xdr:colOff>1299883</xdr:colOff>
      <xdr:row>83</xdr:row>
      <xdr:rowOff>30480</xdr:rowOff>
    </xdr:to>
    <mc:AlternateContent xmlns:mc="http://schemas.openxmlformats.org/markup-compatibility/2006">
      <mc:Choice xmlns:cx6="http://schemas.microsoft.com/office/drawing/2016/5/12/chartex" Requires="cx6">
        <xdr:graphicFrame macro="">
          <xdr:nvGraphicFramePr>
            <xdr:cNvPr id="5" name="Gráfico 4">
              <a:extLst>
                <a:ext uri="{FF2B5EF4-FFF2-40B4-BE49-F238E27FC236}">
                  <a16:creationId xmlns:a16="http://schemas.microsoft.com/office/drawing/2014/main" id="{60D8B0BB-4BB3-41AA-A635-A6F9AC5870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12906375"/>
              <a:ext cx="5548033"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2</xdr:col>
      <xdr:colOff>481855</xdr:colOff>
      <xdr:row>22</xdr:row>
      <xdr:rowOff>103711</xdr:rowOff>
    </xdr:from>
    <xdr:to>
      <xdr:col>6</xdr:col>
      <xdr:colOff>1165413</xdr:colOff>
      <xdr:row>43</xdr:row>
      <xdr:rowOff>5997</xdr:rowOff>
    </xdr:to>
    <xdr:pic>
      <xdr:nvPicPr>
        <xdr:cNvPr id="6" name="Picture 1">
          <a:extLst>
            <a:ext uri="{FF2B5EF4-FFF2-40B4-BE49-F238E27FC236}">
              <a16:creationId xmlns:a16="http://schemas.microsoft.com/office/drawing/2014/main" id="{D45D27AE-B40B-4DFA-842A-49C0DDFDE421}"/>
            </a:ext>
          </a:extLst>
        </xdr:cNvPr>
        <xdr:cNvPicPr>
          <a:picLocks noChangeAspect="1"/>
        </xdr:cNvPicPr>
      </xdr:nvPicPr>
      <xdr:blipFill>
        <a:blip xmlns:r="http://schemas.openxmlformats.org/officeDocument/2006/relationships" r:embed="rId5"/>
        <a:stretch>
          <a:fillRect/>
        </a:stretch>
      </xdr:blipFill>
      <xdr:spPr>
        <a:xfrm>
          <a:off x="2005855" y="4675711"/>
          <a:ext cx="6857999" cy="40148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85AECDE7-2B14-4499-B184-EDE0E4BC63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914399</xdr:colOff>
      <xdr:row>2</xdr:row>
      <xdr:rowOff>57149</xdr:rowOff>
    </xdr:from>
    <xdr:to>
      <xdr:col>13</xdr:col>
      <xdr:colOff>483040</xdr:colOff>
      <xdr:row>6</xdr:row>
      <xdr:rowOff>19049</xdr:rowOff>
    </xdr:to>
    <xdr:pic>
      <xdr:nvPicPr>
        <xdr:cNvPr id="2" name="Imagen 1">
          <a:extLst>
            <a:ext uri="{FF2B5EF4-FFF2-40B4-BE49-F238E27FC236}">
              <a16:creationId xmlns:a16="http://schemas.microsoft.com/office/drawing/2014/main" id="{3D8F34B4-C7D1-2CF8-296B-D696AC703D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4" y="447674"/>
          <a:ext cx="7617266" cy="7334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545929</xdr:colOff>
      <xdr:row>113</xdr:row>
      <xdr:rowOff>77407</xdr:rowOff>
    </xdr:to>
    <xdr:pic>
      <xdr:nvPicPr>
        <xdr:cNvPr id="2" name="Imagen 1">
          <a:extLst>
            <a:ext uri="{FF2B5EF4-FFF2-40B4-BE49-F238E27FC236}">
              <a16:creationId xmlns:a16="http://schemas.microsoft.com/office/drawing/2014/main" id="{E22B5589-3120-4DF2-A417-108B6511E719}"/>
            </a:ext>
          </a:extLst>
        </xdr:cNvPr>
        <xdr:cNvPicPr>
          <a:picLocks noChangeAspect="1"/>
        </xdr:cNvPicPr>
      </xdr:nvPicPr>
      <xdr:blipFill>
        <a:blip xmlns:r="http://schemas.openxmlformats.org/officeDocument/2006/relationships" r:embed="rId1"/>
        <a:stretch>
          <a:fillRect/>
        </a:stretch>
      </xdr:blipFill>
      <xdr:spPr>
        <a:xfrm>
          <a:off x="5295900" y="12954000"/>
          <a:ext cx="15596257" cy="8649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546757</xdr:colOff>
      <xdr:row>113</xdr:row>
      <xdr:rowOff>77407</xdr:rowOff>
    </xdr:to>
    <xdr:pic>
      <xdr:nvPicPr>
        <xdr:cNvPr id="2" name="Imagen 1">
          <a:extLst>
            <a:ext uri="{FF2B5EF4-FFF2-40B4-BE49-F238E27FC236}">
              <a16:creationId xmlns:a16="http://schemas.microsoft.com/office/drawing/2014/main" id="{7DCCCA6D-395E-40F0-B449-30F499596F00}"/>
            </a:ext>
          </a:extLst>
        </xdr:cNvPr>
        <xdr:cNvPicPr>
          <a:picLocks noChangeAspect="1"/>
        </xdr:cNvPicPr>
      </xdr:nvPicPr>
      <xdr:blipFill>
        <a:blip xmlns:r="http://schemas.openxmlformats.org/officeDocument/2006/relationships" r:embed="rId1"/>
        <a:stretch>
          <a:fillRect/>
        </a:stretch>
      </xdr:blipFill>
      <xdr:spPr>
        <a:xfrm>
          <a:off x="5295900" y="12954000"/>
          <a:ext cx="15594601" cy="86499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67</xdr:row>
      <xdr:rowOff>0</xdr:rowOff>
    </xdr:from>
    <xdr:to>
      <xdr:col>23</xdr:col>
      <xdr:colOff>232018</xdr:colOff>
      <xdr:row>112</xdr:row>
      <xdr:rowOff>77407</xdr:rowOff>
    </xdr:to>
    <xdr:pic>
      <xdr:nvPicPr>
        <xdr:cNvPr id="2" name="Imagen 1">
          <a:extLst>
            <a:ext uri="{FF2B5EF4-FFF2-40B4-BE49-F238E27FC236}">
              <a16:creationId xmlns:a16="http://schemas.microsoft.com/office/drawing/2014/main" id="{DE7C5E21-C89E-478D-94CC-74EE882F5A5A}"/>
            </a:ext>
          </a:extLst>
        </xdr:cNvPr>
        <xdr:cNvPicPr>
          <a:picLocks noChangeAspect="1"/>
        </xdr:cNvPicPr>
      </xdr:nvPicPr>
      <xdr:blipFill>
        <a:blip xmlns:r="http://schemas.openxmlformats.org/officeDocument/2006/relationships" r:embed="rId1"/>
        <a:stretch>
          <a:fillRect/>
        </a:stretch>
      </xdr:blipFill>
      <xdr:spPr>
        <a:xfrm>
          <a:off x="5295900" y="12954000"/>
          <a:ext cx="15595843" cy="86499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23</xdr:col>
      <xdr:colOff>232018</xdr:colOff>
      <xdr:row>113</xdr:row>
      <xdr:rowOff>77407</xdr:rowOff>
    </xdr:to>
    <xdr:pic>
      <xdr:nvPicPr>
        <xdr:cNvPr id="5" name="Imagen 4">
          <a:extLst>
            <a:ext uri="{FF2B5EF4-FFF2-40B4-BE49-F238E27FC236}">
              <a16:creationId xmlns:a16="http://schemas.microsoft.com/office/drawing/2014/main" id="{109EBC49-73F0-F3C7-3D0F-7C24A5901655}"/>
            </a:ext>
          </a:extLst>
        </xdr:cNvPr>
        <xdr:cNvPicPr>
          <a:picLocks noChangeAspect="1"/>
        </xdr:cNvPicPr>
      </xdr:nvPicPr>
      <xdr:blipFill>
        <a:blip xmlns:r="http://schemas.openxmlformats.org/officeDocument/2006/relationships" r:embed="rId1"/>
        <a:stretch>
          <a:fillRect/>
        </a:stretch>
      </xdr:blipFill>
      <xdr:spPr>
        <a:xfrm>
          <a:off x="5162550" y="12954000"/>
          <a:ext cx="15594601" cy="864990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LIAN CAICEDO" id="{8B4C904F-D39B-41A2-976E-9CF6D3CCE00C}" userId="JULIAN CAICEDO" providerId="Non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606CCEC-CD5E-4C43-9C29-F94441C86EE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c7e7183a8049fcd4476666d530c02af4&amp;qlt=95" TargetMode="External"/><Relationship Id="rId2" Type="http://schemas.openxmlformats.org/officeDocument/2006/relationships/hyperlink" Target="https://www.bing.com/images/search?form=xlimg&amp;q=bol%c3%advar+department+colombia" TargetMode="External"/><Relationship Id="rId1" Type="http://schemas.openxmlformats.org/officeDocument/2006/relationships/hyperlink" Target="https://www.bing.com/th?id=AMMS_0e8011aa83ff1393ab0287f9fd067d1c&amp;qlt=95" TargetMode="External"/><Relationship Id="rId6" Type="http://schemas.openxmlformats.org/officeDocument/2006/relationships/hyperlink" Target="https://www.bing.com/images/search?form=xlimg&amp;q=putumayo+department+colombia" TargetMode="External"/><Relationship Id="rId5" Type="http://schemas.openxmlformats.org/officeDocument/2006/relationships/hyperlink" Target="https://www.bing.com/th?id=AMMS_bd5df3a48eceaba2bf9c4ff931b54459&amp;qlt=95" TargetMode="External"/><Relationship Id="rId4" Type="http://schemas.openxmlformats.org/officeDocument/2006/relationships/hyperlink" Target="https://www.bing.com/images/search?form=xlimg&amp;q=casanare+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2">
  <a r="1">
    <v t="s">Marcela Amaya (Governor)</v>
  </a>
  <a r="1">
    <v t="s">UTC−05:00</v>
  </a>
  <a r="1">
    <v t="s">Didier Alberto Tavera Amado (Governor)</v>
  </a>
  <a r="1">
    <v t="s">Ricardo Alvarado Bestene (Governor)</v>
  </a>
  <a r="1">
    <v t="s">Vicente blel (Governor)</v>
  </a>
  <a r="1">
    <v t="r">39</v>
  </a>
  <a r="1">
    <v t="s">Carlos Andrés Amaya (Governor)</v>
  </a>
  <a r="1">
    <v t="s">Salomon Andres Sanabria (Governor)</v>
  </a>
  <a r="1">
    <v t="s">Oneida Rayeth Pinto Perez (Governor)</v>
  </a>
  <a r="1">
    <v t="s">Luis Enrique Dussan López (Governor)</v>
  </a>
  <a r="1">
    <v t="s">William Villamizar Laguado (Governor)</v>
  </a>
  <a r="1">
    <v t="s">Sorrel Parisa Aroca Rodriguez (Governor)</v>
  </a>
</arrayData>
</file>

<file path=xl/richData/rdrichvalue.xml><?xml version="1.0" encoding="utf-8"?>
<rvData xmlns="http://schemas.microsoft.com/office/spreadsheetml/2017/richdata" count="96">
  <rv s="0">
    <v>536870912</v>
    <v>Meta Department</v>
    <v>30c3c263-a281-f2d2-6787-511d37d41ddf</v>
    <v>en-US</v>
    <v>Map</v>
  </rv>
  <rv s="1">
    <fb>85635</fb>
    <v>11</v>
  </rv>
  <rv s="0">
    <v>536870912</v>
    <v>Villavicencio</v>
    <v>061f744c-689b-fc4e-336d-58ff74f02bb7</v>
    <v>en-US</v>
    <v>Map</v>
  </rv>
  <rv s="0">
    <v>536870912</v>
    <v>Colombia</v>
    <v>c396e3d8-2a85-d230-f691-7850536d840e</v>
    <v>en-US</v>
    <v>Map</v>
  </rv>
  <rv s="1">
    <fb>179624</fb>
    <v>11</v>
  </rv>
  <rv s="2">
    <v>0</v>
  </rv>
  <rv s="3">
    <v>https://www.bing.com/search?q=meta+department+colombia&amp;form=skydnc</v>
    <v>Learn more on Bing</v>
  </rv>
  <rv s="1">
    <fb>1039722</fb>
    <v>11</v>
  </rv>
  <rv s="2">
    <v>1</v>
  </rv>
  <rv s="4">
    <v>#VALUE!</v>
    <v>en-US</v>
    <v>30c3c263-a281-f2d2-6787-511d37d41ddf</v>
    <v>536870912</v>
    <v>1</v>
    <v>3</v>
    <v>4</v>
    <v>Meta Department</v>
    <v>7</v>
    <v>8</v>
    <v>Map</v>
    <v>9</v>
    <v>10</v>
    <v>CO-MET</v>
    <v>1</v>
    <v>2</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4</v>
    <v>2</v>
    <v>5</v>
    <v>6</v>
    <v>Meta Department</v>
    <v>7</v>
    <v>8</v>
    <v>Meta Department</v>
    <v>mdp/vdpid/10106924</v>
  </rv>
  <rv s="0">
    <v>536870912</v>
    <v>Santander Department</v>
    <v>98fbfaa3-063d-4261-a806-2b84a0339e05</v>
    <v>en-US</v>
    <v>Map</v>
  </rv>
  <rv s="1">
    <fb>30537</fb>
    <v>11</v>
  </rv>
  <rv s="0">
    <v>536870912</v>
    <v>Bucaramanga</v>
    <v>b2b7d5d4-6e24-8927-87fe-0c327b2b2c86</v>
    <v>en-US</v>
    <v>Map</v>
  </rv>
  <rv s="1">
    <fb>495179</fb>
    <v>11</v>
  </rv>
  <rv s="2">
    <v>2</v>
  </rv>
  <rv s="3">
    <v>https://www.bing.com/search?q=santander+department+colombia&amp;form=skydnc</v>
    <v>Learn more on Bing</v>
  </rv>
  <rv s="1">
    <fb>2184837</fb>
    <v>11</v>
  </rv>
  <rv s="4">
    <v>#VALUE!</v>
    <v>en-US</v>
    <v>98fbfaa3-063d-4261-a806-2b84a0339e05</v>
    <v>536870912</v>
    <v>1</v>
    <v>14</v>
    <v>4</v>
    <v>Santander Department</v>
    <v>7</v>
    <v>8</v>
    <v>Map</v>
    <v>9</v>
    <v>10</v>
    <v>CO-SAN</v>
    <v>11</v>
    <v>12</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13</v>
    <v>12</v>
    <v>14</v>
    <v>15</v>
    <v>Santander Department</v>
    <v>16</v>
    <v>8</v>
    <v>Santander Department</v>
    <v>mdp/vdpid/10106936</v>
  </rv>
  <rv s="0">
    <v>536870912</v>
    <v>Arauca Department</v>
    <v>39038b52-0399-9385-24de-5d0c69b46eba</v>
    <v>en-US</v>
    <v>Map</v>
  </rv>
  <rv s="1">
    <fb>23818</fb>
    <v>11</v>
  </rv>
  <rv s="0">
    <v>536870912</v>
    <v>Arauca</v>
    <v>64f5d309-32e5-4ff7-24bc-d973ce26e70a</v>
    <v>en-US</v>
    <v>Map</v>
  </rv>
  <rv s="1">
    <fb>35636</fb>
    <v>11</v>
  </rv>
  <rv s="2">
    <v>3</v>
  </rv>
  <rv s="3">
    <v>https://www.bing.com/search?q=arauca+department+colombia&amp;form=skydnc</v>
    <v>Learn more on Bing</v>
  </rv>
  <rv s="1">
    <fb>262174</fb>
    <v>11</v>
  </rv>
  <rv s="4">
    <v>#VALUE!</v>
    <v>en-US</v>
    <v>39038b52-0399-9385-24de-5d0c69b46eba</v>
    <v>536870912</v>
    <v>1</v>
    <v>17</v>
    <v>4</v>
    <v>Arauca Department</v>
    <v>7</v>
    <v>8</v>
    <v>Map</v>
    <v>9</v>
    <v>10</v>
    <v>CO-ARA</v>
    <v>19</v>
    <v>20</v>
    <v>3</v>
    <v>Arauca is a department of Eastern Colombia located in the extreme north of the Orinoco Basin of Colombia, bordering Venezuela. The southern boundary of Arauca is formed by the Casanare and Meta Rivers, separating Arauca from the departments of Casanare and Vichada. To the west, Arauca borders the department of Boyacá. The Caño Limón oil fields located within Arauca account for almost a third of the Colombian oil output. Its capital is the town of Arauca.</v>
    <v>21</v>
    <v>20</v>
    <v>22</v>
    <v>23</v>
    <v>Arauca Department</v>
    <v>24</v>
    <v>8</v>
    <v>Arauca Department</v>
    <v>mdp/vdpid/10106929</v>
  </rv>
  <rv s="0">
    <v>536870912</v>
    <v>Bolívar Department</v>
    <v>38fa99f2-3e47-af72-2f25-81f620fe1128</v>
    <v>en-US</v>
    <v>Map</v>
  </rv>
  <rv s="1">
    <fb>25978</fb>
    <v>11</v>
  </rv>
  <rv s="0">
    <v>536870912</v>
    <v>Cartagena</v>
    <v>722cd66d-65f4-7a40-33a0-17719bf6238a</v>
    <v>en-US</v>
    <v>Map</v>
  </rv>
  <rv s="1">
    <fb>391055</fb>
    <v>11</v>
  </rv>
  <rv s="5">
    <v>0</v>
    <v>9</v>
    <v>25</v>
    <v>0</v>
    <v>Image of Bolívar Department</v>
  </rv>
  <rv s="2">
    <v>4</v>
  </rv>
  <rv s="3">
    <v>https://www.bing.com/search?q=bol%c3%advar+department+colombia&amp;form=skydnc</v>
    <v>Learn more on Bing</v>
  </rv>
  <rv s="1">
    <fb>2070110</fb>
    <v>11</v>
  </rv>
  <rv s="6">
    <v>#VALUE!</v>
    <v>en-US</v>
    <v>38fa99f2-3e47-af72-2f25-81f620fe1128</v>
    <v>536870912</v>
    <v>1</v>
    <v>22</v>
    <v>23</v>
    <v>Bolívar Department</v>
    <v>7</v>
    <v>24</v>
    <v>Map</v>
    <v>9</v>
    <v>10</v>
    <v>CO-BOL</v>
    <v>27</v>
    <v>28</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29</v>
    <v>30</v>
    <v>28</v>
    <v>31</v>
    <v>32</v>
    <v>Bolívar Department</v>
    <v>33</v>
    <v>8</v>
    <v>Bolívar Department</v>
    <v>mdp/vdpid/9421486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5</v>
  </rv>
  <rv s="3">
    <v>https://www.bing.com/search?q=antioquia+department&amp;form=skydnc</v>
    <v>Learn more on Bing</v>
  </rv>
  <rv s="1">
    <fb>6407102</fb>
    <v>11</v>
  </rv>
  <rv s="4">
    <v>#VALUE!</v>
    <v>en-US</v>
    <v>d3614470-a93c-5d64-a636-9da2dff33c3d</v>
    <v>536870912</v>
    <v>1</v>
    <v>28</v>
    <v>4</v>
    <v>Antioquia Department</v>
    <v>7</v>
    <v>8</v>
    <v>Map</v>
    <v>9</v>
    <v>10</v>
    <v>CO-ANT</v>
    <v>36</v>
    <v>37</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38</v>
    <v>37</v>
    <v>40</v>
    <v>41</v>
    <v>Antioquia Department</v>
    <v>42</v>
    <v>8</v>
    <v>Antioquia Department</v>
    <v>mdp/vdpid/10106933</v>
  </rv>
  <rv s="0">
    <v>536870912</v>
    <v>Boyacá Department</v>
    <v>951b3076-f33d-486b-9b35-d6d83aad8b98</v>
    <v>en-US</v>
    <v>Map</v>
  </rv>
  <rv s="1">
    <fb>23189</fb>
    <v>11</v>
  </rv>
  <rv s="0">
    <v>536870912</v>
    <v>Tunja</v>
    <v>27d685ee-2724-70fe-3ed2-724fbc283d31</v>
    <v>en-US</v>
    <v>Map</v>
  </rv>
  <rv s="1">
    <fb>336296</fb>
    <v>11</v>
  </rv>
  <rv s="2">
    <v>6</v>
  </rv>
  <rv s="3">
    <v>https://www.bing.com/search?q=boyac%c3%a1+department&amp;form=skydnc</v>
    <v>Learn more on Bing</v>
  </rv>
  <rv s="1">
    <fb>1217376</fb>
    <v>11</v>
  </rv>
  <rv s="4">
    <v>#VALUE!</v>
    <v>en-US</v>
    <v>951b3076-f33d-486b-9b35-d6d83aad8b98</v>
    <v>536870912</v>
    <v>1</v>
    <v>31</v>
    <v>4</v>
    <v>Boyacá Department</v>
    <v>7</v>
    <v>8</v>
    <v>Map</v>
    <v>9</v>
    <v>10</v>
    <v>CO-BOY</v>
    <v>45</v>
    <v>46</v>
    <v>3</v>
    <v>Boyacá is one of the thirty-two departments of Colombia, and the remnant of Boyacá State, one of the original nine states of the "United States of Colombia". Boyacá is centrally located within Colombia, almost entirely within the mountains of the Eastern Cordillera to the border with Venezuela, although the western end of the department extends to the Magdalena River at the town of Puerto Boyacá. Boyacá borders to the north with the Department of Santander, to the northeast with the Bolivarian Republic of Venezuela and Norte de Santander, to the east with the departments of Arauca and Casanare. To the south, Boyacá borders the department of Cundinamarca and to the west with the Department of Antioquia covering a total area of 23,189 square kilometres. The capital of Boyacá is the city of Tunja.</v>
    <v>47</v>
    <v>46</v>
    <v>48</v>
    <v>49</v>
    <v>Boyacá Department</v>
    <v>50</v>
    <v>8</v>
    <v>Boyacá Department</v>
    <v>mdp/vdpid/10106930</v>
  </rv>
  <rv s="0">
    <v>536870912</v>
    <v>Casanare Department</v>
    <v>e7b3ed4f-03e8-7516-f976-b525e8a0b565</v>
    <v>en-US</v>
    <v>Map</v>
  </rv>
  <rv s="1">
    <fb>44640</fb>
    <v>11</v>
  </rv>
  <rv s="0">
    <v>536870912</v>
    <v>Yopal</v>
    <v>b5d1013d-669c-c464-2466-3c8409cb17e0</v>
    <v>en-US</v>
    <v>Map</v>
  </rv>
  <rv s="1">
    <fb>73701</fb>
    <v>11</v>
  </rv>
  <rv s="5">
    <v>1</v>
    <v>9</v>
    <v>37</v>
    <v>0</v>
    <v>Image of Casanare Department</v>
  </rv>
  <rv s="2">
    <v>7</v>
  </rv>
  <rv s="3">
    <v>https://www.bing.com/search?q=casanare+department+colombia&amp;form=skydnc</v>
    <v>Learn more on Bing</v>
  </rv>
  <rv s="1">
    <fb>420504</fb>
    <v>11</v>
  </rv>
  <rv s="6">
    <v>#VALUE!</v>
    <v>en-US</v>
    <v>e7b3ed4f-03e8-7516-f976-b525e8a0b565</v>
    <v>536870912</v>
    <v>1</v>
    <v>34</v>
    <v>23</v>
    <v>Casanare Department</v>
    <v>35</v>
    <v>36</v>
    <v>Map</v>
    <v>9</v>
    <v>10</v>
    <v>CO-CAS</v>
    <v>53</v>
    <v>54</v>
    <v>3</v>
    <v>Casanare Department is a department in the central eastern region of Colombia. Its capital is Yopal, which is also the episcopal seat of the Roman Catholic Diocese of Yopal.</v>
    <v>55</v>
    <v>56</v>
    <v>54</v>
    <v>57</v>
    <v>58</v>
    <v>Casanare Department</v>
    <v>59</v>
    <v>8</v>
    <v>Casanare Department</v>
    <v>mdp/vdpid/10106928</v>
  </rv>
  <rv s="0">
    <v>536870912</v>
    <v>La Guajira Department</v>
    <v>5dadb66e-c4f1-8556-c08f-671a606edf84</v>
    <v>en-US</v>
    <v>Map</v>
  </rv>
  <rv s="1">
    <fb>20848</fb>
    <v>11</v>
  </rv>
  <rv s="0">
    <v>536870912</v>
    <v>Riohacha</v>
    <v>f49d0eea-63a6-74bd-7610-26e440494dda</v>
    <v>en-US</v>
    <v>Map</v>
  </rv>
  <rv s="1">
    <fb>123078</fb>
    <v>11</v>
  </rv>
  <rv s="0">
    <v>536870912</v>
    <v>Uribia</v>
    <v>079ebe16-eeaa-f321-420d-7a8c4b2a599d</v>
    <v>en-US</v>
    <v>Map</v>
  </rv>
  <rv s="2">
    <v>8</v>
  </rv>
  <rv s="3">
    <v>https://www.bing.com/search?q=la+guajira+department+colombia&amp;form=skydnc</v>
    <v>Learn more on Bing</v>
  </rv>
  <rv s="1">
    <fb>880560</fb>
    <v>11</v>
  </rv>
  <rv s="4">
    <v>#VALUE!</v>
    <v>en-US</v>
    <v>5dadb66e-c4f1-8556-c08f-671a606edf84</v>
    <v>536870912</v>
    <v>1</v>
    <v>40</v>
    <v>4</v>
    <v>La Guajira Department</v>
    <v>7</v>
    <v>8</v>
    <v>Map</v>
    <v>9</v>
    <v>10</v>
    <v>CO-LAG</v>
    <v>62</v>
    <v>63</v>
    <v>3</v>
    <v>La Guajira is a department of Colombia. It occupies most of the Guajira Peninsula in the northeast region of the country, on the Caribbean Sea and bordering Venezuela, at the northernmost tip of South America. The capital city of the department is Riohacha.</v>
    <v>64</v>
    <v>65</v>
    <v>66</v>
    <v>67</v>
    <v>La Guajira Department</v>
    <v>68</v>
    <v>8</v>
    <v>La Guajira Department</v>
    <v>mdp/vdpid/10106951</v>
  </rv>
  <rv s="0">
    <v>536870912</v>
    <v>Huila Department</v>
    <v>2752ef70-1772-e264-2348-e4146224c108</v>
    <v>en-US</v>
    <v>Map</v>
  </rv>
  <rv s="1">
    <fb>19890</fb>
    <v>45</v>
  </rv>
  <rv s="0">
    <v>536870912</v>
    <v>Neiva</v>
    <v>1ba988f0-6907-b536-88ad-b89bb1269fc5</v>
    <v>en-US</v>
    <v>Map</v>
  </rv>
  <rv s="1">
    <fb>253348</fb>
    <v>45</v>
  </rv>
  <rv s="2">
    <v>9</v>
  </rv>
  <rv s="3">
    <v>https://www.bing.com/search?q=huila+department+colombia&amp;form=skydnc</v>
    <v>Learn more on Bing</v>
  </rv>
  <rv s="1">
    <fb>1200386</fb>
    <v>45</v>
  </rv>
  <rv s="4">
    <v>#VALUE!</v>
    <v>en-US</v>
    <v>2752ef70-1772-e264-2348-e4146224c108</v>
    <v>536870912</v>
    <v>1</v>
    <v>43</v>
    <v>4</v>
    <v>Huila Department</v>
    <v>35</v>
    <v>44</v>
    <v>Map</v>
    <v>9</v>
    <v>10</v>
    <v>CO-HUI</v>
    <v>71</v>
    <v>72</v>
    <v>3</v>
    <v>Huila is one of the departments of Colombia. It is located in the southwest of the country, and its capital is Neiva.</v>
    <v>73</v>
    <v>72</v>
    <v>74</v>
    <v>75</v>
    <v>Huila Department</v>
    <v>76</v>
    <v>8</v>
    <v>Huila Department</v>
    <v>mdp/vdpid/10106920</v>
  </rv>
  <rv s="0">
    <v>536870912</v>
    <v>Norte de Santander Department</v>
    <v>d44c8def-e6be-c3f1-ab4e-e27af99a2e0b</v>
    <v>en-US</v>
    <v>Map</v>
  </rv>
  <rv s="1">
    <fb>21658</fb>
    <v>45</v>
  </rv>
  <rv s="0">
    <v>536870912</v>
    <v>Cúcuta</v>
    <v>5a90774d-aeea-6f03-17a8-2126ffdffef3</v>
    <v>en-US</v>
    <v>Map</v>
  </rv>
  <rv s="1">
    <fb>295605</fb>
    <v>45</v>
  </rv>
  <rv s="2">
    <v>10</v>
  </rv>
  <rv s="3">
    <v>https://www.bing.com/search?q=norte+de+santander+department+colombia&amp;form=skydnc</v>
    <v>Learn more on Bing</v>
  </rv>
  <rv s="1">
    <fb>1491689</fb>
    <v>45</v>
  </rv>
  <rv s="4">
    <v>#VALUE!</v>
    <v>en-US</v>
    <v>d44c8def-e6be-c3f1-ab4e-e27af99a2e0b</v>
    <v>536870912</v>
    <v>1</v>
    <v>50</v>
    <v>4</v>
    <v>Norte de Santander Department</v>
    <v>35</v>
    <v>44</v>
    <v>Map</v>
    <v>9</v>
    <v>10</v>
    <v>CO-NSA</v>
    <v>79</v>
    <v>80</v>
    <v>3</v>
    <v>North Santander is a department of Northeastern Colombia. It is in the north of the country, bordering Venezuela. Its capital is Cúcuta, one of the country's major cities.</v>
    <v>81</v>
    <v>80</v>
    <v>82</v>
    <v>83</v>
    <v>Norte de Santander Department</v>
    <v>84</v>
    <v>8</v>
    <v>Norte de Santander Department</v>
    <v>mdp/vdpid/9406503</v>
  </rv>
  <rv s="0">
    <v>536870912</v>
    <v>Putumayo Department</v>
    <v>45f7bd51-6a99-6e2e-3095-604393add4b0</v>
    <v>en-US</v>
    <v>Map</v>
  </rv>
  <rv s="1">
    <fb>24885</fb>
    <v>45</v>
  </rv>
  <rv s="0">
    <v>536870912</v>
    <v>Mocoa</v>
    <v>fb0d0b7c-d2b3-307d-2e00-ace8205ad474</v>
    <v>en-US</v>
    <v>Map</v>
  </rv>
  <rv s="1">
    <fb>69570</fb>
    <v>45</v>
  </rv>
  <rv s="7">
    <v>2</v>
    <v>9</v>
    <v>55</v>
    <v>6</v>
    <v>0</v>
    <v>Image of Putumayo Department</v>
  </rv>
  <rv s="0">
    <v>536870912</v>
    <v>Orito</v>
    <v>0b32c096-7333-77fb-af4e-abf896aec920</v>
    <v>en-US</v>
    <v>Map</v>
  </rv>
  <rv s="2">
    <v>11</v>
  </rv>
  <rv s="3">
    <v>https://www.bing.com/search?q=putumayo+department+colombia&amp;form=skydnc</v>
    <v>Learn more on Bing</v>
  </rv>
  <rv s="1">
    <fb>348182</fb>
    <v>45</v>
  </rv>
  <rv s="6">
    <v>#VALUE!</v>
    <v>en-US</v>
    <v>45f7bd51-6a99-6e2e-3095-604393add4b0</v>
    <v>536870912</v>
    <v>1</v>
    <v>54</v>
    <v>23</v>
    <v>Putumayo Department</v>
    <v>7</v>
    <v>24</v>
    <v>Map</v>
    <v>9</v>
    <v>10</v>
    <v>CO-PUT</v>
    <v>87</v>
    <v>88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89</v>
    <v>90</v>
    <v>91</v>
    <v>92</v>
    <v>93</v>
    <v>Putumayo Department</v>
    <v>94</v>
    <v>8</v>
    <v>Putumayo Department</v>
    <v>mdp/vdpid/10106916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6">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
      <v>12</v>
      <v>13</v>
      <v>12</v>
      <v>13</v>
      <v>12</v>
      <v>12</v>
      <v>12</v>
      <v>2</v>
      <v>13</v>
      <v>12</v>
    </spb>
    <spb s="0">
      <v xml:space="preserve">Wikipedia	</v>
      <v xml:space="preserve">CC-BY-SA	</v>
      <v xml:space="preserve">http://en.wikipedia.org/wiki/Arauca_Department	</v>
      <v xml:space="preserve">http://creativecommons.org/licenses/by-sa/3.0/	</v>
    </spb>
    <spb s="0">
      <v xml:space="preserve">Wikipedia	dane.gov.co	</v>
      <v xml:space="preserve">CC-BY-SA		</v>
      <v xml:space="preserve">http://en.wikipedia.org/wiki/Arauca_Department	http://www.dane.gov.co/censo/files/cuadros%20censo%202005.xls#Cuadro4.9	</v>
      <v xml:space="preserve">http://creativecommons.org/licenses/by-sa/3.0/		</v>
    </spb>
    <spb s="1">
      <v>15</v>
      <v>16</v>
      <v>15</v>
      <v>16</v>
      <v>15</v>
      <v>15</v>
      <v>15</v>
      <v>2</v>
      <v>16</v>
      <v>15</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
      <v>18</v>
      <v>19</v>
      <v>20</v>
      <v>19</v>
      <v>20</v>
      <v>20</v>
      <v>21</v>
      <v>2</v>
      <v>19</v>
      <v>21</v>
    </spb>
    <spb s="2">
      <v>1</v>
      <v>Name</v>
      <v>LearnMoreOnLink</v>
    </spb>
    <spb s="10">
      <v>1</v>
      <v>4</v>
      <v>2</v>
    </spb>
    <spb s="0">
      <v xml:space="preserve">Wikipedia	</v>
      <v xml:space="preserve">CC BY 2.0	</v>
      <v xml:space="preserve">http://es.wikipedia.org/wiki/Bolívar_(Colombia)	</v>
      <v xml:space="preserve">https://creativecommons.org/licenses/by/2.0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
      <v>26</v>
      <v>27</v>
      <v>26</v>
      <v>27</v>
      <v>26</v>
      <v>26</v>
      <v>26</v>
      <v>2</v>
      <v>27</v>
      <v>26</v>
    </spb>
    <spb s="0">
      <v xml:space="preserve">Wikipedia	</v>
      <v xml:space="preserve">CC-BY-SA	</v>
      <v xml:space="preserve">http://en.wikipedia.org/wiki/Boyacá_Department	</v>
      <v xml:space="preserve">http://creativecommons.org/licenses/by-sa/3.0/	</v>
    </spb>
    <spb s="0">
      <v xml:space="preserve">Wikipedia	dane.gov.co	</v>
      <v xml:space="preserve">CC-BY-SA		</v>
      <v xml:space="preserve">http://en.wikipedia.org/wiki/Boyacá_Department	http://www.dane.gov.co/censo/files/cuadros%20censo%202005.xls#Cuadro4.9	</v>
      <v xml:space="preserve">http://creativecommons.org/licenses/by-sa/3.0/		</v>
    </spb>
    <spb s="1">
      <v>29</v>
      <v>30</v>
      <v>29</v>
      <v>30</v>
      <v>29</v>
      <v>29</v>
      <v>29</v>
      <v>2</v>
      <v>30</v>
      <v>29</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
      <v>32</v>
      <v>33</v>
      <v>32</v>
      <v>33</v>
      <v>32</v>
      <v>32</v>
      <v>32</v>
      <v>2</v>
      <v>33</v>
      <v>32</v>
    </spb>
    <spb s="11">
      <v>5</v>
      <v>5</v>
      <v>5</v>
    </spb>
    <spb s="12">
      <v>1</v>
      <v>4</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13">
      <v>38</v>
      <v>39</v>
      <v>38</v>
      <v>39</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
      <v>41</v>
      <v>42</v>
      <v>41</v>
      <v>42</v>
      <v>41</v>
      <v>41</v>
      <v>41</v>
      <v>2</v>
      <v>42</v>
      <v>41</v>
    </spb>
    <spb s="14">
      <v>1</v>
    </spb>
    <spb s="9">
      <v>5</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
      <v>46</v>
      <v>47</v>
      <v>46</v>
      <v>47</v>
      <v>46</v>
      <v>46</v>
      <v>48</v>
      <v>2</v>
      <v>49</v>
      <v>48</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3">
      <v>51</v>
      <v>52</v>
      <v>53</v>
      <v>52</v>
      <v>53</v>
      <v>53</v>
      <v>2</v>
      <v>52</v>
      <v>53</v>
    </spb>
    <spb s="0">
      <v xml:space="preserve">Wikipedia	</v>
      <v xml:space="preserve">CC BY-SA 3.0	</v>
      <v xml:space="preserve">http://ko.wikipedia.org/wiki/푸투마요주	</v>
      <v xml:space="preserve">https://creativecommons.org/licenses/by-sa/3.0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Largest city"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Name" t="i"/>
    <k n="Image" t="i"/>
    <k n="Description" t="i"/>
  </s>
  <s>
    <k n="UniqueName" t="spb"/>
    <k n="VDPID/VSID" t="spb"/>
    <k n="LearnMoreOnLink" t="spb"/>
  </s>
  <s>
    <k n="Name" t="i"/>
    <k n="Image" t="i"/>
  </s>
  <s>
    <k n="Area" t="spb"/>
    <k n="Name" t="spb"/>
    <k n="Population" t="spb"/>
    <k n="UniqueName" t="spb"/>
    <k n="Description" t="spb"/>
    <k n="Abbreviation" t="spb"/>
    <k n="Housing units" t="spb"/>
    <k n="Country/region" t="spb"/>
    <k n="Capital/Major City" t="spb"/>
  </s>
  <s>
    <k n="Na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IsHeroField" t="b"/>
    <rPr n="NumberFormat" t="s"/>
  </richProperties>
  <richStyles>
    <rSty>
      <rpv i="0">1</rpv>
    </rSty>
    <rSty>
      <rpv i="1">1</rpv>
    </rSty>
    <rSty dxfid="0"/>
    <rSty>
      <rpv i="2">1</rpv>
    </rSty>
    <rSty dxfid="0">
      <rpv i="3">#,##0</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138E86-E026-4314-8A64-DBAE113B1FF1}" name="Akacias_" displayName="Akacias_" ref="A1:B14" tableType="queryTable" totalsRowShown="0">
  <autoFilter ref="A1:B14" xr:uid="{72138E86-E026-4314-8A64-DBAE113B1FF1}"/>
  <tableColumns count="2">
    <tableColumn id="1" xr3:uid="{D6783835-F803-4062-9AAE-FDB4D242F7A0}" uniqueName="1" name="Column1" queryTableFieldId="1"/>
    <tableColumn id="2" xr3:uid="{D45F7CAE-B685-429A-A18D-D59E536071E4}" uniqueName="2" name="Column2"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2-08-11T05:06:44.42" personId="{8B4C904F-D39B-41A2-976E-9CF6D3CCE00C}" id="{B5DC5291-6A6D-48C7-A6C7-D48CFE382A60}">
    <text>BP is Beam Pump, PCP is Progressive Cavity Pump, ESP is Electrical Submersible Pump</text>
  </threadedComment>
  <threadedComment ref="Q3" dT="2022-08-11T05:08:53.00" personId="{8B4C904F-D39B-41A2-976E-9CF6D3CCE00C}" id="{554B21F3-EFB7-49C5-962B-7A8B26EF7170}">
    <text>WI is Water Injection; GI is Gas Injection</text>
  </threadedComment>
  <threadedComment ref="R3" dT="2022-08-11T05:10:01.24" personId="{8B4C904F-D39B-41A2-976E-9CF6D3CCE00C}" id="{8A7D8302-9A73-4C71-B1C6-4B3DCE14D226}">
    <text>SI is Steam Injection; AI is Air Injection; CHI is Chemical Inyection (includes Polymer and/or surfractant injection); nnI is Nanofluids Inections; NI is Nitrogen Injection; SAG is surfractang alternative gas</text>
  </threadedComment>
  <threadedComment ref="Q43" dT="2022-08-10T01:54:57.66" personId="{8B4C904F-D39B-41A2-976E-9CF6D3CCE00C}" id="{EC31951F-36DB-4BB9-889B-66C815AE699D}">
    <text>Using ANH (https://www.anh.gov.co/documents/4172/Cuencas_Sedimentarias_de_Colombia_PDF.pdf)</text>
  </threadedComment>
  <threadedComment ref="Q66" dT="2022-08-10T01:54:02.42" personId="{8B4C904F-D39B-41A2-976E-9CF6D3CCE00C}" id="{0366A16D-EEAC-403F-96A9-4310780EA050}">
    <text>Using Upstream Characterization UPME (2021)</text>
  </threadedComment>
  <threadedComment ref="T72" dT="2022-08-08T22:10:25.19" personId="{8B4C904F-D39B-41A2-976E-9CF6D3CCE00C}" id="{4262ED9D-7D4D-4979-A886-69ABD815975C}">
    <text>ANH use to report de fiscalized gas that includes:  Gas lift + Reinjected gas + Gas to plant + transformed gas + gas to gaseoduct.
In 2018 the fiscalized gas production was 2253 Mscf/d, but the commercialized gas production was 1050 Mscf/d.
in 2010 the commercialized gas was 1040 Mscf/d.</text>
  </threadedComment>
  <threadedComment ref="T72" dT="2022-08-08T22:12:13.01" personId="{8B4C904F-D39B-41A2-976E-9CF6D3CCE00C}" id="{278CA538-86F0-4BE7-AC98-3FBEBFDAE74A}" parentId="{4262ED9D-7D4D-4979-A886-69ABD815975C}">
    <text>https://www.valoraanalitik.com/2019/01/16/colombia-cerro-el-2018-con-record-en-produccion-de-gas-y-petroleo/</text>
  </threadedComment>
  <threadedComment ref="R76" dT="2022-08-10T02:26:10.91" personId="{8B4C904F-D39B-41A2-976E-9CF6D3CCE00C}" id="{D776B7B1-62B5-4346-9580-94152522D5BD}">
    <text>Data from ANH report: Reserves 2018</text>
  </threadedComment>
  <threadedComment ref="T77" dT="2022-08-10T02:18:04.53" personId="{8B4C904F-D39B-41A2-976E-9CF6D3CCE00C}" id="{BA761599-396A-49D5-AA6D-4BC19FBDF2BD}">
    <text>Chichimene + Apiay + 10 oilfields</text>
  </threadedComment>
  <threadedComment ref="R78" dT="2022-08-10T02:11:03.45" personId="{8B4C904F-D39B-41A2-976E-9CF6D3CCE00C}" id="{E320C1C6-DE32-49A6-870A-0918B7BE0E85}">
    <text>Infantas + la Cira + Lisama + LLanito + Yarigui-Cantagallo</text>
  </threadedComment>
  <threadedComment ref="T78" dT="2022-08-10T02:16:29.46" personId="{8B4C904F-D39B-41A2-976E-9CF6D3CCE00C}" id="{21204627-F6DC-4143-9567-33068CB8C7FA}">
    <text>Cira + Infantas + Yarigui-Cantagallo +12 oilfields</text>
  </threadedComment>
  <threadedComment ref="R79" dT="2022-08-10T02:04:44.28" personId="{8B4C904F-D39B-41A2-976E-9CF6D3CCE00C}" id="{9873AE17-3FF6-4804-B27E-E3E701DD8B0C}">
    <text>Caño limon + 24 campos</text>
  </threadedComment>
  <threadedComment ref="T79" dT="2022-08-10T02:14:05.47" personId="{8B4C904F-D39B-41A2-976E-9CF6D3CCE00C}" id="{56DB3520-C5F7-4FA4-B4D9-82B6B2808C68}">
    <text>Andina + Capachos</text>
  </threadedComment>
  <threadedComment ref="R80" dT="2022-08-10T02:07:49.33" personId="{8B4C904F-D39B-41A2-976E-9CF6D3CCE00C}" id="{91993813-061C-47E7-A3AB-2463BC6DB191}">
    <text>Boquete + cicuco (Yarigui-Cantagallo is not considered as part of Bolivar Department but Santander)</text>
  </threadedComment>
  <threadedComment ref="R81" dT="2022-08-10T02:03:42.76" personId="{8B4C904F-D39B-41A2-976E-9CF6D3CCE00C}" id="{10EC9C8E-F434-45E3-B814-D8578688DD09}">
    <text>Casabe + Nare + Peñas Blancas + Teca-Corcona</text>
  </threadedComment>
  <threadedComment ref="T81" dT="2022-08-10T02:13:35.79" personId="{8B4C904F-D39B-41A2-976E-9CF6D3CCE00C}" id="{2E6F47D5-070C-44D3-BAB1-67ADAE18466B}">
    <text>Casabe + Peñas Blancas</text>
  </threadedComment>
  <threadedComment ref="R82" dT="2022-08-10T02:09:10.23" personId="{8B4C904F-D39B-41A2-976E-9CF6D3CCE00C}" id="{0023FFC6-039A-46E8-8E63-6F287132D253}">
    <text>Gibraltar + Girasol + Moriche + Velasquez + 8 oilfields</text>
  </threadedComment>
  <threadedComment ref="T82" dT="2022-08-10T02:17:12.43" personId="{8B4C904F-D39B-41A2-976E-9CF6D3CCE00C}" id="{70A75F81-4CAB-4384-A689-206C8CFA0516}">
    <text>Gibraltar + 5 gasfields</text>
  </threadedComment>
  <threadedComment ref="T83" dT="2022-08-10T02:14:57.33" personId="{8B4C904F-D39B-41A2-976E-9CF6D3CCE00C}" id="{99DC78EC-4683-44A1-AD26-041BE706B124}">
    <text>Cupiagua + Cusiana + Pauto + 9 gasfields</text>
  </threadedComment>
  <threadedComment ref="T84" dT="2022-08-10T02:15:35.17" personId="{8B4C904F-D39B-41A2-976E-9CF6D3CCE00C}" id="{CD64E6C6-5474-4A71-9BAB-A199E58F34DC}">
    <text>Ballena + Chuchupa</text>
  </threadedComment>
  <threadedComment ref="R87" dT="2022-08-10T02:20:44.65" personId="{8B4C904F-D39B-41A2-976E-9CF6D3CCE00C}" id="{D2921E57-2D44-4B35-989E-5AA00252E3C8}">
    <text>https://nuevoportal.ecopetrol.com.co/wps/portal/ecopetrol-web/nuestra-empresa/sala-de-prensa/boletines-de-prensa/boletines-2019/boletines-2018/Grupo%20Ecopetrol%20incremento%20sus%20reservas%20probadas%20de%20hidrocarburos%20al%20cierre%20de%202018</text>
  </threadedComment>
  <threadedComment ref="T87" dT="2022-08-10T02:24:15.91" personId="{8B4C904F-D39B-41A2-976E-9CF6D3CCE00C}" id="{1371A6D2-3AC0-4404-BBF4-3F45CF4B722B}">
    <text>1 Equivalent oil barrel is about 5800 scf</text>
  </threadedComment>
  <threadedComment ref="R97" dT="2022-08-11T14:45:12.33" personId="{8B4C904F-D39B-41A2-976E-9CF6D3CCE00C}" id="{7AF6FB8E-74D6-4C88-BA41-503CE35E7727}">
    <text>https://nuevoportal.ecopetrol.com.co/wps/portal/ecopetrol-web/nuestra-empresa/sala-de-prensa/boletines-de-prensa/boletines-2019/boletines-2018/Grupo%20Ecopetrol%20incremento%20sus%20reservas%20probadas%20de%20hidrocarburos%20al%20cierre%20de%202018</text>
  </threadedComment>
  <threadedComment ref="Q104" dT="2022-08-11T15:22:25.65" personId="{8B4C904F-D39B-41A2-976E-9CF6D3CCE00C}" id="{4D46370C-7FFD-4489-9A9B-2DC1439F982E}">
    <text>Boletin Estadistico UPME 2016-2020</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FR@%20Primary=%2013%25%20(CASA%207)"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A207-A31D-4333-AF3C-69874402C6D2}">
  <sheetPr>
    <pageSetUpPr autoPageBreaks="0"/>
  </sheetPr>
  <dimension ref="A2:AH27"/>
  <sheetViews>
    <sheetView zoomScaleNormal="100" workbookViewId="0">
      <selection activeCell="L24" sqref="L24:L25"/>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24.140625" style="1" customWidth="1"/>
    <col min="6" max="6" width="12.28515625" style="1" customWidth="1"/>
    <col min="7" max="7" width="16.42578125" style="1" customWidth="1"/>
    <col min="8" max="8" width="17" style="1" customWidth="1"/>
    <col min="9" max="9" width="16.140625" style="1" customWidth="1"/>
    <col min="10" max="10" width="28.7109375" style="1" customWidth="1"/>
    <col min="11" max="12" width="43.140625" style="1" customWidth="1"/>
    <col min="13" max="13" width="34" style="1" customWidth="1"/>
    <col min="14" max="14" width="11.42578125" style="1"/>
    <col min="15" max="15" width="34.85546875" style="1" customWidth="1"/>
    <col min="16" max="16" width="18.5703125" style="1" customWidth="1"/>
    <col min="17" max="17" width="27.5703125" style="1" customWidth="1"/>
    <col min="18" max="18" width="46.85546875" style="1" customWidth="1"/>
    <col min="19" max="19" width="40.28515625" style="1" customWidth="1"/>
    <col min="20" max="20" width="22.28515625" style="1" customWidth="1"/>
    <col min="21" max="21" width="34.85546875" style="1" customWidth="1"/>
    <col min="22" max="22" width="32.28515625" style="1" customWidth="1"/>
    <col min="23" max="23" width="27.85546875" style="1" customWidth="1"/>
    <col min="24" max="24" width="33.140625" style="1" customWidth="1"/>
    <col min="25" max="25" width="28.28515625" style="1" customWidth="1"/>
    <col min="26" max="26" width="89.85546875" style="1" customWidth="1"/>
    <col min="27" max="28" width="11.42578125" style="1"/>
    <col min="29" max="29" width="6.7109375" style="1" customWidth="1"/>
    <col min="30" max="34" width="11.42578125" style="1"/>
  </cols>
  <sheetData>
    <row r="2" spans="2:29" s="1" customFormat="1" x14ac:dyDescent="0.25">
      <c r="B2" s="1" t="s">
        <v>0</v>
      </c>
    </row>
    <row r="3" spans="2:29" s="1" customFormat="1" x14ac:dyDescent="0.25">
      <c r="M3" s="1" t="s">
        <v>1</v>
      </c>
    </row>
    <row r="4" spans="2:29" s="1" customFormat="1" ht="25.15" customHeight="1" x14ac:dyDescent="0.25">
      <c r="B4" s="2" t="s">
        <v>251</v>
      </c>
      <c r="C4" s="3" t="s">
        <v>3</v>
      </c>
      <c r="D4" s="3" t="s">
        <v>4</v>
      </c>
      <c r="E4" s="3" t="s">
        <v>6</v>
      </c>
      <c r="F4" s="3" t="s">
        <v>7</v>
      </c>
      <c r="G4" s="3" t="s">
        <v>8</v>
      </c>
      <c r="H4" s="3" t="s">
        <v>9</v>
      </c>
      <c r="I4" s="3" t="s">
        <v>252</v>
      </c>
      <c r="J4" s="3" t="s">
        <v>11</v>
      </c>
      <c r="K4" s="3" t="s">
        <v>253</v>
      </c>
      <c r="L4" s="3" t="s">
        <v>254</v>
      </c>
      <c r="M4" s="3" t="s">
        <v>13</v>
      </c>
      <c r="N4" s="3" t="s">
        <v>5</v>
      </c>
      <c r="O4" s="3" t="s">
        <v>14</v>
      </c>
      <c r="P4" s="3" t="s">
        <v>15</v>
      </c>
      <c r="Q4" s="3" t="s">
        <v>16</v>
      </c>
      <c r="R4" s="3" t="s">
        <v>17</v>
      </c>
      <c r="S4" s="3" t="s">
        <v>18</v>
      </c>
      <c r="T4" s="3" t="s">
        <v>19</v>
      </c>
      <c r="U4" s="3" t="s">
        <v>20</v>
      </c>
      <c r="V4" s="3" t="s">
        <v>21</v>
      </c>
      <c r="W4" s="3" t="s">
        <v>22</v>
      </c>
      <c r="X4" s="3" t="s">
        <v>23</v>
      </c>
      <c r="Y4" s="4" t="s">
        <v>24</v>
      </c>
      <c r="Z4" s="5" t="s">
        <v>25</v>
      </c>
    </row>
    <row r="5" spans="2:29" s="1" customFormat="1" ht="25.5" x14ac:dyDescent="0.25">
      <c r="B5" s="6">
        <v>1</v>
      </c>
      <c r="C5" s="7" t="s">
        <v>166</v>
      </c>
      <c r="D5" s="7" t="s">
        <v>255</v>
      </c>
      <c r="E5" s="7" t="s">
        <v>256</v>
      </c>
      <c r="F5" s="7" t="s">
        <v>30</v>
      </c>
      <c r="G5" s="8">
        <v>11342</v>
      </c>
      <c r="H5" s="7">
        <v>152.77000000000001</v>
      </c>
      <c r="I5" s="69">
        <v>754.35</v>
      </c>
      <c r="J5" s="7" t="s">
        <v>257</v>
      </c>
      <c r="K5" s="7">
        <v>0.68</v>
      </c>
      <c r="L5" s="7" t="s">
        <v>258</v>
      </c>
      <c r="M5" s="7" t="s">
        <v>259</v>
      </c>
      <c r="N5" s="7" t="s">
        <v>28</v>
      </c>
      <c r="O5" s="7" t="s">
        <v>260</v>
      </c>
      <c r="P5" s="7">
        <v>0.05</v>
      </c>
      <c r="Q5" s="7" t="s">
        <v>261</v>
      </c>
      <c r="R5" s="7" t="s">
        <v>262</v>
      </c>
      <c r="S5" s="7" t="s">
        <v>263</v>
      </c>
      <c r="T5" s="7" t="s">
        <v>264</v>
      </c>
      <c r="U5" s="7"/>
      <c r="V5" s="7">
        <v>0</v>
      </c>
      <c r="W5" s="7" t="s">
        <v>265</v>
      </c>
      <c r="X5" s="7" t="s">
        <v>266</v>
      </c>
      <c r="Y5" s="11" t="s">
        <v>267</v>
      </c>
      <c r="Z5" s="12" t="s">
        <v>268</v>
      </c>
    </row>
    <row r="6" spans="2:29" s="1" customFormat="1" ht="25.5" x14ac:dyDescent="0.25">
      <c r="B6" s="6">
        <v>3</v>
      </c>
      <c r="C6" s="7" t="s">
        <v>166</v>
      </c>
      <c r="D6" s="7" t="s">
        <v>269</v>
      </c>
      <c r="E6" s="7" t="s">
        <v>270</v>
      </c>
      <c r="F6" s="7" t="s">
        <v>30</v>
      </c>
      <c r="G6" s="8">
        <v>4514</v>
      </c>
      <c r="H6" s="7">
        <v>182.15</v>
      </c>
      <c r="I6" s="69">
        <v>306.27</v>
      </c>
      <c r="J6" s="7">
        <v>52</v>
      </c>
      <c r="K6" s="7">
        <v>0.68</v>
      </c>
      <c r="L6" s="14" t="s">
        <v>258</v>
      </c>
      <c r="M6" s="7" t="s">
        <v>271</v>
      </c>
      <c r="N6" s="7" t="s">
        <v>28</v>
      </c>
      <c r="O6" s="7" t="s">
        <v>260</v>
      </c>
      <c r="P6" s="7">
        <v>0.05</v>
      </c>
      <c r="Q6" s="7" t="s">
        <v>261</v>
      </c>
      <c r="R6" s="7" t="s">
        <v>272</v>
      </c>
      <c r="S6" s="7" t="s">
        <v>273</v>
      </c>
      <c r="T6" s="7" t="s">
        <v>264</v>
      </c>
      <c r="U6" s="7"/>
      <c r="V6" s="7"/>
      <c r="W6" s="7"/>
      <c r="X6" s="7" t="s">
        <v>274</v>
      </c>
      <c r="Y6" s="11" t="s">
        <v>275</v>
      </c>
      <c r="Z6" s="12"/>
    </row>
    <row r="7" spans="2:29" s="1" customFormat="1" ht="38.25" x14ac:dyDescent="0.25">
      <c r="B7" s="6">
        <v>2</v>
      </c>
      <c r="C7" s="7" t="s">
        <v>166</v>
      </c>
      <c r="D7" s="7" t="s">
        <v>276</v>
      </c>
      <c r="E7" s="7" t="s">
        <v>277</v>
      </c>
      <c r="F7" s="7" t="s">
        <v>278</v>
      </c>
      <c r="G7" s="8">
        <v>31197</v>
      </c>
      <c r="H7" s="7">
        <v>218.46</v>
      </c>
      <c r="I7" s="69">
        <v>459.81099999999998</v>
      </c>
      <c r="J7" s="7">
        <v>46</v>
      </c>
      <c r="K7" s="7">
        <v>0.72</v>
      </c>
      <c r="L7" s="7" t="s">
        <v>279</v>
      </c>
      <c r="M7" s="7" t="s">
        <v>280</v>
      </c>
      <c r="N7" s="7" t="s">
        <v>281</v>
      </c>
      <c r="O7" s="7" t="s">
        <v>260</v>
      </c>
      <c r="P7" s="7" t="s">
        <v>282</v>
      </c>
      <c r="Q7" s="10" t="s">
        <v>283</v>
      </c>
      <c r="R7" s="7" t="s">
        <v>284</v>
      </c>
      <c r="S7" s="7" t="s">
        <v>285</v>
      </c>
      <c r="T7" s="7" t="s">
        <v>286</v>
      </c>
      <c r="U7" s="7"/>
      <c r="V7" s="7"/>
      <c r="W7" s="7" t="s">
        <v>287</v>
      </c>
      <c r="X7" s="7"/>
      <c r="Y7" s="11" t="s">
        <v>288</v>
      </c>
      <c r="Z7" s="12" t="s">
        <v>289</v>
      </c>
    </row>
    <row r="8" spans="2:29" s="1" customFormat="1" ht="25.5" x14ac:dyDescent="0.25">
      <c r="B8" s="6">
        <v>5</v>
      </c>
      <c r="C8" s="7" t="s">
        <v>166</v>
      </c>
      <c r="D8" s="7" t="s">
        <v>276</v>
      </c>
      <c r="E8" s="7" t="s">
        <v>290</v>
      </c>
      <c r="F8" s="7" t="s">
        <v>278</v>
      </c>
      <c r="G8" s="8">
        <v>8374</v>
      </c>
      <c r="H8" s="7" t="s">
        <v>31</v>
      </c>
      <c r="I8" s="69">
        <v>153.01</v>
      </c>
      <c r="J8" s="7" t="s">
        <v>291</v>
      </c>
      <c r="K8" s="7">
        <v>0.74</v>
      </c>
      <c r="L8" s="7" t="s">
        <v>292</v>
      </c>
      <c r="M8" s="7" t="s">
        <v>280</v>
      </c>
      <c r="N8" s="7" t="s">
        <v>28</v>
      </c>
      <c r="O8" s="7" t="s">
        <v>260</v>
      </c>
      <c r="P8" s="7" t="s">
        <v>282</v>
      </c>
      <c r="Q8" s="7" t="s">
        <v>283</v>
      </c>
      <c r="R8" s="7" t="s">
        <v>293</v>
      </c>
      <c r="S8" s="7" t="s">
        <v>294</v>
      </c>
      <c r="T8" s="7" t="s">
        <v>286</v>
      </c>
      <c r="U8" s="7"/>
      <c r="V8" s="15" t="s">
        <v>295</v>
      </c>
      <c r="W8" s="7" t="s">
        <v>296</v>
      </c>
      <c r="X8" s="7" t="s">
        <v>297</v>
      </c>
      <c r="Y8" s="11" t="s">
        <v>275</v>
      </c>
      <c r="Z8" s="12" t="s">
        <v>298</v>
      </c>
    </row>
    <row r="9" spans="2:29" s="1" customFormat="1" ht="25.5" x14ac:dyDescent="0.25">
      <c r="B9" s="6">
        <v>4</v>
      </c>
      <c r="C9" s="7" t="s">
        <v>299</v>
      </c>
      <c r="D9" s="7" t="s">
        <v>300</v>
      </c>
      <c r="E9" s="7" t="s">
        <v>301</v>
      </c>
      <c r="F9" s="7" t="s">
        <v>302</v>
      </c>
      <c r="G9" s="8">
        <v>0</v>
      </c>
      <c r="H9" s="7">
        <v>207.5</v>
      </c>
      <c r="I9" s="69">
        <v>214.703</v>
      </c>
      <c r="J9" s="7" t="s">
        <v>31</v>
      </c>
      <c r="K9" s="7">
        <v>0.56000000000000005</v>
      </c>
      <c r="L9" s="7" t="s">
        <v>303</v>
      </c>
      <c r="M9" s="7" t="s">
        <v>304</v>
      </c>
      <c r="N9" s="7" t="s">
        <v>299</v>
      </c>
      <c r="O9" s="7" t="s">
        <v>305</v>
      </c>
      <c r="P9" s="7" t="s">
        <v>306</v>
      </c>
      <c r="Q9" s="7" t="s">
        <v>307</v>
      </c>
      <c r="R9" s="7" t="s">
        <v>308</v>
      </c>
      <c r="S9" s="13" t="s">
        <v>309</v>
      </c>
      <c r="T9" s="7"/>
      <c r="U9" s="7"/>
      <c r="V9" s="7" t="s">
        <v>310</v>
      </c>
      <c r="W9" s="7"/>
      <c r="X9" s="7"/>
      <c r="Y9" s="11"/>
      <c r="Z9" s="12"/>
    </row>
    <row r="10" spans="2:29" s="1" customFormat="1" x14ac:dyDescent="0.25">
      <c r="B10" s="6">
        <v>6</v>
      </c>
      <c r="C10" s="7" t="s">
        <v>299</v>
      </c>
      <c r="D10" s="7" t="s">
        <v>300</v>
      </c>
      <c r="E10" s="7" t="s">
        <v>311</v>
      </c>
      <c r="F10" s="7" t="s">
        <v>302</v>
      </c>
      <c r="G10" s="8">
        <v>0</v>
      </c>
      <c r="H10" s="7">
        <v>30.6</v>
      </c>
      <c r="I10" s="69">
        <v>31.34</v>
      </c>
      <c r="J10" s="7"/>
      <c r="K10" s="7"/>
      <c r="L10" s="7"/>
      <c r="M10" s="7"/>
      <c r="N10" s="7" t="s">
        <v>299</v>
      </c>
      <c r="O10" s="7"/>
      <c r="P10" s="7"/>
      <c r="Q10" s="7"/>
      <c r="R10" s="7" t="s">
        <v>312</v>
      </c>
      <c r="S10" s="7" t="s">
        <v>313</v>
      </c>
      <c r="T10" s="7"/>
      <c r="U10" s="7"/>
      <c r="V10" s="7"/>
      <c r="W10" s="7"/>
      <c r="X10" s="7"/>
      <c r="Y10" s="11"/>
      <c r="Z10" s="12"/>
    </row>
    <row r="11" spans="2:29" s="1" customFormat="1" ht="51" x14ac:dyDescent="0.25">
      <c r="B11" s="70">
        <v>6</v>
      </c>
      <c r="C11" s="71" t="s">
        <v>314</v>
      </c>
      <c r="D11" s="71"/>
      <c r="E11" s="71" t="s">
        <v>315</v>
      </c>
      <c r="F11" s="71" t="s">
        <v>316</v>
      </c>
      <c r="G11" s="72">
        <v>1</v>
      </c>
      <c r="H11" s="71"/>
      <c r="I11" s="73">
        <v>53.6</v>
      </c>
      <c r="J11" s="7"/>
      <c r="K11" s="7"/>
      <c r="L11" s="7"/>
      <c r="M11" s="7"/>
      <c r="N11" s="7"/>
      <c r="O11" s="7"/>
      <c r="P11" s="7"/>
      <c r="Q11" s="7"/>
      <c r="R11" s="7"/>
      <c r="S11" s="7"/>
      <c r="T11" s="7"/>
      <c r="U11" s="7"/>
      <c r="V11" s="7"/>
      <c r="W11" s="7"/>
      <c r="X11" s="7"/>
      <c r="Y11" s="11"/>
      <c r="Z11" s="12"/>
    </row>
    <row r="12" spans="2:29" s="1" customFormat="1" ht="25.5" x14ac:dyDescent="0.25">
      <c r="B12" s="70">
        <v>7</v>
      </c>
      <c r="C12" s="71" t="s">
        <v>317</v>
      </c>
      <c r="D12" s="71"/>
      <c r="E12" s="71" t="s">
        <v>318</v>
      </c>
      <c r="F12" s="71" t="s">
        <v>30</v>
      </c>
      <c r="G12" s="72">
        <v>0</v>
      </c>
      <c r="H12" s="71"/>
      <c r="I12" s="73">
        <v>39.1</v>
      </c>
      <c r="J12" s="7"/>
      <c r="K12" s="7"/>
      <c r="L12" s="7"/>
      <c r="M12" s="7"/>
      <c r="N12" s="7"/>
      <c r="O12" s="7"/>
      <c r="P12" s="7"/>
      <c r="Q12" s="7"/>
      <c r="R12" s="7"/>
      <c r="S12" s="7"/>
      <c r="T12" s="7"/>
      <c r="U12" s="7"/>
      <c r="V12" s="7"/>
      <c r="W12" s="7"/>
      <c r="X12" s="7"/>
      <c r="Y12" s="11"/>
      <c r="Z12" s="12"/>
    </row>
    <row r="13" spans="2:29" s="1" customFormat="1" ht="11.45" customHeight="1" x14ac:dyDescent="0.25">
      <c r="B13" s="27"/>
      <c r="C13" s="28"/>
      <c r="D13" s="28"/>
      <c r="E13" s="28"/>
      <c r="F13" s="28"/>
      <c r="G13" s="28"/>
      <c r="H13" s="30"/>
      <c r="I13" s="30"/>
      <c r="J13" s="29" t="s">
        <v>319</v>
      </c>
      <c r="K13" s="29" t="s">
        <v>319</v>
      </c>
      <c r="L13" s="29" t="s">
        <v>319</v>
      </c>
      <c r="M13" s="29" t="s">
        <v>320</v>
      </c>
      <c r="N13" s="29"/>
      <c r="O13" s="29" t="s">
        <v>320</v>
      </c>
      <c r="P13" s="29" t="s">
        <v>320</v>
      </c>
      <c r="Q13" s="29" t="s">
        <v>320</v>
      </c>
      <c r="R13" s="29" t="s">
        <v>321</v>
      </c>
      <c r="S13" s="29" t="s">
        <v>320</v>
      </c>
      <c r="T13" s="29" t="s">
        <v>320</v>
      </c>
      <c r="U13" s="29"/>
      <c r="V13" s="29" t="s">
        <v>321</v>
      </c>
      <c r="W13" s="29" t="s">
        <v>321</v>
      </c>
      <c r="X13" s="29"/>
      <c r="Y13" s="31" t="s">
        <v>322</v>
      </c>
      <c r="Z13" s="32"/>
    </row>
    <row r="14" spans="2:29" s="1" customFormat="1" ht="10.15" customHeight="1" x14ac:dyDescent="0.25">
      <c r="B14" s="33"/>
      <c r="H14" s="35"/>
      <c r="I14" s="35"/>
      <c r="J14" s="34" t="s">
        <v>323</v>
      </c>
      <c r="K14" s="34" t="s">
        <v>324</v>
      </c>
      <c r="L14" s="34" t="s">
        <v>324</v>
      </c>
      <c r="M14" s="34" t="s">
        <v>323</v>
      </c>
      <c r="N14" s="34"/>
      <c r="O14" s="34" t="s">
        <v>323</v>
      </c>
      <c r="P14" s="34" t="s">
        <v>325</v>
      </c>
      <c r="Q14" s="34" t="s">
        <v>323</v>
      </c>
      <c r="R14" s="34"/>
      <c r="S14" s="34" t="s">
        <v>326</v>
      </c>
      <c r="T14" s="34" t="s">
        <v>327</v>
      </c>
      <c r="U14" s="34"/>
      <c r="V14" s="34" t="s">
        <v>328</v>
      </c>
      <c r="W14" s="34" t="s">
        <v>329</v>
      </c>
      <c r="X14" s="34" t="s">
        <v>330</v>
      </c>
      <c r="Y14" s="36"/>
      <c r="Z14" s="32"/>
      <c r="AB14" s="35"/>
      <c r="AC14" s="35"/>
    </row>
    <row r="15" spans="2:29" s="1" customFormat="1" ht="10.15" customHeight="1" x14ac:dyDescent="0.25">
      <c r="B15" s="33"/>
      <c r="H15" s="35"/>
      <c r="I15" s="35"/>
      <c r="J15" s="34"/>
      <c r="K15" s="34" t="s">
        <v>331</v>
      </c>
      <c r="L15" s="34" t="s">
        <v>332</v>
      </c>
      <c r="M15" s="34" t="s">
        <v>331</v>
      </c>
      <c r="N15" s="34" t="s">
        <v>331</v>
      </c>
      <c r="O15" s="34" t="s">
        <v>331</v>
      </c>
      <c r="P15" s="34" t="s">
        <v>331</v>
      </c>
      <c r="Q15" s="34" t="s">
        <v>333</v>
      </c>
      <c r="R15" s="34" t="s">
        <v>331</v>
      </c>
      <c r="S15" s="34" t="s">
        <v>334</v>
      </c>
      <c r="T15" s="34"/>
      <c r="U15" s="34"/>
      <c r="V15" s="34" t="s">
        <v>333</v>
      </c>
      <c r="W15" s="34"/>
      <c r="X15" s="34"/>
      <c r="Y15" s="36"/>
      <c r="Z15" s="32"/>
      <c r="AA15" s="35"/>
      <c r="AB15" s="35"/>
      <c r="AC15" s="35"/>
    </row>
    <row r="16" spans="2:29" s="1" customFormat="1" ht="10.15" customHeight="1" x14ac:dyDescent="0.25">
      <c r="B16" s="33"/>
      <c r="H16" s="35"/>
      <c r="I16" s="35"/>
      <c r="J16" s="34" t="s">
        <v>335</v>
      </c>
      <c r="K16" s="34" t="s">
        <v>324</v>
      </c>
      <c r="L16" s="34" t="s">
        <v>324</v>
      </c>
      <c r="M16" s="34" t="s">
        <v>323</v>
      </c>
      <c r="N16" s="34"/>
      <c r="O16" s="34" t="s">
        <v>323</v>
      </c>
      <c r="P16" s="34"/>
      <c r="Q16" s="34"/>
      <c r="R16" s="34" t="s">
        <v>336</v>
      </c>
      <c r="S16" s="34"/>
      <c r="T16" s="34" t="s">
        <v>327</v>
      </c>
      <c r="U16" s="34"/>
      <c r="V16" s="34"/>
      <c r="W16" s="34"/>
      <c r="X16" s="34" t="s">
        <v>337</v>
      </c>
      <c r="Y16" s="36" t="s">
        <v>338</v>
      </c>
      <c r="Z16" s="32"/>
      <c r="AA16" s="35"/>
      <c r="AB16" s="35"/>
      <c r="AC16" s="35"/>
    </row>
    <row r="17" spans="2:29" s="1" customFormat="1" ht="10.15" customHeight="1" x14ac:dyDescent="0.25">
      <c r="B17" s="33"/>
      <c r="H17" s="35"/>
      <c r="I17" s="35"/>
      <c r="J17" s="34" t="s">
        <v>319</v>
      </c>
      <c r="K17" s="34" t="s">
        <v>319</v>
      </c>
      <c r="L17" s="34" t="s">
        <v>319</v>
      </c>
      <c r="M17" s="34" t="s">
        <v>320</v>
      </c>
      <c r="N17" s="34"/>
      <c r="O17" s="34" t="s">
        <v>320</v>
      </c>
      <c r="P17" s="34" t="s">
        <v>320</v>
      </c>
      <c r="Q17" s="34" t="s">
        <v>320</v>
      </c>
      <c r="R17" s="34"/>
      <c r="S17" s="34"/>
      <c r="T17" s="34" t="s">
        <v>320</v>
      </c>
      <c r="U17" s="34"/>
      <c r="V17" s="34" t="s">
        <v>339</v>
      </c>
      <c r="W17" s="34" t="s">
        <v>339</v>
      </c>
      <c r="X17" s="34" t="s">
        <v>340</v>
      </c>
      <c r="Y17" s="36"/>
      <c r="Z17" s="32"/>
      <c r="AA17" s="35"/>
      <c r="AB17" s="35"/>
      <c r="AC17" s="35"/>
    </row>
    <row r="18" spans="2:29" s="1" customFormat="1" ht="10.15" customHeight="1" x14ac:dyDescent="0.25">
      <c r="B18" s="33"/>
      <c r="H18" s="35"/>
      <c r="I18" s="35"/>
      <c r="J18" s="34"/>
      <c r="K18" s="34"/>
      <c r="L18" s="34"/>
      <c r="M18" s="34"/>
      <c r="N18" s="34"/>
      <c r="O18" s="34"/>
      <c r="P18" s="34"/>
      <c r="Q18" s="34"/>
      <c r="R18" s="34"/>
      <c r="S18" s="34"/>
      <c r="T18" s="34"/>
      <c r="U18" s="34"/>
      <c r="V18" s="34"/>
      <c r="W18" s="34"/>
      <c r="X18" s="34"/>
      <c r="Y18" s="36"/>
      <c r="Z18" s="32"/>
      <c r="AA18" s="35"/>
      <c r="AB18" s="35"/>
      <c r="AC18" s="35"/>
    </row>
    <row r="19" spans="2:29" s="1" customFormat="1" ht="10.15" customHeight="1" x14ac:dyDescent="0.25">
      <c r="B19" s="33"/>
      <c r="H19" s="35"/>
      <c r="I19" s="35"/>
      <c r="J19" s="34"/>
      <c r="K19" s="34"/>
      <c r="L19" s="34"/>
      <c r="M19" s="34"/>
      <c r="N19" s="34"/>
      <c r="O19" s="34"/>
      <c r="P19" s="34"/>
      <c r="Q19" s="34"/>
      <c r="R19" s="34"/>
      <c r="S19" s="34"/>
      <c r="T19" s="34"/>
      <c r="U19" s="34"/>
      <c r="V19" s="34"/>
      <c r="W19" s="34"/>
      <c r="X19" s="34"/>
      <c r="Y19" s="36"/>
      <c r="Z19" s="32"/>
      <c r="AA19" s="35"/>
      <c r="AB19" s="35"/>
      <c r="AC19" s="35"/>
    </row>
    <row r="20" spans="2:29" s="1" customFormat="1" ht="10.15" customHeight="1" x14ac:dyDescent="0.25">
      <c r="B20" s="33"/>
      <c r="H20" s="35"/>
      <c r="I20" s="35"/>
      <c r="J20" s="34"/>
      <c r="K20" s="34" t="s">
        <v>324</v>
      </c>
      <c r="L20" s="34" t="s">
        <v>324</v>
      </c>
      <c r="M20" s="34"/>
      <c r="N20" s="34"/>
      <c r="O20" s="34"/>
      <c r="P20" s="34"/>
      <c r="Q20" s="34"/>
      <c r="R20" s="34" t="s">
        <v>333</v>
      </c>
      <c r="S20" s="34" t="s">
        <v>333</v>
      </c>
      <c r="T20" s="34"/>
      <c r="U20" s="34"/>
      <c r="V20" s="34"/>
      <c r="W20" s="34"/>
      <c r="X20" s="34"/>
      <c r="Y20" s="36"/>
      <c r="Z20" s="32"/>
      <c r="AA20" s="35"/>
      <c r="AB20" s="35"/>
      <c r="AC20" s="35"/>
    </row>
    <row r="21" spans="2:29" s="1" customFormat="1" ht="10.15" customHeight="1" x14ac:dyDescent="0.25">
      <c r="B21" s="33"/>
      <c r="H21" s="35"/>
      <c r="I21" s="35"/>
      <c r="J21" s="34"/>
      <c r="K21" s="34"/>
      <c r="L21" s="34"/>
      <c r="M21" s="34"/>
      <c r="N21" s="34"/>
      <c r="O21" s="34"/>
      <c r="P21" s="34"/>
      <c r="Q21" s="34"/>
      <c r="R21" s="34"/>
      <c r="S21" s="34"/>
      <c r="T21" s="34"/>
      <c r="U21" s="34"/>
      <c r="V21" s="34"/>
      <c r="W21" s="34"/>
      <c r="X21" s="34"/>
      <c r="Y21" s="36"/>
      <c r="Z21" s="32"/>
      <c r="AA21" s="35"/>
      <c r="AB21" s="35"/>
      <c r="AC21" s="35"/>
    </row>
    <row r="22" spans="2:29" s="1" customFormat="1" ht="10.15" customHeight="1" x14ac:dyDescent="0.25">
      <c r="B22" s="39"/>
      <c r="C22" s="40"/>
      <c r="D22" s="40"/>
      <c r="E22" s="40"/>
      <c r="F22" s="40"/>
      <c r="G22" s="40"/>
      <c r="H22" s="41"/>
      <c r="I22" s="41"/>
      <c r="J22" s="41"/>
      <c r="K22" s="41"/>
      <c r="L22" s="41"/>
      <c r="M22" s="41"/>
      <c r="N22" s="41"/>
      <c r="O22" s="41"/>
      <c r="P22" s="41"/>
      <c r="Q22" s="41"/>
      <c r="R22" s="41"/>
      <c r="S22" s="41"/>
      <c r="T22" s="41"/>
      <c r="U22" s="41"/>
      <c r="V22" s="41"/>
      <c r="W22" s="41"/>
      <c r="X22" s="41"/>
      <c r="Y22" s="42"/>
      <c r="Z22" s="35"/>
      <c r="AA22" s="35"/>
      <c r="AB22" s="35"/>
      <c r="AC22" s="35"/>
    </row>
    <row r="23" spans="2:29" s="1" customFormat="1" ht="17.45" customHeight="1" x14ac:dyDescent="0.25">
      <c r="B23" s="43" t="s">
        <v>244</v>
      </c>
      <c r="C23" s="44"/>
      <c r="D23" s="44"/>
      <c r="E23" s="44"/>
      <c r="F23" s="44"/>
      <c r="G23" s="46"/>
      <c r="H23" s="258" t="s">
        <v>22</v>
      </c>
      <c r="I23" s="259"/>
      <c r="J23" s="259"/>
      <c r="K23" s="259"/>
      <c r="L23" s="260"/>
      <c r="N23" s="48"/>
      <c r="O23" s="48"/>
      <c r="P23" s="49"/>
      <c r="Q23" s="49"/>
      <c r="R23" s="49"/>
      <c r="S23" s="49"/>
      <c r="T23" s="49"/>
      <c r="U23" s="49"/>
      <c r="V23" s="49"/>
      <c r="W23" s="49"/>
      <c r="X23" s="49"/>
      <c r="Y23" s="35"/>
      <c r="Z23" s="35"/>
      <c r="AA23" s="35"/>
      <c r="AB23" s="35"/>
      <c r="AC23" s="35"/>
    </row>
    <row r="24" spans="2:29" s="1" customFormat="1" x14ac:dyDescent="0.25">
      <c r="B24" s="50" t="s">
        <v>245</v>
      </c>
      <c r="C24" s="51">
        <f>+SUM(G5:G10)</f>
        <v>55427</v>
      </c>
      <c r="D24" s="50" t="s">
        <v>246</v>
      </c>
      <c r="E24" s="55"/>
      <c r="F24" s="55"/>
      <c r="G24" s="56">
        <v>6.4063310875864407E-2</v>
      </c>
      <c r="H24" s="50" t="s">
        <v>247</v>
      </c>
      <c r="I24" s="57"/>
      <c r="J24" s="58">
        <f>+SUM(I5:I10)</f>
        <v>1919.4839999999997</v>
      </c>
      <c r="K24" s="50" t="s">
        <v>246</v>
      </c>
      <c r="L24" s="59">
        <v>0.81917906434844945</v>
      </c>
      <c r="N24" s="60"/>
      <c r="O24" s="60"/>
      <c r="P24" s="60"/>
      <c r="Q24" s="60"/>
      <c r="R24" s="61"/>
      <c r="S24" s="60"/>
      <c r="T24" s="60"/>
      <c r="V24" s="61"/>
      <c r="W24" s="61"/>
      <c r="X24" s="61"/>
    </row>
    <row r="25" spans="2:29" s="1" customFormat="1" x14ac:dyDescent="0.25">
      <c r="B25" s="62" t="s">
        <v>245</v>
      </c>
      <c r="C25" s="74">
        <f>+G5+G6+G12</f>
        <v>15856</v>
      </c>
      <c r="D25" s="62" t="s">
        <v>248</v>
      </c>
      <c r="E25" s="64"/>
      <c r="F25" s="64"/>
      <c r="G25" s="65">
        <v>3.3777925478091005E-2</v>
      </c>
      <c r="H25" s="62" t="s">
        <v>249</v>
      </c>
      <c r="I25" s="66"/>
      <c r="J25" s="67">
        <f>+I5+I6+I12</f>
        <v>1099.7199999999998</v>
      </c>
      <c r="K25" s="62" t="s">
        <v>248</v>
      </c>
      <c r="L25" s="68">
        <v>0.9155178155178153</v>
      </c>
      <c r="N25" s="60"/>
      <c r="O25" s="60"/>
      <c r="P25" s="60"/>
      <c r="Q25" s="60"/>
      <c r="R25" s="61"/>
      <c r="V25" s="61"/>
      <c r="W25" s="61"/>
      <c r="X25" s="61"/>
    </row>
    <row r="26" spans="2:29" s="1" customFormat="1" x14ac:dyDescent="0.25">
      <c r="B26" s="1" t="s">
        <v>250</v>
      </c>
    </row>
    <row r="27" spans="2:29" s="1" customFormat="1" x14ac:dyDescent="0.25"/>
  </sheetData>
  <mergeCells count="1">
    <mergeCell ref="H23:L23"/>
  </mergeCells>
  <conditionalFormatting sqref="J5:Z12">
    <cfRule type="containsBlanks" dxfId="57" priority="1">
      <formula>LEN(TRIM(J5))=0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534C3-21DA-4236-BA92-E2A3AE38A22E}">
  <sheetPr>
    <pageSetUpPr autoPageBreaks="0"/>
  </sheetPr>
  <dimension ref="A2:AG31"/>
  <sheetViews>
    <sheetView zoomScale="55" zoomScaleNormal="55" workbookViewId="0">
      <selection activeCell="K29" sqref="K29:K30"/>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11.42578125" style="1"/>
    <col min="6" max="6" width="24.140625" style="1" customWidth="1"/>
    <col min="7" max="7" width="12.28515625" style="1" customWidth="1"/>
    <col min="8" max="8" width="16.5703125" style="1" customWidth="1"/>
    <col min="9" max="9" width="11.42578125" style="1"/>
    <col min="10" max="10" width="15.5703125" style="1" customWidth="1"/>
    <col min="11" max="11" width="28.7109375" style="1" customWidth="1"/>
    <col min="12" max="12" width="43.140625" style="1" customWidth="1"/>
    <col min="13" max="13" width="34" style="1" customWidth="1"/>
    <col min="14" max="14" width="34.85546875" style="1" customWidth="1"/>
    <col min="15" max="15" width="18.5703125" style="1" customWidth="1"/>
    <col min="16" max="16" width="27.5703125" style="1" customWidth="1"/>
    <col min="17" max="17" width="25.85546875" style="1" customWidth="1"/>
    <col min="18" max="18" width="40.28515625" style="1" customWidth="1"/>
    <col min="19" max="19" width="22.28515625" style="1" customWidth="1"/>
    <col min="20" max="20" width="34.85546875" style="1" customWidth="1"/>
    <col min="21" max="21" width="32.28515625" style="1" customWidth="1"/>
    <col min="22" max="22" width="27.85546875" style="1" customWidth="1"/>
    <col min="23" max="23" width="33.140625" style="1" customWidth="1"/>
    <col min="24" max="24" width="28.28515625" style="1" customWidth="1"/>
    <col min="25" max="25" width="89.85546875" style="1" customWidth="1"/>
    <col min="26" max="27" width="11.42578125" style="1"/>
    <col min="28" max="28" width="6.7109375" style="1" customWidth="1"/>
    <col min="29" max="33" width="11.42578125" style="1"/>
  </cols>
  <sheetData>
    <row r="2" spans="2:25" s="1" customFormat="1" x14ac:dyDescent="0.25">
      <c r="B2" s="1" t="s">
        <v>0</v>
      </c>
    </row>
    <row r="3" spans="2:25" s="1" customFormat="1" x14ac:dyDescent="0.25">
      <c r="M3" s="1" t="s">
        <v>1</v>
      </c>
    </row>
    <row r="4" spans="2:25" s="1" customFormat="1" ht="25.15" customHeight="1" x14ac:dyDescent="0.25">
      <c r="B4" s="2" t="s">
        <v>2</v>
      </c>
      <c r="C4" s="3" t="s">
        <v>3</v>
      </c>
      <c r="D4" s="3" t="s">
        <v>4</v>
      </c>
      <c r="E4" s="3" t="s">
        <v>5</v>
      </c>
      <c r="F4" s="3" t="s">
        <v>6</v>
      </c>
      <c r="G4" s="3" t="s">
        <v>7</v>
      </c>
      <c r="H4" s="3" t="s">
        <v>8</v>
      </c>
      <c r="I4" s="3" t="s">
        <v>9</v>
      </c>
      <c r="J4" s="3" t="s">
        <v>10</v>
      </c>
      <c r="K4" s="3" t="s">
        <v>11</v>
      </c>
      <c r="L4" s="3" t="s">
        <v>12</v>
      </c>
      <c r="M4" s="3" t="s">
        <v>13</v>
      </c>
      <c r="N4" s="3" t="s">
        <v>14</v>
      </c>
      <c r="O4" s="3" t="s">
        <v>15</v>
      </c>
      <c r="P4" s="3" t="s">
        <v>16</v>
      </c>
      <c r="Q4" s="3" t="s">
        <v>17</v>
      </c>
      <c r="R4" s="3" t="s">
        <v>18</v>
      </c>
      <c r="S4" s="3" t="s">
        <v>19</v>
      </c>
      <c r="T4" s="3" t="s">
        <v>20</v>
      </c>
      <c r="U4" s="3" t="s">
        <v>21</v>
      </c>
      <c r="V4" s="3" t="s">
        <v>22</v>
      </c>
      <c r="W4" s="3" t="s">
        <v>23</v>
      </c>
      <c r="X4" s="4" t="s">
        <v>24</v>
      </c>
      <c r="Y4" s="5" t="s">
        <v>25</v>
      </c>
    </row>
    <row r="5" spans="2:25" s="1" customFormat="1" ht="25.5" x14ac:dyDescent="0.25">
      <c r="B5" s="6">
        <v>1</v>
      </c>
      <c r="C5" s="7" t="s">
        <v>26</v>
      </c>
      <c r="D5" s="7" t="s">
        <v>27</v>
      </c>
      <c r="E5" s="7" t="s">
        <v>28</v>
      </c>
      <c r="F5" s="7" t="s">
        <v>29</v>
      </c>
      <c r="G5" s="7" t="s">
        <v>30</v>
      </c>
      <c r="H5" s="8">
        <v>119468</v>
      </c>
      <c r="I5" s="7" t="s">
        <v>31</v>
      </c>
      <c r="J5" s="9">
        <v>0</v>
      </c>
      <c r="K5" s="7" t="s">
        <v>32</v>
      </c>
      <c r="L5" s="7" t="s">
        <v>33</v>
      </c>
      <c r="M5" s="7" t="s">
        <v>34</v>
      </c>
      <c r="N5" s="7" t="s">
        <v>35</v>
      </c>
      <c r="O5" s="7" t="s">
        <v>36</v>
      </c>
      <c r="P5" s="10" t="s">
        <v>37</v>
      </c>
      <c r="Q5" s="7" t="s">
        <v>38</v>
      </c>
      <c r="R5" s="7" t="s">
        <v>39</v>
      </c>
      <c r="S5" s="7" t="s">
        <v>40</v>
      </c>
      <c r="T5" s="7" t="s">
        <v>41</v>
      </c>
      <c r="U5" s="7" t="s">
        <v>42</v>
      </c>
      <c r="V5" s="7" t="s">
        <v>43</v>
      </c>
      <c r="W5" s="7" t="s">
        <v>31</v>
      </c>
      <c r="X5" s="11" t="s">
        <v>31</v>
      </c>
      <c r="Y5" s="12" t="s">
        <v>44</v>
      </c>
    </row>
    <row r="6" spans="2:25" s="1" customFormat="1" ht="25.5" x14ac:dyDescent="0.25">
      <c r="B6" s="6">
        <v>2</v>
      </c>
      <c r="C6" s="7" t="s">
        <v>26</v>
      </c>
      <c r="D6" s="7" t="s">
        <v>45</v>
      </c>
      <c r="E6" s="7" t="s">
        <v>28</v>
      </c>
      <c r="F6" s="7" t="s">
        <v>46</v>
      </c>
      <c r="G6" s="7" t="s">
        <v>30</v>
      </c>
      <c r="H6" s="8">
        <f>70863+311+42175+463</f>
        <v>113812</v>
      </c>
      <c r="I6" s="7" t="s">
        <v>31</v>
      </c>
      <c r="J6" s="9">
        <v>0</v>
      </c>
      <c r="K6" s="7">
        <v>13.7</v>
      </c>
      <c r="L6" s="7" t="s">
        <v>47</v>
      </c>
      <c r="M6" s="7" t="s">
        <v>48</v>
      </c>
      <c r="N6" s="7" t="s">
        <v>49</v>
      </c>
      <c r="O6" s="7" t="s">
        <v>50</v>
      </c>
      <c r="P6" s="7" t="s">
        <v>51</v>
      </c>
      <c r="Q6" s="7" t="s">
        <v>52</v>
      </c>
      <c r="R6" s="7" t="s">
        <v>53</v>
      </c>
      <c r="S6" s="7" t="s">
        <v>54</v>
      </c>
      <c r="T6" s="7" t="s">
        <v>55</v>
      </c>
      <c r="U6" s="7" t="s">
        <v>56</v>
      </c>
      <c r="V6" s="7" t="s">
        <v>31</v>
      </c>
      <c r="W6" s="7" t="s">
        <v>57</v>
      </c>
      <c r="X6" s="11" t="s">
        <v>58</v>
      </c>
      <c r="Y6" s="12" t="s">
        <v>59</v>
      </c>
    </row>
    <row r="7" spans="2:25" s="1" customFormat="1" ht="38.25" x14ac:dyDescent="0.25">
      <c r="B7" s="6">
        <v>3</v>
      </c>
      <c r="C7" s="7" t="s">
        <v>26</v>
      </c>
      <c r="D7" s="7" t="s">
        <v>60</v>
      </c>
      <c r="E7" s="7" t="s">
        <v>28</v>
      </c>
      <c r="F7" s="7" t="s">
        <v>61</v>
      </c>
      <c r="G7" s="7" t="s">
        <v>30</v>
      </c>
      <c r="H7" s="8">
        <f>48029+1218+17954+419</f>
        <v>67620</v>
      </c>
      <c r="I7" s="7">
        <v>0</v>
      </c>
      <c r="J7" s="9">
        <v>8</v>
      </c>
      <c r="K7" s="7" t="s">
        <v>62</v>
      </c>
      <c r="L7" s="7" t="s">
        <v>63</v>
      </c>
      <c r="M7" s="7" t="s">
        <v>64</v>
      </c>
      <c r="N7" s="7" t="s">
        <v>65</v>
      </c>
      <c r="O7" s="7" t="s">
        <v>66</v>
      </c>
      <c r="P7" s="7" t="s">
        <v>67</v>
      </c>
      <c r="Q7" s="7" t="s">
        <v>68</v>
      </c>
      <c r="R7" s="13" t="s">
        <v>69</v>
      </c>
      <c r="S7" s="7" t="s">
        <v>70</v>
      </c>
      <c r="T7" s="7" t="s">
        <v>71</v>
      </c>
      <c r="U7" s="7" t="s">
        <v>72</v>
      </c>
      <c r="V7" s="7" t="s">
        <v>73</v>
      </c>
      <c r="W7" s="7" t="s">
        <v>74</v>
      </c>
      <c r="X7" s="11" t="s">
        <v>75</v>
      </c>
      <c r="Y7" s="12" t="s">
        <v>76</v>
      </c>
    </row>
    <row r="8" spans="2:25" s="1" customFormat="1" ht="38.25" x14ac:dyDescent="0.25">
      <c r="B8" s="6">
        <v>4</v>
      </c>
      <c r="C8" s="7" t="s">
        <v>77</v>
      </c>
      <c r="D8" s="7" t="s">
        <v>78</v>
      </c>
      <c r="E8" s="7" t="s">
        <v>79</v>
      </c>
      <c r="F8" s="7" t="s">
        <v>80</v>
      </c>
      <c r="G8" s="7" t="s">
        <v>30</v>
      </c>
      <c r="H8" s="8">
        <f>31772+13429</f>
        <v>45201</v>
      </c>
      <c r="I8" s="7">
        <v>3.6509999999999998</v>
      </c>
      <c r="J8" s="9">
        <v>6.44</v>
      </c>
      <c r="K8" s="7" t="s">
        <v>81</v>
      </c>
      <c r="L8" s="7" t="s">
        <v>82</v>
      </c>
      <c r="M8" s="7" t="s">
        <v>83</v>
      </c>
      <c r="N8" s="7" t="s">
        <v>84</v>
      </c>
      <c r="O8" s="7" t="s">
        <v>85</v>
      </c>
      <c r="P8" s="7" t="s">
        <v>86</v>
      </c>
      <c r="Q8" s="7" t="s">
        <v>87</v>
      </c>
      <c r="R8" s="7" t="s">
        <v>88</v>
      </c>
      <c r="S8" s="7"/>
      <c r="T8" s="7" t="s">
        <v>89</v>
      </c>
      <c r="U8" s="7" t="s">
        <v>90</v>
      </c>
      <c r="V8" s="7" t="s">
        <v>91</v>
      </c>
      <c r="W8" s="7" t="s">
        <v>92</v>
      </c>
      <c r="X8" s="11" t="s">
        <v>31</v>
      </c>
      <c r="Y8" s="12" t="s">
        <v>93</v>
      </c>
    </row>
    <row r="9" spans="2:25" s="1" customFormat="1" ht="25.5" x14ac:dyDescent="0.25">
      <c r="B9" s="6">
        <v>5</v>
      </c>
      <c r="C9" s="7" t="s">
        <v>26</v>
      </c>
      <c r="D9" s="7" t="s">
        <v>27</v>
      </c>
      <c r="E9" s="7" t="s">
        <v>28</v>
      </c>
      <c r="F9" s="7" t="s">
        <v>94</v>
      </c>
      <c r="G9" s="7" t="s">
        <v>95</v>
      </c>
      <c r="H9" s="8">
        <v>43882</v>
      </c>
      <c r="I9" s="7"/>
      <c r="J9" s="9">
        <v>0</v>
      </c>
      <c r="K9" s="7" t="s">
        <v>96</v>
      </c>
      <c r="L9" s="14" t="s">
        <v>97</v>
      </c>
      <c r="M9" s="7" t="s">
        <v>98</v>
      </c>
      <c r="N9" s="7" t="s">
        <v>35</v>
      </c>
      <c r="O9" s="7" t="s">
        <v>99</v>
      </c>
      <c r="P9" s="7" t="s">
        <v>100</v>
      </c>
      <c r="Q9" s="7" t="s">
        <v>101</v>
      </c>
      <c r="R9" s="7" t="s">
        <v>102</v>
      </c>
      <c r="S9" s="7" t="s">
        <v>40</v>
      </c>
      <c r="T9" s="7" t="s">
        <v>103</v>
      </c>
      <c r="U9" s="7" t="s">
        <v>104</v>
      </c>
      <c r="V9" s="7" t="s">
        <v>105</v>
      </c>
      <c r="W9" s="7" t="s">
        <v>31</v>
      </c>
      <c r="X9" s="11" t="s">
        <v>106</v>
      </c>
      <c r="Y9" s="12" t="s">
        <v>107</v>
      </c>
    </row>
    <row r="10" spans="2:25" s="1" customFormat="1" ht="38.25" x14ac:dyDescent="0.25">
      <c r="B10" s="6">
        <v>7</v>
      </c>
      <c r="C10" s="7" t="s">
        <v>108</v>
      </c>
      <c r="D10" s="7" t="s">
        <v>108</v>
      </c>
      <c r="E10" s="7" t="s">
        <v>109</v>
      </c>
      <c r="F10" s="7" t="s">
        <v>110</v>
      </c>
      <c r="G10" s="7" t="s">
        <v>111</v>
      </c>
      <c r="H10" s="8">
        <f>21083+52</f>
        <v>21135</v>
      </c>
      <c r="I10" s="7">
        <v>0</v>
      </c>
      <c r="J10" s="9">
        <v>1.21</v>
      </c>
      <c r="K10" s="7">
        <v>29</v>
      </c>
      <c r="L10" s="7">
        <v>4</v>
      </c>
      <c r="M10" s="7" t="s">
        <v>112</v>
      </c>
      <c r="N10" s="7" t="s">
        <v>113</v>
      </c>
      <c r="O10" s="7">
        <v>24</v>
      </c>
      <c r="P10" s="7" t="s">
        <v>114</v>
      </c>
      <c r="Q10" s="7" t="s">
        <v>115</v>
      </c>
      <c r="R10" s="7" t="s">
        <v>116</v>
      </c>
      <c r="S10" s="7" t="s">
        <v>117</v>
      </c>
      <c r="T10" s="7" t="s">
        <v>118</v>
      </c>
      <c r="U10" s="15" t="s">
        <v>119</v>
      </c>
      <c r="V10" s="7" t="s">
        <v>120</v>
      </c>
      <c r="W10" s="7" t="s">
        <v>121</v>
      </c>
      <c r="X10" s="11" t="s">
        <v>31</v>
      </c>
      <c r="Y10" s="12" t="s">
        <v>122</v>
      </c>
    </row>
    <row r="11" spans="2:25" s="1" customFormat="1" ht="38.25" x14ac:dyDescent="0.25">
      <c r="B11" s="6">
        <v>9</v>
      </c>
      <c r="C11" s="7" t="s">
        <v>123</v>
      </c>
      <c r="D11" s="7" t="s">
        <v>124</v>
      </c>
      <c r="E11" s="7" t="s">
        <v>79</v>
      </c>
      <c r="F11" s="7" t="s">
        <v>125</v>
      </c>
      <c r="G11" s="7" t="s">
        <v>30</v>
      </c>
      <c r="H11" s="8">
        <f>10126+4661</f>
        <v>14787</v>
      </c>
      <c r="I11" s="7">
        <v>1.68</v>
      </c>
      <c r="J11" s="9">
        <v>4.13</v>
      </c>
      <c r="K11" s="7">
        <v>21</v>
      </c>
      <c r="L11" s="7" t="s">
        <v>126</v>
      </c>
      <c r="M11" s="7" t="s">
        <v>127</v>
      </c>
      <c r="N11" s="7" t="s">
        <v>128</v>
      </c>
      <c r="O11" s="7" t="s">
        <v>129</v>
      </c>
      <c r="P11" s="7" t="s">
        <v>130</v>
      </c>
      <c r="Q11" s="7" t="s">
        <v>131</v>
      </c>
      <c r="R11" s="7" t="s">
        <v>132</v>
      </c>
      <c r="S11" s="7" t="s">
        <v>133</v>
      </c>
      <c r="T11" s="7" t="s">
        <v>55</v>
      </c>
      <c r="U11" s="7" t="s">
        <v>134</v>
      </c>
      <c r="V11" s="7"/>
      <c r="W11" s="7" t="s">
        <v>135</v>
      </c>
      <c r="X11" s="11" t="s">
        <v>136</v>
      </c>
      <c r="Y11" s="12" t="s">
        <v>137</v>
      </c>
    </row>
    <row r="12" spans="2:25" s="1" customFormat="1" ht="51" x14ac:dyDescent="0.25">
      <c r="B12" s="6">
        <v>10</v>
      </c>
      <c r="C12" s="7" t="s">
        <v>138</v>
      </c>
      <c r="D12" s="7" t="s">
        <v>139</v>
      </c>
      <c r="E12" s="7" t="s">
        <v>79</v>
      </c>
      <c r="F12" s="14" t="s">
        <v>140</v>
      </c>
      <c r="G12" s="7" t="s">
        <v>30</v>
      </c>
      <c r="H12" s="8">
        <f>10799+2063</f>
        <v>12862</v>
      </c>
      <c r="I12" s="7">
        <v>0</v>
      </c>
      <c r="J12" s="9">
        <v>1.48</v>
      </c>
      <c r="K12" s="7">
        <v>21</v>
      </c>
      <c r="L12" s="7">
        <v>39</v>
      </c>
      <c r="M12" s="7" t="s">
        <v>141</v>
      </c>
      <c r="N12" s="7" t="s">
        <v>142</v>
      </c>
      <c r="O12" s="7">
        <v>0.2</v>
      </c>
      <c r="P12" s="7" t="s">
        <v>143</v>
      </c>
      <c r="Q12" s="7" t="s">
        <v>144</v>
      </c>
      <c r="R12" s="16" t="s">
        <v>145</v>
      </c>
      <c r="S12" s="7" t="s">
        <v>146</v>
      </c>
      <c r="T12" s="7" t="s">
        <v>147</v>
      </c>
      <c r="U12" s="7" t="s">
        <v>148</v>
      </c>
      <c r="V12" s="7"/>
      <c r="W12" s="7" t="s">
        <v>149</v>
      </c>
      <c r="X12" s="11" t="s">
        <v>136</v>
      </c>
      <c r="Y12" s="12" t="s">
        <v>150</v>
      </c>
    </row>
    <row r="13" spans="2:25" s="1" customFormat="1" ht="38.25" x14ac:dyDescent="0.25">
      <c r="B13" s="17">
        <v>11</v>
      </c>
      <c r="C13" s="18" t="s">
        <v>151</v>
      </c>
      <c r="D13" s="18" t="s">
        <v>152</v>
      </c>
      <c r="E13" s="18" t="s">
        <v>79</v>
      </c>
      <c r="F13" s="18" t="s">
        <v>153</v>
      </c>
      <c r="G13" s="18" t="s">
        <v>154</v>
      </c>
      <c r="H13" s="19">
        <v>11114</v>
      </c>
      <c r="I13" s="18">
        <v>0</v>
      </c>
      <c r="J13" s="20">
        <v>0.9</v>
      </c>
      <c r="K13" s="18">
        <v>13</v>
      </c>
      <c r="L13" s="18" t="s">
        <v>155</v>
      </c>
      <c r="M13" s="18" t="s">
        <v>156</v>
      </c>
      <c r="N13" s="18" t="s">
        <v>157</v>
      </c>
      <c r="O13" s="18" t="s">
        <v>158</v>
      </c>
      <c r="P13" s="18" t="s">
        <v>159</v>
      </c>
      <c r="Q13" s="18" t="s">
        <v>160</v>
      </c>
      <c r="R13" s="18" t="s">
        <v>161</v>
      </c>
      <c r="S13" s="18" t="s">
        <v>162</v>
      </c>
      <c r="T13" s="18" t="s">
        <v>163</v>
      </c>
      <c r="U13" s="18" t="s">
        <v>31</v>
      </c>
      <c r="V13" s="18" t="s">
        <v>31</v>
      </c>
      <c r="W13" s="18" t="s">
        <v>31</v>
      </c>
      <c r="X13" s="21" t="s">
        <v>164</v>
      </c>
      <c r="Y13" s="22" t="s">
        <v>165</v>
      </c>
    </row>
    <row r="14" spans="2:25" s="1" customFormat="1" ht="25.5" x14ac:dyDescent="0.25">
      <c r="B14" s="23">
        <v>6</v>
      </c>
      <c r="C14" s="24" t="s">
        <v>166</v>
      </c>
      <c r="D14" s="24"/>
      <c r="E14" s="24" t="s">
        <v>28</v>
      </c>
      <c r="F14" s="24" t="s">
        <v>167</v>
      </c>
      <c r="G14" s="24" t="s">
        <v>168</v>
      </c>
      <c r="H14" s="25">
        <f>20741+20082</f>
        <v>40823</v>
      </c>
      <c r="I14" s="24">
        <v>0</v>
      </c>
      <c r="J14" s="24">
        <v>0</v>
      </c>
      <c r="K14" s="24" t="s">
        <v>169</v>
      </c>
      <c r="L14" s="24"/>
      <c r="M14" s="24" t="s">
        <v>170</v>
      </c>
      <c r="N14" s="24"/>
      <c r="O14" s="24"/>
      <c r="P14" s="24"/>
      <c r="Q14" s="24"/>
      <c r="R14" s="24"/>
      <c r="S14" s="24"/>
      <c r="T14" s="24"/>
      <c r="U14" s="24"/>
      <c r="V14" s="24"/>
      <c r="W14" s="24"/>
      <c r="X14" s="26"/>
      <c r="Y14" s="12" t="s">
        <v>31</v>
      </c>
    </row>
    <row r="15" spans="2:25" s="1" customFormat="1" x14ac:dyDescent="0.25">
      <c r="B15" s="23">
        <v>8</v>
      </c>
      <c r="C15" s="24" t="s">
        <v>171</v>
      </c>
      <c r="D15" s="24"/>
      <c r="E15" s="24" t="s">
        <v>79</v>
      </c>
      <c r="F15" s="24" t="s">
        <v>172</v>
      </c>
      <c r="G15" s="24" t="s">
        <v>173</v>
      </c>
      <c r="H15" s="25">
        <f>18735+4</f>
        <v>18739</v>
      </c>
      <c r="I15" s="24">
        <v>0</v>
      </c>
      <c r="J15" s="24">
        <v>4.4800000000000004</v>
      </c>
      <c r="K15" s="24">
        <v>16.600000000000001</v>
      </c>
      <c r="L15" s="24" t="s">
        <v>174</v>
      </c>
      <c r="M15" s="24" t="s">
        <v>175</v>
      </c>
      <c r="N15" s="24" t="s">
        <v>176</v>
      </c>
      <c r="O15" s="24" t="s">
        <v>177</v>
      </c>
      <c r="P15" s="24" t="s">
        <v>178</v>
      </c>
      <c r="Q15" s="24"/>
      <c r="R15" s="24"/>
      <c r="S15" s="24"/>
      <c r="T15" s="24" t="s">
        <v>55</v>
      </c>
      <c r="U15" s="24"/>
      <c r="V15" s="24"/>
      <c r="W15" s="24" t="s">
        <v>179</v>
      </c>
      <c r="X15" s="26" t="s">
        <v>31</v>
      </c>
      <c r="Y15" s="12" t="s">
        <v>180</v>
      </c>
    </row>
    <row r="16" spans="2:25" s="1" customFormat="1" ht="11.45" customHeight="1" x14ac:dyDescent="0.25">
      <c r="B16" s="27" t="s">
        <v>181</v>
      </c>
      <c r="C16" s="28"/>
      <c r="D16" s="28"/>
      <c r="E16" s="29"/>
      <c r="F16" s="28"/>
      <c r="G16" s="28"/>
      <c r="H16" s="28"/>
      <c r="I16" s="30"/>
      <c r="J16" s="30"/>
      <c r="K16" s="29" t="s">
        <v>182</v>
      </c>
      <c r="L16" s="29" t="s">
        <v>182</v>
      </c>
      <c r="M16" s="29" t="s">
        <v>183</v>
      </c>
      <c r="N16" s="29" t="s">
        <v>182</v>
      </c>
      <c r="O16" s="29" t="s">
        <v>184</v>
      </c>
      <c r="P16" s="29" t="s">
        <v>184</v>
      </c>
      <c r="Q16" s="29" t="s">
        <v>182</v>
      </c>
      <c r="R16" s="29" t="s">
        <v>182</v>
      </c>
      <c r="S16" s="29" t="s">
        <v>182</v>
      </c>
      <c r="T16" s="29" t="s">
        <v>185</v>
      </c>
      <c r="U16" s="29" t="s">
        <v>184</v>
      </c>
      <c r="V16" s="29" t="s">
        <v>186</v>
      </c>
      <c r="W16" s="29"/>
      <c r="X16" s="31"/>
      <c r="Y16" s="32"/>
    </row>
    <row r="17" spans="2:28" s="1" customFormat="1" ht="10.15" customHeight="1" x14ac:dyDescent="0.25">
      <c r="B17" s="33" t="s">
        <v>187</v>
      </c>
      <c r="E17" s="34"/>
      <c r="I17" s="35"/>
      <c r="J17" s="35"/>
      <c r="K17" s="34" t="s">
        <v>188</v>
      </c>
      <c r="L17" s="34" t="s">
        <v>189</v>
      </c>
      <c r="M17" s="34" t="s">
        <v>188</v>
      </c>
      <c r="N17" s="34" t="s">
        <v>188</v>
      </c>
      <c r="O17" s="34" t="s">
        <v>188</v>
      </c>
      <c r="P17" s="34" t="s">
        <v>190</v>
      </c>
      <c r="Q17" s="34" t="s">
        <v>188</v>
      </c>
      <c r="R17" s="34" t="s">
        <v>188</v>
      </c>
      <c r="S17" s="34" t="s">
        <v>188</v>
      </c>
      <c r="T17" s="34" t="s">
        <v>191</v>
      </c>
      <c r="U17" s="34" t="s">
        <v>188</v>
      </c>
      <c r="V17" s="34"/>
      <c r="W17" s="34" t="s">
        <v>192</v>
      </c>
      <c r="X17" s="36" t="s">
        <v>31</v>
      </c>
      <c r="Y17" s="32"/>
      <c r="AA17" s="35"/>
      <c r="AB17" s="35"/>
    </row>
    <row r="18" spans="2:28" s="1" customFormat="1" ht="10.15" customHeight="1" x14ac:dyDescent="0.25">
      <c r="B18" s="33" t="s">
        <v>193</v>
      </c>
      <c r="E18" s="34"/>
      <c r="I18" s="35"/>
      <c r="J18" s="35"/>
      <c r="K18" s="34" t="s">
        <v>194</v>
      </c>
      <c r="L18" s="34" t="s">
        <v>195</v>
      </c>
      <c r="M18" s="34" t="s">
        <v>194</v>
      </c>
      <c r="N18" s="34" t="s">
        <v>194</v>
      </c>
      <c r="O18" s="34" t="s">
        <v>196</v>
      </c>
      <c r="P18" s="34" t="s">
        <v>196</v>
      </c>
      <c r="Q18" s="34" t="s">
        <v>197</v>
      </c>
      <c r="R18" s="34" t="s">
        <v>197</v>
      </c>
      <c r="S18" s="34" t="s">
        <v>198</v>
      </c>
      <c r="T18" s="34" t="s">
        <v>199</v>
      </c>
      <c r="U18" s="34" t="s">
        <v>197</v>
      </c>
      <c r="V18" s="34" t="s">
        <v>197</v>
      </c>
      <c r="W18" s="34" t="s">
        <v>200</v>
      </c>
      <c r="X18" s="36" t="s">
        <v>201</v>
      </c>
      <c r="Y18" s="32"/>
      <c r="Z18" s="35"/>
      <c r="AA18" s="35"/>
      <c r="AB18" s="35"/>
    </row>
    <row r="19" spans="2:28" s="1" customFormat="1" ht="10.15" customHeight="1" x14ac:dyDescent="0.25">
      <c r="B19" s="33" t="s">
        <v>202</v>
      </c>
      <c r="E19" s="34"/>
      <c r="I19" s="35"/>
      <c r="J19" s="35"/>
      <c r="K19" s="34" t="s">
        <v>203</v>
      </c>
      <c r="L19" s="34" t="s">
        <v>203</v>
      </c>
      <c r="M19" s="34" t="s">
        <v>204</v>
      </c>
      <c r="N19" s="34" t="s">
        <v>203</v>
      </c>
      <c r="O19" s="34" t="s">
        <v>203</v>
      </c>
      <c r="P19" s="34" t="s">
        <v>203</v>
      </c>
      <c r="Q19" s="34" t="s">
        <v>205</v>
      </c>
      <c r="R19" s="34" t="s">
        <v>206</v>
      </c>
      <c r="S19" s="34"/>
      <c r="T19" s="34" t="s">
        <v>204</v>
      </c>
      <c r="U19" s="34" t="s">
        <v>207</v>
      </c>
      <c r="V19" s="34" t="s">
        <v>203</v>
      </c>
      <c r="W19" s="34" t="s">
        <v>208</v>
      </c>
      <c r="X19" s="36"/>
      <c r="Y19" s="32"/>
      <c r="Z19" s="35"/>
      <c r="AA19" s="35"/>
      <c r="AB19" s="35"/>
    </row>
    <row r="20" spans="2:28" s="1" customFormat="1" ht="10.15" customHeight="1" x14ac:dyDescent="0.25">
      <c r="B20" s="33" t="s">
        <v>209</v>
      </c>
      <c r="E20" s="34"/>
      <c r="I20" s="35"/>
      <c r="J20" s="35"/>
      <c r="K20" s="34" t="s">
        <v>210</v>
      </c>
      <c r="L20" s="34" t="s">
        <v>211</v>
      </c>
      <c r="M20" s="34" t="s">
        <v>211</v>
      </c>
      <c r="N20" s="34" t="s">
        <v>210</v>
      </c>
      <c r="O20" s="34" t="s">
        <v>210</v>
      </c>
      <c r="P20" s="34" t="s">
        <v>210</v>
      </c>
      <c r="Q20" s="34" t="s">
        <v>210</v>
      </c>
      <c r="R20" s="34" t="s">
        <v>212</v>
      </c>
      <c r="S20" s="34" t="s">
        <v>211</v>
      </c>
      <c r="T20" s="34" t="s">
        <v>213</v>
      </c>
      <c r="U20" s="34" t="s">
        <v>214</v>
      </c>
      <c r="V20" s="34" t="s">
        <v>215</v>
      </c>
      <c r="W20" s="34" t="s">
        <v>31</v>
      </c>
      <c r="X20" s="36" t="s">
        <v>215</v>
      </c>
      <c r="Y20" s="32"/>
      <c r="Z20" s="35"/>
      <c r="AA20" s="35"/>
      <c r="AB20" s="35"/>
    </row>
    <row r="21" spans="2:28" s="1" customFormat="1" ht="10.15" customHeight="1" x14ac:dyDescent="0.25">
      <c r="B21" s="33" t="s">
        <v>216</v>
      </c>
      <c r="E21" s="34" t="s">
        <v>217</v>
      </c>
      <c r="I21" s="35"/>
      <c r="J21" s="35"/>
      <c r="K21" s="34" t="s">
        <v>217</v>
      </c>
      <c r="L21" s="34" t="s">
        <v>217</v>
      </c>
      <c r="M21" s="34" t="s">
        <v>217</v>
      </c>
      <c r="N21" s="34" t="s">
        <v>218</v>
      </c>
      <c r="O21" s="34" t="s">
        <v>217</v>
      </c>
      <c r="P21" s="34" t="s">
        <v>217</v>
      </c>
      <c r="Q21" s="34" t="s">
        <v>217</v>
      </c>
      <c r="R21" s="34" t="s">
        <v>217</v>
      </c>
      <c r="S21" s="34" t="s">
        <v>217</v>
      </c>
      <c r="T21" s="34" t="s">
        <v>218</v>
      </c>
      <c r="U21" s="34" t="s">
        <v>219</v>
      </c>
      <c r="V21" s="34" t="s">
        <v>217</v>
      </c>
      <c r="W21" s="34" t="s">
        <v>220</v>
      </c>
      <c r="X21" s="36"/>
      <c r="Y21" s="32"/>
      <c r="Z21" s="35"/>
      <c r="AA21" s="35"/>
      <c r="AB21" s="35"/>
    </row>
    <row r="22" spans="2:28" s="1" customFormat="1" ht="10.15" customHeight="1" x14ac:dyDescent="0.25">
      <c r="B22" s="33" t="s">
        <v>221</v>
      </c>
      <c r="E22" s="34"/>
      <c r="I22" s="35"/>
      <c r="J22" s="35"/>
      <c r="K22" s="34">
        <v>7</v>
      </c>
      <c r="L22" s="34"/>
      <c r="M22" s="34" t="s">
        <v>222</v>
      </c>
      <c r="N22" s="34"/>
      <c r="O22" s="34"/>
      <c r="P22" s="34"/>
      <c r="Q22" s="34"/>
      <c r="R22" s="34"/>
      <c r="S22" s="34"/>
      <c r="T22" s="34"/>
      <c r="U22" s="34"/>
      <c r="V22" s="34"/>
      <c r="W22" s="34"/>
      <c r="X22" s="36"/>
      <c r="Y22" s="32"/>
      <c r="Z22" s="35"/>
      <c r="AA22" s="35"/>
      <c r="AB22" s="35"/>
    </row>
    <row r="23" spans="2:28" s="1" customFormat="1" ht="10.15" customHeight="1" x14ac:dyDescent="0.25">
      <c r="B23" s="33"/>
      <c r="E23" s="34"/>
      <c r="I23" s="35"/>
      <c r="J23" s="35"/>
      <c r="K23" s="34" t="s">
        <v>223</v>
      </c>
      <c r="L23" s="34" t="s">
        <v>224</v>
      </c>
      <c r="M23" s="34" t="s">
        <v>225</v>
      </c>
      <c r="N23" s="34" t="s">
        <v>226</v>
      </c>
      <c r="O23" s="34" t="s">
        <v>226</v>
      </c>
      <c r="P23" s="34" t="s">
        <v>226</v>
      </c>
      <c r="Q23" s="34"/>
      <c r="R23" s="34"/>
      <c r="S23" s="34"/>
      <c r="T23" s="34" t="s">
        <v>225</v>
      </c>
      <c r="U23" s="34"/>
      <c r="V23" s="34" t="s">
        <v>225</v>
      </c>
      <c r="W23" s="34" t="s">
        <v>224</v>
      </c>
      <c r="X23" s="36"/>
      <c r="Y23" s="32"/>
      <c r="Z23" s="35"/>
      <c r="AA23" s="35"/>
      <c r="AB23" s="35"/>
    </row>
    <row r="24" spans="2:28" s="1" customFormat="1" ht="10.15" customHeight="1" x14ac:dyDescent="0.25">
      <c r="B24" s="33" t="s">
        <v>227</v>
      </c>
      <c r="E24" s="34"/>
      <c r="I24" s="35"/>
      <c r="J24" s="35"/>
      <c r="K24" s="34" t="s">
        <v>228</v>
      </c>
      <c r="L24" s="34" t="s">
        <v>228</v>
      </c>
      <c r="M24" s="34" t="s">
        <v>229</v>
      </c>
      <c r="N24" s="34" t="s">
        <v>229</v>
      </c>
      <c r="O24" s="34" t="s">
        <v>228</v>
      </c>
      <c r="P24" s="34" t="s">
        <v>228</v>
      </c>
      <c r="Q24" s="34" t="s">
        <v>230</v>
      </c>
      <c r="R24" s="34" t="s">
        <v>231</v>
      </c>
      <c r="S24" s="34" t="s">
        <v>232</v>
      </c>
      <c r="T24" s="34" t="s">
        <v>231</v>
      </c>
      <c r="U24" s="34"/>
      <c r="V24" s="34"/>
      <c r="W24" s="34" t="s">
        <v>232</v>
      </c>
      <c r="X24" s="36" t="s">
        <v>233</v>
      </c>
      <c r="Y24" s="32"/>
      <c r="Z24" s="35"/>
      <c r="AA24" s="35"/>
      <c r="AB24" s="35"/>
    </row>
    <row r="25" spans="2:28" s="1" customFormat="1" ht="10.15" customHeight="1" x14ac:dyDescent="0.25">
      <c r="B25" s="33"/>
      <c r="E25" s="34"/>
      <c r="I25" s="35"/>
      <c r="J25" s="35"/>
      <c r="K25" s="34" t="s">
        <v>234</v>
      </c>
      <c r="L25" s="34" t="s">
        <v>234</v>
      </c>
      <c r="M25" s="37" t="s">
        <v>234</v>
      </c>
      <c r="N25" s="34" t="s">
        <v>235</v>
      </c>
      <c r="O25" s="34" t="s">
        <v>236</v>
      </c>
      <c r="P25" s="34" t="s">
        <v>234</v>
      </c>
      <c r="Q25" s="34" t="s">
        <v>237</v>
      </c>
      <c r="R25" s="34" t="s">
        <v>238</v>
      </c>
      <c r="S25" s="34" t="s">
        <v>235</v>
      </c>
      <c r="T25" s="34" t="s">
        <v>238</v>
      </c>
      <c r="U25" s="34" t="s">
        <v>239</v>
      </c>
      <c r="V25" s="34"/>
      <c r="W25" s="34" t="s">
        <v>240</v>
      </c>
      <c r="X25" s="36" t="s">
        <v>234</v>
      </c>
      <c r="Y25" s="32"/>
      <c r="Z25" s="35"/>
      <c r="AA25" s="35"/>
      <c r="AB25" s="35"/>
    </row>
    <row r="26" spans="2:28" s="1" customFormat="1" ht="10.15" customHeight="1" x14ac:dyDescent="0.25">
      <c r="B26" s="33"/>
      <c r="E26" s="37"/>
      <c r="I26" s="35"/>
      <c r="J26" s="35"/>
      <c r="K26" s="37" t="s">
        <v>241</v>
      </c>
      <c r="L26" s="37" t="s">
        <v>241</v>
      </c>
      <c r="M26" s="37" t="s">
        <v>241</v>
      </c>
      <c r="N26" s="37"/>
      <c r="O26" s="37" t="s">
        <v>241</v>
      </c>
      <c r="P26" s="37" t="s">
        <v>241</v>
      </c>
      <c r="Q26" s="37" t="s">
        <v>241</v>
      </c>
      <c r="R26" s="37" t="s">
        <v>241</v>
      </c>
      <c r="S26" s="37" t="s">
        <v>242</v>
      </c>
      <c r="T26" s="37" t="s">
        <v>243</v>
      </c>
      <c r="U26" s="37"/>
      <c r="V26" s="37"/>
      <c r="W26" s="37"/>
      <c r="X26" s="38" t="s">
        <v>241</v>
      </c>
      <c r="Y26" s="35"/>
      <c r="Z26" s="35"/>
      <c r="AA26" s="35"/>
      <c r="AB26" s="35"/>
    </row>
    <row r="27" spans="2:28" s="1" customFormat="1" ht="10.15" customHeight="1" x14ac:dyDescent="0.25">
      <c r="B27" s="39"/>
      <c r="C27" s="40"/>
      <c r="D27" s="40"/>
      <c r="E27" s="41"/>
      <c r="F27" s="40"/>
      <c r="G27" s="40"/>
      <c r="H27" s="40"/>
      <c r="I27" s="41"/>
      <c r="J27" s="41"/>
      <c r="K27" s="41"/>
      <c r="L27" s="41"/>
      <c r="M27" s="41"/>
      <c r="N27" s="41"/>
      <c r="O27" s="41"/>
      <c r="P27" s="41"/>
      <c r="Q27" s="41"/>
      <c r="R27" s="41"/>
      <c r="S27" s="41"/>
      <c r="T27" s="41"/>
      <c r="U27" s="41"/>
      <c r="V27" s="41"/>
      <c r="W27" s="41"/>
      <c r="X27" s="42"/>
      <c r="Y27" s="35"/>
      <c r="Z27" s="35"/>
      <c r="AA27" s="35"/>
      <c r="AB27" s="35"/>
    </row>
    <row r="28" spans="2:28" s="1" customFormat="1" ht="17.45" customHeight="1" x14ac:dyDescent="0.25">
      <c r="B28" s="43" t="s">
        <v>244</v>
      </c>
      <c r="C28" s="44"/>
      <c r="D28" s="261"/>
      <c r="E28" s="261"/>
      <c r="F28" s="45"/>
      <c r="G28" s="44"/>
      <c r="H28" s="46"/>
      <c r="I28" s="47"/>
      <c r="J28" s="259" t="s">
        <v>22</v>
      </c>
      <c r="K28" s="259"/>
      <c r="L28" s="259"/>
      <c r="M28" s="260"/>
      <c r="N28" s="48"/>
      <c r="O28" s="49"/>
      <c r="P28" s="49"/>
      <c r="Q28" s="49"/>
      <c r="R28" s="49"/>
      <c r="S28" s="49"/>
      <c r="T28" s="49"/>
      <c r="U28" s="49"/>
      <c r="V28" s="49"/>
      <c r="W28" s="49"/>
      <c r="X28" s="35"/>
      <c r="Y28" s="35"/>
      <c r="Z28" s="35"/>
      <c r="AA28" s="35"/>
      <c r="AB28" s="35"/>
    </row>
    <row r="29" spans="2:28" s="1" customFormat="1" x14ac:dyDescent="0.25">
      <c r="B29" s="50" t="s">
        <v>245</v>
      </c>
      <c r="C29" s="51">
        <f>+SUM(H5:H10)+H11+H12+H13</f>
        <v>449881</v>
      </c>
      <c r="D29" s="52" t="s">
        <v>246</v>
      </c>
      <c r="E29" s="53"/>
      <c r="F29" s="54"/>
      <c r="G29" s="55"/>
      <c r="H29" s="56">
        <v>0.51997882548477736</v>
      </c>
      <c r="I29" s="50" t="s">
        <v>247</v>
      </c>
      <c r="J29" s="57"/>
      <c r="K29" s="58">
        <v>22.16</v>
      </c>
      <c r="L29" s="50" t="s">
        <v>246</v>
      </c>
      <c r="M29" s="59">
        <v>9.4572333324797926E-3</v>
      </c>
      <c r="N29" s="60"/>
      <c r="O29" s="60"/>
      <c r="P29" s="60"/>
      <c r="Q29" s="61"/>
      <c r="R29" s="60"/>
      <c r="S29" s="60"/>
      <c r="U29" s="61"/>
      <c r="V29" s="61"/>
      <c r="W29" s="61"/>
    </row>
    <row r="30" spans="2:28" s="1" customFormat="1" x14ac:dyDescent="0.25">
      <c r="B30" s="62" t="s">
        <v>245</v>
      </c>
      <c r="C30" s="63">
        <f>+H5+H6+H7+H8+H11+H12</f>
        <v>373750</v>
      </c>
      <c r="D30" s="262" t="s">
        <v>248</v>
      </c>
      <c r="E30" s="263"/>
      <c r="F30" s="263"/>
      <c r="G30" s="64"/>
      <c r="H30" s="65">
        <v>0.79619700097354384</v>
      </c>
      <c r="I30" s="62" t="s">
        <v>249</v>
      </c>
      <c r="J30" s="66"/>
      <c r="K30" s="67">
        <v>9.48</v>
      </c>
      <c r="L30" s="62" t="s">
        <v>248</v>
      </c>
      <c r="M30" s="68">
        <v>7.8921078921078917E-3</v>
      </c>
      <c r="N30" s="60"/>
      <c r="O30" s="60"/>
      <c r="P30" s="60"/>
      <c r="Q30" s="61"/>
      <c r="U30" s="61"/>
      <c r="V30" s="61"/>
      <c r="W30" s="61"/>
    </row>
    <row r="31" spans="2:28" x14ac:dyDescent="0.25">
      <c r="B31" s="1" t="s">
        <v>250</v>
      </c>
    </row>
  </sheetData>
  <mergeCells count="3">
    <mergeCell ref="D28:E28"/>
    <mergeCell ref="J28:M28"/>
    <mergeCell ref="D30:F30"/>
  </mergeCells>
  <conditionalFormatting sqref="K5:Y15 E5:E15">
    <cfRule type="containsBlanks" dxfId="56" priority="1">
      <formula>LEN(TRIM(E5))=0</formula>
    </cfRule>
  </conditionalFormatting>
  <hyperlinks>
    <hyperlink ref="R12" r:id="rId1" display="FR@ Primary= 13% (CASA 7)" xr:uid="{CB0B97B2-A9D8-438B-A37E-7926A239D6C3}"/>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4CFF-27EF-43F9-B3E0-BD13E3172136}">
  <dimension ref="B1:X219"/>
  <sheetViews>
    <sheetView topLeftCell="F1" zoomScaleNormal="100" workbookViewId="0">
      <selection activeCell="M19" sqref="M19"/>
    </sheetView>
  </sheetViews>
  <sheetFormatPr baseColWidth="10" defaultColWidth="11.42578125" defaultRowHeight="15" x14ac:dyDescent="0.25"/>
  <cols>
    <col min="3" max="3" width="23.85546875" customWidth="1"/>
    <col min="4" max="4" width="17" customWidth="1"/>
    <col min="5" max="5" width="24.5703125" customWidth="1"/>
    <col min="6" max="6" width="27.28515625" customWidth="1"/>
    <col min="7" max="7" width="30.5703125" customWidth="1"/>
    <col min="8" max="8" width="10.28515625" customWidth="1"/>
    <col min="9" max="9" width="14.5703125" customWidth="1"/>
    <col min="10" max="10" width="10.7109375" customWidth="1"/>
    <col min="11" max="11" width="22.85546875" customWidth="1"/>
    <col min="12" max="12" width="23.42578125" customWidth="1"/>
    <col min="13" max="13" width="18.5703125" customWidth="1"/>
    <col min="14" max="14" width="18.7109375" customWidth="1"/>
    <col min="15" max="15" width="17.28515625" customWidth="1"/>
    <col min="16" max="16" width="22.140625" customWidth="1"/>
    <col min="17" max="17" width="25.7109375" customWidth="1"/>
    <col min="18" max="18" width="21.140625" customWidth="1"/>
    <col min="19" max="19" width="28.7109375" customWidth="1"/>
    <col min="20" max="20" width="23.42578125" customWidth="1"/>
    <col min="23" max="23" width="15.5703125" customWidth="1"/>
    <col min="24" max="24" width="14.7109375" customWidth="1"/>
    <col min="25" max="25" width="40" customWidth="1"/>
    <col min="26" max="26" width="47.85546875" customWidth="1"/>
  </cols>
  <sheetData>
    <row r="1" spans="2:24" s="1" customFormat="1" x14ac:dyDescent="0.25">
      <c r="E1" s="82" t="s">
        <v>366</v>
      </c>
      <c r="F1" s="83" t="s">
        <v>367</v>
      </c>
      <c r="G1" s="83" t="s">
        <v>368</v>
      </c>
      <c r="H1" s="83"/>
      <c r="I1" s="83"/>
      <c r="J1" s="83"/>
      <c r="P1" s="84"/>
      <c r="Q1" s="85"/>
      <c r="R1" s="84"/>
      <c r="S1" s="85"/>
    </row>
    <row r="2" spans="2:24" s="1" customFormat="1" x14ac:dyDescent="0.25">
      <c r="T2" s="86"/>
      <c r="V2" s="86"/>
      <c r="W2" s="86"/>
      <c r="X2" s="86"/>
    </row>
    <row r="3" spans="2:24" s="1" customFormat="1" ht="45" x14ac:dyDescent="0.25">
      <c r="H3" s="87" t="s">
        <v>244</v>
      </c>
      <c r="I3" s="87" t="s">
        <v>369</v>
      </c>
      <c r="J3" s="87" t="s">
        <v>22</v>
      </c>
      <c r="K3" s="75" t="s">
        <v>370</v>
      </c>
      <c r="L3" s="75" t="s">
        <v>371</v>
      </c>
      <c r="M3" s="5" t="s">
        <v>372</v>
      </c>
      <c r="N3" s="5" t="s">
        <v>11</v>
      </c>
      <c r="O3" s="5" t="s">
        <v>348</v>
      </c>
      <c r="P3" s="5" t="s">
        <v>349</v>
      </c>
      <c r="Q3" s="77" t="s">
        <v>350</v>
      </c>
      <c r="R3" s="77" t="s">
        <v>351</v>
      </c>
      <c r="S3" s="5" t="s">
        <v>373</v>
      </c>
      <c r="T3" s="5" t="s">
        <v>374</v>
      </c>
      <c r="U3" s="264"/>
      <c r="V3" s="264"/>
      <c r="W3" s="264"/>
      <c r="X3" s="86"/>
    </row>
    <row r="4" spans="2:24" s="1" customFormat="1" x14ac:dyDescent="0.25">
      <c r="C4" s="75" t="s">
        <v>341</v>
      </c>
      <c r="D4" s="75" t="s">
        <v>7</v>
      </c>
      <c r="E4" s="75" t="s">
        <v>4</v>
      </c>
      <c r="F4" s="75" t="s">
        <v>5</v>
      </c>
      <c r="G4" s="75" t="s">
        <v>6</v>
      </c>
      <c r="H4" s="87" t="s">
        <v>375</v>
      </c>
      <c r="I4" s="87" t="s">
        <v>376</v>
      </c>
      <c r="J4" s="87" t="s">
        <v>376</v>
      </c>
      <c r="K4" s="88">
        <v>4000</v>
      </c>
      <c r="L4" s="89">
        <f>+SUM(J5:J19)/100</f>
        <v>19.416439999999998</v>
      </c>
      <c r="P4" s="77"/>
      <c r="Q4" s="78"/>
      <c r="R4" s="78"/>
      <c r="S4" s="77">
        <v>6.2</v>
      </c>
      <c r="T4" s="77">
        <v>9.8000000000000007</v>
      </c>
      <c r="U4" s="90"/>
      <c r="V4" s="90"/>
      <c r="W4" s="90"/>
      <c r="X4" s="90"/>
    </row>
    <row r="5" spans="2:24" s="1" customFormat="1" x14ac:dyDescent="0.25">
      <c r="B5" s="91"/>
      <c r="C5" s="76" t="e" vm="1">
        <v>#VALUE!</v>
      </c>
      <c r="D5" s="18" t="s">
        <v>30</v>
      </c>
      <c r="E5" s="18" t="s">
        <v>27</v>
      </c>
      <c r="F5" s="18" t="s">
        <v>28</v>
      </c>
      <c r="G5" s="18" t="s">
        <v>29</v>
      </c>
      <c r="H5" s="92">
        <v>119468</v>
      </c>
      <c r="I5" s="92">
        <v>0</v>
      </c>
      <c r="J5" s="92">
        <v>0</v>
      </c>
      <c r="K5" s="81" t="str" cm="1">
        <f t="array" ref="K5:K13">IF(H5:H13&gt;K4,"Sí","No")</f>
        <v>Sí</v>
      </c>
      <c r="L5" s="81" t="str" cm="1">
        <f t="array" ref="L5:L13">+IF(J5:J13&gt;L4,"Sí","No")</f>
        <v>No</v>
      </c>
      <c r="M5" s="79" t="str">
        <f>+IF(AND(K5="Sí",L5="Sí"),"Oil and Gas",IF(K5="Sí","Oil",IF(L5="Sí","Gas")))</f>
        <v>Oil</v>
      </c>
      <c r="N5" s="79">
        <f>11.3+(14.4-11.3)/2</f>
        <v>12.850000000000001</v>
      </c>
      <c r="O5" s="79" t="str">
        <f t="shared" ref="O5:O18" si="0">+IF(M5="Gas","Doesn't Apply",IF(N5&lt;$M$30,$K$30,IF(N5&lt;$M$31,$K$31,IF(N5&lt;$M$32,$K$32,IF(N5&gt;$L$33,$K$33,"Doesn't Apply")))))</f>
        <v>Heavy Oil</v>
      </c>
      <c r="P5" s="79" t="s">
        <v>41</v>
      </c>
      <c r="Q5" s="80" t="s">
        <v>31</v>
      </c>
      <c r="R5" s="80" t="s">
        <v>31</v>
      </c>
      <c r="S5" s="93">
        <f t="shared" ref="S5:S19" si="1">+(H5*365*$S$4)/1000000</f>
        <v>270.35608400000001</v>
      </c>
      <c r="T5" s="93">
        <f t="shared" ref="T5:T19" si="2">+I5*$T$4*365/1000</f>
        <v>0</v>
      </c>
      <c r="U5" s="86"/>
      <c r="V5" s="86"/>
      <c r="W5" s="86"/>
      <c r="X5" s="86"/>
    </row>
    <row r="6" spans="2:24" s="1" customFormat="1" x14ac:dyDescent="0.25">
      <c r="B6" s="91"/>
      <c r="C6" s="76" t="e" vm="1">
        <v>#VALUE!</v>
      </c>
      <c r="D6" s="18" t="s">
        <v>30</v>
      </c>
      <c r="E6" s="18" t="s">
        <v>45</v>
      </c>
      <c r="F6" s="18" t="s">
        <v>28</v>
      </c>
      <c r="G6" s="18" t="s">
        <v>46</v>
      </c>
      <c r="H6" s="92">
        <v>113812</v>
      </c>
      <c r="I6" s="92">
        <v>0</v>
      </c>
      <c r="J6" s="92">
        <v>0</v>
      </c>
      <c r="K6" s="81" t="str">
        <v>Sí</v>
      </c>
      <c r="L6" s="81" t="str">
        <v>No</v>
      </c>
      <c r="M6" s="79" t="str">
        <f t="shared" ref="M6:M19" si="3">+IF(AND(K6="Sí",L6="Sí"),"Oil and Gas",IF(K6="Sí","Oil",IF(L6="Sí","Gas")))</f>
        <v>Oil</v>
      </c>
      <c r="N6" s="79">
        <v>13.7</v>
      </c>
      <c r="O6" s="79" t="str">
        <f t="shared" si="0"/>
        <v>Heavy Oil</v>
      </c>
      <c r="P6" s="79" t="s">
        <v>55</v>
      </c>
      <c r="Q6" s="80" t="s">
        <v>352</v>
      </c>
      <c r="R6" s="80" t="s">
        <v>353</v>
      </c>
      <c r="S6" s="93">
        <f t="shared" si="1"/>
        <v>257.556556</v>
      </c>
      <c r="T6" s="93">
        <f t="shared" si="2"/>
        <v>0</v>
      </c>
      <c r="U6" s="86"/>
      <c r="V6" s="86"/>
      <c r="W6" s="86"/>
      <c r="X6" s="86"/>
    </row>
    <row r="7" spans="2:24" s="1" customFormat="1" x14ac:dyDescent="0.25">
      <c r="B7" s="91"/>
      <c r="C7" s="76" t="e" vm="1">
        <v>#VALUE!</v>
      </c>
      <c r="D7" s="18" t="s">
        <v>30</v>
      </c>
      <c r="E7" s="18" t="s">
        <v>60</v>
      </c>
      <c r="F7" s="18" t="s">
        <v>28</v>
      </c>
      <c r="G7" s="18" t="s">
        <v>61</v>
      </c>
      <c r="H7" s="92">
        <v>67620</v>
      </c>
      <c r="I7" s="92">
        <v>0</v>
      </c>
      <c r="J7" s="92">
        <v>8</v>
      </c>
      <c r="K7" s="81" t="str">
        <v>Sí</v>
      </c>
      <c r="L7" s="81" t="str">
        <v>No</v>
      </c>
      <c r="M7" s="79" t="str">
        <f t="shared" si="3"/>
        <v>Oil</v>
      </c>
      <c r="N7" s="79">
        <f>7+(20-7)/2</f>
        <v>13.5</v>
      </c>
      <c r="O7" s="79" t="str">
        <f t="shared" si="0"/>
        <v>Heavy Oil</v>
      </c>
      <c r="P7" s="79" t="s">
        <v>55</v>
      </c>
      <c r="Q7" s="80" t="s">
        <v>352</v>
      </c>
      <c r="R7" s="80" t="s">
        <v>354</v>
      </c>
      <c r="S7" s="93">
        <f t="shared" si="1"/>
        <v>153.02405999999999</v>
      </c>
      <c r="T7" s="93">
        <f t="shared" si="2"/>
        <v>0</v>
      </c>
      <c r="U7" s="86"/>
      <c r="V7" s="86"/>
      <c r="W7" s="86"/>
      <c r="X7" s="86"/>
    </row>
    <row r="8" spans="2:24" s="1" customFormat="1" x14ac:dyDescent="0.25">
      <c r="B8" s="91"/>
      <c r="C8" s="76" t="e" vm="1">
        <v>#VALUE!</v>
      </c>
      <c r="D8" s="18" t="s">
        <v>95</v>
      </c>
      <c r="E8" s="18" t="s">
        <v>27</v>
      </c>
      <c r="F8" s="18" t="s">
        <v>28</v>
      </c>
      <c r="G8" s="18" t="s">
        <v>94</v>
      </c>
      <c r="H8" s="92">
        <v>43882</v>
      </c>
      <c r="I8" s="92">
        <v>0</v>
      </c>
      <c r="J8" s="92">
        <v>0</v>
      </c>
      <c r="K8" s="81" t="str">
        <v>Sí</v>
      </c>
      <c r="L8" s="81" t="str">
        <v>No</v>
      </c>
      <c r="M8" s="79" t="str">
        <f t="shared" si="3"/>
        <v>Oil</v>
      </c>
      <c r="N8" s="79">
        <f>13+(14-13)/2</f>
        <v>13.5</v>
      </c>
      <c r="O8" s="79" t="str">
        <f t="shared" si="0"/>
        <v>Heavy Oil</v>
      </c>
      <c r="P8" s="79" t="s">
        <v>355</v>
      </c>
      <c r="Q8" s="80" t="s">
        <v>31</v>
      </c>
      <c r="R8" s="80" t="s">
        <v>356</v>
      </c>
      <c r="S8" s="93">
        <f>+(H8*365*$S$4)/1000000</f>
        <v>99.304965999999993</v>
      </c>
      <c r="T8" s="93">
        <f>+I8*$T$4*365/1000</f>
        <v>0</v>
      </c>
      <c r="U8" s="86"/>
      <c r="V8" s="86"/>
      <c r="W8" s="86"/>
      <c r="X8" s="86"/>
    </row>
    <row r="9" spans="2:24" s="1" customFormat="1" x14ac:dyDescent="0.25">
      <c r="B9" s="91"/>
      <c r="C9" s="76" t="e" vm="2">
        <v>#VALUE!</v>
      </c>
      <c r="D9" s="18" t="s">
        <v>30</v>
      </c>
      <c r="E9" s="18" t="s">
        <v>78</v>
      </c>
      <c r="F9" s="18" t="s">
        <v>79</v>
      </c>
      <c r="G9" s="18" t="s">
        <v>80</v>
      </c>
      <c r="H9" s="92">
        <v>45201</v>
      </c>
      <c r="I9" s="92">
        <v>3.6509999999999998</v>
      </c>
      <c r="J9" s="92">
        <v>6.44</v>
      </c>
      <c r="K9" s="81" t="str">
        <v>Sí</v>
      </c>
      <c r="L9" s="81" t="str">
        <v>No</v>
      </c>
      <c r="M9" s="79" t="str">
        <f t="shared" si="3"/>
        <v>Oil</v>
      </c>
      <c r="N9" s="79">
        <f>20+(25-20)/2</f>
        <v>22.5</v>
      </c>
      <c r="O9" s="79" t="str">
        <f t="shared" si="0"/>
        <v>Medium Oil</v>
      </c>
      <c r="P9" s="79" t="s">
        <v>357</v>
      </c>
      <c r="Q9" s="80" t="s">
        <v>358</v>
      </c>
      <c r="R9" s="80" t="s">
        <v>31</v>
      </c>
      <c r="S9" s="93">
        <f t="shared" si="1"/>
        <v>102.289863</v>
      </c>
      <c r="T9" s="93">
        <f t="shared" si="2"/>
        <v>13.059627000000001</v>
      </c>
      <c r="U9" s="86"/>
      <c r="V9" s="86"/>
      <c r="W9" s="86"/>
      <c r="X9" s="86"/>
    </row>
    <row r="10" spans="2:24" s="1" customFormat="1" x14ac:dyDescent="0.25">
      <c r="B10" s="91"/>
      <c r="C10" s="76" t="e" vm="3">
        <v>#VALUE!</v>
      </c>
      <c r="D10" s="18" t="s">
        <v>111</v>
      </c>
      <c r="E10" s="18" t="s">
        <v>108</v>
      </c>
      <c r="F10" s="18" t="s">
        <v>28</v>
      </c>
      <c r="G10" s="18" t="s">
        <v>110</v>
      </c>
      <c r="H10" s="92">
        <v>21135</v>
      </c>
      <c r="I10" s="92">
        <v>0</v>
      </c>
      <c r="J10" s="92">
        <v>1.21</v>
      </c>
      <c r="K10" s="81" t="str">
        <v>Sí</v>
      </c>
      <c r="L10" s="81" t="str">
        <v>No</v>
      </c>
      <c r="M10" s="79" t="str">
        <f t="shared" si="3"/>
        <v>Oil</v>
      </c>
      <c r="N10" s="79">
        <v>29</v>
      </c>
      <c r="O10" s="79" t="str">
        <f t="shared" si="0"/>
        <v>Medium Oil</v>
      </c>
      <c r="P10" s="79" t="s">
        <v>55</v>
      </c>
      <c r="Q10" s="80" t="s">
        <v>352</v>
      </c>
      <c r="R10" s="80" t="s">
        <v>31</v>
      </c>
      <c r="S10" s="93">
        <f t="shared" si="1"/>
        <v>47.828505</v>
      </c>
      <c r="T10" s="93">
        <f t="shared" si="2"/>
        <v>0</v>
      </c>
      <c r="U10" s="86"/>
      <c r="V10" s="86"/>
      <c r="W10" s="86"/>
      <c r="X10" s="86"/>
    </row>
    <row r="11" spans="2:24" s="1" customFormat="1" x14ac:dyDescent="0.25">
      <c r="B11" s="91"/>
      <c r="C11" s="76" t="e" vm="4">
        <v>#VALUE!</v>
      </c>
      <c r="D11" s="18" t="s">
        <v>30</v>
      </c>
      <c r="E11" s="18" t="s">
        <v>124</v>
      </c>
      <c r="F11" s="18" t="s">
        <v>79</v>
      </c>
      <c r="G11" s="18" t="s">
        <v>125</v>
      </c>
      <c r="H11" s="92">
        <v>14787</v>
      </c>
      <c r="I11" s="92">
        <v>1.68</v>
      </c>
      <c r="J11" s="92">
        <v>4.13</v>
      </c>
      <c r="K11" s="81" t="str">
        <v>Sí</v>
      </c>
      <c r="L11" s="81" t="str">
        <v>No</v>
      </c>
      <c r="M11" s="79" t="str">
        <f t="shared" si="3"/>
        <v>Oil</v>
      </c>
      <c r="N11" s="79">
        <v>21</v>
      </c>
      <c r="O11" s="79" t="str">
        <f t="shared" si="0"/>
        <v>Heavy Oil</v>
      </c>
      <c r="P11" s="79" t="s">
        <v>55</v>
      </c>
      <c r="Q11" s="80" t="s">
        <v>352</v>
      </c>
      <c r="R11" s="80" t="s">
        <v>359</v>
      </c>
      <c r="S11" s="93">
        <f t="shared" si="1"/>
        <v>33.462980999999999</v>
      </c>
      <c r="T11" s="93">
        <f t="shared" si="2"/>
        <v>6.0093600000000009</v>
      </c>
    </row>
    <row r="12" spans="2:24" s="1" customFormat="1" x14ac:dyDescent="0.25">
      <c r="B12" s="91"/>
      <c r="C12" s="76" t="e" vm="5">
        <v>#VALUE!</v>
      </c>
      <c r="D12" s="18" t="s">
        <v>30</v>
      </c>
      <c r="E12" s="18" t="s">
        <v>139</v>
      </c>
      <c r="F12" s="18" t="s">
        <v>79</v>
      </c>
      <c r="G12" s="18" t="s">
        <v>140</v>
      </c>
      <c r="H12" s="92">
        <v>12862</v>
      </c>
      <c r="I12" s="92">
        <v>0</v>
      </c>
      <c r="J12" s="92">
        <v>1.48</v>
      </c>
      <c r="K12" s="81" t="str">
        <v>Sí</v>
      </c>
      <c r="L12" s="81" t="str">
        <v>No</v>
      </c>
      <c r="M12" s="79" t="str">
        <f t="shared" si="3"/>
        <v>Oil</v>
      </c>
      <c r="N12" s="79">
        <v>21</v>
      </c>
      <c r="O12" s="79" t="str">
        <f t="shared" si="0"/>
        <v>Heavy Oil</v>
      </c>
      <c r="P12" s="79" t="s">
        <v>360</v>
      </c>
      <c r="Q12" s="80" t="s">
        <v>352</v>
      </c>
      <c r="R12" s="80" t="s">
        <v>359</v>
      </c>
      <c r="S12" s="93">
        <f t="shared" si="1"/>
        <v>29.106705999999999</v>
      </c>
      <c r="T12" s="93">
        <f t="shared" si="2"/>
        <v>0</v>
      </c>
    </row>
    <row r="13" spans="2:24" s="1" customFormat="1" x14ac:dyDescent="0.25">
      <c r="B13" s="91"/>
      <c r="C13" s="76" t="e" vm="6">
        <v>#VALUE!</v>
      </c>
      <c r="D13" s="18" t="s">
        <v>154</v>
      </c>
      <c r="E13" s="18" t="s">
        <v>152</v>
      </c>
      <c r="F13" s="18" t="s">
        <v>79</v>
      </c>
      <c r="G13" s="18" t="s">
        <v>153</v>
      </c>
      <c r="H13" s="92">
        <v>11114</v>
      </c>
      <c r="I13" s="92">
        <v>0</v>
      </c>
      <c r="J13" s="92">
        <v>0.9</v>
      </c>
      <c r="K13" s="81" t="str">
        <v>Sí</v>
      </c>
      <c r="L13" s="81" t="str">
        <v>No</v>
      </c>
      <c r="M13" s="79" t="str">
        <f t="shared" si="3"/>
        <v>Oil</v>
      </c>
      <c r="N13" s="79">
        <v>13</v>
      </c>
      <c r="O13" s="79" t="str">
        <f t="shared" si="0"/>
        <v>Heavy Oil</v>
      </c>
      <c r="P13" s="79" t="s">
        <v>163</v>
      </c>
      <c r="Q13" s="80" t="s">
        <v>31</v>
      </c>
      <c r="R13" s="80" t="s">
        <v>361</v>
      </c>
      <c r="S13" s="93">
        <f t="shared" si="1"/>
        <v>25.150981999999999</v>
      </c>
      <c r="T13" s="93">
        <f t="shared" si="2"/>
        <v>0</v>
      </c>
    </row>
    <row r="14" spans="2:24" s="1" customFormat="1" x14ac:dyDescent="0.25">
      <c r="B14" s="91"/>
      <c r="C14" s="76" t="e" vm="7">
        <v>#VALUE!</v>
      </c>
      <c r="D14" s="18" t="s">
        <v>30</v>
      </c>
      <c r="E14" s="18" t="s">
        <v>255</v>
      </c>
      <c r="F14" s="18" t="s">
        <v>28</v>
      </c>
      <c r="G14" s="18" t="s">
        <v>256</v>
      </c>
      <c r="H14" s="92">
        <v>11342</v>
      </c>
      <c r="I14" s="92">
        <v>152.77000000000001</v>
      </c>
      <c r="J14" s="92">
        <v>754.35</v>
      </c>
      <c r="K14" s="81" t="str" cm="1">
        <f t="array" ref="K14:K19">IF(H14:H19&gt;K4,"Sí","No")</f>
        <v>Sí</v>
      </c>
      <c r="L14" s="81" t="str" cm="1">
        <f t="array" ref="L14:L19">+IF(J14:J19&gt;L4,"Sí","No")</f>
        <v>Sí</v>
      </c>
      <c r="M14" s="79" t="str">
        <f t="shared" si="3"/>
        <v>Oil and Gas</v>
      </c>
      <c r="N14" s="79">
        <v>48</v>
      </c>
      <c r="O14" s="79" t="str">
        <f t="shared" si="0"/>
        <v>Light Oil</v>
      </c>
      <c r="P14" s="79" t="s">
        <v>31</v>
      </c>
      <c r="Q14" s="80" t="s">
        <v>362</v>
      </c>
      <c r="R14" s="80" t="s">
        <v>363</v>
      </c>
      <c r="S14" s="93">
        <f t="shared" si="1"/>
        <v>25.666945999999999</v>
      </c>
      <c r="T14" s="93">
        <f t="shared" si="2"/>
        <v>546.45829000000003</v>
      </c>
    </row>
    <row r="15" spans="2:24" s="1" customFormat="1" x14ac:dyDescent="0.25">
      <c r="B15" s="91"/>
      <c r="C15" s="76" t="e" vm="7">
        <v>#VALUE!</v>
      </c>
      <c r="D15" s="18" t="s">
        <v>30</v>
      </c>
      <c r="E15" s="18" t="s">
        <v>269</v>
      </c>
      <c r="F15" s="18" t="s">
        <v>28</v>
      </c>
      <c r="G15" s="18" t="s">
        <v>270</v>
      </c>
      <c r="H15" s="92">
        <v>4514</v>
      </c>
      <c r="I15" s="92">
        <v>182.15</v>
      </c>
      <c r="J15" s="92">
        <v>306.27</v>
      </c>
      <c r="K15" s="81" t="str">
        <v>Sí</v>
      </c>
      <c r="L15" s="81" t="str">
        <v>Sí</v>
      </c>
      <c r="M15" s="79" t="str">
        <f>+IF(AND(K15="Sí",L15="Sí"),"Oil and Gas",IF(K15="Sí","Oil",IF(L15="Sí","Gas")))</f>
        <v>Oil and Gas</v>
      </c>
      <c r="N15" s="79">
        <v>52</v>
      </c>
      <c r="O15" s="79" t="str">
        <f t="shared" si="0"/>
        <v>Light Oil</v>
      </c>
      <c r="P15" s="79" t="s">
        <v>31</v>
      </c>
      <c r="Q15" s="80" t="s">
        <v>364</v>
      </c>
      <c r="R15" s="80" t="s">
        <v>275</v>
      </c>
      <c r="S15" s="93">
        <f t="shared" si="1"/>
        <v>10.215182</v>
      </c>
      <c r="T15" s="93">
        <f t="shared" si="2"/>
        <v>651.55055000000004</v>
      </c>
    </row>
    <row r="16" spans="2:24" s="1" customFormat="1" x14ac:dyDescent="0.25">
      <c r="B16" s="91"/>
      <c r="C16" s="76" t="e" vm="7">
        <v>#VALUE!</v>
      </c>
      <c r="D16" s="18" t="s">
        <v>278</v>
      </c>
      <c r="E16" s="18" t="s">
        <v>276</v>
      </c>
      <c r="F16" s="18" t="s">
        <v>28</v>
      </c>
      <c r="G16" s="18" t="s">
        <v>277</v>
      </c>
      <c r="H16" s="92">
        <v>31197</v>
      </c>
      <c r="I16" s="92">
        <v>218.46</v>
      </c>
      <c r="J16" s="92">
        <v>459.81099999999998</v>
      </c>
      <c r="K16" s="81" t="str">
        <v>Sí</v>
      </c>
      <c r="L16" s="81" t="str">
        <v>Sí</v>
      </c>
      <c r="M16" s="79" t="str">
        <f t="shared" si="3"/>
        <v>Oil and Gas</v>
      </c>
      <c r="N16" s="79">
        <v>46</v>
      </c>
      <c r="O16" s="79" t="str">
        <f t="shared" si="0"/>
        <v>Light Oil</v>
      </c>
      <c r="P16" s="79" t="s">
        <v>31</v>
      </c>
      <c r="Q16" s="80" t="s">
        <v>31</v>
      </c>
      <c r="R16" s="80" t="s">
        <v>365</v>
      </c>
      <c r="S16" s="93">
        <f t="shared" si="1"/>
        <v>70.598810999999998</v>
      </c>
      <c r="T16" s="93">
        <f t="shared" si="2"/>
        <v>781.43142000000012</v>
      </c>
    </row>
    <row r="17" spans="2:20" s="1" customFormat="1" x14ac:dyDescent="0.25">
      <c r="B17" s="91"/>
      <c r="C17" s="76" t="e" vm="7">
        <v>#VALUE!</v>
      </c>
      <c r="D17" s="18" t="s">
        <v>278</v>
      </c>
      <c r="E17" s="18" t="s">
        <v>276</v>
      </c>
      <c r="F17" s="18" t="s">
        <v>28</v>
      </c>
      <c r="G17" s="18" t="s">
        <v>290</v>
      </c>
      <c r="H17" s="92">
        <v>8374</v>
      </c>
      <c r="I17" s="92">
        <v>0</v>
      </c>
      <c r="J17" s="92">
        <v>153.01</v>
      </c>
      <c r="K17" s="81" t="str">
        <v>Sí</v>
      </c>
      <c r="L17" s="81" t="str">
        <v>Sí</v>
      </c>
      <c r="M17" s="79" t="str">
        <f t="shared" si="3"/>
        <v>Oil and Gas</v>
      </c>
      <c r="N17" s="79">
        <f>44+((47-44)/2)</f>
        <v>45.5</v>
      </c>
      <c r="O17" s="79" t="str">
        <f t="shared" si="0"/>
        <v>Light Oil</v>
      </c>
      <c r="P17" s="79" t="s">
        <v>31</v>
      </c>
      <c r="Q17" s="80" t="s">
        <v>362</v>
      </c>
      <c r="R17" s="80" t="s">
        <v>31</v>
      </c>
      <c r="S17" s="93">
        <f t="shared" si="1"/>
        <v>18.950361999999998</v>
      </c>
      <c r="T17" s="93">
        <f t="shared" si="2"/>
        <v>0</v>
      </c>
    </row>
    <row r="18" spans="2:20" s="1" customFormat="1" x14ac:dyDescent="0.25">
      <c r="B18" s="91"/>
      <c r="C18" s="76" t="e" vm="8">
        <v>#VALUE!</v>
      </c>
      <c r="D18" s="18" t="s">
        <v>302</v>
      </c>
      <c r="E18" s="18" t="s">
        <v>300</v>
      </c>
      <c r="F18" s="18" t="s">
        <v>299</v>
      </c>
      <c r="G18" s="18" t="s">
        <v>301</v>
      </c>
      <c r="H18" s="92">
        <v>0</v>
      </c>
      <c r="I18" s="92">
        <v>207.5</v>
      </c>
      <c r="J18" s="92">
        <v>214.703</v>
      </c>
      <c r="K18" s="81" t="str">
        <v>No</v>
      </c>
      <c r="L18" s="81" t="str">
        <v>Sí</v>
      </c>
      <c r="M18" s="79" t="str">
        <f>+IF(AND(K18="Sí",L18="Sí"),"Oil and Gas",IF(K18="Sí","Oil",IF(L18="Sí","Gas")))</f>
        <v>Gas</v>
      </c>
      <c r="N18" s="79" t="s">
        <v>31</v>
      </c>
      <c r="O18" s="79" t="str">
        <f t="shared" si="0"/>
        <v>Doesn't Apply</v>
      </c>
      <c r="P18" s="79" t="s">
        <v>31</v>
      </c>
      <c r="Q18" s="80" t="s">
        <v>31</v>
      </c>
      <c r="R18" s="80" t="s">
        <v>31</v>
      </c>
      <c r="S18" s="93">
        <f t="shared" si="1"/>
        <v>0</v>
      </c>
      <c r="T18" s="93">
        <f t="shared" si="2"/>
        <v>742.22750000000008</v>
      </c>
    </row>
    <row r="19" spans="2:20" s="1" customFormat="1" x14ac:dyDescent="0.25">
      <c r="B19" s="91"/>
      <c r="C19" s="76" t="e" vm="8">
        <v>#VALUE!</v>
      </c>
      <c r="D19" s="18" t="s">
        <v>302</v>
      </c>
      <c r="E19" s="18" t="s">
        <v>300</v>
      </c>
      <c r="F19" s="18" t="s">
        <v>299</v>
      </c>
      <c r="G19" s="18" t="s">
        <v>311</v>
      </c>
      <c r="H19" s="92">
        <v>0</v>
      </c>
      <c r="I19" s="92">
        <v>30.6</v>
      </c>
      <c r="J19" s="92">
        <v>31.34</v>
      </c>
      <c r="K19" s="81" t="str">
        <v>No</v>
      </c>
      <c r="L19" s="81" t="str">
        <v>Sí</v>
      </c>
      <c r="M19" s="79" t="str">
        <f t="shared" si="3"/>
        <v>Gas</v>
      </c>
      <c r="N19" s="79" t="s">
        <v>31</v>
      </c>
      <c r="O19" s="79" t="str">
        <f>+IF(M18="Gas","Doesn't Apply",IF(N19&lt;$M$30,$K$30,IF(N19&lt;$M$31,$K$31,IF(N19&lt;$M$32,$K$32,IF(N19&gt;$L$33,$K$33,"Doesn't Apply")))))</f>
        <v>Doesn't Apply</v>
      </c>
      <c r="P19" s="79" t="s">
        <v>31</v>
      </c>
      <c r="Q19" s="80" t="s">
        <v>31</v>
      </c>
      <c r="R19" s="80" t="s">
        <v>31</v>
      </c>
      <c r="S19" s="93">
        <f t="shared" si="1"/>
        <v>0</v>
      </c>
      <c r="T19" s="93">
        <f t="shared" si="2"/>
        <v>109.45620000000002</v>
      </c>
    </row>
    <row r="20" spans="2:20" s="1" customFormat="1" x14ac:dyDescent="0.25">
      <c r="H20" s="94"/>
      <c r="I20" s="94"/>
      <c r="R20" s="95"/>
    </row>
    <row r="21" spans="2:20" s="1" customFormat="1" x14ac:dyDescent="0.25">
      <c r="I21" s="94"/>
      <c r="P21" s="96"/>
    </row>
    <row r="22" spans="2:20" s="1" customFormat="1" x14ac:dyDescent="0.25">
      <c r="K22" s="78" t="s">
        <v>377</v>
      </c>
      <c r="L22" s="78">
        <f>+COUNTIF(M5:M19,"Oil")</f>
        <v>9</v>
      </c>
    </row>
    <row r="23" spans="2:20" s="1" customFormat="1" x14ac:dyDescent="0.25">
      <c r="K23" s="78" t="s">
        <v>378</v>
      </c>
      <c r="L23" s="78">
        <f>COUNTIF(M5:M19,"Gas")</f>
        <v>2</v>
      </c>
    </row>
    <row r="24" spans="2:20" s="1" customFormat="1" ht="15.75" thickBot="1" x14ac:dyDescent="0.3">
      <c r="K24" s="97" t="s">
        <v>379</v>
      </c>
      <c r="L24" s="97">
        <f>COUNTIF(M5:M19,"Oil and Gas")</f>
        <v>4</v>
      </c>
    </row>
    <row r="25" spans="2:20" s="1" customFormat="1" ht="15.75" thickTop="1" x14ac:dyDescent="0.25">
      <c r="K25" s="77" t="s">
        <v>380</v>
      </c>
      <c r="L25" s="77">
        <f>+SUM(L22:L24)</f>
        <v>15</v>
      </c>
      <c r="O25" s="94"/>
    </row>
    <row r="26" spans="2:20" s="1" customFormat="1" x14ac:dyDescent="0.25"/>
    <row r="27" spans="2:20" s="1" customFormat="1" x14ac:dyDescent="0.25"/>
    <row r="28" spans="2:20" s="1" customFormat="1" ht="15.75" thickBot="1" x14ac:dyDescent="0.3">
      <c r="K28" s="265" t="s">
        <v>381</v>
      </c>
      <c r="L28" s="265"/>
      <c r="M28" s="265"/>
    </row>
    <row r="29" spans="2:20" s="1" customFormat="1" ht="15.75" thickTop="1" x14ac:dyDescent="0.25">
      <c r="K29" s="98"/>
      <c r="L29" s="98" t="s">
        <v>382</v>
      </c>
      <c r="M29" s="98" t="s">
        <v>383</v>
      </c>
    </row>
    <row r="30" spans="2:20" s="1" customFormat="1" x14ac:dyDescent="0.25">
      <c r="K30" s="78" t="s">
        <v>384</v>
      </c>
      <c r="L30" s="99">
        <v>0</v>
      </c>
      <c r="M30" s="98">
        <v>10</v>
      </c>
    </row>
    <row r="31" spans="2:20" s="1" customFormat="1" x14ac:dyDescent="0.25">
      <c r="K31" s="78" t="s">
        <v>385</v>
      </c>
      <c r="L31" s="98">
        <v>10</v>
      </c>
      <c r="M31" s="98">
        <v>22.3</v>
      </c>
    </row>
    <row r="32" spans="2:20" s="1" customFormat="1" x14ac:dyDescent="0.25">
      <c r="K32" s="78" t="s">
        <v>386</v>
      </c>
      <c r="L32" s="98">
        <v>22.3</v>
      </c>
      <c r="M32" s="98">
        <v>31.1</v>
      </c>
    </row>
    <row r="33" spans="11:20" s="1" customFormat="1" x14ac:dyDescent="0.25">
      <c r="K33" s="78" t="s">
        <v>387</v>
      </c>
      <c r="L33" s="98">
        <v>31.1</v>
      </c>
      <c r="M33" s="99">
        <v>100</v>
      </c>
      <c r="N33" s="91"/>
    </row>
    <row r="34" spans="11:20" s="1" customFormat="1" x14ac:dyDescent="0.25"/>
    <row r="35" spans="11:20" s="1" customFormat="1" x14ac:dyDescent="0.25"/>
    <row r="36" spans="11:20" s="1" customFormat="1" ht="15.75" thickBot="1" x14ac:dyDescent="0.3">
      <c r="K36" s="266" t="s">
        <v>388</v>
      </c>
      <c r="L36" s="266"/>
      <c r="M36" s="266"/>
      <c r="N36" s="266"/>
      <c r="R36" s="78"/>
      <c r="S36" s="78"/>
      <c r="T36" s="78"/>
    </row>
    <row r="37" spans="11:20" s="1" customFormat="1" ht="17.25" customHeight="1" thickTop="1" thickBot="1" x14ac:dyDescent="0.3">
      <c r="L37" s="100" t="s">
        <v>389</v>
      </c>
      <c r="M37" s="100" t="s">
        <v>390</v>
      </c>
      <c r="N37" s="100" t="s">
        <v>391</v>
      </c>
      <c r="Q37" s="267" t="s">
        <v>392</v>
      </c>
      <c r="R37" s="267"/>
      <c r="S37" s="267"/>
      <c r="T37" s="267"/>
    </row>
    <row r="38" spans="11:20" s="1" customFormat="1" ht="15.75" thickTop="1" x14ac:dyDescent="0.25">
      <c r="K38" s="1" t="s">
        <v>393</v>
      </c>
      <c r="L38" s="101">
        <v>865191</v>
      </c>
      <c r="M38" s="94">
        <v>505308</v>
      </c>
      <c r="N38" s="102">
        <v>0.58404213636064173</v>
      </c>
      <c r="R38" s="100" t="s">
        <v>30</v>
      </c>
      <c r="S38" s="103" t="s">
        <v>394</v>
      </c>
      <c r="T38" s="78" t="s">
        <v>395</v>
      </c>
    </row>
    <row r="39" spans="11:20" s="1" customFormat="1" x14ac:dyDescent="0.25">
      <c r="K39" s="1" t="s">
        <v>396</v>
      </c>
      <c r="L39" s="101">
        <v>2343.1799999999998</v>
      </c>
      <c r="M39" s="94">
        <v>1941.6439999999998</v>
      </c>
      <c r="N39" s="102">
        <v>0.82863629768092928</v>
      </c>
      <c r="Q39" s="1" t="s">
        <v>393</v>
      </c>
      <c r="R39" s="101">
        <v>469419</v>
      </c>
      <c r="S39" s="94">
        <v>389606</v>
      </c>
      <c r="T39" s="104">
        <v>0.82997492645163484</v>
      </c>
    </row>
    <row r="40" spans="11:20" s="1" customFormat="1" x14ac:dyDescent="0.25">
      <c r="K40" s="1" t="s">
        <v>369</v>
      </c>
      <c r="L40" s="105">
        <v>1060</v>
      </c>
      <c r="M40" s="105">
        <v>796.81100000000004</v>
      </c>
      <c r="N40" s="102">
        <v>0.75170849056603772</v>
      </c>
      <c r="Q40" s="1" t="s">
        <v>396</v>
      </c>
      <c r="R40" s="101">
        <v>1201.2</v>
      </c>
      <c r="S40" s="106">
        <v>1080.6699999999998</v>
      </c>
      <c r="T40" s="104">
        <v>0.89965867465867455</v>
      </c>
    </row>
    <row r="41" spans="11:20" s="1" customFormat="1" x14ac:dyDescent="0.25">
      <c r="L41" s="105"/>
      <c r="M41" s="94"/>
      <c r="N41" s="102"/>
      <c r="Q41" s="1" t="s">
        <v>397</v>
      </c>
      <c r="R41" s="107">
        <v>436.14</v>
      </c>
      <c r="S41" s="1">
        <v>340.25100000000003</v>
      </c>
      <c r="T41" s="108">
        <v>0.78014169762003038</v>
      </c>
    </row>
    <row r="42" spans="11:20" s="1" customFormat="1" x14ac:dyDescent="0.25"/>
    <row r="43" spans="11:20" s="1" customFormat="1" ht="15.75" thickBot="1" x14ac:dyDescent="0.3">
      <c r="K43" s="266" t="s">
        <v>398</v>
      </c>
      <c r="L43" s="266"/>
      <c r="M43" s="266"/>
      <c r="Q43" s="266" t="s">
        <v>399</v>
      </c>
      <c r="R43" s="266"/>
      <c r="S43" s="266"/>
    </row>
    <row r="44" spans="11:20" s="1" customFormat="1" ht="15.75" thickTop="1" x14ac:dyDescent="0.25">
      <c r="L44" s="1" t="s">
        <v>400</v>
      </c>
      <c r="R44" s="1" t="s">
        <v>400</v>
      </c>
    </row>
    <row r="45" spans="11:20" s="1" customFormat="1" x14ac:dyDescent="0.25">
      <c r="K45" s="78" t="s">
        <v>384</v>
      </c>
      <c r="L45" s="109">
        <f>+SUMIF($O$5:$O$19,K45,$H$5:$H$19)</f>
        <v>0</v>
      </c>
      <c r="M45" s="94">
        <f>+L45/L49</f>
        <v>0</v>
      </c>
      <c r="Q45" s="78" t="s">
        <v>384</v>
      </c>
      <c r="R45" s="109">
        <f>360439/(365)</f>
        <v>987.50410958904115</v>
      </c>
      <c r="S45" s="110">
        <f>+R45/R49</f>
        <v>1.2434485304680682E-3</v>
      </c>
    </row>
    <row r="46" spans="11:20" s="1" customFormat="1" x14ac:dyDescent="0.25">
      <c r="K46" s="78" t="s">
        <v>385</v>
      </c>
      <c r="L46" s="109">
        <f>+SUMIF($O$5:$O$19,K46,$H$5:$H$19)</f>
        <v>383545</v>
      </c>
      <c r="M46" s="111">
        <f>+L46/$L$49</f>
        <v>0.75903211506645452</v>
      </c>
      <c r="Q46" s="78" t="s">
        <v>385</v>
      </c>
      <c r="R46" s="109">
        <f>153830052/(365)</f>
        <v>421452.19726027397</v>
      </c>
      <c r="S46" s="111">
        <f>+R46/R49</f>
        <v>0.53068550323695973</v>
      </c>
    </row>
    <row r="47" spans="11:20" s="1" customFormat="1" x14ac:dyDescent="0.25">
      <c r="K47" s="78" t="s">
        <v>386</v>
      </c>
      <c r="L47" s="109">
        <f>+SUMIF($O$5:$O$19,K47,$H$5:$H$19)</f>
        <v>66336</v>
      </c>
      <c r="M47" s="111">
        <f t="shared" ref="M47:M48" si="4">+L47/$L$49</f>
        <v>0.13127834904652211</v>
      </c>
      <c r="Q47" s="78" t="s">
        <v>386</v>
      </c>
      <c r="R47" s="109">
        <f>78050096/(365)</f>
        <v>213835.8794520548</v>
      </c>
      <c r="S47" s="111">
        <f>+R47/R49</f>
        <v>0.26925853521425719</v>
      </c>
    </row>
    <row r="48" spans="11:20" s="1" customFormat="1" ht="15.75" thickBot="1" x14ac:dyDescent="0.3">
      <c r="K48" s="78" t="s">
        <v>387</v>
      </c>
      <c r="L48" s="112">
        <f>+SUMIF($O$5:$O$19,K48,$H$5:$H$19)</f>
        <v>55427</v>
      </c>
      <c r="M48" s="113">
        <f t="shared" si="4"/>
        <v>0.10968953588702336</v>
      </c>
      <c r="Q48" s="78" t="s">
        <v>387</v>
      </c>
      <c r="R48" s="112">
        <f>57629875/365</f>
        <v>157890.0684931507</v>
      </c>
      <c r="S48" s="113">
        <f>+R48/R49</f>
        <v>0.19881251301831507</v>
      </c>
    </row>
    <row r="49" spans="11:21" s="1" customFormat="1" ht="15.75" thickTop="1" x14ac:dyDescent="0.25">
      <c r="K49" s="114"/>
      <c r="L49" s="94">
        <f>+SUM(L45:L48)</f>
        <v>505308</v>
      </c>
      <c r="M49" s="115">
        <f>+SUM(M46:M48)</f>
        <v>1</v>
      </c>
      <c r="Q49" s="114"/>
      <c r="R49" s="94">
        <f>+SUM(R45:R48)</f>
        <v>794165.6493150685</v>
      </c>
      <c r="S49" s="115">
        <f>+SUM(S46:S48)</f>
        <v>0.99875655146953191</v>
      </c>
      <c r="T49" s="94"/>
    </row>
    <row r="50" spans="11:21" s="1" customFormat="1" x14ac:dyDescent="0.25">
      <c r="R50" s="94"/>
    </row>
    <row r="51" spans="11:21" s="1" customFormat="1" x14ac:dyDescent="0.25"/>
    <row r="52" spans="11:21" s="1" customFormat="1" ht="15.75" thickBot="1" x14ac:dyDescent="0.3">
      <c r="K52" s="266" t="s">
        <v>401</v>
      </c>
      <c r="L52" s="266"/>
      <c r="M52" s="266"/>
      <c r="N52" s="266"/>
      <c r="O52" s="266"/>
      <c r="Q52" s="266" t="s">
        <v>402</v>
      </c>
      <c r="R52" s="266"/>
      <c r="S52" s="266"/>
      <c r="T52" s="266"/>
      <c r="U52" s="266"/>
    </row>
    <row r="53" spans="11:21" s="1" customFormat="1" ht="15.75" thickTop="1" x14ac:dyDescent="0.25">
      <c r="K53" s="78"/>
      <c r="L53" s="78" t="s">
        <v>400</v>
      </c>
      <c r="M53" s="78" t="s">
        <v>403</v>
      </c>
      <c r="N53" s="116" t="s">
        <v>404</v>
      </c>
      <c r="O53" s="78" t="s">
        <v>403</v>
      </c>
      <c r="Q53" s="78"/>
      <c r="R53" s="78" t="s">
        <v>400</v>
      </c>
      <c r="S53" s="78" t="s">
        <v>403</v>
      </c>
      <c r="T53" s="116" t="s">
        <v>404</v>
      </c>
      <c r="U53" s="117" t="s">
        <v>403</v>
      </c>
    </row>
    <row r="54" spans="11:21" s="1" customFormat="1" x14ac:dyDescent="0.25">
      <c r="K54" s="78" t="e" vm="1">
        <v>#VALUE!</v>
      </c>
      <c r="L54" s="105">
        <f t="shared" ref="L54:L61" si="5">+SUMIF($C$5:$C$19,K54,$H$5:$H$19)</f>
        <v>344782</v>
      </c>
      <c r="M54" s="117">
        <f t="shared" ref="M54:M61" si="6">+L54/$L$62</f>
        <v>0.68232048572355875</v>
      </c>
      <c r="N54" s="118">
        <f t="shared" ref="N54:N61" si="7">+SUMIF($C$5:$C$19,K54,$J$5:$J$19)</f>
        <v>8</v>
      </c>
      <c r="O54" s="119">
        <f t="shared" ref="O54:O61" si="8">+N54/$N$62</f>
        <v>4.120219772522667E-3</v>
      </c>
      <c r="Q54" s="120" t="e" vm="1">
        <v>#VALUE!</v>
      </c>
      <c r="R54" s="105">
        <v>421474.3</v>
      </c>
      <c r="S54" s="117">
        <f t="shared" ref="S54:S62" si="9">+R54/$R$63</f>
        <v>0.48714595967826757</v>
      </c>
      <c r="T54" s="105">
        <v>17.7</v>
      </c>
      <c r="U54" s="117">
        <f>+T54/$T$63</f>
        <v>7.5538370931810617E-3</v>
      </c>
    </row>
    <row r="55" spans="11:21" s="1" customFormat="1" x14ac:dyDescent="0.25">
      <c r="K55" s="78" t="e" vm="2">
        <v>#VALUE!</v>
      </c>
      <c r="L55" s="105">
        <f t="shared" si="5"/>
        <v>45201</v>
      </c>
      <c r="M55" s="104">
        <f t="shared" si="6"/>
        <v>8.9452373601842841E-2</v>
      </c>
      <c r="N55" s="121">
        <f t="shared" si="7"/>
        <v>6.44</v>
      </c>
      <c r="O55" s="119">
        <f t="shared" si="8"/>
        <v>3.3167769168807471E-3</v>
      </c>
      <c r="Q55" s="120" t="e" vm="2">
        <v>#VALUE!</v>
      </c>
      <c r="R55" s="105">
        <v>63986.1</v>
      </c>
      <c r="S55" s="117">
        <f t="shared" si="9"/>
        <v>7.3956039764629999E-2</v>
      </c>
      <c r="T55" s="105">
        <v>46.2</v>
      </c>
      <c r="U55" s="117">
        <f t="shared" ref="U55:U61" si="10">+T55/$T$63</f>
        <v>1.9716795124574298E-2</v>
      </c>
    </row>
    <row r="56" spans="11:21" s="1" customFormat="1" x14ac:dyDescent="0.25">
      <c r="K56" s="78" t="e" vm="3">
        <v>#VALUE!</v>
      </c>
      <c r="L56" s="105">
        <f t="shared" si="5"/>
        <v>21135</v>
      </c>
      <c r="M56" s="117">
        <f t="shared" si="6"/>
        <v>4.1825975444679288E-2</v>
      </c>
      <c r="N56" s="121">
        <f t="shared" si="7"/>
        <v>1.21</v>
      </c>
      <c r="O56" s="119">
        <f t="shared" si="8"/>
        <v>6.2318324059405339E-4</v>
      </c>
      <c r="Q56" s="120" t="e" vm="3">
        <v>#VALUE!</v>
      </c>
      <c r="R56" s="105">
        <v>47801.1</v>
      </c>
      <c r="S56" s="117">
        <f t="shared" si="9"/>
        <v>5.5249187751606289E-2</v>
      </c>
      <c r="T56" s="105">
        <v>5.2</v>
      </c>
      <c r="U56" s="117">
        <f t="shared" si="10"/>
        <v>2.2192063776577133E-3</v>
      </c>
    </row>
    <row r="57" spans="11:21" s="1" customFormat="1" x14ac:dyDescent="0.25">
      <c r="K57" s="78" t="e" vm="4">
        <v>#VALUE!</v>
      </c>
      <c r="L57" s="105">
        <f t="shared" si="5"/>
        <v>14787</v>
      </c>
      <c r="M57" s="117">
        <f t="shared" si="6"/>
        <v>2.9263340378541405E-2</v>
      </c>
      <c r="N57" s="118">
        <f t="shared" si="7"/>
        <v>4.13</v>
      </c>
      <c r="O57" s="119">
        <f t="shared" si="8"/>
        <v>2.1270634575648265E-3</v>
      </c>
      <c r="Q57" s="120" t="e" vm="4">
        <v>#VALUE!</v>
      </c>
      <c r="R57" s="105">
        <v>10337.799999999999</v>
      </c>
      <c r="S57" s="117">
        <f t="shared" si="9"/>
        <v>1.1948575516851192E-2</v>
      </c>
      <c r="T57" s="105">
        <v>4.9000000000000004</v>
      </c>
      <c r="U57" s="117">
        <f t="shared" si="10"/>
        <v>2.0911752404851529E-3</v>
      </c>
    </row>
    <row r="58" spans="11:21" s="1" customFormat="1" x14ac:dyDescent="0.25">
      <c r="K58" s="78" t="e" vm="5">
        <v>#VALUE!</v>
      </c>
      <c r="L58" s="105">
        <f t="shared" si="5"/>
        <v>12862</v>
      </c>
      <c r="M58" s="104">
        <f t="shared" si="6"/>
        <v>2.545378264345706E-2</v>
      </c>
      <c r="N58" s="121">
        <f t="shared" si="7"/>
        <v>1.48</v>
      </c>
      <c r="O58" s="119">
        <f t="shared" si="8"/>
        <v>7.6224065791669331E-4</v>
      </c>
      <c r="Q58" s="120" t="e" vm="5">
        <v>#VALUE!</v>
      </c>
      <c r="R58" s="105">
        <v>16428.900000000001</v>
      </c>
      <c r="S58" s="117">
        <f t="shared" si="9"/>
        <v>1.8988755084137492E-2</v>
      </c>
      <c r="T58" s="105">
        <v>2.2000000000000002</v>
      </c>
      <c r="U58" s="117">
        <f t="shared" si="10"/>
        <v>9.3889500593210954E-4</v>
      </c>
    </row>
    <row r="59" spans="11:21" s="1" customFormat="1" x14ac:dyDescent="0.25">
      <c r="K59" s="78" t="e" vm="6">
        <v>#VALUE!</v>
      </c>
      <c r="L59" s="105">
        <f t="shared" si="5"/>
        <v>11114</v>
      </c>
      <c r="M59" s="104">
        <f t="shared" si="6"/>
        <v>2.1994506320897354E-2</v>
      </c>
      <c r="N59" s="121">
        <f t="shared" si="7"/>
        <v>0.9</v>
      </c>
      <c r="O59" s="119">
        <f t="shared" si="8"/>
        <v>4.6352472440880002E-4</v>
      </c>
      <c r="Q59" s="120" t="e" vm="6">
        <v>#VALUE!</v>
      </c>
      <c r="R59" s="105">
        <v>34033.25</v>
      </c>
      <c r="S59" s="117">
        <f t="shared" si="9"/>
        <v>3.9336111910549233E-2</v>
      </c>
      <c r="T59" s="105">
        <v>17.2</v>
      </c>
      <c r="U59" s="117">
        <f t="shared" si="10"/>
        <v>7.3404518645601279E-3</v>
      </c>
    </row>
    <row r="60" spans="11:21" s="1" customFormat="1" x14ac:dyDescent="0.25">
      <c r="K60" s="78" t="e" vm="7">
        <v>#VALUE!</v>
      </c>
      <c r="L60" s="105">
        <f t="shared" si="5"/>
        <v>55427</v>
      </c>
      <c r="M60" s="104">
        <f t="shared" si="6"/>
        <v>0.10968953588702336</v>
      </c>
      <c r="N60" s="121">
        <f t="shared" si="7"/>
        <v>1673.4409999999998</v>
      </c>
      <c r="O60" s="119">
        <f t="shared" si="8"/>
        <v>0.86186808704376294</v>
      </c>
      <c r="Q60" s="120" t="e" vm="7">
        <v>#VALUE!</v>
      </c>
      <c r="R60" s="105">
        <v>170107.4</v>
      </c>
      <c r="S60" s="117">
        <f t="shared" si="9"/>
        <v>0.19661253989003583</v>
      </c>
      <c r="T60" s="105">
        <v>1628.7</v>
      </c>
      <c r="U60" s="117">
        <f t="shared" si="10"/>
        <v>0.69508104370983026</v>
      </c>
    </row>
    <row r="61" spans="11:21" s="1" customFormat="1" ht="15.75" thickBot="1" x14ac:dyDescent="0.3">
      <c r="K61" s="122" t="e" vm="8">
        <v>#VALUE!</v>
      </c>
      <c r="L61" s="122">
        <f t="shared" si="5"/>
        <v>0</v>
      </c>
      <c r="M61" s="123">
        <f t="shared" si="6"/>
        <v>0</v>
      </c>
      <c r="N61" s="124">
        <f t="shared" si="7"/>
        <v>246.04300000000001</v>
      </c>
      <c r="O61" s="125">
        <f t="shared" si="8"/>
        <v>0.12671890418634932</v>
      </c>
      <c r="Q61" s="120" t="e" vm="8">
        <v>#VALUE!</v>
      </c>
      <c r="R61" s="105">
        <v>0</v>
      </c>
      <c r="S61" s="117">
        <f t="shared" si="9"/>
        <v>0</v>
      </c>
      <c r="T61" s="105">
        <v>238.3</v>
      </c>
      <c r="U61" s="117">
        <f t="shared" si="10"/>
        <v>0.10169939996073712</v>
      </c>
    </row>
    <row r="62" spans="11:21" s="1" customFormat="1" ht="16.5" thickTop="1" thickBot="1" x14ac:dyDescent="0.3">
      <c r="L62" s="94">
        <f>+SUM(L54:L61)</f>
        <v>505308</v>
      </c>
      <c r="M62" s="126">
        <f>+SUM(M54:M61)</f>
        <v>1.0000000000000002</v>
      </c>
      <c r="N62" s="127">
        <f>+SUM(N54:N61)</f>
        <v>1941.6439999999998</v>
      </c>
      <c r="O62" s="102">
        <f>+SUM(O54:O61)</f>
        <v>1</v>
      </c>
      <c r="Q62" s="128" t="s">
        <v>405</v>
      </c>
      <c r="R62" s="129">
        <f>+L38-SUM(R54:R61)</f>
        <v>101022.14999999991</v>
      </c>
      <c r="S62" s="130">
        <f t="shared" si="9"/>
        <v>0.11676283040392227</v>
      </c>
      <c r="T62" s="129">
        <f>+L39-SUM(T54:T61)</f>
        <v>382.77999999999975</v>
      </c>
      <c r="U62" s="130">
        <f>+T62/$T$63</f>
        <v>0.1633591956230421</v>
      </c>
    </row>
    <row r="63" spans="11:21" s="1" customFormat="1" ht="15.75" thickTop="1" x14ac:dyDescent="0.25">
      <c r="R63" s="94">
        <f>+SUM(R54:R62)</f>
        <v>865191</v>
      </c>
      <c r="S63" s="117">
        <f>+SUM(S54:S62)</f>
        <v>0.99999999999999978</v>
      </c>
      <c r="T63" s="94">
        <f>+SUM(T54:T62)</f>
        <v>2343.1799999999998</v>
      </c>
      <c r="U63" s="117">
        <f>+SUM(U54:U62)</f>
        <v>0.99999999999999989</v>
      </c>
    </row>
    <row r="64" spans="11:21" s="1" customFormat="1" x14ac:dyDescent="0.25"/>
    <row r="65" spans="11:22" s="1" customFormat="1" x14ac:dyDescent="0.25"/>
    <row r="66" spans="11:22" s="1" customFormat="1" ht="15.75" thickBot="1" x14ac:dyDescent="0.3">
      <c r="K66" s="266" t="s">
        <v>406</v>
      </c>
      <c r="L66" s="266"/>
      <c r="M66" s="266"/>
      <c r="N66" s="266"/>
      <c r="O66" s="266"/>
      <c r="Q66" s="266" t="s">
        <v>407</v>
      </c>
      <c r="R66" s="266"/>
      <c r="S66" s="266"/>
      <c r="T66" s="266"/>
      <c r="U66" s="266"/>
    </row>
    <row r="67" spans="11:22" s="1" customFormat="1" ht="15.75" thickTop="1" x14ac:dyDescent="0.25">
      <c r="L67" s="78" t="s">
        <v>400</v>
      </c>
      <c r="M67" s="131" t="s">
        <v>403</v>
      </c>
      <c r="N67" s="78" t="s">
        <v>404</v>
      </c>
      <c r="O67" s="78" t="s">
        <v>403</v>
      </c>
      <c r="R67" s="78" t="s">
        <v>400</v>
      </c>
      <c r="S67" s="131" t="s">
        <v>403</v>
      </c>
      <c r="T67" s="78" t="s">
        <v>404</v>
      </c>
      <c r="U67" s="78" t="s">
        <v>403</v>
      </c>
    </row>
    <row r="68" spans="11:22" s="1" customFormat="1" x14ac:dyDescent="0.25">
      <c r="K68" s="1" t="s">
        <v>79</v>
      </c>
      <c r="L68" s="109">
        <f>+SUMIF($F$5:$F$19,K68,$H$5:$H$19)</f>
        <v>83964</v>
      </c>
      <c r="M68" s="132">
        <f>+L68/$L$71</f>
        <v>0.16616400294473865</v>
      </c>
      <c r="N68" s="109">
        <f>+SUMIF($F$5:$F$19,K68,$J$5:$J$19)</f>
        <v>12.950000000000001</v>
      </c>
      <c r="O68" s="133">
        <f>+N68/$N$71</f>
        <v>6.6696057567710671E-3</v>
      </c>
      <c r="Q68" s="1" t="s">
        <v>79</v>
      </c>
      <c r="R68" s="134">
        <v>116160</v>
      </c>
      <c r="S68" s="132">
        <f>+R68/$R$72</f>
        <v>0.14617664269399927</v>
      </c>
      <c r="T68" s="134">
        <f>12.9*1000/365</f>
        <v>35.342465753424655</v>
      </c>
      <c r="U68" s="135">
        <f>+T68/T72</f>
        <v>3.3974065877791386E-2</v>
      </c>
    </row>
    <row r="69" spans="11:22" s="1" customFormat="1" x14ac:dyDescent="0.25">
      <c r="K69" s="1" t="s">
        <v>299</v>
      </c>
      <c r="L69" s="109">
        <f>+SUMIF($F$5:$F$19,K69,$H$5:$H$19)</f>
        <v>0</v>
      </c>
      <c r="M69" s="132">
        <f t="shared" ref="M69:M70" si="11">+L69/$L$71</f>
        <v>0</v>
      </c>
      <c r="N69" s="109">
        <f>+SUMIF($F$5:$F$19,K69,$J$5:$J$19)</f>
        <v>246.04300000000001</v>
      </c>
      <c r="O69" s="133">
        <f t="shared" ref="O69:O70" si="12">+N69/$N$71</f>
        <v>0.12671890418634932</v>
      </c>
      <c r="Q69" s="1" t="s">
        <v>299</v>
      </c>
      <c r="R69" s="134">
        <v>0</v>
      </c>
      <c r="S69" s="132">
        <f>+R69/$R$72</f>
        <v>0</v>
      </c>
      <c r="T69" s="134">
        <f>248*1000/365</f>
        <v>679.45205479452056</v>
      </c>
      <c r="U69" s="135">
        <f>+T69/T72</f>
        <v>0.65314483237924537</v>
      </c>
      <c r="V69" s="102"/>
    </row>
    <row r="70" spans="11:22" s="1" customFormat="1" ht="15.75" thickBot="1" x14ac:dyDescent="0.3">
      <c r="K70" s="136" t="s">
        <v>28</v>
      </c>
      <c r="L70" s="112">
        <f>+SUMIF($F$5:$F$19,K70,$H$5:$H$19)</f>
        <v>421344</v>
      </c>
      <c r="M70" s="137">
        <f t="shared" si="11"/>
        <v>0.83383599705526135</v>
      </c>
      <c r="N70" s="112">
        <f>+SUMIF($F$5:$F$19,K70,$J$5:$J$19)</f>
        <v>1682.6509999999998</v>
      </c>
      <c r="O70" s="138">
        <f t="shared" si="12"/>
        <v>0.86661149005687965</v>
      </c>
      <c r="Q70" s="1" t="s">
        <v>28</v>
      </c>
      <c r="R70" s="139">
        <v>537311</v>
      </c>
      <c r="S70" s="132">
        <f t="shared" ref="S70" si="13">+R70/$R$72</f>
        <v>0.67615631940905174</v>
      </c>
      <c r="T70" s="140">
        <f>76*1000/365</f>
        <v>208.21917808219177</v>
      </c>
      <c r="U70" s="102">
        <f>+T70/T72</f>
        <v>0.20015728734202679</v>
      </c>
    </row>
    <row r="71" spans="11:22" s="1" customFormat="1" ht="16.5" thickTop="1" thickBot="1" x14ac:dyDescent="0.3">
      <c r="L71" s="141">
        <f>+SUM(L68:L70)</f>
        <v>505308</v>
      </c>
      <c r="M71" s="132">
        <f t="shared" ref="M71:O71" si="14">+SUM(M68:M70)</f>
        <v>1</v>
      </c>
      <c r="N71" s="141">
        <f t="shared" si="14"/>
        <v>1941.6439999999998</v>
      </c>
      <c r="O71" s="141">
        <f t="shared" si="14"/>
        <v>1</v>
      </c>
      <c r="Q71" s="142" t="s">
        <v>408</v>
      </c>
      <c r="R71" s="143">
        <f>794655-(R70+R68+R69)</f>
        <v>141184</v>
      </c>
      <c r="S71" s="144">
        <f>+R71/R72</f>
        <v>0.17766703789694899</v>
      </c>
      <c r="T71" s="143">
        <f>+T72-(T68+T69+T70)</f>
        <v>117.26407914764081</v>
      </c>
      <c r="U71" s="145">
        <f>+T71/T72</f>
        <v>0.11272381440093643</v>
      </c>
    </row>
    <row r="72" spans="11:22" s="1" customFormat="1" ht="15.75" thickTop="1" x14ac:dyDescent="0.25">
      <c r="R72" s="146">
        <f>+SUM(R68:R71)</f>
        <v>794655</v>
      </c>
      <c r="S72" s="147">
        <f>+SUM(S68:S71)</f>
        <v>1</v>
      </c>
      <c r="T72" s="148">
        <f>(248+126.5)*1000/12/30</f>
        <v>1040.2777777777778</v>
      </c>
      <c r="U72" s="102">
        <f>+SUM(U68:U71)</f>
        <v>1</v>
      </c>
    </row>
    <row r="73" spans="11:22" s="1" customFormat="1" x14ac:dyDescent="0.25">
      <c r="T73" s="106"/>
    </row>
    <row r="74" spans="11:22" s="1" customFormat="1" x14ac:dyDescent="0.25"/>
    <row r="75" spans="11:22" s="1" customFormat="1" ht="15.75" thickBot="1" x14ac:dyDescent="0.3">
      <c r="K75" s="271" t="s">
        <v>409</v>
      </c>
      <c r="L75" s="271"/>
      <c r="M75" s="271"/>
      <c r="N75" s="271"/>
      <c r="O75" s="271"/>
      <c r="Q75" s="266" t="s">
        <v>410</v>
      </c>
      <c r="R75" s="266"/>
      <c r="S75" s="266"/>
      <c r="T75" s="266"/>
      <c r="U75" s="266"/>
    </row>
    <row r="76" spans="11:22" s="1" customFormat="1" ht="16.5" thickTop="1" thickBot="1" x14ac:dyDescent="0.3">
      <c r="L76" s="77" t="s">
        <v>411</v>
      </c>
      <c r="M76" s="78" t="s">
        <v>403</v>
      </c>
      <c r="N76" s="77" t="s">
        <v>412</v>
      </c>
      <c r="O76" s="78" t="s">
        <v>403</v>
      </c>
      <c r="Q76" s="149"/>
      <c r="R76" s="150" t="s">
        <v>411</v>
      </c>
      <c r="S76" s="151" t="s">
        <v>403</v>
      </c>
      <c r="T76" s="150" t="s">
        <v>412</v>
      </c>
      <c r="U76" s="151"/>
    </row>
    <row r="77" spans="11:22" s="1" customFormat="1" ht="15.75" thickTop="1" x14ac:dyDescent="0.25">
      <c r="K77" s="120" t="e" vm="1">
        <v>#VALUE!</v>
      </c>
      <c r="L77" s="152">
        <f t="shared" ref="L77:L84" si="15">+SUMIF($C$5:$C$19,K77,$S$5:$S$19)</f>
        <v>780.24166600000001</v>
      </c>
      <c r="M77" s="153">
        <f t="shared" ref="M77:M84" si="16">+L77/$L$86</f>
        <v>0.68232048572355875</v>
      </c>
      <c r="N77" s="154">
        <f t="shared" ref="N77:N84" si="17">+SUMIF($C$5:$C$19,K77,$T$5:$T$19)</f>
        <v>0</v>
      </c>
      <c r="O77" s="119">
        <f>+N77/$N$86</f>
        <v>0</v>
      </c>
      <c r="Q77" s="120" t="e" vm="1">
        <v>#VALUE!</v>
      </c>
      <c r="R77" s="155">
        <f>888415605/1000000</f>
        <v>888.41560500000003</v>
      </c>
      <c r="S77" s="153">
        <f t="shared" ref="S77:S85" si="18">+R77/$R$86</f>
        <v>0.45367392396496903</v>
      </c>
      <c r="T77" s="156">
        <f>17022745/1000000</f>
        <v>17.022745</v>
      </c>
      <c r="U77" s="119">
        <f t="shared" ref="U77:U85" si="19">+T77/$T$86</f>
        <v>4.5011767109696139E-3</v>
      </c>
    </row>
    <row r="78" spans="11:22" s="1" customFormat="1" x14ac:dyDescent="0.25">
      <c r="K78" s="120" t="e" vm="2">
        <v>#VALUE!</v>
      </c>
      <c r="L78" s="152">
        <f t="shared" si="15"/>
        <v>102.289863</v>
      </c>
      <c r="M78" s="153">
        <f t="shared" si="16"/>
        <v>8.9452373601842841E-2</v>
      </c>
      <c r="N78" s="154">
        <f t="shared" si="17"/>
        <v>13.059627000000001</v>
      </c>
      <c r="O78" s="119">
        <f t="shared" ref="O78:O84" si="20">+N78/$T$86</f>
        <v>3.4532438162205898E-3</v>
      </c>
      <c r="Q78" s="120" t="e" vm="2">
        <v>#VALUE!</v>
      </c>
      <c r="R78" s="155">
        <f>254681686/1000000</f>
        <v>254.68168600000001</v>
      </c>
      <c r="S78" s="153">
        <f t="shared" si="18"/>
        <v>0.1300544916133414</v>
      </c>
      <c r="T78" s="156">
        <f>200646510/1000000</f>
        <v>200.64651000000001</v>
      </c>
      <c r="U78" s="119">
        <f t="shared" si="19"/>
        <v>5.3055215122433642E-2</v>
      </c>
    </row>
    <row r="79" spans="11:22" s="1" customFormat="1" x14ac:dyDescent="0.25">
      <c r="K79" s="120" t="e" vm="3">
        <v>#VALUE!</v>
      </c>
      <c r="L79" s="152">
        <f t="shared" si="15"/>
        <v>47.828505</v>
      </c>
      <c r="M79" s="153">
        <f t="shared" si="16"/>
        <v>4.1825975444679288E-2</v>
      </c>
      <c r="N79" s="154">
        <f t="shared" si="17"/>
        <v>0</v>
      </c>
      <c r="O79" s="119">
        <f t="shared" si="20"/>
        <v>0</v>
      </c>
      <c r="Q79" s="120" t="e" vm="3">
        <v>#VALUE!</v>
      </c>
      <c r="R79" s="155">
        <f>67847887/1000000</f>
        <v>67.847887</v>
      </c>
      <c r="S79" s="153">
        <f t="shared" si="18"/>
        <v>3.4646866798362701E-2</v>
      </c>
      <c r="T79" s="156">
        <f>4989606/1000000</f>
        <v>4.9896060000000002</v>
      </c>
      <c r="U79" s="119">
        <f t="shared" si="19"/>
        <v>1.3193582071583784E-3</v>
      </c>
    </row>
    <row r="80" spans="11:22" s="1" customFormat="1" x14ac:dyDescent="0.25">
      <c r="K80" s="120" t="e" vm="4">
        <v>#VALUE!</v>
      </c>
      <c r="L80" s="152">
        <f t="shared" si="15"/>
        <v>33.462980999999999</v>
      </c>
      <c r="M80" s="153">
        <f t="shared" si="16"/>
        <v>2.9263340378541405E-2</v>
      </c>
      <c r="N80" s="154">
        <f t="shared" si="17"/>
        <v>6.0093600000000009</v>
      </c>
      <c r="O80" s="119">
        <f t="shared" si="20"/>
        <v>1.5890029063956701E-3</v>
      </c>
      <c r="Q80" s="120" t="e" vm="4">
        <v>#VALUE!</v>
      </c>
      <c r="R80" s="155">
        <f>8033760/1000000</f>
        <v>8.0337599999999991</v>
      </c>
      <c r="S80" s="153">
        <f t="shared" si="18"/>
        <v>4.1024801938196586E-3</v>
      </c>
      <c r="T80" s="156">
        <v>0</v>
      </c>
      <c r="U80" s="119">
        <f t="shared" si="19"/>
        <v>0</v>
      </c>
    </row>
    <row r="81" spans="11:21" s="1" customFormat="1" x14ac:dyDescent="0.25">
      <c r="K81" s="120" t="e" vm="5">
        <v>#VALUE!</v>
      </c>
      <c r="L81" s="152">
        <f t="shared" si="15"/>
        <v>29.106705999999999</v>
      </c>
      <c r="M81" s="153">
        <f t="shared" si="16"/>
        <v>2.545378264345706E-2</v>
      </c>
      <c r="N81" s="154">
        <f t="shared" si="17"/>
        <v>0</v>
      </c>
      <c r="O81" s="119">
        <f t="shared" si="20"/>
        <v>0</v>
      </c>
      <c r="Q81" s="120" t="e" vm="5">
        <v>#VALUE!</v>
      </c>
      <c r="R81" s="155">
        <f>59611739/1000000</f>
        <v>59.611739</v>
      </c>
      <c r="S81" s="153">
        <f t="shared" si="18"/>
        <v>3.0441036148285101E-2</v>
      </c>
      <c r="T81" s="156">
        <f>1702956/1000000</f>
        <v>1.7029559999999999</v>
      </c>
      <c r="U81" s="119">
        <f t="shared" si="19"/>
        <v>4.5029787422686348E-4</v>
      </c>
    </row>
    <row r="82" spans="11:21" s="1" customFormat="1" x14ac:dyDescent="0.25">
      <c r="K82" s="120" t="e" vm="6">
        <v>#VALUE!</v>
      </c>
      <c r="L82" s="152">
        <f t="shared" si="15"/>
        <v>25.150981999999999</v>
      </c>
      <c r="M82" s="153">
        <f t="shared" si="16"/>
        <v>2.1994506320897354E-2</v>
      </c>
      <c r="N82" s="154">
        <f t="shared" si="17"/>
        <v>0</v>
      </c>
      <c r="O82" s="119">
        <f t="shared" si="20"/>
        <v>0</v>
      </c>
      <c r="Q82" s="120" t="e" vm="6">
        <v>#VALUE!</v>
      </c>
      <c r="R82" s="155">
        <f>61421419/1000000</f>
        <v>61.421419</v>
      </c>
      <c r="S82" s="153">
        <f t="shared" si="18"/>
        <v>3.1365158397039301E-2</v>
      </c>
      <c r="T82" s="156">
        <f>176382695/1000000</f>
        <v>176.38269500000001</v>
      </c>
      <c r="U82" s="119">
        <f t="shared" si="19"/>
        <v>4.6639345120428964E-2</v>
      </c>
    </row>
    <row r="83" spans="11:21" s="1" customFormat="1" x14ac:dyDescent="0.25">
      <c r="K83" s="120" t="e" vm="7">
        <v>#VALUE!</v>
      </c>
      <c r="L83" s="152">
        <f t="shared" si="15"/>
        <v>125.431301</v>
      </c>
      <c r="M83" s="153">
        <f t="shared" si="16"/>
        <v>0.10968953588702338</v>
      </c>
      <c r="N83" s="154">
        <f t="shared" si="17"/>
        <v>1979.4402600000001</v>
      </c>
      <c r="O83" s="119">
        <f t="shared" si="20"/>
        <v>0.52340620734597365</v>
      </c>
      <c r="Q83" s="120" t="e" vm="7">
        <v>#VALUE!</v>
      </c>
      <c r="R83" s="155">
        <f>380888372/1000000</f>
        <v>380.888372</v>
      </c>
      <c r="S83" s="153">
        <f t="shared" si="18"/>
        <v>0.19450257440926969</v>
      </c>
      <c r="T83" s="156">
        <f>2216125271/1000000</f>
        <v>2216.1252709999999</v>
      </c>
      <c r="U83" s="119">
        <f t="shared" si="19"/>
        <v>0.58599077049068304</v>
      </c>
    </row>
    <row r="84" spans="11:21" s="1" customFormat="1" ht="15.75" thickBot="1" x14ac:dyDescent="0.3">
      <c r="K84" s="157" t="e" vm="8">
        <v>#VALUE!</v>
      </c>
      <c r="L84" s="158">
        <f t="shared" si="15"/>
        <v>0</v>
      </c>
      <c r="M84" s="159">
        <f t="shared" si="16"/>
        <v>0</v>
      </c>
      <c r="N84" s="160">
        <f t="shared" si="17"/>
        <v>851.68370000000004</v>
      </c>
      <c r="O84" s="161">
        <f t="shared" si="20"/>
        <v>0.22520332857905298</v>
      </c>
      <c r="Q84" s="120" t="e" vm="8">
        <v>#VALUE!</v>
      </c>
      <c r="R84" s="155">
        <v>0</v>
      </c>
      <c r="S84" s="153">
        <f t="shared" si="18"/>
        <v>0</v>
      </c>
      <c r="T84" s="156">
        <f>583846226/1000000</f>
        <v>583.846226</v>
      </c>
      <c r="U84" s="119">
        <f t="shared" si="19"/>
        <v>0.1543813900319074</v>
      </c>
    </row>
    <row r="85" spans="11:21" s="1" customFormat="1" ht="16.5" thickTop="1" thickBot="1" x14ac:dyDescent="0.3">
      <c r="M85" s="60" t="s">
        <v>413</v>
      </c>
      <c r="N85" s="60"/>
      <c r="O85" s="60" t="s">
        <v>413</v>
      </c>
      <c r="Q85" s="128" t="s">
        <v>405</v>
      </c>
      <c r="R85" s="162">
        <f>+R86-SUM(R77:R84)</f>
        <v>237.36858400000028</v>
      </c>
      <c r="S85" s="163">
        <f t="shared" si="18"/>
        <v>0.12121346847491325</v>
      </c>
      <c r="T85" s="164">
        <f>+T86-SUM(T77:T84)</f>
        <v>581.12729399999989</v>
      </c>
      <c r="U85" s="165">
        <f t="shared" si="19"/>
        <v>0.15366244644219196</v>
      </c>
    </row>
    <row r="86" spans="11:21" s="1" customFormat="1" ht="15.75" thickTop="1" x14ac:dyDescent="0.25">
      <c r="K86" s="28" t="s">
        <v>390</v>
      </c>
      <c r="L86" s="166">
        <f>+SUM(S5:S19)</f>
        <v>1143.5120039999999</v>
      </c>
      <c r="M86" s="167">
        <f>+L86/R86</f>
        <v>0.58394019087015625</v>
      </c>
      <c r="N86" s="166">
        <f>+SUM(T5:T19)</f>
        <v>2850.1929470000005</v>
      </c>
      <c r="O86" s="167">
        <f>+N86/T86</f>
        <v>0.75365178264764299</v>
      </c>
      <c r="Q86" s="28" t="s">
        <v>414</v>
      </c>
      <c r="R86" s="168">
        <f>1958269052/1000000</f>
        <v>1958.2690520000001</v>
      </c>
      <c r="S86" s="167">
        <v>1</v>
      </c>
      <c r="T86" s="169">
        <f>3781843303/1000000</f>
        <v>3781.8433030000001</v>
      </c>
      <c r="U86" s="167">
        <v>1</v>
      </c>
    </row>
    <row r="87" spans="11:21" s="1" customFormat="1" ht="15.75" thickBot="1" x14ac:dyDescent="0.3">
      <c r="K87" s="170" t="s">
        <v>415</v>
      </c>
      <c r="L87" s="171">
        <f>+SUMIF($D$5:$D$19,"ECP",S5:S19)</f>
        <v>881.67837800000007</v>
      </c>
      <c r="M87" s="172">
        <f>+L87/R87</f>
        <v>0.72932283729009861</v>
      </c>
      <c r="N87" s="171">
        <f>+SUMIF($D$5:$D$19,"ECP",T5:T19)</f>
        <v>1217.0778270000001</v>
      </c>
      <c r="O87" s="172">
        <f>+N87/T87</f>
        <v>0.40502027534293078</v>
      </c>
      <c r="Q87" s="170" t="s">
        <v>30</v>
      </c>
      <c r="R87" s="173">
        <f>1727*0.7</f>
        <v>1208.8999999999999</v>
      </c>
      <c r="S87" s="172">
        <f>+R87/R86</f>
        <v>0.6173309018826284</v>
      </c>
      <c r="T87" s="174">
        <f>1727*0.3*5800*(1/1000)</f>
        <v>3004.98</v>
      </c>
      <c r="U87" s="172">
        <f>+T87/T86</f>
        <v>0.79458077959397677</v>
      </c>
    </row>
    <row r="88" spans="11:21" s="1" customFormat="1" ht="15.75" thickTop="1" x14ac:dyDescent="0.25">
      <c r="K88" s="1" t="s">
        <v>416</v>
      </c>
      <c r="L88" s="154">
        <f>+SUMIF($D$5:$D$19,"ECP",S5:S19)+SUMIF($D$5:$D$19,"EQUION*",S5:S19)</f>
        <v>971.22755100000006</v>
      </c>
      <c r="M88" s="111">
        <f>+L88/R87</f>
        <v>0.80339775911986122</v>
      </c>
      <c r="N88" s="154">
        <f>+SUMIF($D$5:$D$19,"ECP",T5:T19)++SUMIF($D$5:$D$19,"EQUION*",T5:T19)</f>
        <v>1998.5092470000002</v>
      </c>
      <c r="O88" s="147">
        <f>+N88/T87</f>
        <v>0.66506573987181283</v>
      </c>
    </row>
    <row r="89" spans="11:21" s="1" customFormat="1" x14ac:dyDescent="0.25"/>
    <row r="90" spans="11:21" s="1" customFormat="1" x14ac:dyDescent="0.25">
      <c r="L90" s="95"/>
    </row>
    <row r="91" spans="11:21" s="1" customFormat="1" ht="15.75" x14ac:dyDescent="0.25">
      <c r="Q91" s="268" t="s">
        <v>417</v>
      </c>
      <c r="R91" s="268"/>
      <c r="S91" s="268"/>
      <c r="T91" s="268"/>
      <c r="U91" s="268"/>
    </row>
    <row r="92" spans="11:21" s="1" customFormat="1" ht="15.75" thickBot="1" x14ac:dyDescent="0.3">
      <c r="Q92" s="170"/>
      <c r="R92" s="170" t="s">
        <v>418</v>
      </c>
      <c r="S92" s="170"/>
      <c r="T92" s="170" t="s">
        <v>419</v>
      </c>
      <c r="U92" s="170"/>
    </row>
    <row r="93" spans="11:21" s="1" customFormat="1" ht="15.75" thickTop="1" x14ac:dyDescent="0.25">
      <c r="Q93" s="84" t="s">
        <v>414</v>
      </c>
      <c r="R93" s="1">
        <v>492</v>
      </c>
    </row>
    <row r="94" spans="11:21" s="1" customFormat="1" x14ac:dyDescent="0.25">
      <c r="Q94" s="84" t="s">
        <v>420</v>
      </c>
      <c r="R94" s="1">
        <v>42</v>
      </c>
    </row>
    <row r="95" spans="11:21" s="1" customFormat="1" x14ac:dyDescent="0.25">
      <c r="Q95" s="84" t="s">
        <v>421</v>
      </c>
      <c r="R95" s="1">
        <v>450</v>
      </c>
    </row>
    <row r="96" spans="11:21" s="1" customFormat="1" ht="15.75" thickBot="1" x14ac:dyDescent="0.3">
      <c r="Q96" s="175" t="s">
        <v>422</v>
      </c>
      <c r="R96" s="136"/>
      <c r="S96" s="136"/>
      <c r="T96" s="136"/>
      <c r="U96" s="136"/>
    </row>
    <row r="97" spans="17:22" s="1" customFormat="1" ht="15.75" thickTop="1" x14ac:dyDescent="0.25">
      <c r="Q97" s="84" t="s">
        <v>30</v>
      </c>
    </row>
    <row r="98" spans="17:22" s="1" customFormat="1" x14ac:dyDescent="0.25">
      <c r="Q98" s="84" t="s">
        <v>420</v>
      </c>
    </row>
    <row r="99" spans="17:22" s="1" customFormat="1" x14ac:dyDescent="0.25">
      <c r="Q99" s="84" t="s">
        <v>421</v>
      </c>
    </row>
    <row r="100" spans="17:22" s="1" customFormat="1" ht="15.75" thickBot="1" x14ac:dyDescent="0.3">
      <c r="Q100" s="175" t="s">
        <v>422</v>
      </c>
      <c r="R100" s="136"/>
      <c r="S100" s="136"/>
      <c r="T100" s="136"/>
      <c r="U100" s="136"/>
    </row>
    <row r="101" spans="17:22" s="1" customFormat="1" ht="15.75" thickTop="1" x14ac:dyDescent="0.25"/>
    <row r="102" spans="17:22" s="1" customFormat="1" x14ac:dyDescent="0.25"/>
    <row r="103" spans="17:22" s="1" customFormat="1" x14ac:dyDescent="0.25"/>
    <row r="104" spans="17:22" s="1" customFormat="1" ht="15.75" x14ac:dyDescent="0.25">
      <c r="Q104" s="269" t="s">
        <v>423</v>
      </c>
      <c r="R104" s="269"/>
      <c r="S104" s="269"/>
      <c r="T104" s="269"/>
      <c r="U104" s="269"/>
      <c r="V104" s="269"/>
    </row>
    <row r="105" spans="17:22" s="1" customFormat="1" ht="16.5" thickBot="1" x14ac:dyDescent="0.3">
      <c r="Q105" s="270" t="s">
        <v>424</v>
      </c>
      <c r="R105" s="270"/>
      <c r="S105" s="270"/>
      <c r="T105" s="270"/>
      <c r="U105" s="270"/>
      <c r="V105" s="270"/>
    </row>
    <row r="106" spans="17:22" s="1" customFormat="1" ht="15.75" thickTop="1" x14ac:dyDescent="0.25">
      <c r="Q106" s="78"/>
      <c r="R106" s="78" t="s">
        <v>425</v>
      </c>
      <c r="S106" s="78" t="s">
        <v>426</v>
      </c>
      <c r="T106" s="78" t="s">
        <v>427</v>
      </c>
      <c r="U106" s="78" t="s">
        <v>428</v>
      </c>
      <c r="V106" s="98" t="s">
        <v>429</v>
      </c>
    </row>
    <row r="107" spans="17:22" s="1" customFormat="1" x14ac:dyDescent="0.25">
      <c r="Q107" s="78"/>
      <c r="R107" s="78" t="s">
        <v>430</v>
      </c>
      <c r="S107" s="78" t="s">
        <v>431</v>
      </c>
      <c r="T107" s="78" t="s">
        <v>432</v>
      </c>
      <c r="U107" s="78" t="s">
        <v>433</v>
      </c>
      <c r="V107" s="98" t="s">
        <v>429</v>
      </c>
    </row>
    <row r="108" spans="17:22" s="1" customFormat="1" x14ac:dyDescent="0.25">
      <c r="Q108" s="78">
        <v>2014</v>
      </c>
      <c r="R108" s="78">
        <v>2308</v>
      </c>
      <c r="S108" s="78">
        <v>361</v>
      </c>
      <c r="T108" s="78">
        <v>206</v>
      </c>
      <c r="U108" s="176">
        <f>+T108/S108</f>
        <v>0.5706371191135734</v>
      </c>
      <c r="V108" s="155">
        <f>+R108/S108</f>
        <v>6.3933518005540169</v>
      </c>
    </row>
    <row r="109" spans="17:22" s="1" customFormat="1" x14ac:dyDescent="0.25">
      <c r="Q109" s="78">
        <v>2015</v>
      </c>
      <c r="R109" s="78">
        <v>2002</v>
      </c>
      <c r="S109" s="78">
        <v>367</v>
      </c>
      <c r="T109" s="78">
        <v>48</v>
      </c>
      <c r="U109" s="176">
        <f t="shared" ref="U109:U113" si="21">+T109/S109</f>
        <v>0.13079019073569481</v>
      </c>
      <c r="V109" s="155">
        <f t="shared" ref="V109:V113" si="22">+R109/S109</f>
        <v>5.4550408719346049</v>
      </c>
    </row>
    <row r="110" spans="17:22" s="1" customFormat="1" x14ac:dyDescent="0.25">
      <c r="Q110" s="78">
        <v>2016</v>
      </c>
      <c r="R110" s="78">
        <v>1665</v>
      </c>
      <c r="S110" s="78">
        <v>324</v>
      </c>
      <c r="T110" s="78">
        <v>-20</v>
      </c>
      <c r="U110" s="176">
        <f t="shared" si="21"/>
        <v>-6.1728395061728392E-2</v>
      </c>
      <c r="V110" s="155">
        <f t="shared" si="22"/>
        <v>5.1388888888888893</v>
      </c>
    </row>
    <row r="111" spans="17:22" s="1" customFormat="1" x14ac:dyDescent="0.25">
      <c r="Q111" s="78">
        <v>2017</v>
      </c>
      <c r="R111" s="78">
        <v>1782</v>
      </c>
      <c r="S111" s="78">
        <v>312</v>
      </c>
      <c r="T111" s="78">
        <v>429</v>
      </c>
      <c r="U111" s="176">
        <f t="shared" si="21"/>
        <v>1.375</v>
      </c>
      <c r="V111" s="155">
        <f t="shared" si="22"/>
        <v>5.7115384615384617</v>
      </c>
    </row>
    <row r="112" spans="17:22" s="1" customFormat="1" x14ac:dyDescent="0.25">
      <c r="Q112" s="78">
        <v>2018</v>
      </c>
      <c r="R112" s="78">
        <v>1958</v>
      </c>
      <c r="S112" s="78">
        <v>316</v>
      </c>
      <c r="T112" s="78">
        <v>492</v>
      </c>
      <c r="U112" s="176">
        <f t="shared" si="21"/>
        <v>1.5569620253164558</v>
      </c>
      <c r="V112" s="155">
        <f t="shared" si="22"/>
        <v>6.1962025316455698</v>
      </c>
    </row>
    <row r="113" spans="17:22" s="1" customFormat="1" x14ac:dyDescent="0.25">
      <c r="Q113" s="78">
        <v>2019</v>
      </c>
      <c r="R113" s="78">
        <v>2041</v>
      </c>
      <c r="S113" s="78">
        <v>323</v>
      </c>
      <c r="T113" s="78">
        <v>406</v>
      </c>
      <c r="U113" s="176">
        <f t="shared" si="21"/>
        <v>1.2569659442724459</v>
      </c>
      <c r="V113" s="155">
        <f t="shared" si="22"/>
        <v>6.3188854489164088</v>
      </c>
    </row>
    <row r="114" spans="17:22" s="1" customFormat="1" ht="16.5" thickBot="1" x14ac:dyDescent="0.3">
      <c r="Q114" s="270" t="s">
        <v>434</v>
      </c>
      <c r="R114" s="270"/>
      <c r="S114" s="270"/>
      <c r="T114" s="270"/>
      <c r="U114" s="270"/>
      <c r="V114" s="270"/>
    </row>
    <row r="115" spans="17:22" s="1" customFormat="1" ht="15.75" thickTop="1" x14ac:dyDescent="0.25">
      <c r="Q115" s="78"/>
      <c r="R115" s="78" t="s">
        <v>425</v>
      </c>
      <c r="S115" s="78" t="s">
        <v>426</v>
      </c>
      <c r="T115" s="78" t="s">
        <v>427</v>
      </c>
      <c r="U115" s="78" t="s">
        <v>428</v>
      </c>
      <c r="V115" s="98" t="s">
        <v>429</v>
      </c>
    </row>
    <row r="116" spans="17:22" s="1" customFormat="1" x14ac:dyDescent="0.25">
      <c r="Q116" s="78"/>
      <c r="R116" s="78" t="s">
        <v>430</v>
      </c>
      <c r="S116" s="78" t="s">
        <v>431</v>
      </c>
      <c r="T116" s="78" t="s">
        <v>432</v>
      </c>
      <c r="U116" s="78" t="s">
        <v>433</v>
      </c>
      <c r="V116" s="98" t="s">
        <v>429</v>
      </c>
    </row>
    <row r="117" spans="17:22" s="1" customFormat="1" x14ac:dyDescent="0.25">
      <c r="Q117" s="78">
        <v>2014</v>
      </c>
      <c r="R117" s="78">
        <v>4758</v>
      </c>
      <c r="S117" s="78">
        <v>421</v>
      </c>
      <c r="T117" s="78">
        <v>-296</v>
      </c>
      <c r="U117" s="176">
        <f>+T117/S117</f>
        <v>-0.70308788598574823</v>
      </c>
      <c r="V117" s="155">
        <f>+R117/S117</f>
        <v>11.30166270783848</v>
      </c>
    </row>
    <row r="118" spans="17:22" s="1" customFormat="1" x14ac:dyDescent="0.25">
      <c r="Q118" s="78">
        <v>2015</v>
      </c>
      <c r="R118" s="78">
        <v>4361</v>
      </c>
      <c r="S118" s="78">
        <v>417</v>
      </c>
      <c r="T118" s="78">
        <v>35</v>
      </c>
      <c r="U118" s="176">
        <f t="shared" ref="U118:U122" si="23">+T118/S118</f>
        <v>8.3932853717026384E-2</v>
      </c>
      <c r="V118" s="155">
        <f t="shared" ref="V118:V122" si="24">+R118/S118</f>
        <v>10.458033573141487</v>
      </c>
    </row>
    <row r="119" spans="17:22" s="1" customFormat="1" x14ac:dyDescent="0.25">
      <c r="Q119" s="78">
        <v>2016</v>
      </c>
      <c r="R119" s="78">
        <v>4024</v>
      </c>
      <c r="S119" s="78">
        <v>389</v>
      </c>
      <c r="T119" s="78">
        <v>22</v>
      </c>
      <c r="U119" s="176">
        <f t="shared" si="23"/>
        <v>5.6555269922879174E-2</v>
      </c>
      <c r="V119" s="155">
        <f t="shared" si="24"/>
        <v>10.344473007712082</v>
      </c>
    </row>
    <row r="120" spans="17:22" s="1" customFormat="1" x14ac:dyDescent="0.25">
      <c r="Q120" s="78">
        <v>2017</v>
      </c>
      <c r="R120" s="78">
        <v>3896</v>
      </c>
      <c r="S120" s="78">
        <v>332</v>
      </c>
      <c r="T120" s="78">
        <v>204</v>
      </c>
      <c r="U120" s="176">
        <f t="shared" si="23"/>
        <v>0.61445783132530118</v>
      </c>
      <c r="V120" s="155">
        <f t="shared" si="24"/>
        <v>11.734939759036145</v>
      </c>
    </row>
    <row r="121" spans="17:22" s="1" customFormat="1" x14ac:dyDescent="0.25">
      <c r="Q121" s="78">
        <v>2018</v>
      </c>
      <c r="R121" s="78">
        <v>3782</v>
      </c>
      <c r="S121" s="78">
        <v>386</v>
      </c>
      <c r="T121" s="78">
        <v>272</v>
      </c>
      <c r="U121" s="176">
        <f t="shared" si="23"/>
        <v>0.70466321243523311</v>
      </c>
      <c r="V121" s="155">
        <f t="shared" si="24"/>
        <v>9.7979274611398957</v>
      </c>
    </row>
    <row r="122" spans="17:22" s="1" customFormat="1" ht="15.75" thickBot="1" x14ac:dyDescent="0.3">
      <c r="Q122" s="97">
        <v>2019</v>
      </c>
      <c r="R122" s="97">
        <v>3163</v>
      </c>
      <c r="S122" s="97">
        <v>391</v>
      </c>
      <c r="T122" s="97">
        <v>-228</v>
      </c>
      <c r="U122" s="177">
        <f t="shared" si="23"/>
        <v>-0.58312020460358061</v>
      </c>
      <c r="V122" s="178">
        <f t="shared" si="24"/>
        <v>8.0895140664961644</v>
      </c>
    </row>
    <row r="123" spans="17:22" s="1" customFormat="1" ht="15.75" thickTop="1" x14ac:dyDescent="0.25"/>
    <row r="124" spans="17:22" s="1" customFormat="1" x14ac:dyDescent="0.25"/>
    <row r="125" spans="17:22" s="1" customFormat="1" x14ac:dyDescent="0.25"/>
    <row r="126" spans="17:22" s="1" customFormat="1" x14ac:dyDescent="0.25"/>
    <row r="127" spans="17:22" s="1" customFormat="1" x14ac:dyDescent="0.25"/>
    <row r="128" spans="17:22"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sheetData>
  <mergeCells count="16">
    <mergeCell ref="Q91:U91"/>
    <mergeCell ref="Q104:V104"/>
    <mergeCell ref="Q105:V105"/>
    <mergeCell ref="Q114:V114"/>
    <mergeCell ref="K52:O52"/>
    <mergeCell ref="Q52:U52"/>
    <mergeCell ref="K66:O66"/>
    <mergeCell ref="Q66:U66"/>
    <mergeCell ref="K75:O75"/>
    <mergeCell ref="Q75:U75"/>
    <mergeCell ref="U3:W3"/>
    <mergeCell ref="K28:M28"/>
    <mergeCell ref="K36:N36"/>
    <mergeCell ref="Q37:T37"/>
    <mergeCell ref="K43:M43"/>
    <mergeCell ref="Q43:S43"/>
  </mergeCells>
  <conditionalFormatting sqref="F5">
    <cfRule type="containsBlanks" dxfId="55" priority="31">
      <formula>LEN(TRIM(F5))=0</formula>
    </cfRule>
  </conditionalFormatting>
  <conditionalFormatting sqref="M5:N5">
    <cfRule type="containsText" dxfId="54" priority="28" operator="containsText" text="Oil and Gas">
      <formula>NOT(ISERROR(SEARCH("Oil and Gas",M5)))</formula>
    </cfRule>
    <cfRule type="containsText" dxfId="53" priority="29" operator="containsText" text="Gas">
      <formula>NOT(ISERROR(SEARCH("Gas",M5)))</formula>
    </cfRule>
    <cfRule type="containsText" dxfId="52" priority="30" operator="containsText" text="Oil">
      <formula>NOT(ISERROR(SEARCH("Oil",M5)))</formula>
    </cfRule>
  </conditionalFormatting>
  <conditionalFormatting sqref="K22:K24">
    <cfRule type="containsText" dxfId="51" priority="25" operator="containsText" text="Oil and Gas">
      <formula>NOT(ISERROR(SEARCH("Oil and Gas",K22)))</formula>
    </cfRule>
    <cfRule type="containsText" dxfId="50" priority="26" operator="containsText" text="Gas">
      <formula>NOT(ISERROR(SEARCH("Gas",K22)))</formula>
    </cfRule>
    <cfRule type="containsText" dxfId="49" priority="27" operator="containsText" text="Oil">
      <formula>NOT(ISERROR(SEARCH("Oil",K22)))</formula>
    </cfRule>
  </conditionalFormatting>
  <conditionalFormatting sqref="F6:F19">
    <cfRule type="containsBlanks" dxfId="48" priority="8">
      <formula>LEN(TRIM(F6))=0</formula>
    </cfRule>
  </conditionalFormatting>
  <conditionalFormatting sqref="M6:N19">
    <cfRule type="containsText" dxfId="47" priority="5" operator="containsText" text="Oil and Gas">
      <formula>NOT(ISERROR(SEARCH("Oil and Gas",M6)))</formula>
    </cfRule>
    <cfRule type="containsText" dxfId="46" priority="6" operator="containsText" text="Gas">
      <formula>NOT(ISERROR(SEARCH("Gas",M6)))</formula>
    </cfRule>
    <cfRule type="containsText" dxfId="45" priority="7" operator="containsText" text="Oil">
      <formula>NOT(ISERROR(SEARCH("Oil",M6)))</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21" operator="containsText" id="{C797FD9D-5DC1-448A-B187-59DC661596FC}">
            <xm:f>NOT(ISERROR(SEARCH($K$33,O5)))</xm:f>
            <xm:f>$K$33</xm:f>
            <x14:dxf>
              <fill>
                <patternFill>
                  <bgColor theme="7" tint="0.79998168889431442"/>
                </patternFill>
              </fill>
            </x14:dxf>
          </x14:cfRule>
          <x14:cfRule type="containsText" priority="22" operator="containsText" id="{8EF5AE3E-F0D7-4314-8DBE-21B4A518D8F9}">
            <xm:f>NOT(ISERROR(SEARCH($K$32,O5)))</xm:f>
            <xm:f>$K$32</xm:f>
            <x14:dxf>
              <fill>
                <patternFill>
                  <bgColor theme="5" tint="0.79998168889431442"/>
                </patternFill>
              </fill>
            </x14:dxf>
          </x14:cfRule>
          <x14:cfRule type="containsText" priority="23" operator="containsText" id="{17DC543E-B68B-4484-8510-5F2DEF23A458}">
            <xm:f>NOT(ISERROR(SEARCH($K$31,O5)))</xm:f>
            <xm:f>$K$31</xm:f>
            <x14:dxf>
              <fill>
                <patternFill>
                  <bgColor theme="0" tint="-0.24994659260841701"/>
                </patternFill>
              </fill>
            </x14:dxf>
          </x14:cfRule>
          <x14:cfRule type="containsText" priority="24" operator="containsText" id="{6029F5FA-0A89-4B19-A4D9-52F6CFC437CE}">
            <xm:f>NOT(ISERROR(SEARCH($K$30,O5)))</xm:f>
            <xm:f>$K$30</xm:f>
            <x14:dxf>
              <fill>
                <patternFill>
                  <bgColor theme="0" tint="-0.34998626667073579"/>
                </patternFill>
              </fill>
            </x14:dxf>
          </x14:cfRule>
          <xm:sqref>O5</xm:sqref>
        </x14:conditionalFormatting>
        <x14:conditionalFormatting xmlns:xm="http://schemas.microsoft.com/office/excel/2006/main">
          <x14:cfRule type="containsText" priority="17" operator="containsText" id="{C8744857-6D46-406F-871B-0694ECBCAFFC}">
            <xm:f>NOT(ISERROR(SEARCH($K$33,K30)))</xm:f>
            <xm:f>$K$33</xm:f>
            <x14:dxf>
              <fill>
                <patternFill>
                  <bgColor theme="7" tint="0.79998168889431442"/>
                </patternFill>
              </fill>
            </x14:dxf>
          </x14:cfRule>
          <x14:cfRule type="containsText" priority="18" operator="containsText" id="{FE641021-A830-44EE-A7A0-1F6E3ADEFB7D}">
            <xm:f>NOT(ISERROR(SEARCH($K$32,K30)))</xm:f>
            <xm:f>$K$32</xm:f>
            <x14:dxf>
              <fill>
                <patternFill>
                  <bgColor theme="5" tint="0.79998168889431442"/>
                </patternFill>
              </fill>
            </x14:dxf>
          </x14:cfRule>
          <x14:cfRule type="containsText" priority="19" operator="containsText" id="{F15B28A0-31F3-42FC-89AE-6EAD61EDFD58}">
            <xm:f>NOT(ISERROR(SEARCH($K$31,K30)))</xm:f>
            <xm:f>$K$31</xm:f>
            <x14:dxf>
              <fill>
                <patternFill>
                  <bgColor theme="0" tint="-0.24994659260841701"/>
                </patternFill>
              </fill>
            </x14:dxf>
          </x14:cfRule>
          <x14:cfRule type="containsText" priority="20" operator="containsText" id="{A1A167A4-1E36-4C45-A213-3B4A9AC3423B}">
            <xm:f>NOT(ISERROR(SEARCH($K$30,K30)))</xm:f>
            <xm:f>$K$30</xm:f>
            <x14:dxf>
              <fill>
                <patternFill>
                  <bgColor theme="0" tint="-0.34998626667073579"/>
                </patternFill>
              </fill>
            </x14:dxf>
          </x14:cfRule>
          <xm:sqref>K30:K33</xm:sqref>
        </x14:conditionalFormatting>
        <x14:conditionalFormatting xmlns:xm="http://schemas.microsoft.com/office/excel/2006/main">
          <x14:cfRule type="containsText" priority="13" operator="containsText" id="{17E8EA9C-8DD4-451A-83AC-788FEDFDC490}">
            <xm:f>NOT(ISERROR(SEARCH($K$33,K45)))</xm:f>
            <xm:f>$K$33</xm:f>
            <x14:dxf>
              <fill>
                <patternFill>
                  <bgColor theme="7" tint="0.79998168889431442"/>
                </patternFill>
              </fill>
            </x14:dxf>
          </x14:cfRule>
          <x14:cfRule type="containsText" priority="14" operator="containsText" id="{24BF8B95-82B5-4872-B10D-B2D29AFF105E}">
            <xm:f>NOT(ISERROR(SEARCH($K$32,K45)))</xm:f>
            <xm:f>$K$32</xm:f>
            <x14:dxf>
              <fill>
                <patternFill>
                  <bgColor theme="5" tint="0.79998168889431442"/>
                </patternFill>
              </fill>
            </x14:dxf>
          </x14:cfRule>
          <x14:cfRule type="containsText" priority="15" operator="containsText" id="{D4FC85CE-674A-4E88-9E90-271FC992DE7A}">
            <xm:f>NOT(ISERROR(SEARCH($K$31,K45)))</xm:f>
            <xm:f>$K$31</xm:f>
            <x14:dxf>
              <fill>
                <patternFill>
                  <bgColor theme="0" tint="-0.24994659260841701"/>
                </patternFill>
              </fill>
            </x14:dxf>
          </x14:cfRule>
          <x14:cfRule type="containsText" priority="16" operator="containsText" id="{B4AA3EC0-4317-4B8C-9132-C35ED79A33A2}">
            <xm:f>NOT(ISERROR(SEARCH($K$30,K45)))</xm:f>
            <xm:f>$K$30</xm:f>
            <x14:dxf>
              <fill>
                <patternFill>
                  <bgColor theme="0" tint="-0.34998626667073579"/>
                </patternFill>
              </fill>
            </x14:dxf>
          </x14:cfRule>
          <xm:sqref>K45:K48</xm:sqref>
        </x14:conditionalFormatting>
        <x14:conditionalFormatting xmlns:xm="http://schemas.microsoft.com/office/excel/2006/main">
          <x14:cfRule type="containsText" priority="9" operator="containsText" id="{FD59FBDB-D632-44D5-9C87-23C74A1E45AE}">
            <xm:f>NOT(ISERROR(SEARCH($K$33,Q45)))</xm:f>
            <xm:f>$K$33</xm:f>
            <x14:dxf>
              <fill>
                <patternFill>
                  <bgColor theme="7" tint="0.79998168889431442"/>
                </patternFill>
              </fill>
            </x14:dxf>
          </x14:cfRule>
          <x14:cfRule type="containsText" priority="10" operator="containsText" id="{B6390874-67D4-489C-9EDC-7C6E20AE92A0}">
            <xm:f>NOT(ISERROR(SEARCH($K$32,Q45)))</xm:f>
            <xm:f>$K$32</xm:f>
            <x14:dxf>
              <fill>
                <patternFill>
                  <bgColor theme="5" tint="0.79998168889431442"/>
                </patternFill>
              </fill>
            </x14:dxf>
          </x14:cfRule>
          <x14:cfRule type="containsText" priority="11" operator="containsText" id="{60E5EF27-AD6F-47F8-BC02-C6E8A03C7062}">
            <xm:f>NOT(ISERROR(SEARCH($K$31,Q45)))</xm:f>
            <xm:f>$K$31</xm:f>
            <x14:dxf>
              <fill>
                <patternFill>
                  <bgColor theme="0" tint="-0.24994659260841701"/>
                </patternFill>
              </fill>
            </x14:dxf>
          </x14:cfRule>
          <x14:cfRule type="containsText" priority="12" operator="containsText" id="{0FF472B3-E22E-4F57-8CFF-1D840DCA51E8}">
            <xm:f>NOT(ISERROR(SEARCH($K$30,Q45)))</xm:f>
            <xm:f>$K$30</xm:f>
            <x14:dxf>
              <fill>
                <patternFill>
                  <bgColor theme="0" tint="-0.34998626667073579"/>
                </patternFill>
              </fill>
            </x14:dxf>
          </x14:cfRule>
          <xm:sqref>Q45:Q48</xm:sqref>
        </x14:conditionalFormatting>
        <x14:conditionalFormatting xmlns:xm="http://schemas.microsoft.com/office/excel/2006/main">
          <x14:cfRule type="containsText" priority="1" operator="containsText" id="{F7DB73E9-3BE5-437C-91FE-75DAAD2CF789}">
            <xm:f>NOT(ISERROR(SEARCH($K$33,O6)))</xm:f>
            <xm:f>$K$33</xm:f>
            <x14:dxf>
              <fill>
                <patternFill>
                  <bgColor theme="7" tint="0.79998168889431442"/>
                </patternFill>
              </fill>
            </x14:dxf>
          </x14:cfRule>
          <x14:cfRule type="containsText" priority="2" operator="containsText" id="{FF9134C8-E496-4A4F-B7F6-7EF982189D50}">
            <xm:f>NOT(ISERROR(SEARCH($K$32,O6)))</xm:f>
            <xm:f>$K$32</xm:f>
            <x14:dxf>
              <fill>
                <patternFill>
                  <bgColor theme="5" tint="0.79998168889431442"/>
                </patternFill>
              </fill>
            </x14:dxf>
          </x14:cfRule>
          <x14:cfRule type="containsText" priority="3" operator="containsText" id="{DC943C0F-438C-4EBA-B68C-3B87DFA7175B}">
            <xm:f>NOT(ISERROR(SEARCH($K$31,O6)))</xm:f>
            <xm:f>$K$31</xm:f>
            <x14:dxf>
              <fill>
                <patternFill>
                  <bgColor theme="0" tint="-0.24994659260841701"/>
                </patternFill>
              </fill>
            </x14:dxf>
          </x14:cfRule>
          <x14:cfRule type="containsText" priority="4" operator="containsText" id="{4EC6C3A9-C204-4A74-A7E9-E015AB49E1F7}">
            <xm:f>NOT(ISERROR(SEARCH($K$30,O6)))</xm:f>
            <xm:f>$K$30</xm:f>
            <x14:dxf>
              <fill>
                <patternFill>
                  <bgColor theme="0" tint="-0.34998626667073579"/>
                </patternFill>
              </fill>
            </x14:dxf>
          </x14:cfRule>
          <xm:sqref>O6:O19</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87D88-4F14-40CE-BB26-47C47047E9FC}">
  <sheetPr>
    <tabColor rgb="FFFF0000"/>
  </sheetPr>
  <dimension ref="A2:W72"/>
  <sheetViews>
    <sheetView showGridLines="0" topLeftCell="A14" zoomScaleNormal="100" workbookViewId="0">
      <selection activeCell="E38" sqref="E38"/>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274" t="s">
        <v>381</v>
      </c>
      <c r="E2" s="274"/>
      <c r="F2" s="274"/>
      <c r="G2" s="274"/>
      <c r="H2" s="274"/>
    </row>
    <row r="3" spans="1:23" ht="15.75" thickTop="1" x14ac:dyDescent="0.25">
      <c r="D3" s="77"/>
      <c r="E3" s="273" t="s">
        <v>574</v>
      </c>
      <c r="F3" s="273"/>
      <c r="G3" s="273" t="s">
        <v>573</v>
      </c>
      <c r="H3" s="273"/>
    </row>
    <row r="4" spans="1:23" x14ac:dyDescent="0.25">
      <c r="A4" t="s">
        <v>572</v>
      </c>
      <c r="D4" s="98"/>
      <c r="E4" s="98" t="s">
        <v>382</v>
      </c>
      <c r="F4" s="98" t="s">
        <v>383</v>
      </c>
      <c r="G4" s="98" t="s">
        <v>382</v>
      </c>
      <c r="H4" s="98" t="s">
        <v>383</v>
      </c>
    </row>
    <row r="5" spans="1:23" x14ac:dyDescent="0.25">
      <c r="A5" t="s">
        <v>571</v>
      </c>
      <c r="B5">
        <v>15</v>
      </c>
      <c r="D5" s="78" t="s">
        <v>384</v>
      </c>
      <c r="E5" s="99">
        <v>0</v>
      </c>
      <c r="F5" s="98"/>
      <c r="G5" s="99">
        <v>0</v>
      </c>
      <c r="H5" s="98">
        <v>10</v>
      </c>
    </row>
    <row r="6" spans="1:23" x14ac:dyDescent="0.25">
      <c r="D6" s="78" t="s">
        <v>385</v>
      </c>
      <c r="E6" s="98"/>
      <c r="F6" s="98">
        <v>18</v>
      </c>
      <c r="G6" s="98">
        <v>10</v>
      </c>
      <c r="H6" s="98">
        <v>22.3</v>
      </c>
    </row>
    <row r="7" spans="1:23" x14ac:dyDescent="0.25">
      <c r="D7" s="78" t="s">
        <v>386</v>
      </c>
      <c r="E7" s="98">
        <v>18.100000000000001</v>
      </c>
      <c r="F7" s="98">
        <v>32</v>
      </c>
      <c r="G7" s="98">
        <v>22.3</v>
      </c>
      <c r="H7" s="98">
        <v>31.1</v>
      </c>
    </row>
    <row r="8" spans="1:23" x14ac:dyDescent="0.25">
      <c r="D8" s="78" t="s">
        <v>387</v>
      </c>
      <c r="E8" s="98">
        <v>32.1</v>
      </c>
      <c r="F8" s="99">
        <v>100</v>
      </c>
      <c r="G8" s="98">
        <v>31.1</v>
      </c>
      <c r="H8" s="99">
        <v>100</v>
      </c>
    </row>
    <row r="9" spans="1:23" x14ac:dyDescent="0.25">
      <c r="D9" s="78"/>
      <c r="E9" s="98"/>
      <c r="F9" s="99"/>
      <c r="G9" s="98"/>
      <c r="H9" s="99"/>
    </row>
    <row r="10" spans="1:23" x14ac:dyDescent="0.25">
      <c r="D10" s="78"/>
      <c r="E10" s="98"/>
      <c r="F10" s="99"/>
      <c r="G10" s="98"/>
      <c r="H10" s="99"/>
    </row>
    <row r="11" spans="1:23" ht="15.75" x14ac:dyDescent="0.25">
      <c r="N11" s="272" t="s">
        <v>448</v>
      </c>
      <c r="O11" s="272"/>
      <c r="P11" s="272"/>
      <c r="Q11" s="272"/>
      <c r="R11" s="272"/>
      <c r="S11" s="272"/>
      <c r="T11" s="272"/>
      <c r="U11" s="272"/>
      <c r="V11" s="183"/>
      <c r="W11" s="183"/>
    </row>
    <row r="12" spans="1:23" ht="30" x14ac:dyDescent="0.25">
      <c r="A12" t="s">
        <v>474</v>
      </c>
      <c r="C12" s="179" t="s">
        <v>341</v>
      </c>
      <c r="D12" s="179" t="s">
        <v>7</v>
      </c>
      <c r="E12" s="179" t="s">
        <v>4</v>
      </c>
      <c r="F12" s="179" t="s">
        <v>5</v>
      </c>
      <c r="G12" s="179" t="s">
        <v>6</v>
      </c>
      <c r="H12" s="5" t="s">
        <v>11</v>
      </c>
      <c r="I12" s="5"/>
      <c r="J12" s="5" t="s">
        <v>348</v>
      </c>
      <c r="K12" s="181" t="s">
        <v>438</v>
      </c>
      <c r="L12" s="181" t="s">
        <v>436</v>
      </c>
      <c r="M12" s="181" t="s">
        <v>437</v>
      </c>
      <c r="N12" s="179" t="s">
        <v>442</v>
      </c>
      <c r="O12" s="179" t="s">
        <v>439</v>
      </c>
      <c r="P12" s="179" t="s">
        <v>440</v>
      </c>
      <c r="Q12" s="179" t="s">
        <v>443</v>
      </c>
      <c r="R12" s="179" t="s">
        <v>444</v>
      </c>
      <c r="S12" s="179" t="s">
        <v>445</v>
      </c>
      <c r="T12" s="179" t="s">
        <v>446</v>
      </c>
      <c r="U12" s="179" t="s">
        <v>447</v>
      </c>
      <c r="V12" s="179" t="s">
        <v>441</v>
      </c>
      <c r="W12" s="181" t="s">
        <v>450</v>
      </c>
    </row>
    <row r="13" spans="1:23" x14ac:dyDescent="0.25">
      <c r="C13" s="76" t="e" vm="5">
        <v>#VALUE!</v>
      </c>
      <c r="D13" s="18" t="s">
        <v>30</v>
      </c>
      <c r="E13" s="18" t="s">
        <v>139</v>
      </c>
      <c r="F13" s="18" t="s">
        <v>79</v>
      </c>
      <c r="G13" s="81" t="s">
        <v>140</v>
      </c>
      <c r="H13" s="76">
        <v>21</v>
      </c>
      <c r="I13" s="79"/>
      <c r="J13" s="79" t="str">
        <f>+IF(G13="Gas","Doesn't Apply",IF(H13&lt;$F$5,$D$5,IF(H13&lt;$F$6,$D$6,IF(H13&lt;$F$7,$D$7,IF(H13&gt;$E$8,$D$8,"Doesn't Apply")))))</f>
        <v>Medium Oil</v>
      </c>
      <c r="K13" s="257">
        <f t="shared" ref="K13:K32" si="0">+SUM(O13:U13)-T13</f>
        <v>1.1893972602739726</v>
      </c>
      <c r="L13" s="257">
        <f t="shared" ref="L13:L32" si="1">+P13+O13+Q13+R13</f>
        <v>1.1893972602739726</v>
      </c>
      <c r="M13" s="257">
        <f t="shared" ref="M13:M32" si="2">+S13-T13+U13</f>
        <v>0</v>
      </c>
      <c r="N13" s="185">
        <v>1.1894794520547947</v>
      </c>
      <c r="O13" s="185">
        <v>0</v>
      </c>
      <c r="P13" s="185">
        <v>0</v>
      </c>
      <c r="Q13" s="185">
        <v>0.23397260273972598</v>
      </c>
      <c r="R13" s="185">
        <v>0.95542465753424666</v>
      </c>
      <c r="S13" s="185">
        <v>0</v>
      </c>
      <c r="T13" s="185">
        <v>0</v>
      </c>
      <c r="U13" s="185">
        <v>0</v>
      </c>
      <c r="V13" s="185">
        <v>12119.3965753425</v>
      </c>
      <c r="W13" s="184">
        <f t="shared" ref="W13:W32" si="3">+P13</f>
        <v>0</v>
      </c>
    </row>
    <row r="14" spans="1:23" x14ac:dyDescent="0.25">
      <c r="C14" s="76" t="e" vm="5">
        <v>#VALUE!</v>
      </c>
      <c r="D14" s="18" t="s">
        <v>30</v>
      </c>
      <c r="E14" s="18" t="s">
        <v>456</v>
      </c>
      <c r="F14" s="18" t="s">
        <v>79</v>
      </c>
      <c r="G14" s="81" t="s">
        <v>347</v>
      </c>
      <c r="H14" s="76">
        <v>12.5</v>
      </c>
      <c r="I14" s="79"/>
      <c r="J14" s="79" t="str">
        <f>+IF(I14="Gas","Doesn't Apply",IF(H14&lt;$F$5,$D$5,IF(H14&lt;$F$6,$D$6,IF(H14&lt;$F$7,$D$7,IF(H14&gt;$E$8,$D$8,"Doesn't Apply")))))</f>
        <v>Heavy Oil</v>
      </c>
      <c r="K14" s="257">
        <f t="shared" si="0"/>
        <v>0.23824657534246574</v>
      </c>
      <c r="L14" s="257">
        <f t="shared" si="1"/>
        <v>0.23824657534246574</v>
      </c>
      <c r="M14" s="257">
        <f t="shared" si="2"/>
        <v>0</v>
      </c>
      <c r="N14" s="185">
        <v>0.23827397260273972</v>
      </c>
      <c r="O14" s="185">
        <v>0</v>
      </c>
      <c r="P14" s="185">
        <v>0</v>
      </c>
      <c r="Q14" s="185">
        <v>0.1378630136986301</v>
      </c>
      <c r="R14" s="185">
        <v>0.10038356164383562</v>
      </c>
      <c r="S14" s="185">
        <v>0</v>
      </c>
      <c r="T14" s="185">
        <v>0</v>
      </c>
      <c r="U14" s="185">
        <v>0</v>
      </c>
      <c r="V14" s="185">
        <v>1476.5236986301368</v>
      </c>
      <c r="W14" s="184">
        <f t="shared" si="3"/>
        <v>0</v>
      </c>
    </row>
    <row r="15" spans="1:23" x14ac:dyDescent="0.25">
      <c r="C15" s="76" t="e" vm="7">
        <v>#VALUE!</v>
      </c>
      <c r="D15" s="18" t="s">
        <v>30</v>
      </c>
      <c r="E15" s="18" t="s">
        <v>255</v>
      </c>
      <c r="F15" s="18" t="s">
        <v>28</v>
      </c>
      <c r="G15" s="81" t="s">
        <v>256</v>
      </c>
      <c r="H15" s="76">
        <v>48</v>
      </c>
      <c r="I15" s="79"/>
      <c r="J15" s="79" t="str">
        <f>+IF(G15="Gas","Doesn't Apply",IF(H15&lt;$F$5,$D$5,IF(H15&lt;$F$6,$D$6,IF(H15&lt;$F$7,$D$7,IF(H15&gt;$E$8,$D$8,"Doesn't Apply")))))</f>
        <v>Light Oil</v>
      </c>
      <c r="K15" s="257">
        <f t="shared" si="0"/>
        <v>649.48632876712327</v>
      </c>
      <c r="L15" s="257">
        <f t="shared" si="1"/>
        <v>436.89753424657533</v>
      </c>
      <c r="M15" s="257">
        <f t="shared" si="2"/>
        <v>204.32512328767126</v>
      </c>
      <c r="N15" s="185">
        <v>649.4862739726027</v>
      </c>
      <c r="O15" s="185">
        <v>0</v>
      </c>
      <c r="P15" s="185">
        <v>396.38389041095888</v>
      </c>
      <c r="Q15" s="185">
        <v>2.2383835616438361</v>
      </c>
      <c r="R15" s="185">
        <v>38.275260273972606</v>
      </c>
      <c r="S15" s="185">
        <v>16.510794520547947</v>
      </c>
      <c r="T15" s="185">
        <v>8.2636712328767121</v>
      </c>
      <c r="U15" s="185">
        <v>196.07800000000003</v>
      </c>
      <c r="V15" s="185">
        <v>10231.853999999999</v>
      </c>
      <c r="W15" s="184">
        <f t="shared" si="3"/>
        <v>396.38389041095888</v>
      </c>
    </row>
    <row r="16" spans="1:23" x14ac:dyDescent="0.25">
      <c r="C16" s="76" t="e" vm="7">
        <v>#VALUE!</v>
      </c>
      <c r="D16" s="18" t="s">
        <v>30</v>
      </c>
      <c r="E16" s="18" t="s">
        <v>269</v>
      </c>
      <c r="F16" s="18" t="s">
        <v>28</v>
      </c>
      <c r="G16" s="81" t="s">
        <v>270</v>
      </c>
      <c r="H16" s="76">
        <v>52</v>
      </c>
      <c r="I16" s="79"/>
      <c r="J16" s="79" t="str">
        <f>+IF(G16="Gas","Doesn't Apply",IF(H16&lt;$F$5,$D$5,IF(H16&lt;$F$6,$D$6,IF(H16&lt;$F$7,$D$7,IF(H16&gt;$E$8,$D$8,"Doesn't Apply")))))</f>
        <v>Light Oil</v>
      </c>
      <c r="K16" s="257">
        <f t="shared" si="0"/>
        <v>277.3735890410959</v>
      </c>
      <c r="L16" s="257">
        <f t="shared" si="1"/>
        <v>82.001808219178074</v>
      </c>
      <c r="M16" s="257">
        <f t="shared" si="2"/>
        <v>165.01969863013699</v>
      </c>
      <c r="N16" s="185">
        <v>277.37400000000002</v>
      </c>
      <c r="O16" s="185">
        <v>0</v>
      </c>
      <c r="P16" s="185">
        <v>50.500383561643829</v>
      </c>
      <c r="Q16" s="185">
        <v>1.1420547945205479</v>
      </c>
      <c r="R16" s="185">
        <v>30.359369863013697</v>
      </c>
      <c r="S16" s="185">
        <v>30.377342465753429</v>
      </c>
      <c r="T16" s="185">
        <v>30.352082191780823</v>
      </c>
      <c r="U16" s="185">
        <v>164.99443835616438</v>
      </c>
      <c r="V16" s="185">
        <v>3182.6220821917809</v>
      </c>
      <c r="W16" s="184">
        <f t="shared" si="3"/>
        <v>50.500383561643829</v>
      </c>
    </row>
    <row r="17" spans="3:23" x14ac:dyDescent="0.25">
      <c r="C17" s="76" t="e" vm="7">
        <v>#VALUE!</v>
      </c>
      <c r="D17" s="18" t="s">
        <v>30</v>
      </c>
      <c r="E17" s="18" t="s">
        <v>276</v>
      </c>
      <c r="F17" s="18" t="s">
        <v>28</v>
      </c>
      <c r="G17" s="81" t="s">
        <v>277</v>
      </c>
      <c r="H17" s="76">
        <v>46</v>
      </c>
      <c r="I17" s="79"/>
      <c r="J17" s="79" t="str">
        <f>+IF(G17="Gas","Doesn't Apply",IF(H17&lt;$F$5,$D$5,IF(H17&lt;$F$6,$D$6,IF(H17&lt;$F$7,$D$7,IF(H17&gt;$E$8,$D$8,"Doesn't Apply")))))</f>
        <v>Light Oil</v>
      </c>
      <c r="K17" s="257">
        <f t="shared" si="0"/>
        <v>435.40112328767128</v>
      </c>
      <c r="L17" s="257">
        <f t="shared" si="1"/>
        <v>235.53923287671233</v>
      </c>
      <c r="M17" s="257">
        <f t="shared" si="2"/>
        <v>199.86189041095895</v>
      </c>
      <c r="N17" s="185">
        <v>435.4008767123288</v>
      </c>
      <c r="O17" s="185">
        <v>0</v>
      </c>
      <c r="P17" s="185">
        <v>225.24104109589044</v>
      </c>
      <c r="Q17" s="185">
        <v>1.2202465753424658</v>
      </c>
      <c r="R17" s="185">
        <v>9.0779452054794518</v>
      </c>
      <c r="S17" s="185">
        <v>142.09446575342469</v>
      </c>
      <c r="T17" s="185">
        <v>0</v>
      </c>
      <c r="U17" s="185">
        <v>57.767424657534249</v>
      </c>
      <c r="V17" s="185">
        <v>27008.407917808221</v>
      </c>
      <c r="W17" s="184">
        <f t="shared" si="3"/>
        <v>225.24104109589044</v>
      </c>
    </row>
    <row r="18" spans="3:23" x14ac:dyDescent="0.25">
      <c r="C18" s="76" t="e" vm="7">
        <v>#VALUE!</v>
      </c>
      <c r="D18" s="18" t="s">
        <v>30</v>
      </c>
      <c r="E18" s="18" t="s">
        <v>276</v>
      </c>
      <c r="F18" s="18" t="s">
        <v>28</v>
      </c>
      <c r="G18" s="81" t="s">
        <v>290</v>
      </c>
      <c r="H18" s="76">
        <f>44+((47-44)/2)</f>
        <v>45.5</v>
      </c>
      <c r="I18" s="79"/>
      <c r="J18" s="79" t="str">
        <f>+IF(G18="Gas","Doesn't Apply",IF(H18&lt;$F$5,$D$5,IF(H18&lt;$F$6,$D$6,IF(H18&lt;$F$7,$D$7,IF(H18&gt;$E$8,$D$8,"Doesn't Apply")))))</f>
        <v>Light Oil</v>
      </c>
      <c r="K18" s="257">
        <f t="shared" si="0"/>
        <v>114.48408219178081</v>
      </c>
      <c r="L18" s="257">
        <f t="shared" si="1"/>
        <v>114.48408219178081</v>
      </c>
      <c r="M18" s="257">
        <f t="shared" si="2"/>
        <v>0</v>
      </c>
      <c r="N18" s="185">
        <v>114.48408219178081</v>
      </c>
      <c r="O18" s="185">
        <v>0</v>
      </c>
      <c r="P18" s="185">
        <v>111.18394520547945</v>
      </c>
      <c r="Q18" s="185">
        <v>0.37649315068493155</v>
      </c>
      <c r="R18" s="185">
        <v>2.923643835616438</v>
      </c>
      <c r="S18" s="185">
        <v>0</v>
      </c>
      <c r="T18" s="185">
        <v>0</v>
      </c>
      <c r="U18" s="185">
        <v>0</v>
      </c>
      <c r="V18" s="185">
        <v>4583.6177808219181</v>
      </c>
      <c r="W18" s="184">
        <f t="shared" si="3"/>
        <v>111.18394520547945</v>
      </c>
    </row>
    <row r="19" spans="3:23" x14ac:dyDescent="0.25">
      <c r="C19" s="76" t="e" vm="9">
        <v>#VALUE!</v>
      </c>
      <c r="D19" s="18" t="s">
        <v>30</v>
      </c>
      <c r="E19" s="18" t="s">
        <v>452</v>
      </c>
      <c r="F19" s="18" t="s">
        <v>458</v>
      </c>
      <c r="G19" s="81" t="s">
        <v>343</v>
      </c>
      <c r="H19" s="76">
        <v>23</v>
      </c>
      <c r="I19" s="79"/>
      <c r="J19" s="79" t="str">
        <f>+IF(I19="Gas","Doesn't Apply",IF(H19&lt;$F$5,$D$5,IF(H19&lt;$F$6,$D$6,IF(H19&lt;$F$7,$D$7,IF(H19&gt;$E$8,$D$8,"Doesn't Apply")))))</f>
        <v>Medium Oil</v>
      </c>
      <c r="K19" s="257">
        <f t="shared" si="0"/>
        <v>1.9274794520547947</v>
      </c>
      <c r="L19" s="257">
        <f t="shared" si="1"/>
        <v>0.33145205479452056</v>
      </c>
      <c r="M19" s="257">
        <f t="shared" si="2"/>
        <v>1.0367123287671232</v>
      </c>
      <c r="N19" s="185">
        <v>1.9275342465753424</v>
      </c>
      <c r="O19" s="185">
        <v>0</v>
      </c>
      <c r="P19" s="185">
        <v>0</v>
      </c>
      <c r="Q19" s="185">
        <v>0.22805479452054794</v>
      </c>
      <c r="R19" s="185">
        <v>0.10339726027397263</v>
      </c>
      <c r="S19" s="185">
        <v>1.5925479452054794</v>
      </c>
      <c r="T19" s="185">
        <v>0.55931506849315071</v>
      </c>
      <c r="U19" s="185">
        <v>3.4794520547945205E-3</v>
      </c>
      <c r="V19" s="185">
        <v>4684.6815890410962</v>
      </c>
      <c r="W19" s="184">
        <f t="shared" si="3"/>
        <v>0</v>
      </c>
    </row>
    <row r="20" spans="3:23" x14ac:dyDescent="0.25">
      <c r="C20" s="76" t="e" vm="9">
        <v>#VALUE!</v>
      </c>
      <c r="D20" s="18" t="s">
        <v>30</v>
      </c>
      <c r="E20" s="18" t="s">
        <v>453</v>
      </c>
      <c r="F20" s="18" t="s">
        <v>458</v>
      </c>
      <c r="G20" s="81" t="s">
        <v>344</v>
      </c>
      <c r="H20" s="76">
        <v>25.5</v>
      </c>
      <c r="I20" s="79"/>
      <c r="J20" s="79" t="str">
        <f>+IF(I20="Gas","Doesn't Apply",IF(H20&lt;$F$5,$D$5,IF(H20&lt;$F$6,$D$6,IF(H20&lt;$F$7,$D$7,IF(H20&gt;$E$8,$D$8,"Doesn't Apply")))))</f>
        <v>Medium Oil</v>
      </c>
      <c r="K20" s="257">
        <f t="shared" si="0"/>
        <v>0.8670410958904109</v>
      </c>
      <c r="L20" s="257">
        <f t="shared" si="1"/>
        <v>0.8670410958904109</v>
      </c>
      <c r="M20" s="257">
        <f t="shared" si="2"/>
        <v>0</v>
      </c>
      <c r="N20" s="185">
        <v>0.86709589041095891</v>
      </c>
      <c r="O20" s="185">
        <v>0</v>
      </c>
      <c r="P20" s="185">
        <v>0</v>
      </c>
      <c r="Q20" s="185">
        <v>0.41205479452054788</v>
      </c>
      <c r="R20" s="185">
        <v>0.45498630136986301</v>
      </c>
      <c r="S20" s="185">
        <v>0</v>
      </c>
      <c r="T20" s="185">
        <v>0</v>
      </c>
      <c r="U20" s="185">
        <v>0</v>
      </c>
      <c r="V20" s="185">
        <v>4154.1152328767121</v>
      </c>
      <c r="W20" s="184">
        <f t="shared" si="3"/>
        <v>0</v>
      </c>
    </row>
    <row r="21" spans="3:23" x14ac:dyDescent="0.25">
      <c r="C21" s="76" t="e" vm="9">
        <v>#VALUE!</v>
      </c>
      <c r="D21" s="18" t="s">
        <v>30</v>
      </c>
      <c r="E21" s="18" t="s">
        <v>454</v>
      </c>
      <c r="F21" s="18" t="s">
        <v>458</v>
      </c>
      <c r="G21" s="193" t="s">
        <v>345</v>
      </c>
      <c r="H21" s="76">
        <v>21</v>
      </c>
      <c r="I21" s="79"/>
      <c r="J21" s="79" t="str">
        <f>+IF(I21="Gas","Doesn't Apply",IF(H21&lt;$F$5,$D$5,IF(H21&lt;$F$6,$D$6,IF(H21&lt;$F$7,$D$7,IF(H21&gt;$E$8,$D$8,"Doesn't Apply")))))</f>
        <v>Medium Oil</v>
      </c>
      <c r="K21" s="257">
        <f t="shared" si="0"/>
        <v>1.1906575342465753</v>
      </c>
      <c r="L21" s="257">
        <f t="shared" si="1"/>
        <v>1.5506849315068495E-2</v>
      </c>
      <c r="M21" s="257">
        <f t="shared" si="2"/>
        <v>0.64550684931506841</v>
      </c>
      <c r="N21" s="185">
        <v>1.1908493150684931</v>
      </c>
      <c r="O21" s="185">
        <v>0</v>
      </c>
      <c r="P21" s="185">
        <v>0</v>
      </c>
      <c r="Q21" s="185">
        <v>1.5506849315068495E-2</v>
      </c>
      <c r="R21" s="185">
        <v>0</v>
      </c>
      <c r="S21" s="185">
        <v>1.1751506849315068</v>
      </c>
      <c r="T21" s="185">
        <v>0.52964383561643835</v>
      </c>
      <c r="U21" s="185">
        <v>0</v>
      </c>
      <c r="V21" s="185">
        <v>3941.1335068493149</v>
      </c>
      <c r="W21" s="184">
        <f t="shared" si="3"/>
        <v>0</v>
      </c>
    </row>
    <row r="22" spans="3:23" x14ac:dyDescent="0.25">
      <c r="C22" s="76" t="e" vm="8">
        <v>#VALUE!</v>
      </c>
      <c r="D22" s="18" t="s">
        <v>30</v>
      </c>
      <c r="E22" s="18" t="s">
        <v>300</v>
      </c>
      <c r="F22" s="18" t="s">
        <v>299</v>
      </c>
      <c r="G22" s="81" t="s">
        <v>301</v>
      </c>
      <c r="H22" s="76" t="s">
        <v>31</v>
      </c>
      <c r="I22" s="79" t="s">
        <v>435</v>
      </c>
      <c r="J22" s="79" t="str">
        <f>+IF(I22="Gas","Doesn't Apply",IF(H22&lt;$F$5,$D$5,IF(H22&lt;$F$6,$D$6,IF(H22&lt;$F$7,$D$7,IF(H22&gt;$E$8,$D$8,"Doesn't Apply")))))</f>
        <v>Doesn't Apply</v>
      </c>
      <c r="K22" s="257">
        <f t="shared" si="0"/>
        <v>162.95282191780822</v>
      </c>
      <c r="L22" s="257">
        <f t="shared" si="1"/>
        <v>6.7568767123287659</v>
      </c>
      <c r="M22" s="257">
        <f t="shared" si="2"/>
        <v>156.19594520547946</v>
      </c>
      <c r="N22" s="185">
        <v>162.95279452054797</v>
      </c>
      <c r="O22" s="185">
        <v>0</v>
      </c>
      <c r="P22" s="185">
        <v>0</v>
      </c>
      <c r="Q22" s="185">
        <v>0.22493150684931507</v>
      </c>
      <c r="R22" s="185">
        <v>6.5319452054794507</v>
      </c>
      <c r="S22" s="185">
        <v>13.287095890410958</v>
      </c>
      <c r="T22" s="185">
        <v>0</v>
      </c>
      <c r="U22" s="185">
        <v>142.90884931506849</v>
      </c>
      <c r="V22" s="185">
        <v>0</v>
      </c>
      <c r="W22" s="184">
        <f t="shared" si="3"/>
        <v>0</v>
      </c>
    </row>
    <row r="23" spans="3:23" x14ac:dyDescent="0.25">
      <c r="C23" s="76" t="e" vm="8">
        <v>#VALUE!</v>
      </c>
      <c r="D23" s="18" t="s">
        <v>30</v>
      </c>
      <c r="E23" s="18" t="s">
        <v>300</v>
      </c>
      <c r="F23" s="18" t="s">
        <v>299</v>
      </c>
      <c r="G23" s="81" t="s">
        <v>311</v>
      </c>
      <c r="H23" s="76" t="s">
        <v>31</v>
      </c>
      <c r="I23" s="79" t="s">
        <v>435</v>
      </c>
      <c r="J23" s="79" t="str">
        <f>+IF(I23="Gas","Doesn't Apply",IF(H23&lt;$F$5,$D$5,IF(H23&lt;$F$6,$D$6,IF(H23&lt;$F$7,$D$7,IF(H23&gt;$E$8,$D$8,"Doesn't Apply")))))</f>
        <v>Doesn't Apply</v>
      </c>
      <c r="K23" s="257">
        <f t="shared" si="0"/>
        <v>23.174410958904112</v>
      </c>
      <c r="L23" s="257">
        <f t="shared" si="1"/>
        <v>0.14397260273972604</v>
      </c>
      <c r="M23" s="257">
        <f t="shared" si="2"/>
        <v>23.030438356164385</v>
      </c>
      <c r="N23" s="185">
        <v>23.174301369863016</v>
      </c>
      <c r="O23" s="185">
        <v>0</v>
      </c>
      <c r="P23" s="185">
        <v>0</v>
      </c>
      <c r="Q23" s="185">
        <v>2.701369863013699E-2</v>
      </c>
      <c r="R23" s="185">
        <v>0.11695890410958903</v>
      </c>
      <c r="S23" s="185">
        <v>1.9608219178082194</v>
      </c>
      <c r="T23" s="185">
        <v>0</v>
      </c>
      <c r="U23" s="185">
        <v>21.069616438356167</v>
      </c>
      <c r="V23" s="185">
        <v>0</v>
      </c>
      <c r="W23" s="184">
        <f t="shared" si="3"/>
        <v>0</v>
      </c>
    </row>
    <row r="24" spans="3:23" x14ac:dyDescent="0.25">
      <c r="C24" s="76" t="e" vm="1">
        <v>#VALUE!</v>
      </c>
      <c r="D24" s="18" t="s">
        <v>30</v>
      </c>
      <c r="E24" s="18" t="s">
        <v>27</v>
      </c>
      <c r="F24" s="18" t="s">
        <v>28</v>
      </c>
      <c r="G24" s="81" t="s">
        <v>29</v>
      </c>
      <c r="H24" s="76">
        <f>11.3+(14.4-11.3)/2</f>
        <v>12.850000000000001</v>
      </c>
      <c r="I24" s="79"/>
      <c r="J24" s="79" t="str">
        <f>+IF(G24="Gas","Doesn't Apply",IF(H24&lt;$F$5,$D$5,IF(H24&lt;$F$6,$D$6,IF(H24&lt;$F$7,$D$7,IF(H24&gt;$E$8,$D$8,"Doesn't Apply")))))</f>
        <v>Heavy Oil</v>
      </c>
      <c r="K24" s="257">
        <f t="shared" si="0"/>
        <v>0</v>
      </c>
      <c r="L24" s="257">
        <f t="shared" si="1"/>
        <v>0</v>
      </c>
      <c r="M24" s="257">
        <f t="shared" si="2"/>
        <v>0</v>
      </c>
      <c r="N24" s="185">
        <v>0</v>
      </c>
      <c r="O24" s="185">
        <v>0</v>
      </c>
      <c r="P24" s="185">
        <v>0</v>
      </c>
      <c r="Q24" s="185">
        <v>0</v>
      </c>
      <c r="R24" s="185">
        <v>0</v>
      </c>
      <c r="S24" s="185">
        <v>0</v>
      </c>
      <c r="T24" s="185">
        <v>0</v>
      </c>
      <c r="U24" s="185">
        <v>0</v>
      </c>
      <c r="V24" s="185">
        <v>119308.68268493151</v>
      </c>
      <c r="W24" s="184">
        <f t="shared" si="3"/>
        <v>0</v>
      </c>
    </row>
    <row r="25" spans="3:23" x14ac:dyDescent="0.25">
      <c r="C25" s="76" t="e" vm="1">
        <v>#VALUE!</v>
      </c>
      <c r="D25" s="18" t="s">
        <v>30</v>
      </c>
      <c r="E25" s="18" t="s">
        <v>45</v>
      </c>
      <c r="F25" s="18" t="s">
        <v>28</v>
      </c>
      <c r="G25" s="81" t="s">
        <v>46</v>
      </c>
      <c r="H25" s="76">
        <v>13.7</v>
      </c>
      <c r="I25" s="79"/>
      <c r="J25" s="79" t="str">
        <f>+IF(G25="Gas","Doesn't Apply",IF(H25&lt;$F$5,$D$5,IF(H25&lt;$F$6,$D$6,IF(H25&lt;$F$7,$D$7,IF(H25&gt;$E$8,$D$8,"Doesn't Apply")))))</f>
        <v>Heavy Oil</v>
      </c>
      <c r="K25" s="257">
        <f t="shared" si="0"/>
        <v>0</v>
      </c>
      <c r="L25" s="257">
        <f t="shared" si="1"/>
        <v>0</v>
      </c>
      <c r="M25" s="257">
        <f t="shared" si="2"/>
        <v>0</v>
      </c>
      <c r="N25" s="185">
        <v>0</v>
      </c>
      <c r="O25" s="185">
        <v>0</v>
      </c>
      <c r="P25" s="185">
        <v>0</v>
      </c>
      <c r="Q25" s="185">
        <v>0</v>
      </c>
      <c r="R25" s="185">
        <v>0</v>
      </c>
      <c r="S25" s="185">
        <v>0</v>
      </c>
      <c r="T25" s="185">
        <v>0</v>
      </c>
      <c r="U25" s="185">
        <v>0</v>
      </c>
      <c r="V25" s="185">
        <v>114056.06200000001</v>
      </c>
      <c r="W25" s="184">
        <f t="shared" si="3"/>
        <v>0</v>
      </c>
    </row>
    <row r="26" spans="3:23" x14ac:dyDescent="0.25">
      <c r="C26" s="76" t="e" vm="1">
        <v>#VALUE!</v>
      </c>
      <c r="D26" s="18" t="s">
        <v>30</v>
      </c>
      <c r="E26" s="18" t="s">
        <v>60</v>
      </c>
      <c r="F26" s="18" t="s">
        <v>28</v>
      </c>
      <c r="G26" s="81" t="s">
        <v>61</v>
      </c>
      <c r="H26" s="76">
        <f>7+(20-7)/2</f>
        <v>13.5</v>
      </c>
      <c r="I26" s="79"/>
      <c r="J26" s="79" t="str">
        <f>+IF(G26="Gas","Doesn't Apply",IF(H26&lt;$F$5,$D$5,IF(H26&lt;$F$6,$D$6,IF(H26&lt;$F$7,$D$7,IF(H26&gt;$E$8,$D$8,"Doesn't Apply")))))</f>
        <v>Heavy Oil</v>
      </c>
      <c r="K26" s="257">
        <f t="shared" si="0"/>
        <v>3.793589041095891</v>
      </c>
      <c r="L26" s="257">
        <f t="shared" si="1"/>
        <v>3.793589041095891</v>
      </c>
      <c r="M26" s="257">
        <f t="shared" si="2"/>
        <v>0</v>
      </c>
      <c r="N26" s="185">
        <v>3.7935616438356163</v>
      </c>
      <c r="O26" s="185">
        <v>0</v>
      </c>
      <c r="P26" s="185">
        <v>0</v>
      </c>
      <c r="Q26" s="185">
        <v>2.9221917808219184</v>
      </c>
      <c r="R26" s="185">
        <v>0.87139726027397268</v>
      </c>
      <c r="S26" s="185">
        <v>0</v>
      </c>
      <c r="T26" s="185">
        <v>0</v>
      </c>
      <c r="U26" s="185">
        <v>0</v>
      </c>
      <c r="V26" s="185">
        <v>69090.784575342463</v>
      </c>
      <c r="W26" s="184">
        <f t="shared" si="3"/>
        <v>0</v>
      </c>
    </row>
    <row r="27" spans="3:23" x14ac:dyDescent="0.25">
      <c r="C27" s="76" t="e" vm="1">
        <v>#VALUE!</v>
      </c>
      <c r="D27" s="18" t="s">
        <v>30</v>
      </c>
      <c r="E27" s="18" t="s">
        <v>60</v>
      </c>
      <c r="F27" s="18" t="s">
        <v>460</v>
      </c>
      <c r="G27" s="81" t="s">
        <v>342</v>
      </c>
      <c r="H27" s="76">
        <v>8</v>
      </c>
      <c r="I27" s="79"/>
      <c r="J27" s="79" t="str">
        <f>+IF(I27="Gas","Doesn't Apply",IF(H27&lt;$F$5,$D$5,IF(H27&lt;$F$6,$D$6,IF(H27&lt;$F$7,$D$7,IF(H27&gt;$E$8,$D$8,"Doesn't Apply")))))</f>
        <v>Heavy Oil</v>
      </c>
      <c r="K27" s="257">
        <f t="shared" si="0"/>
        <v>0.58205479452054798</v>
      </c>
      <c r="L27" s="257">
        <f t="shared" si="1"/>
        <v>0.58205479452054798</v>
      </c>
      <c r="M27" s="257">
        <f t="shared" si="2"/>
        <v>0</v>
      </c>
      <c r="N27" s="185">
        <v>0.58205479452054798</v>
      </c>
      <c r="O27" s="185">
        <v>0</v>
      </c>
      <c r="P27" s="185">
        <v>0</v>
      </c>
      <c r="Q27" s="185">
        <v>0.58205479452054798</v>
      </c>
      <c r="R27" s="185">
        <v>0</v>
      </c>
      <c r="S27" s="185">
        <v>0</v>
      </c>
      <c r="T27" s="185">
        <v>0</v>
      </c>
      <c r="U27" s="185">
        <v>0</v>
      </c>
      <c r="V27" s="185">
        <v>19756.607616438356</v>
      </c>
      <c r="W27" s="184">
        <f t="shared" si="3"/>
        <v>0</v>
      </c>
    </row>
    <row r="28" spans="3:23" x14ac:dyDescent="0.25">
      <c r="C28" s="76" t="e" vm="1">
        <v>#VALUE!</v>
      </c>
      <c r="D28" s="18" t="s">
        <v>30</v>
      </c>
      <c r="E28" s="18" t="s">
        <v>455</v>
      </c>
      <c r="F28" s="18" t="s">
        <v>460</v>
      </c>
      <c r="G28" s="81" t="s">
        <v>346</v>
      </c>
      <c r="H28" s="76">
        <v>13.5</v>
      </c>
      <c r="I28" s="79"/>
      <c r="J28" s="79" t="str">
        <f>+IF(I28="Gas","Doesn't Apply",IF(H28&lt;$F$5,$D$5,IF(H28&lt;$F$6,$D$6,IF(H28&lt;$F$7,$D$7,IF(H28&gt;$E$8,$D$8,"Doesn't Apply")))))</f>
        <v>Heavy Oil</v>
      </c>
      <c r="K28" s="257">
        <f t="shared" si="0"/>
        <v>0.23824657534246574</v>
      </c>
      <c r="L28" s="257">
        <f t="shared" si="1"/>
        <v>0.23824657534246574</v>
      </c>
      <c r="M28" s="257">
        <f t="shared" si="2"/>
        <v>0</v>
      </c>
      <c r="N28" s="185">
        <v>0.23827397260273972</v>
      </c>
      <c r="O28" s="185">
        <v>0</v>
      </c>
      <c r="P28" s="185">
        <v>0</v>
      </c>
      <c r="Q28" s="185">
        <v>0.1378630136986301</v>
      </c>
      <c r="R28" s="185">
        <v>0.10038356164383562</v>
      </c>
      <c r="S28" s="185">
        <v>0</v>
      </c>
      <c r="T28" s="185">
        <v>0</v>
      </c>
      <c r="U28" s="185">
        <v>0</v>
      </c>
      <c r="V28" s="185">
        <v>1476.5236986301368</v>
      </c>
      <c r="W28" s="184">
        <f t="shared" si="3"/>
        <v>0</v>
      </c>
    </row>
    <row r="29" spans="3:23" x14ac:dyDescent="0.25">
      <c r="C29" s="76" t="e" vm="10">
        <v>#VALUE!</v>
      </c>
      <c r="D29" s="18" t="s">
        <v>30</v>
      </c>
      <c r="E29" s="18" t="s">
        <v>457</v>
      </c>
      <c r="F29" s="18" t="s">
        <v>459</v>
      </c>
      <c r="G29" s="81" t="s">
        <v>318</v>
      </c>
      <c r="H29" s="76" t="s">
        <v>31</v>
      </c>
      <c r="I29" s="79" t="s">
        <v>435</v>
      </c>
      <c r="J29" s="79" t="str">
        <f>+IF(I29="Gas","Doesn't Apply",IF(H29&lt;$F$5,$D$5,IF(H29&lt;$F$6,$D$6,IF(H29&lt;$F$7,$D$7,IF(H29&gt;$E$8,$D$8,"Doesn't Apply")))))</f>
        <v>Doesn't Apply</v>
      </c>
      <c r="K29" s="257">
        <f t="shared" si="0"/>
        <v>35.569315068493154</v>
      </c>
      <c r="L29" s="257">
        <f t="shared" si="1"/>
        <v>0</v>
      </c>
      <c r="M29" s="257">
        <f t="shared" si="2"/>
        <v>31.996931506849318</v>
      </c>
      <c r="N29" s="185">
        <v>35.569315068493154</v>
      </c>
      <c r="O29" s="185">
        <v>0</v>
      </c>
      <c r="P29" s="185">
        <v>0</v>
      </c>
      <c r="Q29" s="185">
        <v>0</v>
      </c>
      <c r="R29" s="185">
        <v>0</v>
      </c>
      <c r="S29" s="185">
        <v>35.569315068493154</v>
      </c>
      <c r="T29" s="185">
        <v>3.5723835616438366</v>
      </c>
      <c r="U29" s="185">
        <v>0</v>
      </c>
      <c r="V29" s="185">
        <v>0</v>
      </c>
      <c r="W29" s="184">
        <f t="shared" si="3"/>
        <v>0</v>
      </c>
    </row>
    <row r="30" spans="3:23" x14ac:dyDescent="0.25">
      <c r="C30" s="76" t="e" vm="11">
        <v>#VALUE!</v>
      </c>
      <c r="D30" s="18" t="s">
        <v>30</v>
      </c>
      <c r="E30" s="18" t="s">
        <v>449</v>
      </c>
      <c r="F30" s="18" t="s">
        <v>461</v>
      </c>
      <c r="G30" s="81" t="s">
        <v>449</v>
      </c>
      <c r="H30" s="76">
        <v>35</v>
      </c>
      <c r="I30" s="79"/>
      <c r="J30" s="79" t="str">
        <f>+IF(G30="Gas","Doesn't Apply",IF(H30&lt;$F$5,$D$5,IF(H30&lt;$F$6,$D$6,IF(H30&lt;$F$7,$D$7,IF(H30&gt;$E$8,$D$8,"Doesn't Apply")))))</f>
        <v>Light Oil</v>
      </c>
      <c r="K30" s="257">
        <f t="shared" si="0"/>
        <v>3.4626301369863017</v>
      </c>
      <c r="L30" s="257">
        <f t="shared" si="1"/>
        <v>3.4626301369863017</v>
      </c>
      <c r="M30" s="257">
        <f t="shared" si="2"/>
        <v>0</v>
      </c>
      <c r="N30" s="185">
        <v>3.4626301369863017</v>
      </c>
      <c r="O30" s="185">
        <v>0</v>
      </c>
      <c r="P30" s="185">
        <v>0</v>
      </c>
      <c r="Q30" s="185">
        <v>3.4626301369863017</v>
      </c>
      <c r="R30" s="185">
        <v>0</v>
      </c>
      <c r="S30" s="185">
        <v>0</v>
      </c>
      <c r="T30" s="185">
        <v>0</v>
      </c>
      <c r="U30" s="185">
        <v>0</v>
      </c>
      <c r="V30" s="185">
        <v>1962.0646849315069</v>
      </c>
      <c r="W30" s="184">
        <f t="shared" si="3"/>
        <v>0</v>
      </c>
    </row>
    <row r="31" spans="3:23" x14ac:dyDescent="0.25">
      <c r="C31" s="76" t="e" vm="2">
        <v>#VALUE!</v>
      </c>
      <c r="D31" s="18" t="s">
        <v>30</v>
      </c>
      <c r="E31" s="18" t="s">
        <v>124</v>
      </c>
      <c r="F31" s="18" t="s">
        <v>79</v>
      </c>
      <c r="G31" s="81" t="s">
        <v>125</v>
      </c>
      <c r="H31" s="76">
        <v>21</v>
      </c>
      <c r="I31" s="79"/>
      <c r="J31" s="79" t="str">
        <f>+IF(G31="Gas","Doesn't Apply",IF(H31&lt;$F$5,$D$5,IF(H31&lt;$F$6,$D$6,IF(H31&lt;$F$7,$D$7,IF(H31&gt;$E$8,$D$8,"Doesn't Apply")))))</f>
        <v>Medium Oil</v>
      </c>
      <c r="K31" s="257">
        <f t="shared" si="0"/>
        <v>5.057041095890412</v>
      </c>
      <c r="L31" s="257">
        <f t="shared" si="1"/>
        <v>2.6139452054794523</v>
      </c>
      <c r="M31" s="257">
        <f t="shared" si="2"/>
        <v>2.4430958904109596</v>
      </c>
      <c r="N31" s="185">
        <v>5.0572054794520547</v>
      </c>
      <c r="O31" s="185">
        <v>0</v>
      </c>
      <c r="P31" s="185">
        <v>0</v>
      </c>
      <c r="Q31" s="185">
        <v>0.21123287671232879</v>
      </c>
      <c r="R31" s="185">
        <v>2.4027123287671235</v>
      </c>
      <c r="S31" s="185">
        <v>0</v>
      </c>
      <c r="T31" s="185">
        <v>0</v>
      </c>
      <c r="U31" s="185">
        <v>2.4430958904109596</v>
      </c>
      <c r="V31" s="185">
        <v>17849.99879452055</v>
      </c>
      <c r="W31" s="184">
        <f t="shared" si="3"/>
        <v>0</v>
      </c>
    </row>
    <row r="32" spans="3:23" x14ac:dyDescent="0.25">
      <c r="C32" s="76" t="e" vm="2">
        <v>#VALUE!</v>
      </c>
      <c r="D32" s="18" t="s">
        <v>30</v>
      </c>
      <c r="E32" s="18" t="s">
        <v>78</v>
      </c>
      <c r="F32" s="18" t="s">
        <v>79</v>
      </c>
      <c r="G32" s="81" t="s">
        <v>80</v>
      </c>
      <c r="H32" s="76">
        <f>20+(25-20)/2</f>
        <v>22.5</v>
      </c>
      <c r="I32" s="79"/>
      <c r="J32" s="79" t="str">
        <f>+IF(G32="Gas","Doesn't Apply",IF(H32&lt;$F$5,$D$5,IF(H32&lt;$F$6,$D$6,IF(H32&lt;$F$7,$D$7,IF(H32&gt;$E$8,$D$8,"Doesn't Apply")))))</f>
        <v>Medium Oil</v>
      </c>
      <c r="K32" s="257">
        <f t="shared" si="0"/>
        <v>6.7767123287671236</v>
      </c>
      <c r="L32" s="257">
        <f t="shared" si="1"/>
        <v>3.0408493150684928</v>
      </c>
      <c r="M32" s="257">
        <f t="shared" si="2"/>
        <v>3.7358630136986304</v>
      </c>
      <c r="N32" s="185">
        <v>6.7767123287671236</v>
      </c>
      <c r="O32" s="185">
        <v>0</v>
      </c>
      <c r="P32" s="185">
        <v>0</v>
      </c>
      <c r="Q32" s="185">
        <v>1.6441095890410957</v>
      </c>
      <c r="R32" s="185">
        <v>1.396739726027397</v>
      </c>
      <c r="S32" s="185">
        <v>3.7358630136986304</v>
      </c>
      <c r="T32" s="185">
        <v>0</v>
      </c>
      <c r="U32" s="185">
        <v>0</v>
      </c>
      <c r="V32" s="185">
        <v>42334.39687671233</v>
      </c>
      <c r="W32" s="184">
        <f t="shared" si="3"/>
        <v>0</v>
      </c>
    </row>
    <row r="33" spans="12:12" x14ac:dyDescent="0.25">
      <c r="L33" s="229"/>
    </row>
    <row r="58" spans="5:15" x14ac:dyDescent="0.25">
      <c r="G58" t="s">
        <v>30</v>
      </c>
      <c r="L58" t="s">
        <v>473</v>
      </c>
    </row>
    <row r="59" spans="5:15" x14ac:dyDescent="0.25">
      <c r="E59" s="189" t="e" vm="5">
        <v>#VALUE!</v>
      </c>
      <c r="F59" s="180" t="s">
        <v>462</v>
      </c>
      <c r="G59" s="190">
        <v>14656.498438356164</v>
      </c>
      <c r="K59" s="191">
        <v>2.8564827826612956E-2</v>
      </c>
      <c r="L59" s="180">
        <f>+SUMIF($C$13:C32,E59,V$13:V$32)</f>
        <v>13595.920273972637</v>
      </c>
      <c r="M59" s="180"/>
      <c r="N59" s="192">
        <f t="shared" ref="N59:N71" si="4">+G59-L59</f>
        <v>1060.5781643835271</v>
      </c>
      <c r="O59" s="191">
        <f t="shared" ref="O59:O71" si="5">+N59/G59</f>
        <v>7.2362315517872006E-2</v>
      </c>
    </row>
    <row r="60" spans="5:15" x14ac:dyDescent="0.25">
      <c r="E60" s="189" t="e" vm="7">
        <v>#VALUE!</v>
      </c>
      <c r="F60" s="180" t="s">
        <v>463</v>
      </c>
      <c r="G60" s="190">
        <v>49873.263342465754</v>
      </c>
      <c r="K60" s="191">
        <v>9.7200650381855019E-2</v>
      </c>
      <c r="L60" s="180">
        <f ca="1">+SUMIF($C$13:C33,E60,V$13:V$32)</f>
        <v>45006.501780821927</v>
      </c>
      <c r="M60" s="180"/>
      <c r="N60" s="192">
        <f t="shared" ca="1" si="4"/>
        <v>4866.761561643827</v>
      </c>
      <c r="O60" s="191">
        <f t="shared" ca="1" si="5"/>
        <v>9.758257702579308E-2</v>
      </c>
    </row>
    <row r="61" spans="5:15" x14ac:dyDescent="0.25">
      <c r="F61" t="s">
        <v>464</v>
      </c>
      <c r="G61" s="187">
        <v>2877.3214794520545</v>
      </c>
      <c r="K61" s="186">
        <v>5.6077645699651466E-3</v>
      </c>
      <c r="L61">
        <f ca="1">+SUMIF($C$13:C34,E61,V$13:V$32)</f>
        <v>0</v>
      </c>
      <c r="N61" s="188">
        <f t="shared" ca="1" si="4"/>
        <v>2877.3214794520545</v>
      </c>
      <c r="O61" s="186">
        <f t="shared" ca="1" si="5"/>
        <v>1</v>
      </c>
    </row>
    <row r="62" spans="5:15" x14ac:dyDescent="0.25">
      <c r="F62" t="s">
        <v>465</v>
      </c>
      <c r="G62" s="187">
        <v>63.741945205479446</v>
      </c>
      <c r="K62" s="186">
        <v>1.2423006066462157E-4</v>
      </c>
      <c r="L62">
        <f ca="1">+SUMIF($C$13:C35,E62,V$13:V$32)</f>
        <v>0</v>
      </c>
      <c r="N62" s="188">
        <f t="shared" ca="1" si="4"/>
        <v>63.741945205479446</v>
      </c>
      <c r="O62" s="186">
        <f t="shared" ca="1" si="5"/>
        <v>1</v>
      </c>
    </row>
    <row r="63" spans="5:15" x14ac:dyDescent="0.25">
      <c r="E63" s="189" t="e" vm="9">
        <v>#VALUE!</v>
      </c>
      <c r="F63" s="180" t="s">
        <v>466</v>
      </c>
      <c r="G63" s="190">
        <v>23392.562712328774</v>
      </c>
      <c r="K63" s="191">
        <v>4.5591007232138166E-2</v>
      </c>
      <c r="L63" s="180">
        <f ca="1">+SUMIF($C$13:C36,E63,V$13:V$32)</f>
        <v>12779.930328767123</v>
      </c>
      <c r="M63" s="180"/>
      <c r="N63" s="192">
        <f t="shared" ca="1" si="4"/>
        <v>10612.632383561651</v>
      </c>
      <c r="O63" s="191">
        <f t="shared" ca="1" si="5"/>
        <v>0.45367549139745977</v>
      </c>
    </row>
    <row r="64" spans="5:15" x14ac:dyDescent="0.25">
      <c r="E64" s="189" t="e" vm="1">
        <v>#VALUE!</v>
      </c>
      <c r="F64" s="180" t="s">
        <v>467</v>
      </c>
      <c r="G64" s="190">
        <v>351063.42304109584</v>
      </c>
      <c r="K64" s="191">
        <v>0.68420614088469911</v>
      </c>
      <c r="L64" s="180">
        <f ca="1">+SUMIF($C$13:C37,E64,V$13:V$32)</f>
        <v>323688.66057534254</v>
      </c>
      <c r="M64" s="180"/>
      <c r="N64" s="192">
        <f t="shared" ca="1" si="4"/>
        <v>27374.762465753302</v>
      </c>
      <c r="O64" s="191">
        <f t="shared" ca="1" si="5"/>
        <v>7.7976686459155231E-2</v>
      </c>
    </row>
    <row r="65" spans="5:15" x14ac:dyDescent="0.25">
      <c r="E65" s="189" t="e" vm="10">
        <v>#VALUE!</v>
      </c>
      <c r="F65" s="180" t="s">
        <v>468</v>
      </c>
      <c r="G65" s="190">
        <v>1502.4393150684932</v>
      </c>
      <c r="K65" s="191">
        <v>2.9281837360656286E-3</v>
      </c>
      <c r="L65" s="180">
        <f ca="1">+SUMIF($C$13:C38,E65,V$13:V$32)</f>
        <v>0</v>
      </c>
      <c r="M65" s="180"/>
      <c r="N65" s="192">
        <f t="shared" ca="1" si="4"/>
        <v>1502.4393150684932</v>
      </c>
      <c r="O65" s="191">
        <f t="shared" ca="1" si="5"/>
        <v>1</v>
      </c>
    </row>
    <row r="66" spans="5:15" x14ac:dyDescent="0.25">
      <c r="E66" s="189" t="e" vm="11">
        <v>#VALUE!</v>
      </c>
      <c r="F66" s="180" t="s">
        <v>451</v>
      </c>
      <c r="G66" s="190">
        <v>5907.8353698630135</v>
      </c>
      <c r="K66" s="191">
        <v>1.1514093961656952E-2</v>
      </c>
      <c r="L66" s="180">
        <f ca="1">+SUMIF($C$13:C39,E66,V$13:V$32)</f>
        <v>1962.0646849315069</v>
      </c>
      <c r="M66" s="180"/>
      <c r="N66" s="192">
        <f t="shared" ca="1" si="4"/>
        <v>3945.7706849315064</v>
      </c>
      <c r="O66" s="191">
        <f t="shared" ca="1" si="5"/>
        <v>0.66788771824273063</v>
      </c>
    </row>
    <row r="67" spans="5:15" x14ac:dyDescent="0.25">
      <c r="F67" t="s">
        <v>464</v>
      </c>
      <c r="G67" s="187">
        <v>2877.3214794520545</v>
      </c>
      <c r="K67" s="186">
        <v>5.6077645699651466E-3</v>
      </c>
      <c r="L67">
        <f ca="1">+SUMIF($C$13:C40,E67,V$13:V$32)</f>
        <v>0</v>
      </c>
      <c r="N67" s="188">
        <f t="shared" ca="1" si="4"/>
        <v>2877.3214794520545</v>
      </c>
      <c r="O67" s="186">
        <f t="shared" ca="1" si="5"/>
        <v>1</v>
      </c>
    </row>
    <row r="68" spans="5:15" x14ac:dyDescent="0.25">
      <c r="E68" s="189" t="e" vm="2">
        <v>#VALUE!</v>
      </c>
      <c r="F68" s="180" t="s">
        <v>469</v>
      </c>
      <c r="G68" s="190">
        <v>56937.26830136987</v>
      </c>
      <c r="K68" s="191">
        <v>0.11096806462926974</v>
      </c>
      <c r="L68" s="180">
        <f ca="1">+SUMIF($C$13:C41,E68,V$13:V$32)</f>
        <v>60184.39567123288</v>
      </c>
      <c r="M68" s="180"/>
      <c r="N68" s="192">
        <f t="shared" ca="1" si="4"/>
        <v>-3247.1273698630102</v>
      </c>
      <c r="O68" s="191">
        <f t="shared" ca="1" si="5"/>
        <v>-5.7029911457569638E-2</v>
      </c>
    </row>
    <row r="69" spans="5:15" x14ac:dyDescent="0.25">
      <c r="F69" t="s">
        <v>470</v>
      </c>
      <c r="G69" s="187">
        <v>33.721452054794518</v>
      </c>
      <c r="K69" s="186">
        <v>6.5721527966581929E-5</v>
      </c>
      <c r="L69">
        <f ca="1">+SUMIF($C$13:C42,E69,V$13:V$32)</f>
        <v>0</v>
      </c>
      <c r="N69" s="188">
        <f t="shared" ca="1" si="4"/>
        <v>33.721452054794518</v>
      </c>
      <c r="O69" s="186">
        <f t="shared" ca="1" si="5"/>
        <v>1</v>
      </c>
    </row>
    <row r="70" spans="5:15" x14ac:dyDescent="0.25">
      <c r="F70" t="s">
        <v>471</v>
      </c>
      <c r="G70" s="187">
        <v>3910.58701369863</v>
      </c>
      <c r="K70" s="186">
        <v>7.6215506191408197E-3</v>
      </c>
      <c r="L70">
        <f ca="1">+SUMIF($C$13:C43,E70,V$13:V$32)</f>
        <v>0</v>
      </c>
      <c r="N70" s="188">
        <f t="shared" ca="1" si="4"/>
        <v>3910.58701369863</v>
      </c>
      <c r="O70" s="186">
        <f t="shared" ca="1" si="5"/>
        <v>1</v>
      </c>
    </row>
    <row r="71" spans="5:15" x14ac:dyDescent="0.25">
      <c r="E71" s="189" t="e" vm="4">
        <v>#VALUE!</v>
      </c>
      <c r="F71" s="180" t="s">
        <v>472</v>
      </c>
      <c r="G71" s="190">
        <v>14709.643945205482</v>
      </c>
      <c r="K71" s="191">
        <v>2.8668405926067869E-2</v>
      </c>
      <c r="L71" s="180">
        <f ca="1">+SUMIF($C$13:C44,E71,V$13:V$32)</f>
        <v>0</v>
      </c>
      <c r="M71" s="180"/>
      <c r="N71" s="192">
        <f t="shared" ca="1" si="4"/>
        <v>14709.643945205482</v>
      </c>
      <c r="O71" s="191">
        <f t="shared" ca="1" si="5"/>
        <v>1</v>
      </c>
    </row>
    <row r="72" spans="5:15" x14ac:dyDescent="0.25">
      <c r="G72">
        <v>513095.98389041098</v>
      </c>
      <c r="L72">
        <f ca="1">+SUM(L59:L71)</f>
        <v>457217.47331506864</v>
      </c>
    </row>
  </sheetData>
  <autoFilter ref="C12:W12" xr:uid="{D832BB43-6825-4DB9-BDA5-BAD8B9C7CF26}">
    <sortState xmlns:xlrd2="http://schemas.microsoft.com/office/spreadsheetml/2017/richdata2" ref="C13:W32">
      <sortCondition ref="C12"/>
    </sortState>
  </autoFilter>
  <mergeCells count="4">
    <mergeCell ref="N11:U11"/>
    <mergeCell ref="E3:F3"/>
    <mergeCell ref="G3:H3"/>
    <mergeCell ref="D2:H2"/>
  </mergeCells>
  <conditionalFormatting sqref="F13:F32">
    <cfRule type="containsBlanks" dxfId="24" priority="12">
      <formula>LEN(TRIM(F13))=0</formula>
    </cfRule>
  </conditionalFormatting>
  <conditionalFormatting sqref="H13:I24">
    <cfRule type="containsText" dxfId="23" priority="9" operator="containsText" text="Oil and Gas">
      <formula>NOT(ISERROR(SEARCH("Oil and Gas",H13)))</formula>
    </cfRule>
    <cfRule type="containsText" dxfId="22" priority="10" operator="containsText" text="Gas">
      <formula>NOT(ISERROR(SEARCH("Gas",H13)))</formula>
    </cfRule>
    <cfRule type="containsText" dxfId="21" priority="11" operator="containsText" text="Oil">
      <formula>NOT(ISERROR(SEARCH("Oil",H13)))</formula>
    </cfRule>
  </conditionalFormatting>
  <conditionalFormatting sqref="H25:I32">
    <cfRule type="containsText" dxfId="20" priority="2" operator="containsText" text="Oil and Gas">
      <formula>NOT(ISERROR(SEARCH("Oil and Gas",H25)))</formula>
    </cfRule>
    <cfRule type="containsText" dxfId="19" priority="3" operator="containsText" text="Gas">
      <formula>NOT(ISERROR(SEARCH("Gas",H25)))</formula>
    </cfRule>
    <cfRule type="containsText" dxfId="18" priority="4" operator="containsText" text="Oil">
      <formula>NOT(ISERROR(SEARCH("Oil",H25)))</formula>
    </cfRule>
  </conditionalFormatting>
  <conditionalFormatting sqref="N13:V32">
    <cfRule type="cellIs" dxfId="17"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5" operator="containsText" id="{E50206E2-DEAD-4733-B4E9-878624E4100F}">
            <xm:f>NOT(ISERROR(SEARCH($D$8,D5)))</xm:f>
            <xm:f>$D$8</xm:f>
            <x14:dxf>
              <fill>
                <patternFill>
                  <bgColor theme="7" tint="0.79998168889431442"/>
                </patternFill>
              </fill>
            </x14:dxf>
          </x14:cfRule>
          <x14:cfRule type="containsText" priority="6" operator="containsText" id="{EB847530-2A72-43F1-98E7-9AE701C5BE94}">
            <xm:f>NOT(ISERROR(SEARCH($D$7,D5)))</xm:f>
            <xm:f>$D$7</xm:f>
            <x14:dxf>
              <fill>
                <patternFill>
                  <bgColor theme="5" tint="0.79998168889431442"/>
                </patternFill>
              </fill>
            </x14:dxf>
          </x14:cfRule>
          <x14:cfRule type="containsText" priority="7" operator="containsText" id="{65C5312B-4A40-45E4-92A5-B3383C20DE26}">
            <xm:f>NOT(ISERROR(SEARCH($D$6,D5)))</xm:f>
            <xm:f>$D$6</xm:f>
            <x14:dxf>
              <fill>
                <patternFill>
                  <bgColor theme="0" tint="-0.24994659260841701"/>
                </patternFill>
              </fill>
            </x14:dxf>
          </x14:cfRule>
          <x14:cfRule type="containsText" priority="8" operator="containsText" id="{AB73D198-61C9-44FE-AA97-AF3A93004186}">
            <xm:f>NOT(ISERROR(SEARCH($D$5,D5)))</xm:f>
            <xm:f>$D$5</xm:f>
            <x14:dxf>
              <fill>
                <patternFill>
                  <bgColor theme="0" tint="-0.34998626667073579"/>
                </patternFill>
              </fill>
            </x14:dxf>
          </x14:cfRule>
          <xm:sqref>D5:D10 J13:J32</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2BB43-6825-4DB9-BDA5-BAD8B9C7CF26}">
  <sheetPr>
    <tabColor rgb="FFFF0000"/>
  </sheetPr>
  <dimension ref="A2:W69"/>
  <sheetViews>
    <sheetView showGridLines="0" topLeftCell="A3" zoomScaleNormal="100" workbookViewId="0">
      <selection activeCell="C9" sqref="C9:W9"/>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265" t="s">
        <v>381</v>
      </c>
      <c r="E2" s="265"/>
      <c r="F2" s="265"/>
    </row>
    <row r="3" spans="1:23" ht="15.75" thickTop="1" x14ac:dyDescent="0.25">
      <c r="D3" s="98"/>
      <c r="E3" s="98" t="s">
        <v>382</v>
      </c>
      <c r="F3" s="98" t="s">
        <v>383</v>
      </c>
    </row>
    <row r="4" spans="1:23" x14ac:dyDescent="0.25">
      <c r="D4" s="78" t="s">
        <v>384</v>
      </c>
      <c r="E4" s="99">
        <v>0</v>
      </c>
      <c r="F4" s="98">
        <v>10</v>
      </c>
    </row>
    <row r="5" spans="1:23" x14ac:dyDescent="0.25">
      <c r="D5" s="78" t="s">
        <v>385</v>
      </c>
      <c r="E5" s="98">
        <v>10</v>
      </c>
      <c r="F5" s="98">
        <v>22.3</v>
      </c>
    </row>
    <row r="6" spans="1:23" x14ac:dyDescent="0.25">
      <c r="D6" s="78" t="s">
        <v>386</v>
      </c>
      <c r="E6" s="98">
        <v>22.3</v>
      </c>
      <c r="F6" s="98">
        <v>31.1</v>
      </c>
    </row>
    <row r="7" spans="1:23" x14ac:dyDescent="0.25">
      <c r="D7" s="78" t="s">
        <v>387</v>
      </c>
      <c r="E7" s="98">
        <v>31.1</v>
      </c>
      <c r="F7" s="99">
        <v>100</v>
      </c>
    </row>
    <row r="8" spans="1:23" ht="15.75" x14ac:dyDescent="0.25">
      <c r="N8" s="272" t="s">
        <v>448</v>
      </c>
      <c r="O8" s="272"/>
      <c r="P8" s="272"/>
      <c r="Q8" s="272"/>
      <c r="R8" s="272"/>
      <c r="S8" s="272"/>
      <c r="T8" s="272"/>
      <c r="U8" s="272"/>
      <c r="V8" s="183"/>
      <c r="W8" s="183"/>
    </row>
    <row r="9" spans="1:23" ht="30" x14ac:dyDescent="0.25">
      <c r="A9" t="s">
        <v>474</v>
      </c>
      <c r="C9" s="179" t="s">
        <v>341</v>
      </c>
      <c r="D9" s="179" t="s">
        <v>7</v>
      </c>
      <c r="E9" s="179" t="s">
        <v>4</v>
      </c>
      <c r="F9" s="179" t="s">
        <v>5</v>
      </c>
      <c r="G9" s="179" t="s">
        <v>6</v>
      </c>
      <c r="H9" s="5" t="s">
        <v>11</v>
      </c>
      <c r="I9" s="5"/>
      <c r="J9" s="5" t="s">
        <v>348</v>
      </c>
      <c r="K9" s="181" t="s">
        <v>438</v>
      </c>
      <c r="L9" s="181" t="s">
        <v>436</v>
      </c>
      <c r="M9" s="181" t="s">
        <v>437</v>
      </c>
      <c r="N9" s="179" t="s">
        <v>442</v>
      </c>
      <c r="O9" s="179" t="s">
        <v>439</v>
      </c>
      <c r="P9" s="179" t="s">
        <v>440</v>
      </c>
      <c r="Q9" s="179" t="s">
        <v>443</v>
      </c>
      <c r="R9" s="179" t="s">
        <v>444</v>
      </c>
      <c r="S9" s="179" t="s">
        <v>445</v>
      </c>
      <c r="T9" s="179" t="s">
        <v>446</v>
      </c>
      <c r="U9" s="179" t="s">
        <v>447</v>
      </c>
      <c r="V9" s="179" t="s">
        <v>441</v>
      </c>
      <c r="W9" s="181" t="s">
        <v>450</v>
      </c>
    </row>
    <row r="10" spans="1:23" x14ac:dyDescent="0.25">
      <c r="C10" s="76" t="e" vm="1">
        <v>#VALUE!</v>
      </c>
      <c r="D10" s="18" t="s">
        <v>30</v>
      </c>
      <c r="E10" s="18" t="s">
        <v>27</v>
      </c>
      <c r="F10" s="18" t="s">
        <v>28</v>
      </c>
      <c r="G10" s="81" t="s">
        <v>29</v>
      </c>
      <c r="H10" s="76">
        <f>11.3+(14.4-11.3)/2</f>
        <v>12.850000000000001</v>
      </c>
      <c r="I10" s="79"/>
      <c r="J10" s="79" t="str">
        <f t="shared" ref="J10:J19" si="0">+IF(G10="Gas","Doesn't Apply",IF(H10&lt;$F$4,$D$4,IF(H10&lt;$F$5,$D$5,IF(H10&lt;$F$6,$D$6,IF(H10&gt;$E$7,$D$7,"Doesn't Apply")))))</f>
        <v>Heavy Oil</v>
      </c>
      <c r="K10" s="182"/>
      <c r="L10" s="182"/>
      <c r="M10" s="182"/>
      <c r="N10" s="185">
        <v>0</v>
      </c>
      <c r="O10" s="185">
        <v>0</v>
      </c>
      <c r="P10" s="185">
        <v>0</v>
      </c>
      <c r="Q10" s="185">
        <v>0</v>
      </c>
      <c r="R10" s="185">
        <v>0</v>
      </c>
      <c r="S10" s="185">
        <v>0</v>
      </c>
      <c r="T10" s="185">
        <v>0</v>
      </c>
      <c r="U10" s="185">
        <v>0</v>
      </c>
      <c r="V10" s="185">
        <v>119308.68268493151</v>
      </c>
      <c r="W10" s="184">
        <f>+P10</f>
        <v>0</v>
      </c>
    </row>
    <row r="11" spans="1:23" x14ac:dyDescent="0.25">
      <c r="C11" s="76" t="e" vm="1">
        <v>#VALUE!</v>
      </c>
      <c r="D11" s="18" t="s">
        <v>30</v>
      </c>
      <c r="E11" s="18" t="s">
        <v>45</v>
      </c>
      <c r="F11" s="18" t="s">
        <v>28</v>
      </c>
      <c r="G11" s="81" t="s">
        <v>46</v>
      </c>
      <c r="H11" s="76">
        <v>13.7</v>
      </c>
      <c r="I11" s="79"/>
      <c r="J11" s="79" t="str">
        <f t="shared" si="0"/>
        <v>Heavy Oil</v>
      </c>
      <c r="K11" s="182"/>
      <c r="L11" s="182"/>
      <c r="M11" s="182"/>
      <c r="N11" s="185">
        <v>0</v>
      </c>
      <c r="O11" s="185">
        <v>0</v>
      </c>
      <c r="P11" s="185">
        <v>0</v>
      </c>
      <c r="Q11" s="185">
        <v>0</v>
      </c>
      <c r="R11" s="185">
        <v>0</v>
      </c>
      <c r="S11" s="185">
        <v>0</v>
      </c>
      <c r="T11" s="185">
        <v>0</v>
      </c>
      <c r="U11" s="185">
        <v>0</v>
      </c>
      <c r="V11" s="185">
        <v>114056.06200000001</v>
      </c>
      <c r="W11" s="184">
        <f t="shared" ref="W11:W29" si="1">+P11</f>
        <v>0</v>
      </c>
    </row>
    <row r="12" spans="1:23" x14ac:dyDescent="0.25">
      <c r="C12" s="76" t="e" vm="1">
        <v>#VALUE!</v>
      </c>
      <c r="D12" s="18" t="s">
        <v>30</v>
      </c>
      <c r="E12" s="18" t="s">
        <v>60</v>
      </c>
      <c r="F12" s="18" t="s">
        <v>28</v>
      </c>
      <c r="G12" s="81" t="s">
        <v>61</v>
      </c>
      <c r="H12" s="76">
        <f>7+(20-7)/2</f>
        <v>13.5</v>
      </c>
      <c r="I12" s="79"/>
      <c r="J12" s="79" t="str">
        <f t="shared" si="0"/>
        <v>Heavy Oil</v>
      </c>
      <c r="K12" s="182"/>
      <c r="L12" s="182"/>
      <c r="M12" s="182"/>
      <c r="N12" s="185">
        <v>3.7935616438356163</v>
      </c>
      <c r="O12" s="185">
        <v>0</v>
      </c>
      <c r="P12" s="185">
        <v>0</v>
      </c>
      <c r="Q12" s="185">
        <v>2.9221917808219184</v>
      </c>
      <c r="R12" s="185">
        <v>0.87139726027397268</v>
      </c>
      <c r="S12" s="185">
        <v>0</v>
      </c>
      <c r="T12" s="185">
        <v>0</v>
      </c>
      <c r="U12" s="185">
        <v>0</v>
      </c>
      <c r="V12" s="185">
        <v>69090.784575342463</v>
      </c>
      <c r="W12" s="184">
        <f t="shared" si="1"/>
        <v>0</v>
      </c>
    </row>
    <row r="13" spans="1:23" x14ac:dyDescent="0.25">
      <c r="C13" s="76" t="e" vm="2">
        <v>#VALUE!</v>
      </c>
      <c r="D13" s="18" t="s">
        <v>30</v>
      </c>
      <c r="E13" s="18" t="s">
        <v>78</v>
      </c>
      <c r="F13" s="18" t="s">
        <v>79</v>
      </c>
      <c r="G13" s="81" t="s">
        <v>80</v>
      </c>
      <c r="H13" s="76">
        <f>20+(25-20)/2</f>
        <v>22.5</v>
      </c>
      <c r="I13" s="79"/>
      <c r="J13" s="79" t="str">
        <f t="shared" si="0"/>
        <v>Medium Oil</v>
      </c>
      <c r="K13" s="182"/>
      <c r="L13" s="182"/>
      <c r="M13" s="182"/>
      <c r="N13" s="185">
        <v>6.7767123287671236</v>
      </c>
      <c r="O13" s="185">
        <v>0</v>
      </c>
      <c r="P13" s="185">
        <v>0</v>
      </c>
      <c r="Q13" s="185">
        <v>1.6441095890410957</v>
      </c>
      <c r="R13" s="185">
        <v>1.396739726027397</v>
      </c>
      <c r="S13" s="185">
        <v>3.7358630136986304</v>
      </c>
      <c r="T13" s="185">
        <v>0</v>
      </c>
      <c r="U13" s="185">
        <v>0</v>
      </c>
      <c r="V13" s="185">
        <v>42334.39687671233</v>
      </c>
      <c r="W13" s="184">
        <f t="shared" si="1"/>
        <v>0</v>
      </c>
    </row>
    <row r="14" spans="1:23" x14ac:dyDescent="0.25">
      <c r="C14" s="76" t="e" vm="4">
        <v>#VALUE!</v>
      </c>
      <c r="D14" s="18" t="s">
        <v>30</v>
      </c>
      <c r="E14" s="18" t="s">
        <v>124</v>
      </c>
      <c r="F14" s="18" t="s">
        <v>79</v>
      </c>
      <c r="G14" s="81" t="s">
        <v>125</v>
      </c>
      <c r="H14" s="76">
        <v>21</v>
      </c>
      <c r="I14" s="79"/>
      <c r="J14" s="79" t="str">
        <f t="shared" si="0"/>
        <v>Heavy Oil</v>
      </c>
      <c r="K14" s="182"/>
      <c r="L14" s="182"/>
      <c r="M14" s="182"/>
      <c r="N14" s="185">
        <v>5.0572054794520547</v>
      </c>
      <c r="O14" s="185">
        <v>0</v>
      </c>
      <c r="P14" s="185">
        <v>0</v>
      </c>
      <c r="Q14" s="185">
        <v>0.21123287671232879</v>
      </c>
      <c r="R14" s="185">
        <v>2.4027123287671235</v>
      </c>
      <c r="S14" s="185">
        <v>0</v>
      </c>
      <c r="T14" s="185">
        <v>0</v>
      </c>
      <c r="U14" s="185">
        <v>2.4430958904109596</v>
      </c>
      <c r="V14" s="185">
        <v>17849.99879452055</v>
      </c>
      <c r="W14" s="184">
        <f t="shared" si="1"/>
        <v>0</v>
      </c>
    </row>
    <row r="15" spans="1:23" x14ac:dyDescent="0.25">
      <c r="C15" s="76" t="e" vm="5">
        <v>#VALUE!</v>
      </c>
      <c r="D15" s="18" t="s">
        <v>30</v>
      </c>
      <c r="E15" s="18" t="s">
        <v>139</v>
      </c>
      <c r="F15" s="18" t="s">
        <v>79</v>
      </c>
      <c r="G15" s="81" t="s">
        <v>140</v>
      </c>
      <c r="H15" s="76">
        <v>21</v>
      </c>
      <c r="I15" s="79"/>
      <c r="J15" s="79" t="str">
        <f t="shared" si="0"/>
        <v>Heavy Oil</v>
      </c>
      <c r="K15" s="182"/>
      <c r="L15" s="182"/>
      <c r="M15" s="182"/>
      <c r="N15" s="185">
        <v>1.1894794520547947</v>
      </c>
      <c r="O15" s="185">
        <v>0</v>
      </c>
      <c r="P15" s="185">
        <v>0</v>
      </c>
      <c r="Q15" s="185">
        <v>0.23397260273972598</v>
      </c>
      <c r="R15" s="185">
        <v>0.95542465753424666</v>
      </c>
      <c r="S15" s="185">
        <v>0</v>
      </c>
      <c r="T15" s="185">
        <v>0</v>
      </c>
      <c r="U15" s="185">
        <v>0</v>
      </c>
      <c r="V15" s="185">
        <v>12119.396575342465</v>
      </c>
      <c r="W15" s="184">
        <f t="shared" si="1"/>
        <v>0</v>
      </c>
    </row>
    <row r="16" spans="1:23" x14ac:dyDescent="0.25">
      <c r="C16" s="76" t="e" vm="7">
        <v>#VALUE!</v>
      </c>
      <c r="D16" s="18" t="s">
        <v>30</v>
      </c>
      <c r="E16" s="18" t="s">
        <v>255</v>
      </c>
      <c r="F16" s="18" t="s">
        <v>28</v>
      </c>
      <c r="G16" s="81" t="s">
        <v>256</v>
      </c>
      <c r="H16" s="76">
        <v>48</v>
      </c>
      <c r="I16" s="79"/>
      <c r="J16" s="79" t="str">
        <f t="shared" si="0"/>
        <v>Light Oil</v>
      </c>
      <c r="K16" s="182"/>
      <c r="L16" s="182"/>
      <c r="M16" s="182"/>
      <c r="N16" s="185">
        <v>649.4862739726027</v>
      </c>
      <c r="O16" s="185">
        <v>0</v>
      </c>
      <c r="P16" s="185">
        <v>396.38389041095888</v>
      </c>
      <c r="Q16" s="185">
        <v>2.2383835616438361</v>
      </c>
      <c r="R16" s="185">
        <v>38.275260273972606</v>
      </c>
      <c r="S16" s="185">
        <v>16.510794520547947</v>
      </c>
      <c r="T16" s="185">
        <v>8.2636712328767121</v>
      </c>
      <c r="U16" s="185">
        <v>196.07800000000003</v>
      </c>
      <c r="V16" s="185">
        <v>10231.853999999999</v>
      </c>
      <c r="W16" s="184">
        <f t="shared" si="1"/>
        <v>396.38389041095888</v>
      </c>
    </row>
    <row r="17" spans="3:23" x14ac:dyDescent="0.25">
      <c r="C17" s="76" t="e" vm="7">
        <v>#VALUE!</v>
      </c>
      <c r="D17" s="18" t="s">
        <v>30</v>
      </c>
      <c r="E17" s="18" t="s">
        <v>269</v>
      </c>
      <c r="F17" s="18" t="s">
        <v>28</v>
      </c>
      <c r="G17" s="81" t="s">
        <v>270</v>
      </c>
      <c r="H17" s="76">
        <v>52</v>
      </c>
      <c r="I17" s="79"/>
      <c r="J17" s="79" t="str">
        <f t="shared" si="0"/>
        <v>Light Oil</v>
      </c>
      <c r="K17" s="182"/>
      <c r="L17" s="182"/>
      <c r="M17" s="182"/>
      <c r="N17" s="185">
        <v>277.37400000000002</v>
      </c>
      <c r="O17" s="185">
        <v>0</v>
      </c>
      <c r="P17" s="185">
        <v>50.500383561643829</v>
      </c>
      <c r="Q17" s="185">
        <v>1.1420547945205479</v>
      </c>
      <c r="R17" s="185">
        <v>30.359369863013697</v>
      </c>
      <c r="S17" s="185">
        <v>30.377342465753429</v>
      </c>
      <c r="T17" s="185">
        <v>30.352082191780823</v>
      </c>
      <c r="U17" s="185">
        <v>164.99443835616438</v>
      </c>
      <c r="V17" s="185">
        <v>3182.6220821917809</v>
      </c>
      <c r="W17" s="184">
        <f t="shared" si="1"/>
        <v>50.500383561643829</v>
      </c>
    </row>
    <row r="18" spans="3:23" x14ac:dyDescent="0.25">
      <c r="C18" s="76" t="e" vm="7">
        <v>#VALUE!</v>
      </c>
      <c r="D18" s="18" t="s">
        <v>30</v>
      </c>
      <c r="E18" s="18" t="s">
        <v>276</v>
      </c>
      <c r="F18" s="18" t="s">
        <v>28</v>
      </c>
      <c r="G18" s="81" t="s">
        <v>277</v>
      </c>
      <c r="H18" s="76">
        <v>46</v>
      </c>
      <c r="I18" s="79"/>
      <c r="J18" s="79" t="str">
        <f t="shared" si="0"/>
        <v>Light Oil</v>
      </c>
      <c r="K18" s="182"/>
      <c r="L18" s="182"/>
      <c r="M18" s="182"/>
      <c r="N18" s="185">
        <v>435.4008767123288</v>
      </c>
      <c r="O18" s="185">
        <v>0</v>
      </c>
      <c r="P18" s="185">
        <v>225.24104109589044</v>
      </c>
      <c r="Q18" s="185">
        <v>1.2202465753424658</v>
      </c>
      <c r="R18" s="185">
        <v>9.0779452054794518</v>
      </c>
      <c r="S18" s="185">
        <v>142.09446575342469</v>
      </c>
      <c r="T18" s="185">
        <v>0</v>
      </c>
      <c r="U18" s="185">
        <v>57.767424657534249</v>
      </c>
      <c r="V18" s="185">
        <v>27008.407917808221</v>
      </c>
      <c r="W18" s="184">
        <f t="shared" si="1"/>
        <v>225.24104109589044</v>
      </c>
    </row>
    <row r="19" spans="3:23" x14ac:dyDescent="0.25">
      <c r="C19" s="76" t="e" vm="7">
        <v>#VALUE!</v>
      </c>
      <c r="D19" s="18" t="s">
        <v>30</v>
      </c>
      <c r="E19" s="18" t="s">
        <v>276</v>
      </c>
      <c r="F19" s="18" t="s">
        <v>28</v>
      </c>
      <c r="G19" s="81" t="s">
        <v>290</v>
      </c>
      <c r="H19" s="76">
        <f>44+((47-44)/2)</f>
        <v>45.5</v>
      </c>
      <c r="I19" s="79"/>
      <c r="J19" s="79" t="str">
        <f t="shared" si="0"/>
        <v>Light Oil</v>
      </c>
      <c r="K19" s="182"/>
      <c r="L19" s="182"/>
      <c r="M19" s="182"/>
      <c r="N19" s="185">
        <v>114.48408219178081</v>
      </c>
      <c r="O19" s="185">
        <v>0</v>
      </c>
      <c r="P19" s="185">
        <v>111.18394520547945</v>
      </c>
      <c r="Q19" s="185">
        <v>0.37649315068493155</v>
      </c>
      <c r="R19" s="185">
        <v>2.923643835616438</v>
      </c>
      <c r="S19" s="185">
        <v>0</v>
      </c>
      <c r="T19" s="185">
        <v>0</v>
      </c>
      <c r="U19" s="185">
        <v>0</v>
      </c>
      <c r="V19" s="185">
        <v>4583.6177808219181</v>
      </c>
      <c r="W19" s="184">
        <f t="shared" si="1"/>
        <v>111.18394520547945</v>
      </c>
    </row>
    <row r="20" spans="3:23" x14ac:dyDescent="0.25">
      <c r="C20" s="76" t="e" vm="8">
        <v>#VALUE!</v>
      </c>
      <c r="D20" s="18" t="s">
        <v>30</v>
      </c>
      <c r="E20" s="18" t="s">
        <v>300</v>
      </c>
      <c r="F20" s="18" t="s">
        <v>299</v>
      </c>
      <c r="G20" s="81" t="s">
        <v>301</v>
      </c>
      <c r="H20" s="76" t="s">
        <v>31</v>
      </c>
      <c r="I20" s="79" t="s">
        <v>435</v>
      </c>
      <c r="J20" s="79" t="str">
        <f>+IF(I20="Gas","Doesn't Apply",IF(H20&lt;$F$4,$D$4,IF(H20&lt;$F$5,$D$5,IF(H20&lt;$F$6,$D$6,IF(H20&gt;$E$7,$D$7,"Doesn't Apply")))))</f>
        <v>Doesn't Apply</v>
      </c>
      <c r="K20" s="182"/>
      <c r="L20" s="182"/>
      <c r="M20" s="182"/>
      <c r="N20" s="185">
        <v>162.95279452054797</v>
      </c>
      <c r="O20" s="185">
        <v>0</v>
      </c>
      <c r="P20" s="185">
        <v>0</v>
      </c>
      <c r="Q20" s="185">
        <v>0.22493150684931507</v>
      </c>
      <c r="R20" s="185">
        <v>6.5319452054794507</v>
      </c>
      <c r="S20" s="185">
        <v>13.287095890410958</v>
      </c>
      <c r="T20" s="185">
        <v>0</v>
      </c>
      <c r="U20" s="185">
        <v>142.90884931506849</v>
      </c>
      <c r="V20" s="185">
        <v>0</v>
      </c>
      <c r="W20" s="184">
        <f t="shared" si="1"/>
        <v>0</v>
      </c>
    </row>
    <row r="21" spans="3:23" x14ac:dyDescent="0.25">
      <c r="C21" s="76" t="e" vm="8">
        <v>#VALUE!</v>
      </c>
      <c r="D21" s="18" t="s">
        <v>30</v>
      </c>
      <c r="E21" s="18" t="s">
        <v>300</v>
      </c>
      <c r="F21" s="18" t="s">
        <v>299</v>
      </c>
      <c r="G21" s="81" t="s">
        <v>311</v>
      </c>
      <c r="H21" s="76" t="s">
        <v>31</v>
      </c>
      <c r="I21" s="79" t="s">
        <v>435</v>
      </c>
      <c r="J21" s="79" t="str">
        <f>+IF(I21="Gas","Doesn't Apply",IF(H21&lt;$F$4,$D$4,IF(H21&lt;$F$5,$D$5,IF(H21&lt;$F$6,$D$6,IF(H21&gt;$E$7,$D$7,"Doesn't Apply")))))</f>
        <v>Doesn't Apply</v>
      </c>
      <c r="K21" s="182"/>
      <c r="L21" s="182"/>
      <c r="M21" s="182"/>
      <c r="N21" s="185">
        <v>23.174301369863016</v>
      </c>
      <c r="O21" s="185">
        <v>0</v>
      </c>
      <c r="P21" s="185">
        <v>0</v>
      </c>
      <c r="Q21" s="185">
        <v>2.701369863013699E-2</v>
      </c>
      <c r="R21" s="185">
        <v>0.11695890410958903</v>
      </c>
      <c r="S21" s="185">
        <v>1.9608219178082194</v>
      </c>
      <c r="T21" s="185">
        <v>0</v>
      </c>
      <c r="U21" s="185">
        <v>21.069616438356167</v>
      </c>
      <c r="V21" s="185">
        <v>0</v>
      </c>
      <c r="W21" s="184">
        <f t="shared" si="1"/>
        <v>0</v>
      </c>
    </row>
    <row r="22" spans="3:23" x14ac:dyDescent="0.25">
      <c r="C22" s="76" t="e" vm="1">
        <v>#VALUE!</v>
      </c>
      <c r="D22" s="18" t="s">
        <v>30</v>
      </c>
      <c r="E22" s="18" t="s">
        <v>60</v>
      </c>
      <c r="F22" s="18" t="s">
        <v>460</v>
      </c>
      <c r="G22" s="81" t="s">
        <v>342</v>
      </c>
      <c r="H22" s="76">
        <v>8</v>
      </c>
      <c r="I22" s="79"/>
      <c r="J22" s="79" t="str">
        <f t="shared" ref="J22:J28" si="2">+IF(I22="Gas","Doesn't Apply",IF(H22&lt;$F$4,$D$4,IF(H22&lt;$F$5,$D$5,IF(H22&lt;$F$6,$D$6,IF(H22&gt;$E$7,$D$7,"Doesn't Apply")))))</f>
        <v>Extra Heavy Oil</v>
      </c>
      <c r="K22" s="182"/>
      <c r="L22" s="182"/>
      <c r="M22" s="182"/>
      <c r="N22" s="185">
        <v>0.58205479452054798</v>
      </c>
      <c r="O22" s="185">
        <v>0</v>
      </c>
      <c r="P22" s="185">
        <v>0</v>
      </c>
      <c r="Q22" s="185">
        <v>0.58205479452054798</v>
      </c>
      <c r="R22" s="185">
        <v>0</v>
      </c>
      <c r="S22" s="185">
        <v>0</v>
      </c>
      <c r="T22" s="185">
        <v>0</v>
      </c>
      <c r="U22" s="185">
        <v>0</v>
      </c>
      <c r="V22" s="185">
        <v>19756.607616438356</v>
      </c>
      <c r="W22" s="184">
        <f t="shared" si="1"/>
        <v>0</v>
      </c>
    </row>
    <row r="23" spans="3:23" x14ac:dyDescent="0.25">
      <c r="C23" s="76" t="e" vm="9">
        <v>#VALUE!</v>
      </c>
      <c r="D23" s="18" t="s">
        <v>30</v>
      </c>
      <c r="E23" s="18" t="s">
        <v>452</v>
      </c>
      <c r="F23" s="18" t="s">
        <v>458</v>
      </c>
      <c r="G23" s="81" t="s">
        <v>343</v>
      </c>
      <c r="H23" s="76">
        <v>23</v>
      </c>
      <c r="I23" s="79"/>
      <c r="J23" s="79" t="str">
        <f t="shared" si="2"/>
        <v>Medium Oil</v>
      </c>
      <c r="K23" s="182"/>
      <c r="L23" s="182"/>
      <c r="M23" s="182"/>
      <c r="N23" s="185">
        <v>1.9275342465753424</v>
      </c>
      <c r="O23" s="185">
        <v>0</v>
      </c>
      <c r="P23" s="185">
        <v>0</v>
      </c>
      <c r="Q23" s="185">
        <v>0.22805479452054794</v>
      </c>
      <c r="R23" s="185">
        <v>0.10339726027397263</v>
      </c>
      <c r="S23" s="185">
        <v>1.5925479452054794</v>
      </c>
      <c r="T23" s="185">
        <v>0.55931506849315071</v>
      </c>
      <c r="U23" s="185">
        <v>3.4794520547945205E-3</v>
      </c>
      <c r="V23" s="185">
        <v>4684.6815890410962</v>
      </c>
      <c r="W23" s="184">
        <f t="shared" si="1"/>
        <v>0</v>
      </c>
    </row>
    <row r="24" spans="3:23" x14ac:dyDescent="0.25">
      <c r="C24" s="76" t="e" vm="9">
        <v>#VALUE!</v>
      </c>
      <c r="D24" s="18" t="s">
        <v>30</v>
      </c>
      <c r="E24" s="18" t="s">
        <v>453</v>
      </c>
      <c r="F24" s="18" t="s">
        <v>458</v>
      </c>
      <c r="G24" s="81" t="s">
        <v>344</v>
      </c>
      <c r="H24" s="76">
        <v>25.5</v>
      </c>
      <c r="I24" s="79"/>
      <c r="J24" s="79" t="str">
        <f t="shared" si="2"/>
        <v>Medium Oil</v>
      </c>
      <c r="K24" s="182"/>
      <c r="L24" s="182"/>
      <c r="M24" s="182"/>
      <c r="N24" s="185">
        <v>0.86709589041095891</v>
      </c>
      <c r="O24" s="185">
        <v>0</v>
      </c>
      <c r="P24" s="185">
        <v>0</v>
      </c>
      <c r="Q24" s="185">
        <v>0.41205479452054788</v>
      </c>
      <c r="R24" s="185">
        <v>0.45498630136986301</v>
      </c>
      <c r="S24" s="185">
        <v>0</v>
      </c>
      <c r="T24" s="185">
        <v>0</v>
      </c>
      <c r="U24" s="185">
        <v>0</v>
      </c>
      <c r="V24" s="185">
        <v>4154.1152328767121</v>
      </c>
      <c r="W24" s="184">
        <f t="shared" si="1"/>
        <v>0</v>
      </c>
    </row>
    <row r="25" spans="3:23" x14ac:dyDescent="0.25">
      <c r="C25" s="76" t="e" vm="9">
        <v>#VALUE!</v>
      </c>
      <c r="D25" s="18" t="s">
        <v>30</v>
      </c>
      <c r="E25" s="18" t="s">
        <v>454</v>
      </c>
      <c r="F25" s="18" t="s">
        <v>458</v>
      </c>
      <c r="G25" s="193" t="s">
        <v>345</v>
      </c>
      <c r="H25" s="76">
        <v>21</v>
      </c>
      <c r="I25" s="79"/>
      <c r="J25" s="79" t="str">
        <f t="shared" si="2"/>
        <v>Heavy Oil</v>
      </c>
      <c r="K25" s="182"/>
      <c r="L25" s="182"/>
      <c r="M25" s="182"/>
      <c r="N25" s="185">
        <v>1.1908493150684931</v>
      </c>
      <c r="O25" s="185">
        <v>0</v>
      </c>
      <c r="P25" s="185">
        <v>0</v>
      </c>
      <c r="Q25" s="185">
        <v>1.5506849315068495E-2</v>
      </c>
      <c r="R25" s="185">
        <v>0</v>
      </c>
      <c r="S25" s="185">
        <v>1.1751506849315068</v>
      </c>
      <c r="T25" s="185">
        <v>0.52964383561643835</v>
      </c>
      <c r="U25" s="185">
        <v>0</v>
      </c>
      <c r="V25" s="185">
        <v>3941.1335068493149</v>
      </c>
      <c r="W25" s="184">
        <f t="shared" si="1"/>
        <v>0</v>
      </c>
    </row>
    <row r="26" spans="3:23" x14ac:dyDescent="0.25">
      <c r="C26" s="76" t="e" vm="1">
        <v>#VALUE!</v>
      </c>
      <c r="D26" s="18" t="s">
        <v>30</v>
      </c>
      <c r="E26" s="18" t="s">
        <v>455</v>
      </c>
      <c r="F26" s="18" t="s">
        <v>460</v>
      </c>
      <c r="G26" s="81" t="s">
        <v>346</v>
      </c>
      <c r="H26" s="76">
        <v>13.5</v>
      </c>
      <c r="I26" s="79"/>
      <c r="J26" s="79" t="str">
        <f t="shared" si="2"/>
        <v>Heavy Oil</v>
      </c>
      <c r="K26" s="182"/>
      <c r="L26" s="182"/>
      <c r="M26" s="182"/>
      <c r="N26" s="185">
        <v>0.23827397260273972</v>
      </c>
      <c r="O26" s="185">
        <v>0</v>
      </c>
      <c r="P26" s="185">
        <v>0</v>
      </c>
      <c r="Q26" s="185">
        <v>0.1378630136986301</v>
      </c>
      <c r="R26" s="185">
        <v>0.10038356164383562</v>
      </c>
      <c r="S26" s="185">
        <v>0</v>
      </c>
      <c r="T26" s="185">
        <v>0</v>
      </c>
      <c r="U26" s="185">
        <v>0</v>
      </c>
      <c r="V26" s="185">
        <v>1476.5236986301368</v>
      </c>
      <c r="W26" s="184">
        <f t="shared" si="1"/>
        <v>0</v>
      </c>
    </row>
    <row r="27" spans="3:23" x14ac:dyDescent="0.25">
      <c r="C27" s="76" t="e" vm="5">
        <v>#VALUE!</v>
      </c>
      <c r="D27" s="18" t="s">
        <v>30</v>
      </c>
      <c r="E27" s="18" t="s">
        <v>456</v>
      </c>
      <c r="F27" s="18" t="s">
        <v>79</v>
      </c>
      <c r="G27" s="81" t="s">
        <v>347</v>
      </c>
      <c r="H27" s="76">
        <v>12.5</v>
      </c>
      <c r="I27" s="79"/>
      <c r="J27" s="79" t="str">
        <f t="shared" si="2"/>
        <v>Heavy Oil</v>
      </c>
      <c r="K27" s="182"/>
      <c r="L27" s="182"/>
      <c r="M27" s="182"/>
      <c r="N27" s="185">
        <v>0.23827397260273972</v>
      </c>
      <c r="O27" s="185">
        <v>0</v>
      </c>
      <c r="P27" s="185">
        <v>0</v>
      </c>
      <c r="Q27" s="185">
        <v>0.1378630136986301</v>
      </c>
      <c r="R27" s="185">
        <v>0.10038356164383562</v>
      </c>
      <c r="S27" s="185">
        <v>0</v>
      </c>
      <c r="T27" s="185">
        <v>0</v>
      </c>
      <c r="U27" s="185">
        <v>0</v>
      </c>
      <c r="V27" s="185">
        <v>1476.5236986301368</v>
      </c>
      <c r="W27" s="184">
        <f t="shared" si="1"/>
        <v>0</v>
      </c>
    </row>
    <row r="28" spans="3:23" x14ac:dyDescent="0.25">
      <c r="C28" s="76" t="e" vm="10">
        <v>#VALUE!</v>
      </c>
      <c r="D28" s="18" t="s">
        <v>30</v>
      </c>
      <c r="E28" s="18" t="s">
        <v>457</v>
      </c>
      <c r="F28" s="18" t="s">
        <v>459</v>
      </c>
      <c r="G28" s="81" t="s">
        <v>318</v>
      </c>
      <c r="H28" s="76" t="s">
        <v>31</v>
      </c>
      <c r="I28" s="79" t="s">
        <v>435</v>
      </c>
      <c r="J28" s="79" t="str">
        <f t="shared" si="2"/>
        <v>Doesn't Apply</v>
      </c>
      <c r="K28" s="182"/>
      <c r="L28" s="182"/>
      <c r="M28" s="182"/>
      <c r="N28" s="185">
        <v>35.569315068493154</v>
      </c>
      <c r="O28" s="185">
        <v>0</v>
      </c>
      <c r="P28" s="185">
        <v>0</v>
      </c>
      <c r="Q28" s="185">
        <v>0</v>
      </c>
      <c r="R28" s="185">
        <v>0</v>
      </c>
      <c r="S28" s="185">
        <v>35.569315068493154</v>
      </c>
      <c r="T28" s="185">
        <v>3.5723835616438366</v>
      </c>
      <c r="U28" s="185">
        <v>0</v>
      </c>
      <c r="V28" s="185">
        <v>0</v>
      </c>
      <c r="W28" s="184">
        <f t="shared" si="1"/>
        <v>0</v>
      </c>
    </row>
    <row r="29" spans="3:23" x14ac:dyDescent="0.25">
      <c r="C29" s="76" t="e" vm="11">
        <v>#VALUE!</v>
      </c>
      <c r="D29" s="18" t="s">
        <v>30</v>
      </c>
      <c r="E29" s="18" t="s">
        <v>449</v>
      </c>
      <c r="F29" s="18" t="s">
        <v>461</v>
      </c>
      <c r="G29" s="81" t="s">
        <v>449</v>
      </c>
      <c r="H29" s="76">
        <v>35</v>
      </c>
      <c r="I29" s="79"/>
      <c r="J29" s="79"/>
      <c r="K29" s="182"/>
      <c r="L29" s="182"/>
      <c r="M29" s="182"/>
      <c r="N29" s="185">
        <v>3.4626301369863017</v>
      </c>
      <c r="O29" s="185">
        <v>0</v>
      </c>
      <c r="P29" s="185">
        <v>0</v>
      </c>
      <c r="Q29" s="185">
        <v>3.4626301369863017</v>
      </c>
      <c r="R29" s="185">
        <v>0</v>
      </c>
      <c r="S29" s="185">
        <v>0</v>
      </c>
      <c r="T29" s="185">
        <v>0</v>
      </c>
      <c r="U29" s="185">
        <v>0</v>
      </c>
      <c r="V29" s="185">
        <v>1962.0646849315069</v>
      </c>
      <c r="W29" s="184">
        <f t="shared" si="1"/>
        <v>0</v>
      </c>
    </row>
    <row r="34" spans="5:5" x14ac:dyDescent="0.25">
      <c r="E34" t="s">
        <v>26</v>
      </c>
    </row>
    <row r="55" spans="5:15" x14ac:dyDescent="0.25">
      <c r="G55" t="s">
        <v>30</v>
      </c>
      <c r="L55" t="s">
        <v>473</v>
      </c>
    </row>
    <row r="56" spans="5:15" x14ac:dyDescent="0.25">
      <c r="E56" s="189" t="e" vm="5">
        <v>#VALUE!</v>
      </c>
      <c r="F56" s="180" t="s">
        <v>462</v>
      </c>
      <c r="G56" s="190">
        <v>14656.498438356164</v>
      </c>
      <c r="K56" s="191">
        <v>2.8564827826612956E-2</v>
      </c>
      <c r="L56" s="180">
        <f>+SUMIF($C$10:C29,E56,V$10:V$29)</f>
        <v>13595.920273972602</v>
      </c>
      <c r="M56" s="180"/>
      <c r="N56" s="192">
        <f t="shared" ref="N56:N68" si="3">+G56-L56</f>
        <v>1060.5781643835617</v>
      </c>
      <c r="O56" s="191">
        <f t="shared" ref="O56:O68" si="4">+N56/G56</f>
        <v>7.2362315517874365E-2</v>
      </c>
    </row>
    <row r="57" spans="5:15" x14ac:dyDescent="0.25">
      <c r="E57" s="189" t="e" vm="7">
        <v>#VALUE!</v>
      </c>
      <c r="F57" s="180" t="s">
        <v>463</v>
      </c>
      <c r="G57" s="190">
        <v>49873.263342465754</v>
      </c>
      <c r="K57" s="191">
        <v>9.7200650381855019E-2</v>
      </c>
      <c r="L57" s="180">
        <f ca="1">+SUMIF($C$10:C30,E57,V$10:V$29)</f>
        <v>45006.501780821927</v>
      </c>
      <c r="M57" s="180"/>
      <c r="N57" s="192">
        <f t="shared" ca="1" si="3"/>
        <v>4866.761561643827</v>
      </c>
      <c r="O57" s="191">
        <f t="shared" ca="1" si="4"/>
        <v>9.758257702579308E-2</v>
      </c>
    </row>
    <row r="58" spans="5:15" x14ac:dyDescent="0.25">
      <c r="F58" t="s">
        <v>464</v>
      </c>
      <c r="G58" s="187">
        <v>2877.3214794520545</v>
      </c>
      <c r="K58" s="186">
        <v>5.6077645699651466E-3</v>
      </c>
      <c r="L58">
        <f ca="1">+SUMIF($C$10:C31,E58,V$10:V$29)</f>
        <v>0</v>
      </c>
      <c r="N58" s="188">
        <f t="shared" ca="1" si="3"/>
        <v>2877.3214794520545</v>
      </c>
      <c r="O58" s="186">
        <f t="shared" ca="1" si="4"/>
        <v>1</v>
      </c>
    </row>
    <row r="59" spans="5:15" x14ac:dyDescent="0.25">
      <c r="F59" t="s">
        <v>465</v>
      </c>
      <c r="G59" s="187">
        <v>63.741945205479446</v>
      </c>
      <c r="K59" s="186">
        <v>1.2423006066462157E-4</v>
      </c>
      <c r="L59">
        <f ca="1">+SUMIF($C$10:C32,E59,V$10:V$29)</f>
        <v>0</v>
      </c>
      <c r="N59" s="188">
        <f t="shared" ca="1" si="3"/>
        <v>63.741945205479446</v>
      </c>
      <c r="O59" s="186">
        <f t="shared" ca="1" si="4"/>
        <v>1</v>
      </c>
    </row>
    <row r="60" spans="5:15" x14ac:dyDescent="0.25">
      <c r="E60" s="189" t="e" vm="9">
        <v>#VALUE!</v>
      </c>
      <c r="F60" s="180" t="s">
        <v>466</v>
      </c>
      <c r="G60" s="190">
        <v>23392.562712328774</v>
      </c>
      <c r="K60" s="191">
        <v>4.5591007232138166E-2</v>
      </c>
      <c r="L60" s="180">
        <f ca="1">+SUMIF($C$10:C33,E60,V$10:V$29)</f>
        <v>12779.930328767123</v>
      </c>
      <c r="M60" s="180"/>
      <c r="N60" s="192">
        <f t="shared" ca="1" si="3"/>
        <v>10612.632383561651</v>
      </c>
      <c r="O60" s="191">
        <f t="shared" ca="1" si="4"/>
        <v>0.45367549139745977</v>
      </c>
    </row>
    <row r="61" spans="5:15" x14ac:dyDescent="0.25">
      <c r="E61" s="189" t="e" vm="1">
        <v>#VALUE!</v>
      </c>
      <c r="F61" s="180" t="s">
        <v>467</v>
      </c>
      <c r="G61" s="190">
        <v>351063.42304109584</v>
      </c>
      <c r="K61" s="191">
        <v>0.68420614088469911</v>
      </c>
      <c r="L61" s="180">
        <f ca="1">+SUMIF($C$10:C34,E61,V$10:V$29)</f>
        <v>323688.66057534254</v>
      </c>
      <c r="M61" s="180"/>
      <c r="N61" s="192">
        <f t="shared" ca="1" si="3"/>
        <v>27374.762465753302</v>
      </c>
      <c r="O61" s="191">
        <f t="shared" ca="1" si="4"/>
        <v>7.7976686459155231E-2</v>
      </c>
    </row>
    <row r="62" spans="5:15" x14ac:dyDescent="0.25">
      <c r="E62" s="189" t="e" vm="10">
        <v>#VALUE!</v>
      </c>
      <c r="F62" s="180" t="s">
        <v>468</v>
      </c>
      <c r="G62" s="190">
        <v>1502.4393150684932</v>
      </c>
      <c r="K62" s="191">
        <v>2.9281837360656286E-3</v>
      </c>
      <c r="L62" s="180">
        <f ca="1">+SUMIF($C$10:C35,E62,V$10:V$29)</f>
        <v>0</v>
      </c>
      <c r="M62" s="180"/>
      <c r="N62" s="192">
        <f t="shared" ca="1" si="3"/>
        <v>1502.4393150684932</v>
      </c>
      <c r="O62" s="191">
        <f t="shared" ca="1" si="4"/>
        <v>1</v>
      </c>
    </row>
    <row r="63" spans="5:15" x14ac:dyDescent="0.25">
      <c r="E63" s="189" t="e" vm="11">
        <v>#VALUE!</v>
      </c>
      <c r="F63" s="180" t="s">
        <v>451</v>
      </c>
      <c r="G63" s="190">
        <v>5907.8353698630135</v>
      </c>
      <c r="K63" s="191">
        <v>1.1514093961656952E-2</v>
      </c>
      <c r="L63" s="180">
        <f ca="1">+SUMIF($C$10:C36,E63,V$10:V$29)</f>
        <v>1962.0646849315069</v>
      </c>
      <c r="M63" s="180"/>
      <c r="N63" s="192">
        <f t="shared" ca="1" si="3"/>
        <v>3945.7706849315064</v>
      </c>
      <c r="O63" s="191">
        <f t="shared" ca="1" si="4"/>
        <v>0.66788771824273063</v>
      </c>
    </row>
    <row r="64" spans="5:15" x14ac:dyDescent="0.25">
      <c r="F64" t="s">
        <v>464</v>
      </c>
      <c r="G64" s="187">
        <v>2877.3214794520545</v>
      </c>
      <c r="K64" s="186">
        <v>5.6077645699651466E-3</v>
      </c>
      <c r="L64">
        <f ca="1">+SUMIF($C$10:C37,E64,V$10:V$29)</f>
        <v>0</v>
      </c>
      <c r="N64" s="188">
        <f t="shared" ca="1" si="3"/>
        <v>2877.3214794520545</v>
      </c>
      <c r="O64" s="186">
        <f t="shared" ca="1" si="4"/>
        <v>1</v>
      </c>
    </row>
    <row r="65" spans="5:15" x14ac:dyDescent="0.25">
      <c r="E65" s="189" t="e" vm="2">
        <v>#VALUE!</v>
      </c>
      <c r="F65" s="180" t="s">
        <v>469</v>
      </c>
      <c r="G65" s="190">
        <v>56937.26830136987</v>
      </c>
      <c r="K65" s="191">
        <v>0.11096806462926974</v>
      </c>
      <c r="L65" s="180">
        <f ca="1">+SUMIF($C$10:C38,E65,V$10:V$29)</f>
        <v>42334.39687671233</v>
      </c>
      <c r="M65" s="180"/>
      <c r="N65" s="192">
        <f t="shared" ca="1" si="3"/>
        <v>14602.87142465754</v>
      </c>
      <c r="O65" s="191">
        <f t="shared" ca="1" si="4"/>
        <v>0.25647298966582499</v>
      </c>
    </row>
    <row r="66" spans="5:15" x14ac:dyDescent="0.25">
      <c r="F66" t="s">
        <v>470</v>
      </c>
      <c r="G66" s="187">
        <v>33.721452054794518</v>
      </c>
      <c r="K66" s="186">
        <v>6.5721527966581929E-5</v>
      </c>
      <c r="L66">
        <f ca="1">+SUMIF($C$10:C39,E66,V$10:V$29)</f>
        <v>0</v>
      </c>
      <c r="N66" s="188">
        <f t="shared" ca="1" si="3"/>
        <v>33.721452054794518</v>
      </c>
      <c r="O66" s="186">
        <f t="shared" ca="1" si="4"/>
        <v>1</v>
      </c>
    </row>
    <row r="67" spans="5:15" x14ac:dyDescent="0.25">
      <c r="F67" t="s">
        <v>471</v>
      </c>
      <c r="G67" s="187">
        <v>3910.58701369863</v>
      </c>
      <c r="K67" s="186">
        <v>7.6215506191408197E-3</v>
      </c>
      <c r="L67">
        <f ca="1">+SUMIF($C$10:C40,E67,V$10:V$29)</f>
        <v>0</v>
      </c>
      <c r="N67" s="188">
        <f t="shared" ca="1" si="3"/>
        <v>3910.58701369863</v>
      </c>
      <c r="O67" s="186">
        <f t="shared" ca="1" si="4"/>
        <v>1</v>
      </c>
    </row>
    <row r="68" spans="5:15" x14ac:dyDescent="0.25">
      <c r="E68" s="189" t="e" vm="4">
        <v>#VALUE!</v>
      </c>
      <c r="F68" s="180" t="s">
        <v>472</v>
      </c>
      <c r="G68" s="190">
        <v>14709.643945205482</v>
      </c>
      <c r="K68" s="191">
        <v>2.8668405926067869E-2</v>
      </c>
      <c r="L68" s="180">
        <f ca="1">+SUMIF($C$10:C41,E68,V$10:V$29)</f>
        <v>17849.99879452055</v>
      </c>
      <c r="M68" s="180"/>
      <c r="N68" s="192">
        <f t="shared" ca="1" si="3"/>
        <v>-3140.3548493150683</v>
      </c>
      <c r="O68" s="191">
        <f t="shared" ca="1" si="4"/>
        <v>-0.2134895216371738</v>
      </c>
    </row>
    <row r="69" spans="5:15" x14ac:dyDescent="0.25">
      <c r="G69">
        <v>513095.98389041098</v>
      </c>
      <c r="L69">
        <f ca="1">+SUM(L56:L68)</f>
        <v>457217.47331506858</v>
      </c>
    </row>
  </sheetData>
  <autoFilter ref="C9:W9" xr:uid="{D832BB43-6825-4DB9-BDA5-BAD8B9C7CF26}"/>
  <mergeCells count="2">
    <mergeCell ref="D2:F2"/>
    <mergeCell ref="N8:U8"/>
  </mergeCells>
  <conditionalFormatting sqref="F10:F29">
    <cfRule type="containsBlanks" dxfId="12" priority="32">
      <formula>LEN(TRIM(F10))=0</formula>
    </cfRule>
  </conditionalFormatting>
  <conditionalFormatting sqref="H10:I21">
    <cfRule type="containsText" dxfId="11" priority="28" operator="containsText" text="Oil and Gas">
      <formula>NOT(ISERROR(SEARCH("Oil and Gas",H10)))</formula>
    </cfRule>
    <cfRule type="containsText" dxfId="10" priority="29" operator="containsText" text="Gas">
      <formula>NOT(ISERROR(SEARCH("Gas",H10)))</formula>
    </cfRule>
    <cfRule type="containsText" dxfId="9" priority="30" operator="containsText" text="Oil">
      <formula>NOT(ISERROR(SEARCH("Oil",H10)))</formula>
    </cfRule>
  </conditionalFormatting>
  <conditionalFormatting sqref="H22:I29">
    <cfRule type="containsText" dxfId="8" priority="2" operator="containsText" text="Oil and Gas">
      <formula>NOT(ISERROR(SEARCH("Oil and Gas",H22)))</formula>
    </cfRule>
    <cfRule type="containsText" dxfId="7" priority="3" operator="containsText" text="Gas">
      <formula>NOT(ISERROR(SEARCH("Gas",H22)))</formula>
    </cfRule>
    <cfRule type="containsText" dxfId="6" priority="4" operator="containsText" text="Oil">
      <formula>NOT(ISERROR(SEARCH("Oil",H22)))</formula>
    </cfRule>
  </conditionalFormatting>
  <conditionalFormatting sqref="N10:V29">
    <cfRule type="cellIs" dxfId="5"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3" operator="containsText" id="{939931F9-62D2-434A-B365-7AB1DF16894F}">
            <xm:f>NOT(ISERROR(SEARCH($D$7,D4)))</xm:f>
            <xm:f>$D$7</xm:f>
            <x14:dxf>
              <fill>
                <patternFill>
                  <bgColor theme="7" tint="0.79998168889431442"/>
                </patternFill>
              </fill>
            </x14:dxf>
          </x14:cfRule>
          <x14:cfRule type="containsText" priority="14" operator="containsText" id="{A0E49F1A-959B-4CE7-BB28-97C1B2047DB9}">
            <xm:f>NOT(ISERROR(SEARCH($D$6,D4)))</xm:f>
            <xm:f>$D$6</xm:f>
            <x14:dxf>
              <fill>
                <patternFill>
                  <bgColor theme="5" tint="0.79998168889431442"/>
                </patternFill>
              </fill>
            </x14:dxf>
          </x14:cfRule>
          <x14:cfRule type="containsText" priority="15" operator="containsText" id="{F90B021F-32A0-4186-A3E2-6E1767715FD8}">
            <xm:f>NOT(ISERROR(SEARCH($D$5,D4)))</xm:f>
            <xm:f>$D$5</xm:f>
            <x14:dxf>
              <fill>
                <patternFill>
                  <bgColor theme="0" tint="-0.24994659260841701"/>
                </patternFill>
              </fill>
            </x14:dxf>
          </x14:cfRule>
          <x14:cfRule type="containsText" priority="16" operator="containsText" id="{7BFE0A8B-3899-4783-85DC-403086432AED}">
            <xm:f>NOT(ISERROR(SEARCH($D$4,D4)))</xm:f>
            <xm:f>$D$4</xm:f>
            <x14:dxf>
              <fill>
                <patternFill>
                  <bgColor theme="0" tint="-0.34998626667073579"/>
                </patternFill>
              </fill>
            </x14:dxf>
          </x14:cfRule>
          <xm:sqref>D4:D7 J10:J29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F11C-6D97-40EB-8508-BF37DEBC90BE}">
  <dimension ref="C1:AF61"/>
  <sheetViews>
    <sheetView showGridLines="0" zoomScale="115" zoomScaleNormal="115" workbookViewId="0">
      <selection activeCell="K21" sqref="K21"/>
    </sheetView>
  </sheetViews>
  <sheetFormatPr baseColWidth="10" defaultRowHeight="15" x14ac:dyDescent="0.25"/>
  <cols>
    <col min="3" max="4" width="17.5703125" customWidth="1"/>
    <col min="5" max="5" width="21.42578125" customWidth="1"/>
    <col min="6" max="6" width="13.42578125" customWidth="1"/>
    <col min="7" max="12" width="11.42578125" customWidth="1"/>
    <col min="19" max="19" width="15.28515625" customWidth="1"/>
    <col min="21" max="21" width="14.140625" customWidth="1"/>
    <col min="28" max="28" width="14.140625" customWidth="1"/>
    <col min="29" max="29" width="21.28515625" customWidth="1"/>
    <col min="30" max="30" width="18.85546875" customWidth="1"/>
    <col min="31" max="31" width="20.28515625" customWidth="1"/>
  </cols>
  <sheetData>
    <row r="1" spans="3:32" x14ac:dyDescent="0.25">
      <c r="F1" t="s">
        <v>507</v>
      </c>
      <c r="G1" s="229">
        <f>+F29*1000/E29</f>
        <v>5997.3958333333339</v>
      </c>
      <c r="H1" s="229" t="s">
        <v>525</v>
      </c>
      <c r="I1" s="229"/>
      <c r="J1" s="229"/>
      <c r="U1">
        <v>1</v>
      </c>
      <c r="V1" t="s">
        <v>484</v>
      </c>
      <c r="W1">
        <v>5800</v>
      </c>
      <c r="X1" t="s">
        <v>485</v>
      </c>
    </row>
    <row r="3" spans="3:32" x14ac:dyDescent="0.25">
      <c r="M3" s="238" t="s">
        <v>533</v>
      </c>
      <c r="N3" s="239"/>
      <c r="O3" s="239"/>
      <c r="P3" s="239"/>
      <c r="Q3" s="240"/>
      <c r="R3" s="239"/>
      <c r="S3" s="239"/>
      <c r="T3" s="207" t="s">
        <v>479</v>
      </c>
      <c r="U3" s="208"/>
      <c r="V3" s="208"/>
      <c r="W3" s="208"/>
      <c r="X3" s="208"/>
      <c r="Y3" s="208"/>
      <c r="Z3" s="209"/>
      <c r="AD3" s="275" t="s">
        <v>488</v>
      </c>
      <c r="AE3" s="275"/>
    </row>
    <row r="4" spans="3:32" x14ac:dyDescent="0.25">
      <c r="E4" s="216" t="s">
        <v>475</v>
      </c>
      <c r="F4" s="217" t="s">
        <v>478</v>
      </c>
      <c r="G4" s="218" t="s">
        <v>477</v>
      </c>
      <c r="H4" s="218" t="s">
        <v>476</v>
      </c>
      <c r="I4" s="218"/>
      <c r="J4" s="218"/>
      <c r="K4" s="219" t="s">
        <v>480</v>
      </c>
      <c r="L4" s="216" t="s">
        <v>481</v>
      </c>
      <c r="M4" s="241" t="s">
        <v>380</v>
      </c>
      <c r="N4" s="241" t="s">
        <v>535</v>
      </c>
      <c r="O4" s="241" t="s">
        <v>534</v>
      </c>
      <c r="P4" s="241" t="s">
        <v>536</v>
      </c>
      <c r="Q4" s="241" t="s">
        <v>537</v>
      </c>
      <c r="R4" s="241" t="s">
        <v>477</v>
      </c>
      <c r="S4" s="241" t="s">
        <v>538</v>
      </c>
      <c r="T4" s="216">
        <v>2020</v>
      </c>
      <c r="U4" s="217">
        <v>2025</v>
      </c>
      <c r="V4" s="217">
        <v>2030</v>
      </c>
      <c r="W4" s="217">
        <v>2035</v>
      </c>
      <c r="X4" s="217">
        <v>2040</v>
      </c>
      <c r="Y4" s="217">
        <v>2045</v>
      </c>
      <c r="Z4" s="218">
        <v>2050</v>
      </c>
      <c r="AA4" s="220" t="s">
        <v>483</v>
      </c>
      <c r="AB4" s="221" t="s">
        <v>482</v>
      </c>
      <c r="AC4" s="222" t="s">
        <v>486</v>
      </c>
      <c r="AD4" s="220" t="s">
        <v>487</v>
      </c>
      <c r="AE4" s="221" t="s">
        <v>489</v>
      </c>
      <c r="AF4" s="183" t="s">
        <v>490</v>
      </c>
    </row>
    <row r="5" spans="3:32" x14ac:dyDescent="0.25">
      <c r="C5" t="s">
        <v>301</v>
      </c>
      <c r="E5" s="197">
        <v>28.68</v>
      </c>
      <c r="F5" s="198">
        <v>172.07</v>
      </c>
      <c r="G5" s="199">
        <v>0</v>
      </c>
      <c r="H5">
        <f t="shared" ref="H5:H43" si="0">+E5-G5</f>
        <v>28.68</v>
      </c>
      <c r="I5" s="186">
        <f t="shared" ref="I5:I38" si="1">+G5/E5</f>
        <v>0</v>
      </c>
      <c r="J5" s="186">
        <f t="shared" ref="J5:J38" si="2">+H5/E5</f>
        <v>1</v>
      </c>
      <c r="K5" s="200">
        <v>0.96079999999999999</v>
      </c>
      <c r="L5" s="201">
        <v>2027</v>
      </c>
      <c r="Q5" s="244">
        <v>0</v>
      </c>
      <c r="R5" s="245">
        <f t="shared" ref="R5:R27" si="3">+Q5*E5</f>
        <v>0</v>
      </c>
      <c r="S5" t="s">
        <v>539</v>
      </c>
      <c r="T5" s="202">
        <v>20000</v>
      </c>
      <c r="U5" s="203">
        <v>12500</v>
      </c>
      <c r="V5" s="206"/>
      <c r="W5" s="206"/>
      <c r="X5" s="206"/>
      <c r="Y5" s="206"/>
      <c r="Z5" s="199"/>
      <c r="AA5" s="210">
        <f t="shared" ref="AA5:AA37" si="4">+SLOPE(T5:Z5,$T$4:$Z$4)</f>
        <v>-1500</v>
      </c>
      <c r="AB5" s="204">
        <f t="shared" ref="AB5:AB37" si="5">+INTERCEPT(T5:Z5,$T$4:$Z$4)</f>
        <v>3050000</v>
      </c>
      <c r="AC5" s="211">
        <f t="shared" ref="AC5:AC37" si="6">+AA5*L5+AB5</f>
        <v>9500</v>
      </c>
      <c r="AD5" s="224">
        <f t="shared" ref="AD5:AD37" si="7">+((L5-$T$4)*AC5+((L5-$T$4)*(T5-AC5))/2)*365/1000000</f>
        <v>37.686250000000001</v>
      </c>
      <c r="AE5" s="225">
        <f t="shared" ref="AE5:AE37" si="8">+((AA5*L5*L5/2)+(AB5*L5)-(AA5*$T$4*$T$4/2)-(AB5*$T$4))*365/1000000</f>
        <v>37.686250000000001</v>
      </c>
      <c r="AF5" s="186">
        <f t="shared" ref="AF5:AF37" si="9">+(AE5-E5)/E5</f>
        <v>0.31402545327754539</v>
      </c>
    </row>
    <row r="6" spans="3:32" x14ac:dyDescent="0.25">
      <c r="C6" t="s">
        <v>342</v>
      </c>
      <c r="E6" s="194">
        <v>89.87</v>
      </c>
      <c r="F6" s="194">
        <v>0</v>
      </c>
      <c r="G6" s="194">
        <f>+E6</f>
        <v>89.87</v>
      </c>
      <c r="H6">
        <f t="shared" si="0"/>
        <v>0</v>
      </c>
      <c r="I6" s="186">
        <f t="shared" si="1"/>
        <v>1</v>
      </c>
      <c r="J6" s="186">
        <f t="shared" si="2"/>
        <v>0</v>
      </c>
      <c r="K6" s="196">
        <v>0.24629999999999999</v>
      </c>
      <c r="L6" s="194">
        <v>2048</v>
      </c>
      <c r="M6" s="242">
        <f>+N6+P6</f>
        <v>19756.607616438356</v>
      </c>
      <c r="N6" s="242">
        <v>19756.607616438356</v>
      </c>
      <c r="O6" s="242">
        <v>0</v>
      </c>
      <c r="P6" s="242">
        <f>+(O6*1000000)/$W$1</f>
        <v>0</v>
      </c>
      <c r="Q6" s="243">
        <f>+N6/M6</f>
        <v>1</v>
      </c>
      <c r="R6" s="245">
        <f t="shared" si="3"/>
        <v>89.87</v>
      </c>
      <c r="S6" s="243">
        <f t="shared" ref="S6:S38" si="10">+G6/E6</f>
        <v>1</v>
      </c>
      <c r="T6" s="194">
        <v>10000</v>
      </c>
      <c r="U6" s="194">
        <v>16000</v>
      </c>
      <c r="V6" s="194">
        <v>11000</v>
      </c>
      <c r="W6" s="194">
        <v>7500</v>
      </c>
      <c r="X6" s="194">
        <v>5500</v>
      </c>
      <c r="Y6" s="194">
        <v>4000</v>
      </c>
      <c r="Z6" s="194"/>
      <c r="AA6" s="210">
        <f t="shared" si="4"/>
        <v>-371.42857142857144</v>
      </c>
      <c r="AB6" s="204">
        <f t="shared" si="5"/>
        <v>763928.57142857148</v>
      </c>
      <c r="AC6" s="211">
        <f t="shared" si="6"/>
        <v>3242.8571428571595</v>
      </c>
      <c r="AD6" s="226">
        <f t="shared" si="7"/>
        <v>67.671000000000092</v>
      </c>
      <c r="AE6" s="227">
        <f t="shared" si="8"/>
        <v>86.286000000000001</v>
      </c>
      <c r="AF6" s="186">
        <f t="shared" si="9"/>
        <v>-3.9879826415934162E-2</v>
      </c>
    </row>
    <row r="7" spans="3:32" x14ac:dyDescent="0.25">
      <c r="C7" t="s">
        <v>491</v>
      </c>
      <c r="E7" s="194">
        <v>1.37</v>
      </c>
      <c r="F7" s="230">
        <f>+E7*1.12%</f>
        <v>1.5344000000000003E-2</v>
      </c>
      <c r="G7" s="195">
        <f>+E7*98.88%</f>
        <v>1.3546559999999999</v>
      </c>
      <c r="H7">
        <f t="shared" si="0"/>
        <v>1.5344000000000246E-2</v>
      </c>
      <c r="I7" s="186">
        <f t="shared" si="1"/>
        <v>0.98879999999999979</v>
      </c>
      <c r="J7" s="186">
        <f t="shared" si="2"/>
        <v>1.1200000000000179E-2</v>
      </c>
      <c r="K7" s="196">
        <v>0.62780000000000002</v>
      </c>
      <c r="L7" s="194">
        <v>2041</v>
      </c>
      <c r="M7" s="242">
        <f t="shared" ref="M7:M38" si="11">+N7+P7</f>
        <v>285.28490222012289</v>
      </c>
      <c r="N7" s="242">
        <v>249.14413698630142</v>
      </c>
      <c r="O7" s="242">
        <v>0.20961643835616439</v>
      </c>
      <c r="P7" s="242">
        <f t="shared" ref="P7:P38" si="12">+(O7*1000000)/$W$1</f>
        <v>36.140765233821448</v>
      </c>
      <c r="Q7" s="243">
        <f t="shared" ref="Q7:Q38" si="13">+N7/M7</f>
        <v>0.8733169370248145</v>
      </c>
      <c r="R7" s="245">
        <f t="shared" si="3"/>
        <v>1.196444203723996</v>
      </c>
      <c r="S7" s="243">
        <f t="shared" si="10"/>
        <v>0.98879999999999979</v>
      </c>
      <c r="T7" s="194">
        <v>400</v>
      </c>
      <c r="U7" s="194">
        <v>280</v>
      </c>
      <c r="V7" s="194">
        <v>200</v>
      </c>
      <c r="W7" s="194">
        <v>120</v>
      </c>
      <c r="X7" s="194">
        <v>80</v>
      </c>
      <c r="Y7" s="194"/>
      <c r="Z7" s="194"/>
      <c r="AA7" s="210">
        <f t="shared" si="4"/>
        <v>-16</v>
      </c>
      <c r="AB7" s="204">
        <f t="shared" si="5"/>
        <v>32696</v>
      </c>
      <c r="AC7" s="211">
        <f t="shared" si="6"/>
        <v>40</v>
      </c>
      <c r="AD7" s="226">
        <f t="shared" si="7"/>
        <v>1.6862999999999999</v>
      </c>
      <c r="AE7" s="227">
        <f t="shared" si="8"/>
        <v>1.59432</v>
      </c>
      <c r="AF7" s="186">
        <f t="shared" si="9"/>
        <v>0.16373722627737214</v>
      </c>
    </row>
    <row r="8" spans="3:32" x14ac:dyDescent="0.25">
      <c r="C8" t="s">
        <v>346</v>
      </c>
      <c r="E8" s="194">
        <v>2.5</v>
      </c>
      <c r="F8" s="194">
        <v>7.0000000000000007E-2</v>
      </c>
      <c r="G8" s="194">
        <f>+E8*99.53%</f>
        <v>2.4882499999999999</v>
      </c>
      <c r="H8">
        <f t="shared" si="0"/>
        <v>1.1750000000000149E-2</v>
      </c>
      <c r="I8" s="186">
        <f t="shared" si="1"/>
        <v>0.99529999999999996</v>
      </c>
      <c r="J8" s="186">
        <f t="shared" si="2"/>
        <v>4.70000000000006E-3</v>
      </c>
      <c r="K8" s="196">
        <v>0.93179999999999996</v>
      </c>
      <c r="L8" s="194">
        <v>2029</v>
      </c>
      <c r="M8" s="242">
        <f t="shared" si="11"/>
        <v>3767.1428889938588</v>
      </c>
      <c r="N8" s="242">
        <v>3691.9893698630135</v>
      </c>
      <c r="O8" s="242">
        <v>0.43589041095890391</v>
      </c>
      <c r="P8" s="242">
        <f t="shared" si="12"/>
        <v>75.153519130845496</v>
      </c>
      <c r="Q8" s="243">
        <f t="shared" si="13"/>
        <v>0.98005026054349709</v>
      </c>
      <c r="R8" s="245">
        <f t="shared" si="3"/>
        <v>2.4501256513587428</v>
      </c>
      <c r="S8" s="243">
        <f t="shared" si="10"/>
        <v>0.99529999999999996</v>
      </c>
      <c r="T8" s="194">
        <v>2950</v>
      </c>
      <c r="U8" s="194">
        <v>750</v>
      </c>
      <c r="V8" s="194"/>
      <c r="W8" s="194"/>
      <c r="X8" s="194"/>
      <c r="Y8" s="194"/>
      <c r="Z8" s="194"/>
      <c r="AA8" s="210">
        <f t="shared" si="4"/>
        <v>-440</v>
      </c>
      <c r="AB8" s="204">
        <f t="shared" si="5"/>
        <v>891750</v>
      </c>
      <c r="AC8" s="211">
        <f t="shared" si="6"/>
        <v>-1010</v>
      </c>
      <c r="AD8" s="226">
        <f t="shared" si="7"/>
        <v>3.1864499999999998</v>
      </c>
      <c r="AE8" s="227">
        <f t="shared" si="8"/>
        <v>3.1864499999999998</v>
      </c>
      <c r="AF8" s="186">
        <f t="shared" si="9"/>
        <v>0.27457999999999994</v>
      </c>
    </row>
    <row r="9" spans="3:32" x14ac:dyDescent="0.25">
      <c r="C9" t="s">
        <v>311</v>
      </c>
      <c r="E9" s="194">
        <v>14.92</v>
      </c>
      <c r="F9" s="194">
        <v>89.54</v>
      </c>
      <c r="G9" s="194">
        <v>0</v>
      </c>
      <c r="H9">
        <f t="shared" si="0"/>
        <v>14.92</v>
      </c>
      <c r="I9" s="186">
        <f t="shared" si="1"/>
        <v>0</v>
      </c>
      <c r="J9" s="186">
        <f t="shared" si="2"/>
        <v>1</v>
      </c>
      <c r="K9" s="196">
        <v>0.69059999999999999</v>
      </c>
      <c r="L9" s="194">
        <v>2039</v>
      </c>
      <c r="M9" s="242">
        <f t="shared" si="11"/>
        <v>3970.7652338214457</v>
      </c>
      <c r="N9" s="242">
        <v>0</v>
      </c>
      <c r="O9" s="242">
        <v>23.030438356164385</v>
      </c>
      <c r="P9" s="242">
        <f t="shared" si="12"/>
        <v>3970.7652338214457</v>
      </c>
      <c r="Q9" s="243">
        <f t="shared" si="13"/>
        <v>0</v>
      </c>
      <c r="R9" s="245">
        <f t="shared" si="3"/>
        <v>0</v>
      </c>
      <c r="S9" s="243">
        <f t="shared" si="10"/>
        <v>0</v>
      </c>
      <c r="T9" s="194">
        <v>2500</v>
      </c>
      <c r="U9" s="213">
        <v>3000</v>
      </c>
      <c r="V9" s="194">
        <v>2100</v>
      </c>
      <c r="W9" s="194">
        <v>1800</v>
      </c>
      <c r="X9" s="194"/>
      <c r="Y9" s="194"/>
      <c r="Z9" s="194"/>
      <c r="AA9" s="210">
        <f t="shared" si="4"/>
        <v>-60</v>
      </c>
      <c r="AB9" s="204">
        <f t="shared" si="5"/>
        <v>124000</v>
      </c>
      <c r="AC9" s="211">
        <f t="shared" si="6"/>
        <v>1660</v>
      </c>
      <c r="AD9" s="226">
        <f t="shared" si="7"/>
        <v>14.424799999999999</v>
      </c>
      <c r="AE9" s="227">
        <f t="shared" si="8"/>
        <v>15.46505</v>
      </c>
      <c r="AF9" s="186">
        <f t="shared" si="9"/>
        <v>3.653150134048256E-2</v>
      </c>
    </row>
    <row r="10" spans="3:32" x14ac:dyDescent="0.25">
      <c r="C10" t="s">
        <v>492</v>
      </c>
      <c r="E10" s="194">
        <v>153.29</v>
      </c>
      <c r="F10" s="194">
        <v>0</v>
      </c>
      <c r="G10" s="194">
        <v>153.29</v>
      </c>
      <c r="H10">
        <f t="shared" si="0"/>
        <v>0</v>
      </c>
      <c r="I10" s="186">
        <f t="shared" si="1"/>
        <v>1</v>
      </c>
      <c r="J10" s="186">
        <f t="shared" si="2"/>
        <v>0</v>
      </c>
      <c r="K10" s="196">
        <v>0.70950000000000002</v>
      </c>
      <c r="L10" s="194">
        <v>2036</v>
      </c>
      <c r="M10" s="242">
        <f t="shared" si="11"/>
        <v>70553.994630136978</v>
      </c>
      <c r="N10" s="242">
        <v>70553.994630136978</v>
      </c>
      <c r="O10" s="242">
        <v>0</v>
      </c>
      <c r="P10" s="242">
        <f t="shared" si="12"/>
        <v>0</v>
      </c>
      <c r="Q10" s="243">
        <f t="shared" si="13"/>
        <v>1</v>
      </c>
      <c r="R10" s="245">
        <f t="shared" si="3"/>
        <v>153.29</v>
      </c>
      <c r="S10" s="243">
        <f t="shared" si="10"/>
        <v>1</v>
      </c>
      <c r="T10" s="194">
        <v>65000</v>
      </c>
      <c r="U10" s="213">
        <v>37500</v>
      </c>
      <c r="V10" s="194">
        <v>22500</v>
      </c>
      <c r="W10" s="194">
        <v>12500</v>
      </c>
      <c r="X10" s="194"/>
      <c r="Y10" s="194"/>
      <c r="Z10" s="194"/>
      <c r="AA10" s="232">
        <f t="shared" si="4"/>
        <v>-3450</v>
      </c>
      <c r="AB10" s="233">
        <f t="shared" si="5"/>
        <v>7029250</v>
      </c>
      <c r="AC10" s="234">
        <f t="shared" si="6"/>
        <v>5050</v>
      </c>
      <c r="AD10" s="224">
        <f t="shared" si="7"/>
        <v>204.54599999999999</v>
      </c>
      <c r="AE10" s="225">
        <f t="shared" si="8"/>
        <v>190.67599999999999</v>
      </c>
      <c r="AF10" s="186">
        <f t="shared" si="9"/>
        <v>0.24389066475308238</v>
      </c>
    </row>
    <row r="11" spans="3:32" x14ac:dyDescent="0.25">
      <c r="C11" t="s">
        <v>493</v>
      </c>
      <c r="E11" s="194">
        <v>0.88</v>
      </c>
      <c r="F11" s="194">
        <v>0</v>
      </c>
      <c r="G11" s="194">
        <v>0.88</v>
      </c>
      <c r="H11">
        <f t="shared" si="0"/>
        <v>0</v>
      </c>
      <c r="I11" s="186">
        <f t="shared" si="1"/>
        <v>1</v>
      </c>
      <c r="J11" s="186">
        <f t="shared" si="2"/>
        <v>0</v>
      </c>
      <c r="K11" s="196">
        <v>0.69830000000000003</v>
      </c>
      <c r="L11" s="194">
        <v>2042</v>
      </c>
      <c r="M11" s="242">
        <f t="shared" si="11"/>
        <v>226.03172602739721</v>
      </c>
      <c r="N11" s="242">
        <v>226.03172602739721</v>
      </c>
      <c r="O11" s="242">
        <v>0</v>
      </c>
      <c r="P11" s="242">
        <f t="shared" si="12"/>
        <v>0</v>
      </c>
      <c r="Q11" s="243">
        <f t="shared" si="13"/>
        <v>1</v>
      </c>
      <c r="R11" s="245">
        <f t="shared" si="3"/>
        <v>0.88</v>
      </c>
      <c r="S11" s="243">
        <f t="shared" si="10"/>
        <v>1</v>
      </c>
      <c r="T11" s="194">
        <v>150</v>
      </c>
      <c r="U11" s="231">
        <v>180</v>
      </c>
      <c r="V11" s="194">
        <v>105</v>
      </c>
      <c r="W11" s="194">
        <v>90</v>
      </c>
      <c r="X11" s="194">
        <v>60</v>
      </c>
      <c r="Y11" s="194"/>
      <c r="Z11" s="194"/>
      <c r="AA11" s="232">
        <f t="shared" si="4"/>
        <v>-5.4</v>
      </c>
      <c r="AB11" s="233">
        <f t="shared" si="5"/>
        <v>11079</v>
      </c>
      <c r="AC11" s="234">
        <f t="shared" si="6"/>
        <v>52.199999999998909</v>
      </c>
      <c r="AD11" s="224">
        <f t="shared" si="7"/>
        <v>0.81183299999999559</v>
      </c>
      <c r="AE11" s="225">
        <f t="shared" si="8"/>
        <v>0.89614799999972805</v>
      </c>
      <c r="AF11" s="186">
        <f t="shared" si="9"/>
        <v>1.8349999999690961E-2</v>
      </c>
    </row>
    <row r="12" spans="3:32" x14ac:dyDescent="0.25">
      <c r="C12" t="s">
        <v>494</v>
      </c>
      <c r="E12" s="194">
        <v>543.79</v>
      </c>
      <c r="F12" s="194">
        <v>0</v>
      </c>
      <c r="G12" s="194">
        <f>+E12</f>
        <v>543.79</v>
      </c>
      <c r="H12">
        <f t="shared" si="0"/>
        <v>0</v>
      </c>
      <c r="I12" s="186">
        <f t="shared" si="1"/>
        <v>1</v>
      </c>
      <c r="J12" s="186">
        <f t="shared" si="2"/>
        <v>0</v>
      </c>
      <c r="K12" s="196">
        <v>0.31709999999999999</v>
      </c>
      <c r="L12" s="194">
        <v>2099</v>
      </c>
      <c r="M12" s="242">
        <f t="shared" si="11"/>
        <v>43276.035643835618</v>
      </c>
      <c r="N12" s="242">
        <v>43276.035643835618</v>
      </c>
      <c r="O12" s="242">
        <v>0</v>
      </c>
      <c r="P12" s="242">
        <f t="shared" si="12"/>
        <v>0</v>
      </c>
      <c r="Q12" s="243">
        <f t="shared" si="13"/>
        <v>1</v>
      </c>
      <c r="R12" s="245">
        <f t="shared" si="3"/>
        <v>543.79</v>
      </c>
      <c r="S12" s="243">
        <f t="shared" si="10"/>
        <v>1</v>
      </c>
      <c r="T12" s="194">
        <v>40000</v>
      </c>
      <c r="U12" s="194"/>
      <c r="V12" s="194">
        <v>32500</v>
      </c>
      <c r="X12" s="194">
        <v>27500</v>
      </c>
      <c r="Y12" s="194"/>
      <c r="Z12" s="194">
        <v>22500</v>
      </c>
      <c r="AA12" s="232">
        <f t="shared" si="4"/>
        <v>-575</v>
      </c>
      <c r="AB12" s="233">
        <f t="shared" si="5"/>
        <v>1200750</v>
      </c>
      <c r="AC12" s="234">
        <f t="shared" si="6"/>
        <v>-6175</v>
      </c>
      <c r="AD12" s="224">
        <f t="shared" si="7"/>
        <v>487.67193750000001</v>
      </c>
      <c r="AE12" s="225">
        <f t="shared" si="8"/>
        <v>476.8588125</v>
      </c>
      <c r="AF12" s="186">
        <f t="shared" si="9"/>
        <v>-0.1230827847146876</v>
      </c>
    </row>
    <row r="13" spans="3:32" x14ac:dyDescent="0.25">
      <c r="C13" t="s">
        <v>29</v>
      </c>
      <c r="E13" s="194">
        <v>272.89999999999998</v>
      </c>
      <c r="F13" s="194">
        <v>0</v>
      </c>
      <c r="G13" s="194">
        <v>272.29000000000002</v>
      </c>
      <c r="H13">
        <f t="shared" si="0"/>
        <v>0.6099999999999568</v>
      </c>
      <c r="I13" s="186">
        <f t="shared" si="1"/>
        <v>0.99776474899230505</v>
      </c>
      <c r="J13" s="186">
        <f t="shared" si="2"/>
        <v>2.2352510076949681E-3</v>
      </c>
      <c r="K13" s="228">
        <v>0.71530000000000005</v>
      </c>
      <c r="L13" s="194">
        <v>2036</v>
      </c>
      <c r="M13" s="242">
        <f t="shared" si="11"/>
        <v>119308.68268493151</v>
      </c>
      <c r="N13" s="242">
        <v>119308.68268493151</v>
      </c>
      <c r="O13" s="242">
        <v>0</v>
      </c>
      <c r="P13" s="242">
        <f t="shared" si="12"/>
        <v>0</v>
      </c>
      <c r="Q13" s="243">
        <f t="shared" si="13"/>
        <v>1</v>
      </c>
      <c r="R13" s="245">
        <f t="shared" si="3"/>
        <v>272.89999999999998</v>
      </c>
      <c r="S13" s="243">
        <f t="shared" si="10"/>
        <v>0.99776474899230505</v>
      </c>
      <c r="T13" s="205">
        <v>105000</v>
      </c>
      <c r="U13" s="214">
        <v>75000</v>
      </c>
      <c r="V13" s="194">
        <v>40000</v>
      </c>
      <c r="W13" s="194">
        <v>25000</v>
      </c>
      <c r="AA13" s="232">
        <f t="shared" si="4"/>
        <v>-5500</v>
      </c>
      <c r="AB13" s="233">
        <f t="shared" si="5"/>
        <v>11212500</v>
      </c>
      <c r="AC13" s="234">
        <f t="shared" si="6"/>
        <v>14500</v>
      </c>
      <c r="AD13" s="224">
        <f t="shared" si="7"/>
        <v>348.94</v>
      </c>
      <c r="AE13" s="225">
        <f t="shared" si="8"/>
        <v>341.64</v>
      </c>
      <c r="AF13" s="186">
        <f t="shared" si="9"/>
        <v>0.25188713814584102</v>
      </c>
    </row>
    <row r="14" spans="3:32" x14ac:dyDescent="0.25">
      <c r="C14" t="s">
        <v>345</v>
      </c>
      <c r="E14" s="194">
        <v>16.52</v>
      </c>
      <c r="F14" s="194">
        <v>1.61</v>
      </c>
      <c r="G14">
        <f>+E14*98.07%</f>
        <v>16.201163999999999</v>
      </c>
      <c r="H14">
        <f t="shared" si="0"/>
        <v>0.31883600000000101</v>
      </c>
      <c r="I14" s="186">
        <f t="shared" si="1"/>
        <v>0.98069999999999991</v>
      </c>
      <c r="J14" s="186">
        <f t="shared" si="2"/>
        <v>1.930000000000006E-2</v>
      </c>
      <c r="K14" s="228">
        <v>0.73629999999999995</v>
      </c>
      <c r="L14" s="194">
        <v>2060</v>
      </c>
      <c r="M14" s="242">
        <f t="shared" si="11"/>
        <v>4154.1152328767121</v>
      </c>
      <c r="N14" s="242">
        <v>4154.1152328767121</v>
      </c>
      <c r="O14" s="242">
        <v>0</v>
      </c>
      <c r="P14" s="242">
        <f t="shared" si="12"/>
        <v>0</v>
      </c>
      <c r="Q14" s="243">
        <f t="shared" si="13"/>
        <v>1</v>
      </c>
      <c r="R14" s="245">
        <f t="shared" si="3"/>
        <v>16.52</v>
      </c>
      <c r="S14" s="243">
        <f t="shared" si="10"/>
        <v>0.98069999999999991</v>
      </c>
      <c r="T14" s="194">
        <v>4000</v>
      </c>
      <c r="U14" s="194">
        <v>3000</v>
      </c>
      <c r="V14" s="194">
        <v>1800</v>
      </c>
      <c r="W14" s="194">
        <v>1000</v>
      </c>
      <c r="X14" s="194">
        <v>900</v>
      </c>
      <c r="Y14" s="194">
        <v>700</v>
      </c>
      <c r="Z14" s="194">
        <v>500</v>
      </c>
      <c r="AA14" s="232">
        <f t="shared" si="4"/>
        <v>-114.28571428571429</v>
      </c>
      <c r="AB14" s="233">
        <f t="shared" si="5"/>
        <v>234271.42857142858</v>
      </c>
      <c r="AC14" s="234">
        <f t="shared" si="6"/>
        <v>-1157.1428571428696</v>
      </c>
      <c r="AD14" s="224">
        <f t="shared" si="7"/>
        <v>20.752857142857053</v>
      </c>
      <c r="AE14" s="225">
        <f t="shared" si="8"/>
        <v>16.47714285712421</v>
      </c>
      <c r="AF14" s="186">
        <f t="shared" si="9"/>
        <v>-2.5942580433286396E-3</v>
      </c>
    </row>
    <row r="15" spans="3:32" x14ac:dyDescent="0.25">
      <c r="C15" t="s">
        <v>140</v>
      </c>
      <c r="E15" s="194">
        <v>21.91</v>
      </c>
      <c r="F15" s="194">
        <v>0</v>
      </c>
      <c r="G15">
        <f>+E15</f>
        <v>21.91</v>
      </c>
      <c r="H15">
        <f t="shared" si="0"/>
        <v>0</v>
      </c>
      <c r="I15" s="186">
        <f t="shared" si="1"/>
        <v>1</v>
      </c>
      <c r="J15" s="186">
        <f t="shared" si="2"/>
        <v>0</v>
      </c>
      <c r="K15" s="228">
        <v>0.78649999999999998</v>
      </c>
      <c r="L15" s="194">
        <v>2035</v>
      </c>
      <c r="M15" s="242">
        <f t="shared" si="11"/>
        <v>10381.531479452055</v>
      </c>
      <c r="N15" s="242">
        <v>10381.531479452055</v>
      </c>
      <c r="O15" s="242">
        <v>0</v>
      </c>
      <c r="P15" s="242">
        <f t="shared" si="12"/>
        <v>0</v>
      </c>
      <c r="Q15" s="243">
        <f t="shared" si="13"/>
        <v>1</v>
      </c>
      <c r="R15" s="245">
        <f t="shared" si="3"/>
        <v>21.91</v>
      </c>
      <c r="S15" s="243">
        <f t="shared" si="10"/>
        <v>1</v>
      </c>
      <c r="T15" s="205">
        <v>10500</v>
      </c>
      <c r="U15" s="215">
        <v>6000</v>
      </c>
      <c r="V15" s="194">
        <v>2300</v>
      </c>
      <c r="W15" s="194">
        <v>1800</v>
      </c>
      <c r="AA15" s="232">
        <f t="shared" si="4"/>
        <v>-596</v>
      </c>
      <c r="AB15" s="233">
        <f t="shared" si="5"/>
        <v>1213540</v>
      </c>
      <c r="AC15" s="234">
        <f t="shared" si="6"/>
        <v>680</v>
      </c>
      <c r="AD15" s="224">
        <f t="shared" si="7"/>
        <v>30.605250000000002</v>
      </c>
      <c r="AE15" s="225">
        <f t="shared" si="8"/>
        <v>28.196249999999999</v>
      </c>
      <c r="AF15" s="186">
        <f t="shared" si="9"/>
        <v>0.28691236878137832</v>
      </c>
    </row>
    <row r="16" spans="3:32" x14ac:dyDescent="0.25">
      <c r="C16" t="s">
        <v>495</v>
      </c>
      <c r="E16" s="194">
        <v>8.85</v>
      </c>
      <c r="F16" s="194">
        <v>0</v>
      </c>
      <c r="G16">
        <f>+E16</f>
        <v>8.85</v>
      </c>
      <c r="H16">
        <f t="shared" si="0"/>
        <v>0</v>
      </c>
      <c r="I16" s="186">
        <f t="shared" si="1"/>
        <v>1</v>
      </c>
      <c r="J16" s="186">
        <f t="shared" si="2"/>
        <v>0</v>
      </c>
      <c r="K16" s="228">
        <v>0.55530000000000002</v>
      </c>
      <c r="L16" s="194">
        <v>2052</v>
      </c>
      <c r="M16" s="242">
        <f t="shared" si="11"/>
        <v>1737.8650958904109</v>
      </c>
      <c r="N16" s="242">
        <v>1737.8650958904109</v>
      </c>
      <c r="O16" s="242">
        <v>0</v>
      </c>
      <c r="P16" s="242">
        <f t="shared" si="12"/>
        <v>0</v>
      </c>
      <c r="Q16" s="243">
        <f t="shared" si="13"/>
        <v>1</v>
      </c>
      <c r="R16" s="245">
        <f t="shared" si="3"/>
        <v>8.85</v>
      </c>
      <c r="S16" s="243">
        <f t="shared" si="10"/>
        <v>1</v>
      </c>
      <c r="T16" s="205">
        <v>1600</v>
      </c>
      <c r="U16" s="205">
        <v>1500</v>
      </c>
      <c r="V16" s="194">
        <v>1100</v>
      </c>
      <c r="W16" s="194">
        <v>750</v>
      </c>
      <c r="X16" s="194">
        <v>500</v>
      </c>
      <c r="Y16" s="194">
        <v>250</v>
      </c>
      <c r="Z16" s="194">
        <v>200</v>
      </c>
      <c r="AA16" s="232">
        <f t="shared" si="4"/>
        <v>-52.142857142857146</v>
      </c>
      <c r="AB16" s="233">
        <f t="shared" si="5"/>
        <v>106953.57142857143</v>
      </c>
      <c r="AC16" s="234">
        <f t="shared" si="6"/>
        <v>-43.571428571434808</v>
      </c>
      <c r="AD16" s="224">
        <f t="shared" si="7"/>
        <v>9.0895428571428205</v>
      </c>
      <c r="AE16" s="225">
        <f t="shared" si="8"/>
        <v>9.2355428571459655</v>
      </c>
      <c r="AF16" s="186">
        <f t="shared" si="9"/>
        <v>4.3564164649261675E-2</v>
      </c>
    </row>
    <row r="17" spans="3:32" x14ac:dyDescent="0.25">
      <c r="C17" t="s">
        <v>61</v>
      </c>
      <c r="E17" s="194">
        <v>146.25</v>
      </c>
      <c r="F17" s="194">
        <v>0</v>
      </c>
      <c r="G17">
        <v>146.25</v>
      </c>
      <c r="H17">
        <f t="shared" si="0"/>
        <v>0</v>
      </c>
      <c r="I17" s="186">
        <f t="shared" si="1"/>
        <v>1</v>
      </c>
      <c r="J17" s="186">
        <f t="shared" si="2"/>
        <v>0</v>
      </c>
      <c r="K17" s="228">
        <v>0.58260000000000001</v>
      </c>
      <c r="L17" s="194">
        <v>2039</v>
      </c>
      <c r="M17" s="242">
        <f t="shared" si="11"/>
        <v>48971.756410958893</v>
      </c>
      <c r="N17" s="242">
        <v>48971.756410958893</v>
      </c>
      <c r="O17" s="242">
        <v>0</v>
      </c>
      <c r="P17" s="242">
        <f t="shared" si="12"/>
        <v>0</v>
      </c>
      <c r="Q17" s="243">
        <f t="shared" si="13"/>
        <v>1</v>
      </c>
      <c r="R17" s="245">
        <f t="shared" si="3"/>
        <v>146.25</v>
      </c>
      <c r="S17" s="243">
        <f t="shared" si="10"/>
        <v>1</v>
      </c>
      <c r="T17" s="205">
        <v>50000</v>
      </c>
      <c r="U17" s="205">
        <v>35000</v>
      </c>
      <c r="V17" s="194">
        <v>20000</v>
      </c>
      <c r="W17" s="194">
        <v>12500</v>
      </c>
      <c r="AA17" s="232">
        <f t="shared" si="4"/>
        <v>-2550</v>
      </c>
      <c r="AB17" s="233">
        <f t="shared" si="5"/>
        <v>5199500</v>
      </c>
      <c r="AC17" s="234">
        <f t="shared" si="6"/>
        <v>50</v>
      </c>
      <c r="AD17" s="224">
        <f t="shared" si="7"/>
        <v>173.54837499999999</v>
      </c>
      <c r="AE17" s="225">
        <f t="shared" si="8"/>
        <v>168.34712500000001</v>
      </c>
      <c r="AF17" s="186">
        <f t="shared" si="9"/>
        <v>0.15109145299145302</v>
      </c>
    </row>
    <row r="18" spans="3:32" x14ac:dyDescent="0.25">
      <c r="C18" t="s">
        <v>496</v>
      </c>
      <c r="E18" s="194">
        <v>89.99</v>
      </c>
      <c r="F18" s="194">
        <v>0</v>
      </c>
      <c r="G18">
        <f>+E18</f>
        <v>89.99</v>
      </c>
      <c r="H18">
        <f t="shared" si="0"/>
        <v>0</v>
      </c>
      <c r="I18" s="186">
        <f t="shared" si="1"/>
        <v>1</v>
      </c>
      <c r="J18" s="186">
        <f t="shared" si="2"/>
        <v>0</v>
      </c>
      <c r="K18" s="228">
        <v>0.42830000000000001</v>
      </c>
      <c r="L18" s="194">
        <v>2044</v>
      </c>
      <c r="M18" s="242">
        <f t="shared" si="11"/>
        <v>20119.028164383562</v>
      </c>
      <c r="N18" s="242">
        <v>20119.028164383562</v>
      </c>
      <c r="O18" s="242">
        <v>0</v>
      </c>
      <c r="P18" s="242">
        <f t="shared" si="12"/>
        <v>0</v>
      </c>
      <c r="Q18" s="243">
        <f t="shared" si="13"/>
        <v>1</v>
      </c>
      <c r="R18" s="245">
        <f t="shared" si="3"/>
        <v>89.99</v>
      </c>
      <c r="S18" s="243">
        <f t="shared" si="10"/>
        <v>1</v>
      </c>
      <c r="T18" s="205">
        <v>20000</v>
      </c>
      <c r="U18" s="205">
        <v>17500</v>
      </c>
      <c r="V18" s="194">
        <v>12500</v>
      </c>
      <c r="W18" s="194">
        <v>7600</v>
      </c>
      <c r="X18" s="194">
        <v>6000</v>
      </c>
      <c r="AA18" s="232">
        <f t="shared" si="4"/>
        <v>-758</v>
      </c>
      <c r="AB18" s="233">
        <f t="shared" si="5"/>
        <v>1551460</v>
      </c>
      <c r="AC18" s="234">
        <f t="shared" si="6"/>
        <v>2108</v>
      </c>
      <c r="AD18" s="224">
        <f t="shared" si="7"/>
        <v>96.833039999999997</v>
      </c>
      <c r="AE18" s="225">
        <f t="shared" si="8"/>
        <v>98.147040000000004</v>
      </c>
      <c r="AF18" s="186">
        <f t="shared" si="9"/>
        <v>9.0643849316590835E-2</v>
      </c>
    </row>
    <row r="19" spans="3:32" x14ac:dyDescent="0.25">
      <c r="C19" t="s">
        <v>497</v>
      </c>
      <c r="E19" s="194">
        <v>86.96</v>
      </c>
      <c r="F19" s="194">
        <v>357.74</v>
      </c>
      <c r="G19">
        <f>+E19*68.57%</f>
        <v>59.628471999999995</v>
      </c>
      <c r="H19">
        <f t="shared" si="0"/>
        <v>27.331527999999999</v>
      </c>
      <c r="I19" s="186">
        <f t="shared" si="1"/>
        <v>0.68569999999999998</v>
      </c>
      <c r="J19" s="186">
        <f t="shared" si="2"/>
        <v>0.31430000000000002</v>
      </c>
      <c r="K19" s="228">
        <v>0.87790000000000001</v>
      </c>
      <c r="L19" s="194">
        <v>2035</v>
      </c>
      <c r="M19" s="242">
        <f t="shared" si="11"/>
        <v>36739.649441662732</v>
      </c>
      <c r="N19" s="242">
        <v>5802.3135890410958</v>
      </c>
      <c r="O19" s="242">
        <v>179.43654794520549</v>
      </c>
      <c r="P19" s="242">
        <f t="shared" si="12"/>
        <v>30937.335852621636</v>
      </c>
      <c r="Q19" s="243">
        <f t="shared" si="13"/>
        <v>0.15793056485893622</v>
      </c>
      <c r="R19" s="245">
        <f t="shared" si="3"/>
        <v>13.733641920133094</v>
      </c>
      <c r="S19" s="243">
        <f t="shared" si="10"/>
        <v>0.68569999999999998</v>
      </c>
      <c r="T19" s="205">
        <v>42000</v>
      </c>
      <c r="U19" s="205">
        <v>22000</v>
      </c>
      <c r="V19" s="194">
        <v>16000</v>
      </c>
      <c r="W19" s="194">
        <v>8000</v>
      </c>
      <c r="AA19" s="232">
        <f t="shared" si="4"/>
        <v>-2160</v>
      </c>
      <c r="AB19" s="233">
        <f t="shared" si="5"/>
        <v>4401400</v>
      </c>
      <c r="AC19" s="234">
        <f t="shared" si="6"/>
        <v>5800</v>
      </c>
      <c r="AD19" s="224">
        <f t="shared" si="7"/>
        <v>130.85249999999999</v>
      </c>
      <c r="AE19" s="225">
        <f t="shared" si="8"/>
        <v>120.45</v>
      </c>
      <c r="AF19" s="186">
        <f t="shared" si="9"/>
        <v>0.38511959521619149</v>
      </c>
    </row>
    <row r="20" spans="3:32" x14ac:dyDescent="0.25">
      <c r="C20" t="s">
        <v>498</v>
      </c>
      <c r="E20" s="194">
        <v>5.73</v>
      </c>
      <c r="F20" s="194">
        <v>0</v>
      </c>
      <c r="G20">
        <f>+E20</f>
        <v>5.73</v>
      </c>
      <c r="H20">
        <f t="shared" si="0"/>
        <v>0</v>
      </c>
      <c r="I20" s="186">
        <f t="shared" si="1"/>
        <v>1</v>
      </c>
      <c r="J20" s="186">
        <f t="shared" si="2"/>
        <v>0</v>
      </c>
      <c r="K20" s="228">
        <v>0.61819999999999997</v>
      </c>
      <c r="L20" s="194">
        <v>2050</v>
      </c>
      <c r="M20" s="242">
        <f t="shared" si="11"/>
        <v>3032.86197260274</v>
      </c>
      <c r="N20" s="242">
        <v>3032.86197260274</v>
      </c>
      <c r="O20" s="242">
        <v>0</v>
      </c>
      <c r="P20" s="242">
        <f t="shared" si="12"/>
        <v>0</v>
      </c>
      <c r="Q20" s="243">
        <f t="shared" si="13"/>
        <v>1</v>
      </c>
      <c r="R20" s="245">
        <f t="shared" si="3"/>
        <v>5.73</v>
      </c>
      <c r="S20" s="243">
        <f t="shared" si="10"/>
        <v>1</v>
      </c>
      <c r="T20" s="205">
        <v>2250</v>
      </c>
      <c r="U20" s="205">
        <v>1250</v>
      </c>
      <c r="V20" s="194">
        <v>600</v>
      </c>
      <c r="W20" s="194">
        <v>400</v>
      </c>
      <c r="X20" s="194">
        <v>200</v>
      </c>
      <c r="Y20" s="194">
        <v>150</v>
      </c>
      <c r="Z20" s="194">
        <v>100</v>
      </c>
      <c r="AA20" s="232">
        <f t="shared" si="4"/>
        <v>-64.642857142857139</v>
      </c>
      <c r="AB20" s="233">
        <f t="shared" si="5"/>
        <v>132255.35714285716</v>
      </c>
      <c r="AC20" s="234">
        <f t="shared" si="6"/>
        <v>-262.4999999999709</v>
      </c>
      <c r="AD20" s="224">
        <f t="shared" si="7"/>
        <v>10.881562500000161</v>
      </c>
      <c r="AE20" s="225">
        <f t="shared" si="8"/>
        <v>7.7432142857189472</v>
      </c>
      <c r="AF20" s="186">
        <f t="shared" si="9"/>
        <v>0.35134629768218961</v>
      </c>
    </row>
    <row r="21" spans="3:32" x14ac:dyDescent="0.25">
      <c r="C21" t="s">
        <v>499</v>
      </c>
      <c r="E21" s="194">
        <v>89.27</v>
      </c>
      <c r="F21" s="194">
        <v>504.38</v>
      </c>
      <c r="G21">
        <f>+E21*5.84%</f>
        <v>5.213368</v>
      </c>
      <c r="H21">
        <f t="shared" si="0"/>
        <v>84.056631999999993</v>
      </c>
      <c r="I21" s="186">
        <f t="shared" si="1"/>
        <v>5.8400000000000001E-2</v>
      </c>
      <c r="J21" s="186">
        <f t="shared" si="2"/>
        <v>0.94159999999999999</v>
      </c>
      <c r="K21" s="228">
        <v>0.24510000000000001</v>
      </c>
      <c r="L21" s="194">
        <v>2059</v>
      </c>
      <c r="M21" s="242">
        <f t="shared" si="11"/>
        <v>5687.8121180916396</v>
      </c>
      <c r="N21" s="242">
        <v>1396.6784383561644</v>
      </c>
      <c r="O21" s="242">
        <v>24.888575342465753</v>
      </c>
      <c r="P21" s="242">
        <f t="shared" si="12"/>
        <v>4291.1336797354752</v>
      </c>
      <c r="Q21" s="243">
        <f t="shared" si="13"/>
        <v>0.24555635969648984</v>
      </c>
      <c r="R21" s="245">
        <f t="shared" si="3"/>
        <v>21.920816230105647</v>
      </c>
      <c r="S21" s="243">
        <f t="shared" si="10"/>
        <v>5.8400000000000001E-2</v>
      </c>
      <c r="T21" s="205">
        <v>10000</v>
      </c>
      <c r="U21" s="205">
        <v>18500</v>
      </c>
      <c r="V21" s="194">
        <v>10000</v>
      </c>
      <c r="W21" s="194">
        <v>7000</v>
      </c>
      <c r="X21" s="194">
        <v>5000</v>
      </c>
      <c r="Y21" s="194">
        <v>3500</v>
      </c>
      <c r="Z21" s="194">
        <v>2100</v>
      </c>
      <c r="AA21" s="232">
        <f t="shared" si="4"/>
        <v>-419.28571428571439</v>
      </c>
      <c r="AB21" s="233">
        <f t="shared" si="5"/>
        <v>861260.71428571444</v>
      </c>
      <c r="AC21" s="234">
        <f t="shared" si="6"/>
        <v>-2048.5714285714785</v>
      </c>
      <c r="AD21" s="224">
        <f t="shared" si="7"/>
        <v>56.594292857142499</v>
      </c>
      <c r="AE21" s="225">
        <f t="shared" si="8"/>
        <v>87.224962500087017</v>
      </c>
      <c r="AF21" s="186">
        <f t="shared" si="9"/>
        <v>-2.2908451886557404E-2</v>
      </c>
    </row>
    <row r="22" spans="3:32" x14ac:dyDescent="0.25">
      <c r="C22" t="s">
        <v>500</v>
      </c>
      <c r="E22" s="194">
        <v>10.25</v>
      </c>
      <c r="F22" s="194">
        <v>60.26</v>
      </c>
      <c r="G22">
        <f>+E22*2%</f>
        <v>0.20500000000000002</v>
      </c>
      <c r="H22">
        <f t="shared" si="0"/>
        <v>10.045</v>
      </c>
      <c r="I22" s="186">
        <f t="shared" si="1"/>
        <v>0.02</v>
      </c>
      <c r="J22" s="186">
        <f t="shared" si="2"/>
        <v>0.98</v>
      </c>
      <c r="K22" s="228">
        <v>0.98270000000000002</v>
      </c>
      <c r="L22" s="194">
        <v>2025</v>
      </c>
      <c r="M22" s="242">
        <f t="shared" si="11"/>
        <v>13330.402025507794</v>
      </c>
      <c r="N22" s="242">
        <v>802.2064657534246</v>
      </c>
      <c r="O22" s="242">
        <v>72.663534246575338</v>
      </c>
      <c r="P22" s="242">
        <f t="shared" si="12"/>
        <v>12528.195559754369</v>
      </c>
      <c r="Q22" s="243">
        <f t="shared" si="13"/>
        <v>6.0178715106896125E-2</v>
      </c>
      <c r="R22" s="245">
        <f t="shared" si="3"/>
        <v>0.6168318298456853</v>
      </c>
      <c r="S22" s="243">
        <f t="shared" si="10"/>
        <v>0.02</v>
      </c>
      <c r="T22" s="205">
        <v>8000</v>
      </c>
      <c r="U22" s="205">
        <v>5000</v>
      </c>
      <c r="AA22" s="232">
        <f t="shared" si="4"/>
        <v>-600</v>
      </c>
      <c r="AB22" s="233">
        <f t="shared" si="5"/>
        <v>1220000</v>
      </c>
      <c r="AC22" s="234">
        <f t="shared" si="6"/>
        <v>5000</v>
      </c>
      <c r="AD22" s="224">
        <f t="shared" si="7"/>
        <v>11.862500000000001</v>
      </c>
      <c r="AE22" s="225">
        <f t="shared" si="8"/>
        <v>11.862500000000001</v>
      </c>
      <c r="AF22" s="186">
        <f t="shared" si="9"/>
        <v>0.15731707317073176</v>
      </c>
    </row>
    <row r="23" spans="3:32" x14ac:dyDescent="0.25">
      <c r="C23" t="s">
        <v>501</v>
      </c>
      <c r="E23" s="194">
        <v>17.7</v>
      </c>
      <c r="F23" s="194">
        <v>97.48</v>
      </c>
      <c r="G23">
        <f>+E23*8.23%</f>
        <v>1.4567099999999999</v>
      </c>
      <c r="H23">
        <f t="shared" si="0"/>
        <v>16.243289999999998</v>
      </c>
      <c r="I23" s="186">
        <f t="shared" si="1"/>
        <v>8.2299999999999998E-2</v>
      </c>
      <c r="J23" s="186">
        <f t="shared" si="2"/>
        <v>0.91769999999999996</v>
      </c>
      <c r="K23" s="228">
        <v>0.97750000000000004</v>
      </c>
      <c r="L23" s="194">
        <v>2025</v>
      </c>
      <c r="M23" s="242">
        <f t="shared" si="11"/>
        <v>18303.892234293809</v>
      </c>
      <c r="N23" s="242">
        <v>2380.4156164383562</v>
      </c>
      <c r="O23" s="242">
        <v>92.356164383561648</v>
      </c>
      <c r="P23" s="242">
        <f t="shared" si="12"/>
        <v>15923.476617855455</v>
      </c>
      <c r="Q23" s="243">
        <f t="shared" si="13"/>
        <v>0.13004969576790104</v>
      </c>
      <c r="R23" s="245">
        <f t="shared" si="3"/>
        <v>2.3018796150918481</v>
      </c>
      <c r="S23" s="243">
        <f t="shared" si="10"/>
        <v>8.2299999999999998E-2</v>
      </c>
      <c r="T23" s="194">
        <v>8000</v>
      </c>
      <c r="U23" s="213">
        <v>5000</v>
      </c>
      <c r="AA23" s="232">
        <f t="shared" si="4"/>
        <v>-600</v>
      </c>
      <c r="AB23" s="233">
        <f t="shared" si="5"/>
        <v>1220000</v>
      </c>
      <c r="AC23" s="234">
        <f t="shared" si="6"/>
        <v>5000</v>
      </c>
      <c r="AD23" s="224">
        <f t="shared" si="7"/>
        <v>11.862500000000001</v>
      </c>
      <c r="AE23" s="225">
        <f t="shared" si="8"/>
        <v>11.862500000000001</v>
      </c>
      <c r="AF23" s="186">
        <f t="shared" si="9"/>
        <v>-0.32980225988700557</v>
      </c>
    </row>
    <row r="24" spans="3:32" x14ac:dyDescent="0.25">
      <c r="C24" t="s">
        <v>502</v>
      </c>
      <c r="E24" s="194">
        <v>8.8000000000000007</v>
      </c>
      <c r="F24" s="194">
        <v>2.82</v>
      </c>
      <c r="G24">
        <f>+E24*94.66%</f>
        <v>8.3300800000000006</v>
      </c>
      <c r="H24">
        <f t="shared" si="0"/>
        <v>0.46992000000000012</v>
      </c>
      <c r="I24" s="186">
        <f t="shared" si="1"/>
        <v>0.9466</v>
      </c>
      <c r="J24" s="186">
        <f t="shared" si="2"/>
        <v>5.340000000000001E-2</v>
      </c>
      <c r="K24" s="228">
        <v>0.7712</v>
      </c>
      <c r="L24" s="194">
        <v>2039</v>
      </c>
      <c r="M24" s="242">
        <f t="shared" si="11"/>
        <v>3090.1880736891835</v>
      </c>
      <c r="N24" s="242">
        <v>2982.4176438356171</v>
      </c>
      <c r="O24" s="242">
        <v>0.62506849315068491</v>
      </c>
      <c r="P24" s="242">
        <f t="shared" si="12"/>
        <v>107.77042985356636</v>
      </c>
      <c r="Q24" s="243">
        <f t="shared" si="13"/>
        <v>0.96512496091381716</v>
      </c>
      <c r="R24" s="245">
        <f t="shared" si="3"/>
        <v>8.4930996560415917</v>
      </c>
      <c r="S24" s="243">
        <f t="shared" si="10"/>
        <v>0.9466</v>
      </c>
      <c r="T24" s="194">
        <v>3000</v>
      </c>
      <c r="U24" s="213">
        <v>2000</v>
      </c>
      <c r="V24" s="194">
        <v>1100</v>
      </c>
      <c r="W24" s="194">
        <v>800</v>
      </c>
      <c r="AA24" s="232">
        <f t="shared" si="4"/>
        <v>-150</v>
      </c>
      <c r="AB24" s="233">
        <f t="shared" si="5"/>
        <v>305850</v>
      </c>
      <c r="AC24" s="234">
        <f t="shared" si="6"/>
        <v>0</v>
      </c>
      <c r="AD24" s="224">
        <f t="shared" si="7"/>
        <v>10.4025</v>
      </c>
      <c r="AE24" s="225">
        <f t="shared" si="8"/>
        <v>9.8823749999999997</v>
      </c>
      <c r="AF24" s="186">
        <f t="shared" si="9"/>
        <v>0.12299715909090897</v>
      </c>
    </row>
    <row r="25" spans="3:32" x14ac:dyDescent="0.25">
      <c r="C25" t="s">
        <v>503</v>
      </c>
      <c r="E25" s="194">
        <v>1.1399999999999999</v>
      </c>
      <c r="F25" s="194">
        <v>0.47</v>
      </c>
      <c r="G25">
        <f>+E25*93.12%</f>
        <v>1.0615679999999998</v>
      </c>
      <c r="H25">
        <f t="shared" si="0"/>
        <v>7.8432000000000057E-2</v>
      </c>
      <c r="I25" s="186">
        <f t="shared" si="1"/>
        <v>0.93119999999999992</v>
      </c>
      <c r="J25" s="186">
        <f t="shared" si="2"/>
        <v>6.8800000000000056E-2</v>
      </c>
      <c r="K25" s="228">
        <v>0.73509999999999998</v>
      </c>
      <c r="L25" s="194">
        <v>2033</v>
      </c>
      <c r="M25" s="242">
        <f t="shared" si="11"/>
        <v>1290.1837175247995</v>
      </c>
      <c r="N25" s="242">
        <v>1266.3858904109591</v>
      </c>
      <c r="O25" s="242">
        <v>0.13802739726027391</v>
      </c>
      <c r="P25" s="242">
        <f t="shared" si="12"/>
        <v>23.797827113840331</v>
      </c>
      <c r="Q25" s="243">
        <f t="shared" si="13"/>
        <v>0.98155469892342451</v>
      </c>
      <c r="R25" s="245">
        <f t="shared" si="3"/>
        <v>1.1189723567727039</v>
      </c>
      <c r="S25" s="243">
        <f t="shared" si="10"/>
        <v>0.93119999999999992</v>
      </c>
      <c r="T25" s="205">
        <v>1000</v>
      </c>
      <c r="U25" s="213">
        <v>300</v>
      </c>
      <c r="V25" s="194">
        <v>100</v>
      </c>
      <c r="AA25" s="232">
        <f t="shared" si="4"/>
        <v>-90</v>
      </c>
      <c r="AB25" s="233">
        <f t="shared" si="5"/>
        <v>182716.66666666666</v>
      </c>
      <c r="AC25" s="234">
        <f t="shared" si="6"/>
        <v>-253.33333333334303</v>
      </c>
      <c r="AD25" s="224">
        <f t="shared" si="7"/>
        <v>1.7714666666666437</v>
      </c>
      <c r="AE25" s="225">
        <f t="shared" si="8"/>
        <v>1.5737583333405851</v>
      </c>
      <c r="AF25" s="186">
        <f t="shared" si="9"/>
        <v>0.38048976608823271</v>
      </c>
    </row>
    <row r="26" spans="3:32" x14ac:dyDescent="0.25">
      <c r="C26" t="s">
        <v>504</v>
      </c>
      <c r="E26" s="194">
        <v>1.31</v>
      </c>
      <c r="F26" s="194">
        <v>0.37</v>
      </c>
      <c r="G26">
        <f>+E26*95.34%</f>
        <v>1.2489540000000001</v>
      </c>
      <c r="H26">
        <f t="shared" si="0"/>
        <v>6.1045999999999934E-2</v>
      </c>
      <c r="I26" s="186">
        <f t="shared" si="1"/>
        <v>0.95340000000000003</v>
      </c>
      <c r="J26" s="186">
        <f t="shared" si="2"/>
        <v>4.6599999999999947E-2</v>
      </c>
      <c r="K26" s="228">
        <v>0.34710000000000002</v>
      </c>
      <c r="L26" s="194">
        <v>2053</v>
      </c>
      <c r="M26" s="242">
        <f t="shared" si="11"/>
        <v>483.05330278696272</v>
      </c>
      <c r="N26" s="242">
        <v>435.87805479452061</v>
      </c>
      <c r="O26" s="242">
        <v>0.27361643835616434</v>
      </c>
      <c r="P26" s="242">
        <f t="shared" si="12"/>
        <v>47.175247992442124</v>
      </c>
      <c r="Q26" s="243">
        <f t="shared" si="13"/>
        <v>0.90233945670122573</v>
      </c>
      <c r="R26" s="245">
        <f t="shared" si="3"/>
        <v>1.1820646882786057</v>
      </c>
      <c r="S26" s="243">
        <f t="shared" si="10"/>
        <v>0.95340000000000003</v>
      </c>
      <c r="T26" s="205">
        <v>480</v>
      </c>
      <c r="U26" s="205">
        <v>280</v>
      </c>
      <c r="V26" s="194">
        <v>125</v>
      </c>
      <c r="W26">
        <v>90</v>
      </c>
      <c r="X26">
        <v>50</v>
      </c>
      <c r="Y26">
        <v>30</v>
      </c>
      <c r="Z26">
        <v>25</v>
      </c>
      <c r="AA26" s="232">
        <f t="shared" si="4"/>
        <v>-13.857142857142858</v>
      </c>
      <c r="AB26" s="233">
        <f t="shared" si="5"/>
        <v>28353.571428571428</v>
      </c>
      <c r="AC26" s="234">
        <f t="shared" si="6"/>
        <v>-95.142857142858702</v>
      </c>
      <c r="AD26" s="224">
        <f t="shared" si="7"/>
        <v>2.3178021428571336</v>
      </c>
      <c r="AE26" s="225">
        <f t="shared" si="8"/>
        <v>1.6080075</v>
      </c>
      <c r="AF26" s="186">
        <f t="shared" si="9"/>
        <v>0.22748664122137402</v>
      </c>
    </row>
    <row r="27" spans="3:32" x14ac:dyDescent="0.25">
      <c r="C27" t="s">
        <v>505</v>
      </c>
      <c r="E27" s="194">
        <v>4.72</v>
      </c>
      <c r="F27" s="194">
        <v>7.45</v>
      </c>
      <c r="G27">
        <f>+E27*73.7%</f>
        <v>3.47864</v>
      </c>
      <c r="H27">
        <f t="shared" si="0"/>
        <v>1.2413599999999998</v>
      </c>
      <c r="I27" s="186">
        <f t="shared" si="1"/>
        <v>0.73699999999999999</v>
      </c>
      <c r="J27" s="186">
        <f t="shared" si="2"/>
        <v>0.26299999999999996</v>
      </c>
      <c r="K27" s="228">
        <v>0.91449999999999998</v>
      </c>
      <c r="L27" s="194">
        <v>2030</v>
      </c>
      <c r="M27" s="242">
        <f t="shared" si="11"/>
        <v>4583.6177808219181</v>
      </c>
      <c r="N27" s="242">
        <v>4583.6177808219181</v>
      </c>
      <c r="O27" s="242">
        <v>0</v>
      </c>
      <c r="P27" s="242">
        <f t="shared" si="12"/>
        <v>0</v>
      </c>
      <c r="Q27" s="243">
        <f t="shared" si="13"/>
        <v>1</v>
      </c>
      <c r="R27" s="245">
        <f t="shared" si="3"/>
        <v>4.72</v>
      </c>
      <c r="S27" s="243">
        <f t="shared" si="10"/>
        <v>0.73699999999999999</v>
      </c>
      <c r="T27" s="205">
        <v>3750</v>
      </c>
      <c r="U27" s="205">
        <v>1750</v>
      </c>
      <c r="V27" s="194">
        <v>750</v>
      </c>
      <c r="AA27" s="232">
        <f t="shared" si="4"/>
        <v>-300</v>
      </c>
      <c r="AB27" s="233">
        <f t="shared" si="5"/>
        <v>609583.33333333337</v>
      </c>
      <c r="AC27" s="234">
        <f t="shared" si="6"/>
        <v>583.33333333337214</v>
      </c>
      <c r="AD27" s="224">
        <f t="shared" si="7"/>
        <v>7.9083333333334034</v>
      </c>
      <c r="AE27" s="225">
        <f t="shared" si="8"/>
        <v>7.6041666666376591</v>
      </c>
      <c r="AF27" s="186">
        <f t="shared" si="9"/>
        <v>0.61105225988086009</v>
      </c>
    </row>
    <row r="28" spans="3:32" x14ac:dyDescent="0.25">
      <c r="C28" t="s">
        <v>506</v>
      </c>
      <c r="E28" s="194">
        <v>11.27</v>
      </c>
      <c r="F28" s="194">
        <v>0</v>
      </c>
      <c r="G28">
        <v>11.27</v>
      </c>
      <c r="H28">
        <f t="shared" si="0"/>
        <v>0</v>
      </c>
      <c r="I28" s="186">
        <f t="shared" si="1"/>
        <v>1</v>
      </c>
      <c r="J28" s="186">
        <f t="shared" si="2"/>
        <v>0</v>
      </c>
      <c r="K28" s="228">
        <v>0.4148</v>
      </c>
      <c r="L28" s="194">
        <v>2067</v>
      </c>
      <c r="M28" s="242">
        <f t="shared" si="11"/>
        <v>0</v>
      </c>
      <c r="N28" s="242"/>
      <c r="O28" s="242"/>
      <c r="P28" s="242">
        <f t="shared" si="12"/>
        <v>0</v>
      </c>
      <c r="Q28" s="243" t="e">
        <f t="shared" si="13"/>
        <v>#DIV/0!</v>
      </c>
      <c r="R28" s="245"/>
      <c r="S28" s="243">
        <f t="shared" si="10"/>
        <v>1</v>
      </c>
      <c r="T28" s="205">
        <v>2500</v>
      </c>
      <c r="U28" s="214">
        <v>1750</v>
      </c>
      <c r="V28" s="194">
        <v>1250</v>
      </c>
      <c r="W28">
        <v>800</v>
      </c>
      <c r="X28">
        <v>600</v>
      </c>
      <c r="Y28">
        <v>400</v>
      </c>
      <c r="Z28">
        <v>300</v>
      </c>
      <c r="AA28" s="232">
        <f t="shared" si="4"/>
        <v>-71.071428571428569</v>
      </c>
      <c r="AB28" s="233">
        <f t="shared" si="5"/>
        <v>145716.07142857142</v>
      </c>
      <c r="AC28" s="234">
        <f t="shared" si="6"/>
        <v>-1188.5714285714203</v>
      </c>
      <c r="AD28" s="224">
        <f t="shared" si="7"/>
        <v>11.248778571428643</v>
      </c>
      <c r="AE28" s="225">
        <f t="shared" si="8"/>
        <v>8.2619705357080697</v>
      </c>
      <c r="AF28" s="186">
        <f t="shared" si="9"/>
        <v>-0.2669058974527001</v>
      </c>
    </row>
    <row r="29" spans="3:32" x14ac:dyDescent="0.25">
      <c r="C29" t="s">
        <v>318</v>
      </c>
      <c r="E29" s="194">
        <v>3.84</v>
      </c>
      <c r="F29" s="194">
        <v>23.03</v>
      </c>
      <c r="H29">
        <f t="shared" si="0"/>
        <v>3.84</v>
      </c>
      <c r="I29" s="186">
        <f t="shared" si="1"/>
        <v>0</v>
      </c>
      <c r="J29" s="186">
        <f t="shared" si="2"/>
        <v>1</v>
      </c>
      <c r="K29" s="228">
        <v>0.84079999999999999</v>
      </c>
      <c r="L29" s="194">
        <v>2028</v>
      </c>
      <c r="M29" s="242">
        <f t="shared" si="11"/>
        <v>5516.7123287671238</v>
      </c>
      <c r="N29" s="242">
        <v>0</v>
      </c>
      <c r="O29" s="242">
        <v>31.996931506849318</v>
      </c>
      <c r="P29" s="242">
        <f t="shared" si="12"/>
        <v>5516.7123287671238</v>
      </c>
      <c r="Q29" s="243">
        <f t="shared" si="13"/>
        <v>0</v>
      </c>
      <c r="R29" s="245">
        <f t="shared" ref="R29:R38" si="14">+Q29*E29</f>
        <v>0</v>
      </c>
      <c r="S29" s="243">
        <f t="shared" si="10"/>
        <v>0</v>
      </c>
      <c r="T29" s="205">
        <v>5300</v>
      </c>
      <c r="U29" s="205">
        <v>1250</v>
      </c>
      <c r="AA29" s="232">
        <f t="shared" si="4"/>
        <v>-810</v>
      </c>
      <c r="AB29" s="233">
        <f t="shared" si="5"/>
        <v>1641500</v>
      </c>
      <c r="AC29" s="234">
        <f t="shared" si="6"/>
        <v>-1180</v>
      </c>
      <c r="AD29" s="224">
        <f t="shared" si="7"/>
        <v>6.0152000000000001</v>
      </c>
      <c r="AE29" s="225">
        <f t="shared" si="8"/>
        <v>6.0152000000000001</v>
      </c>
      <c r="AF29" s="186">
        <f t="shared" si="9"/>
        <v>0.5664583333333334</v>
      </c>
    </row>
    <row r="30" spans="3:32" x14ac:dyDescent="0.25">
      <c r="C30" t="s">
        <v>508</v>
      </c>
      <c r="E30" s="194">
        <v>14.92</v>
      </c>
      <c r="F30">
        <v>0.24</v>
      </c>
      <c r="G30">
        <f>+E30*99.74%</f>
        <v>14.881207999999999</v>
      </c>
      <c r="H30">
        <f t="shared" si="0"/>
        <v>3.8792000000000826E-2</v>
      </c>
      <c r="I30" s="186">
        <f t="shared" si="1"/>
        <v>0.99739999999999995</v>
      </c>
      <c r="J30" s="186">
        <f t="shared" si="2"/>
        <v>2.6000000000000554E-3</v>
      </c>
      <c r="K30" s="228">
        <v>0.75690000000000002</v>
      </c>
      <c r="L30" s="194">
        <v>2043</v>
      </c>
      <c r="M30" s="242">
        <f t="shared" si="11"/>
        <v>12434.820158715165</v>
      </c>
      <c r="N30" s="242">
        <v>12274.754027397263</v>
      </c>
      <c r="O30" s="242">
        <v>0.92838356164383562</v>
      </c>
      <c r="P30" s="242">
        <f t="shared" si="12"/>
        <v>160.06613131790269</v>
      </c>
      <c r="Q30" s="243">
        <f t="shared" si="13"/>
        <v>0.98712758775158338</v>
      </c>
      <c r="R30" s="245">
        <f t="shared" si="14"/>
        <v>14.727943609253623</v>
      </c>
      <c r="S30" s="243">
        <f t="shared" si="10"/>
        <v>0.99739999999999995</v>
      </c>
      <c r="T30" s="205">
        <v>10000</v>
      </c>
      <c r="U30" s="205">
        <v>4000</v>
      </c>
      <c r="V30" s="194">
        <v>1000</v>
      </c>
      <c r="W30">
        <v>500</v>
      </c>
      <c r="X30">
        <v>400</v>
      </c>
      <c r="AA30" s="232">
        <f t="shared" si="4"/>
        <v>-454</v>
      </c>
      <c r="AB30" s="233">
        <f t="shared" si="5"/>
        <v>924800</v>
      </c>
      <c r="AC30" s="234">
        <f t="shared" si="6"/>
        <v>-2722</v>
      </c>
      <c r="AD30" s="224">
        <f t="shared" si="7"/>
        <v>30.549405</v>
      </c>
      <c r="AE30" s="225">
        <f t="shared" si="8"/>
        <v>20.979105000000001</v>
      </c>
      <c r="AF30" s="186">
        <f t="shared" si="9"/>
        <v>0.40610623324396788</v>
      </c>
    </row>
    <row r="31" spans="3:32" x14ac:dyDescent="0.25">
      <c r="C31" t="s">
        <v>80</v>
      </c>
      <c r="E31" s="194">
        <v>43.42</v>
      </c>
      <c r="F31" s="194">
        <v>16.96</v>
      </c>
      <c r="G31">
        <f>+E31*93.49%</f>
        <v>40.593358000000002</v>
      </c>
      <c r="H31">
        <f t="shared" si="0"/>
        <v>2.8266419999999997</v>
      </c>
      <c r="I31" s="186">
        <f t="shared" si="1"/>
        <v>0.93490000000000006</v>
      </c>
      <c r="J31" s="186">
        <f t="shared" si="2"/>
        <v>6.5099999999999991E-2</v>
      </c>
      <c r="K31" s="228">
        <v>0.76190000000000002</v>
      </c>
      <c r="L31" s="194">
        <v>2042</v>
      </c>
      <c r="M31" s="242">
        <f t="shared" si="11"/>
        <v>30543.691030703827</v>
      </c>
      <c r="N31" s="242">
        <v>30059.642849315071</v>
      </c>
      <c r="O31" s="242">
        <v>2.8074794520547948</v>
      </c>
      <c r="P31" s="242">
        <f t="shared" si="12"/>
        <v>484.04818138875771</v>
      </c>
      <c r="Q31" s="243">
        <f t="shared" si="13"/>
        <v>0.98415226958319579</v>
      </c>
      <c r="R31" s="245">
        <f t="shared" si="14"/>
        <v>42.731891545302361</v>
      </c>
      <c r="S31" s="243">
        <f t="shared" si="10"/>
        <v>0.93490000000000006</v>
      </c>
      <c r="T31" s="205">
        <v>25000</v>
      </c>
      <c r="U31" s="205">
        <v>12500</v>
      </c>
      <c r="V31" s="194">
        <v>4500</v>
      </c>
      <c r="W31">
        <v>2500</v>
      </c>
      <c r="X31">
        <v>1000</v>
      </c>
      <c r="AA31" s="232">
        <f t="shared" si="4"/>
        <v>-1160</v>
      </c>
      <c r="AB31" s="233">
        <f t="shared" si="5"/>
        <v>2363900</v>
      </c>
      <c r="AC31" s="234">
        <f t="shared" si="6"/>
        <v>-4820</v>
      </c>
      <c r="AD31" s="224">
        <f t="shared" si="7"/>
        <v>81.0227</v>
      </c>
      <c r="AE31" s="225">
        <f t="shared" si="8"/>
        <v>63.758200000000002</v>
      </c>
      <c r="AF31" s="186">
        <f t="shared" si="9"/>
        <v>0.46840626439428834</v>
      </c>
    </row>
    <row r="32" spans="3:32" x14ac:dyDescent="0.25">
      <c r="C32" t="s">
        <v>449</v>
      </c>
      <c r="E32" s="194">
        <v>7.3</v>
      </c>
      <c r="F32" s="194">
        <v>4.54</v>
      </c>
      <c r="G32">
        <f>+E32*89.64%</f>
        <v>6.5437199999999995</v>
      </c>
      <c r="H32">
        <f t="shared" si="0"/>
        <v>0.75628000000000029</v>
      </c>
      <c r="I32" s="186">
        <f t="shared" si="1"/>
        <v>0.89639999999999997</v>
      </c>
      <c r="J32" s="186">
        <f t="shared" si="2"/>
        <v>0.10360000000000004</v>
      </c>
      <c r="K32" s="228">
        <v>0.77580000000000005</v>
      </c>
      <c r="L32" s="194">
        <v>2044</v>
      </c>
      <c r="M32" s="242">
        <f t="shared" si="11"/>
        <v>1962.0646849315069</v>
      </c>
      <c r="N32" s="242">
        <v>1962.0646849315069</v>
      </c>
      <c r="O32" s="242">
        <v>0</v>
      </c>
      <c r="P32" s="242">
        <f t="shared" si="12"/>
        <v>0</v>
      </c>
      <c r="Q32" s="243">
        <f t="shared" si="13"/>
        <v>1</v>
      </c>
      <c r="R32" s="245">
        <f t="shared" si="14"/>
        <v>7.3</v>
      </c>
      <c r="S32" s="243">
        <f t="shared" si="10"/>
        <v>0.89639999999999997</v>
      </c>
      <c r="T32" s="205">
        <v>2000</v>
      </c>
      <c r="U32" s="205">
        <v>1250</v>
      </c>
      <c r="V32" s="194">
        <v>900</v>
      </c>
      <c r="W32">
        <v>600</v>
      </c>
      <c r="X32">
        <v>400</v>
      </c>
      <c r="AA32" s="232">
        <f t="shared" si="4"/>
        <v>-77</v>
      </c>
      <c r="AB32" s="233">
        <f t="shared" si="5"/>
        <v>157340</v>
      </c>
      <c r="AC32" s="234">
        <f t="shared" si="6"/>
        <v>-48</v>
      </c>
      <c r="AD32" s="224">
        <f t="shared" si="7"/>
        <v>8.5497599999999991</v>
      </c>
      <c r="AE32" s="225">
        <f t="shared" si="8"/>
        <v>7.6737599999999997</v>
      </c>
      <c r="AF32" s="186">
        <f t="shared" si="9"/>
        <v>5.1199999999999982E-2</v>
      </c>
    </row>
    <row r="33" spans="3:32" x14ac:dyDescent="0.25">
      <c r="C33" t="s">
        <v>509</v>
      </c>
      <c r="E33" s="194">
        <v>0.57999999999999996</v>
      </c>
      <c r="F33" s="194">
        <v>0</v>
      </c>
      <c r="G33">
        <f>+E33</f>
        <v>0.57999999999999996</v>
      </c>
      <c r="H33">
        <f t="shared" si="0"/>
        <v>0</v>
      </c>
      <c r="I33" s="186">
        <f t="shared" si="1"/>
        <v>1</v>
      </c>
      <c r="J33" s="186">
        <f t="shared" si="2"/>
        <v>0</v>
      </c>
      <c r="K33" s="228">
        <v>0.91830000000000001</v>
      </c>
      <c r="L33" s="194">
        <v>2031</v>
      </c>
      <c r="M33" s="242">
        <f t="shared" si="11"/>
        <v>60862.479471894199</v>
      </c>
      <c r="N33" s="242">
        <v>26403.53284931507</v>
      </c>
      <c r="O33" s="242">
        <v>199.86189041095895</v>
      </c>
      <c r="P33" s="242">
        <f t="shared" si="12"/>
        <v>34458.946622579126</v>
      </c>
      <c r="Q33" s="243">
        <f t="shared" si="13"/>
        <v>0.43382282612242257</v>
      </c>
      <c r="R33" s="245">
        <f t="shared" si="14"/>
        <v>0.25161723915100509</v>
      </c>
      <c r="S33" s="243">
        <f t="shared" si="10"/>
        <v>1</v>
      </c>
      <c r="T33" s="205">
        <v>500</v>
      </c>
      <c r="U33" s="205">
        <v>200</v>
      </c>
      <c r="V33" s="194">
        <v>80</v>
      </c>
      <c r="AA33" s="232">
        <f t="shared" si="4"/>
        <v>-42</v>
      </c>
      <c r="AB33" s="233">
        <f t="shared" si="5"/>
        <v>85310</v>
      </c>
      <c r="AC33" s="234">
        <f t="shared" si="6"/>
        <v>8</v>
      </c>
      <c r="AD33" s="224">
        <f t="shared" si="7"/>
        <v>1.0198100000000001</v>
      </c>
      <c r="AE33" s="225">
        <f t="shared" si="8"/>
        <v>0.95958500000000002</v>
      </c>
      <c r="AF33" s="186">
        <f t="shared" si="9"/>
        <v>0.65445689655172434</v>
      </c>
    </row>
    <row r="34" spans="3:32" x14ac:dyDescent="0.25">
      <c r="C34" t="s">
        <v>510</v>
      </c>
      <c r="E34" s="194">
        <v>130.22</v>
      </c>
      <c r="F34" s="194">
        <v>284</v>
      </c>
      <c r="G34">
        <f>+E34*63.65%</f>
        <v>82.88503</v>
      </c>
      <c r="H34">
        <f t="shared" si="0"/>
        <v>47.334969999999998</v>
      </c>
      <c r="I34" s="186">
        <f t="shared" si="1"/>
        <v>0.63649999999999995</v>
      </c>
      <c r="J34" s="186">
        <f t="shared" si="2"/>
        <v>0.36349999999999999</v>
      </c>
      <c r="K34" s="228">
        <v>0.63759999999999994</v>
      </c>
      <c r="L34" s="194">
        <v>2018</v>
      </c>
      <c r="M34" s="242">
        <f t="shared" si="11"/>
        <v>604.87506849315071</v>
      </c>
      <c r="N34" s="242">
        <v>604.87506849315071</v>
      </c>
      <c r="O34" s="242">
        <v>0</v>
      </c>
      <c r="P34" s="242">
        <f t="shared" si="12"/>
        <v>0</v>
      </c>
      <c r="Q34" s="243">
        <f t="shared" si="13"/>
        <v>1</v>
      </c>
      <c r="R34" s="245">
        <f t="shared" si="14"/>
        <v>130.22</v>
      </c>
      <c r="S34" s="243">
        <f t="shared" si="10"/>
        <v>0.63649999999999995</v>
      </c>
      <c r="T34" s="205">
        <v>55000</v>
      </c>
      <c r="U34" s="205">
        <v>31000</v>
      </c>
      <c r="V34" s="194">
        <v>15000</v>
      </c>
      <c r="W34">
        <v>8000</v>
      </c>
      <c r="AA34" s="232">
        <f t="shared" si="4"/>
        <v>-3140</v>
      </c>
      <c r="AB34" s="233">
        <f t="shared" si="5"/>
        <v>6393600</v>
      </c>
      <c r="AC34" s="234">
        <f t="shared" si="6"/>
        <v>57080</v>
      </c>
      <c r="AD34" s="224">
        <f t="shared" si="7"/>
        <v>-40.909199999999998</v>
      </c>
      <c r="AE34" s="225">
        <f t="shared" si="8"/>
        <v>-39.376199999999997</v>
      </c>
      <c r="AF34" s="186">
        <f t="shared" si="9"/>
        <v>-1.3023821225618186</v>
      </c>
    </row>
    <row r="35" spans="3:32" x14ac:dyDescent="0.25">
      <c r="C35" t="s">
        <v>344</v>
      </c>
      <c r="E35" s="194">
        <v>24.09</v>
      </c>
      <c r="F35" s="194">
        <v>0</v>
      </c>
      <c r="G35">
        <f>+E35</f>
        <v>24.09</v>
      </c>
      <c r="H35">
        <f t="shared" si="0"/>
        <v>0</v>
      </c>
      <c r="I35" s="186">
        <f t="shared" si="1"/>
        <v>1</v>
      </c>
      <c r="J35" s="186">
        <f t="shared" si="2"/>
        <v>0</v>
      </c>
      <c r="K35" s="228">
        <v>0.73740000000000006</v>
      </c>
      <c r="L35" s="194">
        <v>2064</v>
      </c>
      <c r="M35" s="242">
        <f t="shared" si="11"/>
        <v>4233.3403013698626</v>
      </c>
      <c r="N35" s="242">
        <v>4233.3403013698626</v>
      </c>
      <c r="O35" s="242">
        <v>0</v>
      </c>
      <c r="P35" s="242">
        <f t="shared" si="12"/>
        <v>0</v>
      </c>
      <c r="Q35" s="243">
        <f t="shared" si="13"/>
        <v>1</v>
      </c>
      <c r="R35" s="245">
        <f t="shared" si="14"/>
        <v>24.09</v>
      </c>
      <c r="S35" s="243">
        <f t="shared" si="10"/>
        <v>1</v>
      </c>
      <c r="T35" s="205">
        <v>4000</v>
      </c>
      <c r="U35" s="205">
        <v>3500</v>
      </c>
      <c r="V35" s="194">
        <v>2500</v>
      </c>
      <c r="W35">
        <v>2000</v>
      </c>
      <c r="X35">
        <v>1500</v>
      </c>
      <c r="Y35">
        <v>1250</v>
      </c>
      <c r="Z35">
        <v>1000</v>
      </c>
      <c r="AA35" s="232">
        <f t="shared" si="4"/>
        <v>-103.57142857142857</v>
      </c>
      <c r="AB35" s="233">
        <f t="shared" si="5"/>
        <v>213017.85714285713</v>
      </c>
      <c r="AC35" s="234">
        <f t="shared" si="6"/>
        <v>-753.57142857144936</v>
      </c>
      <c r="AD35" s="224">
        <f t="shared" si="7"/>
        <v>26.068821428571262</v>
      </c>
      <c r="AE35" s="225">
        <f t="shared" si="8"/>
        <v>24.491499999999998</v>
      </c>
      <c r="AF35" s="186">
        <f t="shared" si="9"/>
        <v>1.6666666666666611E-2</v>
      </c>
    </row>
    <row r="36" spans="3:32" x14ac:dyDescent="0.25">
      <c r="C36" t="s">
        <v>511</v>
      </c>
      <c r="E36" s="194">
        <v>5.59</v>
      </c>
      <c r="F36" s="194">
        <v>0</v>
      </c>
      <c r="G36">
        <f>+E36</f>
        <v>5.59</v>
      </c>
      <c r="H36">
        <f t="shared" si="0"/>
        <v>0</v>
      </c>
      <c r="I36" s="186">
        <f t="shared" si="1"/>
        <v>1</v>
      </c>
      <c r="J36" s="186">
        <f t="shared" si="2"/>
        <v>0</v>
      </c>
      <c r="K36" s="228">
        <v>0.69210000000000005</v>
      </c>
      <c r="L36" s="194">
        <v>2047</v>
      </c>
      <c r="M36" s="242">
        <f t="shared" si="11"/>
        <v>1476.5236986301368</v>
      </c>
      <c r="N36" s="242">
        <v>1476.5236986301368</v>
      </c>
      <c r="O36" s="242">
        <v>0</v>
      </c>
      <c r="P36" s="242">
        <f t="shared" si="12"/>
        <v>0</v>
      </c>
      <c r="Q36" s="243">
        <f t="shared" si="13"/>
        <v>1</v>
      </c>
      <c r="R36" s="245">
        <f t="shared" si="14"/>
        <v>5.59</v>
      </c>
      <c r="S36" s="243">
        <f t="shared" si="10"/>
        <v>1</v>
      </c>
      <c r="T36" s="205">
        <v>1400</v>
      </c>
      <c r="U36" s="205">
        <v>1250</v>
      </c>
      <c r="V36" s="194">
        <v>750</v>
      </c>
      <c r="W36">
        <v>450</v>
      </c>
      <c r="X36">
        <v>250</v>
      </c>
      <c r="AA36" s="232">
        <f t="shared" si="4"/>
        <v>-62</v>
      </c>
      <c r="AB36" s="233">
        <f t="shared" si="5"/>
        <v>126680</v>
      </c>
      <c r="AC36" s="234">
        <f t="shared" si="6"/>
        <v>-234</v>
      </c>
      <c r="AD36" s="224">
        <f t="shared" si="7"/>
        <v>5.7454650000000003</v>
      </c>
      <c r="AE36" s="225">
        <f t="shared" si="8"/>
        <v>5.9425650000000001</v>
      </c>
      <c r="AF36" s="186">
        <f t="shared" si="9"/>
        <v>6.307066189624333E-2</v>
      </c>
    </row>
    <row r="37" spans="3:32" x14ac:dyDescent="0.25">
      <c r="C37" t="s">
        <v>345</v>
      </c>
      <c r="E37" s="194">
        <v>16.52</v>
      </c>
      <c r="F37" s="194">
        <v>1.91</v>
      </c>
      <c r="G37">
        <f>+E37*98.07%</f>
        <v>16.201163999999999</v>
      </c>
      <c r="H37">
        <f t="shared" si="0"/>
        <v>0.31883600000000101</v>
      </c>
      <c r="I37" s="186">
        <f t="shared" si="1"/>
        <v>0.98069999999999991</v>
      </c>
      <c r="J37" s="186">
        <f t="shared" si="2"/>
        <v>1.930000000000006E-2</v>
      </c>
      <c r="K37" s="228">
        <v>0.73629999999999995</v>
      </c>
      <c r="L37" s="194">
        <v>2060</v>
      </c>
      <c r="M37" s="242">
        <f t="shared" si="11"/>
        <v>4154.1152328767121</v>
      </c>
      <c r="N37" s="242">
        <v>4154.1152328767121</v>
      </c>
      <c r="O37" s="242">
        <v>0</v>
      </c>
      <c r="P37" s="242">
        <f t="shared" si="12"/>
        <v>0</v>
      </c>
      <c r="Q37" s="243">
        <f t="shared" si="13"/>
        <v>1</v>
      </c>
      <c r="R37" s="245">
        <f t="shared" si="14"/>
        <v>16.52</v>
      </c>
      <c r="S37" s="243">
        <f t="shared" si="10"/>
        <v>0.98069999999999991</v>
      </c>
      <c r="T37" s="205">
        <v>4000</v>
      </c>
      <c r="U37" s="205">
        <v>3000</v>
      </c>
      <c r="V37" s="194">
        <v>1800</v>
      </c>
      <c r="W37">
        <v>1250</v>
      </c>
      <c r="X37">
        <v>1000</v>
      </c>
      <c r="Y37">
        <v>750</v>
      </c>
      <c r="AA37" s="232">
        <f t="shared" si="4"/>
        <v>-130.28571428571428</v>
      </c>
      <c r="AB37" s="233">
        <f t="shared" si="5"/>
        <v>266772.38095238095</v>
      </c>
      <c r="AC37" s="234">
        <f t="shared" si="6"/>
        <v>-1616.1904761904734</v>
      </c>
      <c r="AD37" s="224">
        <f t="shared" si="7"/>
        <v>17.401809523809543</v>
      </c>
      <c r="AE37" s="225">
        <f t="shared" si="8"/>
        <v>14.447047619026899</v>
      </c>
      <c r="AF37" s="186">
        <f t="shared" si="9"/>
        <v>-0.12548137899352912</v>
      </c>
    </row>
    <row r="38" spans="3:32" x14ac:dyDescent="0.25">
      <c r="C38" t="s">
        <v>512</v>
      </c>
      <c r="E38" s="194">
        <v>90.73</v>
      </c>
      <c r="F38" s="194">
        <v>10.09</v>
      </c>
      <c r="G38">
        <f>+E38*98.15%</f>
        <v>89.051495000000003</v>
      </c>
      <c r="H38">
        <f t="shared" si="0"/>
        <v>1.6785050000000012</v>
      </c>
      <c r="I38" s="186">
        <f t="shared" si="1"/>
        <v>0.98150000000000004</v>
      </c>
      <c r="J38" s="186">
        <f t="shared" si="2"/>
        <v>1.8500000000000013E-2</v>
      </c>
      <c r="K38" s="228">
        <v>0.50829999999999997</v>
      </c>
      <c r="L38" s="194">
        <v>2061</v>
      </c>
      <c r="M38" s="242">
        <f t="shared" si="11"/>
        <v>18271.22222390175</v>
      </c>
      <c r="N38" s="242">
        <v>17849.99879452055</v>
      </c>
      <c r="O38" s="242">
        <v>2.4430958904109596</v>
      </c>
      <c r="P38" s="242">
        <f t="shared" si="12"/>
        <v>421.22342938119994</v>
      </c>
      <c r="Q38" s="243">
        <f t="shared" si="13"/>
        <v>0.97694607266994049</v>
      </c>
      <c r="R38" s="245">
        <f t="shared" si="14"/>
        <v>88.638317173343708</v>
      </c>
      <c r="S38" s="243">
        <f t="shared" si="10"/>
        <v>0.98150000000000004</v>
      </c>
      <c r="T38" s="205">
        <v>19000</v>
      </c>
      <c r="U38" s="205">
        <v>16000</v>
      </c>
      <c r="V38" s="194">
        <v>10000</v>
      </c>
      <c r="W38">
        <v>7000</v>
      </c>
      <c r="X38">
        <v>4500</v>
      </c>
      <c r="Y38">
        <v>3000</v>
      </c>
      <c r="Z38">
        <v>2000</v>
      </c>
    </row>
    <row r="39" spans="3:32" x14ac:dyDescent="0.25">
      <c r="H39">
        <f t="shared" si="0"/>
        <v>0</v>
      </c>
      <c r="I39" s="186"/>
      <c r="J39" s="186"/>
    </row>
    <row r="40" spans="3:32" x14ac:dyDescent="0.25">
      <c r="C40" t="s">
        <v>519</v>
      </c>
      <c r="E40" s="194" t="s">
        <v>527</v>
      </c>
      <c r="F40" s="194">
        <v>23.75</v>
      </c>
      <c r="G40" t="e">
        <f>+E40*0.74%</f>
        <v>#VALUE!</v>
      </c>
      <c r="H40" t="e">
        <f t="shared" si="0"/>
        <v>#VALUE!</v>
      </c>
      <c r="I40" s="186" t="e">
        <f>+G40/E40</f>
        <v>#VALUE!</v>
      </c>
      <c r="J40" s="186" t="e">
        <f>+H40/E40</f>
        <v>#VALUE!</v>
      </c>
      <c r="K40" s="228">
        <v>0.30909999999999999</v>
      </c>
      <c r="L40" s="194">
        <v>2049</v>
      </c>
      <c r="M40" s="194"/>
      <c r="N40" s="194"/>
      <c r="O40" s="194"/>
      <c r="P40" s="194"/>
      <c r="Q40" s="194"/>
      <c r="R40" s="194"/>
      <c r="S40" s="194"/>
    </row>
    <row r="41" spans="3:32" x14ac:dyDescent="0.25">
      <c r="C41" t="s">
        <v>520</v>
      </c>
      <c r="E41" s="194">
        <v>6.24</v>
      </c>
      <c r="F41" s="194">
        <v>11.14</v>
      </c>
      <c r="G41">
        <f>+E41*70.26%</f>
        <v>4.3842240000000006</v>
      </c>
      <c r="H41">
        <f t="shared" si="0"/>
        <v>1.8557759999999996</v>
      </c>
      <c r="I41" s="186">
        <f>+G41/E41</f>
        <v>0.70260000000000011</v>
      </c>
      <c r="J41" s="186">
        <f>+H41/E41</f>
        <v>0.29739999999999994</v>
      </c>
      <c r="K41" s="228">
        <v>0.77259999999999995</v>
      </c>
      <c r="L41" s="194">
        <v>2041</v>
      </c>
      <c r="M41" s="194"/>
      <c r="N41" s="194"/>
      <c r="O41" s="194"/>
      <c r="P41" s="194"/>
      <c r="Q41" s="194"/>
      <c r="R41" s="194"/>
      <c r="S41" s="194"/>
      <c r="T41" s="205">
        <v>3700</v>
      </c>
    </row>
    <row r="42" spans="3:32" x14ac:dyDescent="0.25">
      <c r="C42" t="s">
        <v>521</v>
      </c>
      <c r="E42" s="194">
        <v>18.809999999999999</v>
      </c>
      <c r="F42" s="194">
        <v>112.29</v>
      </c>
      <c r="G42">
        <f>+E42*0.49%</f>
        <v>9.2168999999999987E-2</v>
      </c>
      <c r="H42">
        <f t="shared" si="0"/>
        <v>18.717831</v>
      </c>
      <c r="I42" s="186">
        <f>+G42/E42</f>
        <v>4.8999999999999998E-3</v>
      </c>
      <c r="J42" s="186">
        <f>+H42/E42</f>
        <v>0.9951000000000001</v>
      </c>
      <c r="K42" s="228">
        <v>0.29599999999999999</v>
      </c>
      <c r="L42" s="194">
        <v>2042</v>
      </c>
      <c r="M42" s="194"/>
      <c r="N42" s="194"/>
      <c r="O42" s="194"/>
      <c r="P42" s="194"/>
      <c r="Q42" s="194"/>
      <c r="R42" s="194"/>
      <c r="S42" s="194"/>
      <c r="T42" s="205">
        <v>4500</v>
      </c>
    </row>
    <row r="43" spans="3:32" x14ac:dyDescent="0.25">
      <c r="C43" t="s">
        <v>522</v>
      </c>
      <c r="E43" s="194">
        <v>9.35</v>
      </c>
      <c r="F43" s="194">
        <v>4.1900000000000004</v>
      </c>
      <c r="G43">
        <f>+E43*92.53%</f>
        <v>8.6515550000000001</v>
      </c>
      <c r="H43">
        <f t="shared" si="0"/>
        <v>0.69844499999999954</v>
      </c>
      <c r="I43" s="186">
        <f>+G43/E43</f>
        <v>0.92530000000000001</v>
      </c>
      <c r="J43" s="186">
        <f>+H43/E43</f>
        <v>7.4699999999999947E-2</v>
      </c>
      <c r="K43" s="228">
        <v>0.51980000000000004</v>
      </c>
      <c r="L43" s="194">
        <v>2068</v>
      </c>
      <c r="M43" s="194"/>
      <c r="N43" s="194"/>
      <c r="O43" s="194"/>
      <c r="P43" s="194"/>
      <c r="Q43" s="194"/>
      <c r="R43" s="194"/>
      <c r="S43" s="194"/>
      <c r="T43" s="194">
        <v>1800</v>
      </c>
    </row>
    <row r="45" spans="3:32" x14ac:dyDescent="0.25">
      <c r="T45">
        <f>+SUM(T6:T43)</f>
        <v>529280</v>
      </c>
      <c r="U45" t="s">
        <v>528</v>
      </c>
    </row>
    <row r="46" spans="3:32" x14ac:dyDescent="0.25">
      <c r="T46">
        <f>+T45*365</f>
        <v>193187200</v>
      </c>
      <c r="U46" t="s">
        <v>528</v>
      </c>
    </row>
    <row r="47" spans="3:32" x14ac:dyDescent="0.25">
      <c r="C47" t="s">
        <v>513</v>
      </c>
      <c r="E47" s="212">
        <f>+SUM(E5:E38)+E42</f>
        <v>1984.8899999999996</v>
      </c>
      <c r="F47" t="s">
        <v>488</v>
      </c>
      <c r="T47" s="229">
        <f>+T46/1000000</f>
        <v>193.18719999999999</v>
      </c>
      <c r="U47" t="s">
        <v>529</v>
      </c>
    </row>
    <row r="48" spans="3:32" x14ac:dyDescent="0.25">
      <c r="C48" t="s">
        <v>514</v>
      </c>
      <c r="E48">
        <f>+SUM(G5:G38)+G42</f>
        <v>1725.2950059999996</v>
      </c>
      <c r="F48" t="s">
        <v>488</v>
      </c>
      <c r="G48" s="186">
        <f>+E48/E47</f>
        <v>0.86921441792744181</v>
      </c>
      <c r="H48" s="186"/>
      <c r="I48" s="186"/>
      <c r="J48" s="186"/>
      <c r="K48" s="212"/>
      <c r="T48" s="219" t="s">
        <v>530</v>
      </c>
      <c r="U48" s="219" t="s">
        <v>531</v>
      </c>
    </row>
    <row r="49" spans="3:21" x14ac:dyDescent="0.25">
      <c r="C49" t="s">
        <v>517</v>
      </c>
      <c r="E49" s="212">
        <f>+E47-E48</f>
        <v>259.59499400000004</v>
      </c>
      <c r="F49" t="s">
        <v>488</v>
      </c>
      <c r="G49" s="186">
        <f>+E49/E47</f>
        <v>0.13078558207255822</v>
      </c>
      <c r="H49" s="186"/>
      <c r="I49" s="186"/>
      <c r="J49" s="186"/>
      <c r="T49" s="236">
        <f>+T47*T54</f>
        <v>25.114335999999998</v>
      </c>
      <c r="U49" s="237">
        <f>+T47*(100%-T54)</f>
        <v>168.07286399999998</v>
      </c>
    </row>
    <row r="50" spans="3:21" x14ac:dyDescent="0.25">
      <c r="C50" t="s">
        <v>515</v>
      </c>
      <c r="E50" s="212">
        <f>+SUM(F5:F38)</f>
        <v>1635.0453439999999</v>
      </c>
      <c r="F50" t="s">
        <v>516</v>
      </c>
    </row>
    <row r="51" spans="3:21" x14ac:dyDescent="0.25">
      <c r="E51" s="212">
        <f>+E50*(1000000000)</f>
        <v>1635045344000</v>
      </c>
      <c r="F51" t="s">
        <v>526</v>
      </c>
    </row>
    <row r="52" spans="3:21" x14ac:dyDescent="0.25">
      <c r="E52" s="212">
        <f>+(E51/G1)/1000000</f>
        <v>272.62588454016498</v>
      </c>
      <c r="L52" t="s">
        <v>518</v>
      </c>
      <c r="T52" t="s">
        <v>532</v>
      </c>
    </row>
    <row r="53" spans="3:21" x14ac:dyDescent="0.25">
      <c r="L53">
        <v>71</v>
      </c>
      <c r="T53" s="235">
        <v>0.87</v>
      </c>
    </row>
    <row r="54" spans="3:21" x14ac:dyDescent="0.25">
      <c r="E54">
        <f>+E50*1000</f>
        <v>1635045.3439999998</v>
      </c>
      <c r="F54" t="s">
        <v>523</v>
      </c>
      <c r="L54">
        <v>29</v>
      </c>
      <c r="T54" s="235">
        <v>0.13</v>
      </c>
    </row>
    <row r="55" spans="3:21" x14ac:dyDescent="0.25">
      <c r="E55">
        <f>+E54/11</f>
        <v>148640.4858181818</v>
      </c>
      <c r="F55" t="s">
        <v>523</v>
      </c>
      <c r="O55" t="s">
        <v>540</v>
      </c>
      <c r="P55" s="212">
        <f>+E47</f>
        <v>1984.8899999999996</v>
      </c>
      <c r="Q55" t="s">
        <v>488</v>
      </c>
    </row>
    <row r="56" spans="3:21" x14ac:dyDescent="0.25">
      <c r="E56">
        <f>+E55/365</f>
        <v>407.234207721046</v>
      </c>
      <c r="F56" t="s">
        <v>523</v>
      </c>
      <c r="O56" t="s">
        <v>541</v>
      </c>
      <c r="P56" s="245">
        <f>+SUM(R6:R38)</f>
        <v>1737.7836457184026</v>
      </c>
    </row>
    <row r="58" spans="3:21" x14ac:dyDescent="0.25">
      <c r="E58">
        <v>1000</v>
      </c>
      <c r="F58" t="s">
        <v>523</v>
      </c>
    </row>
    <row r="59" spans="3:21" x14ac:dyDescent="0.25">
      <c r="E59">
        <f>+E58*365</f>
        <v>365000</v>
      </c>
    </row>
    <row r="60" spans="3:21" x14ac:dyDescent="0.25">
      <c r="E60" s="229">
        <f>+E54/E59</f>
        <v>4.4795762849315066</v>
      </c>
      <c r="F60" t="s">
        <v>524</v>
      </c>
    </row>
    <row r="61" spans="3:21" x14ac:dyDescent="0.25">
      <c r="E61" s="223"/>
    </row>
  </sheetData>
  <mergeCells count="1">
    <mergeCell ref="AD3:AE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2F472-E402-46D4-B360-E35C880EA1BD}">
  <dimension ref="C1:AH61"/>
  <sheetViews>
    <sheetView showGridLines="0" topLeftCell="A7" zoomScale="115" zoomScaleNormal="115" workbookViewId="0">
      <selection activeCell="C5" sqref="C5:C38"/>
    </sheetView>
  </sheetViews>
  <sheetFormatPr baseColWidth="10" defaultRowHeight="15" x14ac:dyDescent="0.25"/>
  <cols>
    <col min="3" max="4" width="17.5703125" customWidth="1"/>
    <col min="5" max="5" width="21.42578125" customWidth="1"/>
    <col min="6" max="6" width="13.42578125" customWidth="1"/>
    <col min="7" max="14" width="11.42578125" customWidth="1"/>
    <col min="21" max="21" width="15.28515625" customWidth="1"/>
    <col min="23" max="23" width="14.140625" customWidth="1"/>
    <col min="30" max="30" width="14.140625" customWidth="1"/>
    <col min="31" max="31" width="21.28515625" customWidth="1"/>
    <col min="32" max="32" width="18.85546875" customWidth="1"/>
    <col min="33" max="33" width="20.28515625" customWidth="1"/>
  </cols>
  <sheetData>
    <row r="1" spans="3:34" x14ac:dyDescent="0.25">
      <c r="F1" t="s">
        <v>507</v>
      </c>
      <c r="G1" s="229">
        <f>+F29*1000/E29</f>
        <v>5997.3958333333339</v>
      </c>
      <c r="H1" s="229" t="s">
        <v>525</v>
      </c>
      <c r="I1" s="229"/>
      <c r="J1" s="229"/>
      <c r="K1" s="229"/>
      <c r="L1" s="229"/>
      <c r="W1">
        <v>1</v>
      </c>
      <c r="X1" t="s">
        <v>484</v>
      </c>
      <c r="Y1">
        <v>5800</v>
      </c>
      <c r="Z1" t="s">
        <v>485</v>
      </c>
    </row>
    <row r="3" spans="3:34" x14ac:dyDescent="0.25">
      <c r="O3" s="238" t="s">
        <v>533</v>
      </c>
      <c r="P3" s="239"/>
      <c r="Q3" s="239"/>
      <c r="R3" s="239"/>
      <c r="S3" s="240"/>
      <c r="T3" s="239"/>
      <c r="U3" s="239"/>
      <c r="V3" s="207" t="s">
        <v>479</v>
      </c>
      <c r="W3" s="208"/>
      <c r="X3" s="208"/>
      <c r="Y3" s="208"/>
      <c r="Z3" s="208"/>
      <c r="AA3" s="208"/>
      <c r="AB3" s="209"/>
      <c r="AF3" s="275" t="s">
        <v>488</v>
      </c>
      <c r="AG3" s="275"/>
    </row>
    <row r="4" spans="3:34" x14ac:dyDescent="0.25">
      <c r="E4" s="216" t="s">
        <v>475</v>
      </c>
      <c r="F4" s="217" t="s">
        <v>478</v>
      </c>
      <c r="G4" s="218" t="s">
        <v>477</v>
      </c>
      <c r="H4" s="218" t="s">
        <v>476</v>
      </c>
      <c r="I4" s="218"/>
      <c r="J4" s="218"/>
      <c r="K4" s="218"/>
      <c r="L4" s="218"/>
      <c r="M4" s="219" t="s">
        <v>480</v>
      </c>
      <c r="N4" s="216" t="s">
        <v>481</v>
      </c>
      <c r="O4" s="241" t="s">
        <v>380</v>
      </c>
      <c r="P4" s="241" t="s">
        <v>535</v>
      </c>
      <c r="Q4" s="241" t="s">
        <v>534</v>
      </c>
      <c r="R4" s="241" t="s">
        <v>536</v>
      </c>
      <c r="S4" s="241" t="s">
        <v>537</v>
      </c>
      <c r="T4" s="241" t="s">
        <v>477</v>
      </c>
      <c r="U4" s="241" t="s">
        <v>538</v>
      </c>
      <c r="V4" s="216">
        <v>2020</v>
      </c>
      <c r="W4" s="217">
        <v>2025</v>
      </c>
      <c r="X4" s="217">
        <v>2030</v>
      </c>
      <c r="Y4" s="217">
        <v>2035</v>
      </c>
      <c r="Z4" s="217">
        <v>2040</v>
      </c>
      <c r="AA4" s="217">
        <v>2045</v>
      </c>
      <c r="AB4" s="218">
        <v>2050</v>
      </c>
      <c r="AC4" s="220" t="s">
        <v>483</v>
      </c>
      <c r="AD4" s="221" t="s">
        <v>482</v>
      </c>
      <c r="AE4" s="222" t="s">
        <v>486</v>
      </c>
      <c r="AF4" s="220" t="s">
        <v>487</v>
      </c>
      <c r="AG4" s="221" t="s">
        <v>489</v>
      </c>
      <c r="AH4" s="183" t="s">
        <v>490</v>
      </c>
    </row>
    <row r="5" spans="3:34" x14ac:dyDescent="0.25">
      <c r="C5" t="s">
        <v>301</v>
      </c>
      <c r="E5" s="197">
        <v>28.68</v>
      </c>
      <c r="F5" s="198">
        <v>172.07</v>
      </c>
      <c r="G5" s="199">
        <v>0</v>
      </c>
      <c r="H5">
        <f t="shared" ref="H5:H43" si="0">+E5-G5</f>
        <v>28.68</v>
      </c>
      <c r="I5" s="186">
        <f>+G5/E5</f>
        <v>0</v>
      </c>
      <c r="J5" s="186">
        <f>+H5/E5</f>
        <v>1</v>
      </c>
      <c r="M5" s="200">
        <v>0.96079999999999999</v>
      </c>
      <c r="N5" s="201">
        <v>2027</v>
      </c>
      <c r="S5" s="244">
        <v>0</v>
      </c>
      <c r="T5" s="245">
        <f>+S5*E5</f>
        <v>0</v>
      </c>
      <c r="U5" t="s">
        <v>539</v>
      </c>
      <c r="V5" s="202">
        <v>20000</v>
      </c>
      <c r="W5" s="203">
        <v>12500</v>
      </c>
      <c r="X5" s="206"/>
      <c r="Y5" s="206"/>
      <c r="Z5" s="206"/>
      <c r="AA5" s="206"/>
      <c r="AB5" s="199"/>
      <c r="AC5" s="210">
        <f t="shared" ref="AC5:AC37" si="1">+SLOPE(V5:AB5,$V$4:$AB$4)</f>
        <v>-1500</v>
      </c>
      <c r="AD5" s="204">
        <f t="shared" ref="AD5:AD37" si="2">+INTERCEPT(V5:AB5,$V$4:$AB$4)</f>
        <v>3050000</v>
      </c>
      <c r="AE5" s="211">
        <f t="shared" ref="AE5:AE37" si="3">+AC5*N5+AD5</f>
        <v>9500</v>
      </c>
      <c r="AF5" s="224">
        <f t="shared" ref="AF5:AF37" si="4">+((N5-$V$4)*AE5+((N5-$V$4)*(V5-AE5))/2)*365/1000000</f>
        <v>37.686250000000001</v>
      </c>
      <c r="AG5" s="225">
        <f t="shared" ref="AG5:AG37" si="5">+((AC5*N5*N5/2)+(AD5*N5)-(AC5*$V$4*$V$4/2)-(AD5*$V$4))*365/1000000</f>
        <v>37.686250000000001</v>
      </c>
      <c r="AH5" s="186">
        <f t="shared" ref="AH5:AH37" si="6">+(AG5-E5)/E5</f>
        <v>0.31402545327754539</v>
      </c>
    </row>
    <row r="6" spans="3:34" x14ac:dyDescent="0.25">
      <c r="C6" t="s">
        <v>342</v>
      </c>
      <c r="E6" s="194">
        <v>89.87</v>
      </c>
      <c r="F6" s="194">
        <v>0</v>
      </c>
      <c r="G6" s="194">
        <f>+E6</f>
        <v>89.87</v>
      </c>
      <c r="H6">
        <f t="shared" si="0"/>
        <v>0</v>
      </c>
      <c r="I6" s="186">
        <f t="shared" ref="I6:I43" si="7">+G6/E6</f>
        <v>1</v>
      </c>
      <c r="J6" s="186">
        <f t="shared" ref="J6:J43" si="8">+H6/E6</f>
        <v>0</v>
      </c>
      <c r="M6" s="196">
        <v>0.24629999999999999</v>
      </c>
      <c r="N6" s="194">
        <v>2048</v>
      </c>
      <c r="O6" s="242">
        <f>+P6+R6</f>
        <v>19756.607616438356</v>
      </c>
      <c r="P6" s="242">
        <v>19756.607616438356</v>
      </c>
      <c r="Q6" s="242">
        <v>0</v>
      </c>
      <c r="R6" s="242">
        <f>+(Q6*1000000)/$Y$1</f>
        <v>0</v>
      </c>
      <c r="S6" s="243">
        <f>+P6/O6</f>
        <v>1</v>
      </c>
      <c r="T6" s="245">
        <f t="shared" ref="T6:T38" si="9">+S6*E6</f>
        <v>89.87</v>
      </c>
      <c r="U6" s="243">
        <f>+G6/E6</f>
        <v>1</v>
      </c>
      <c r="V6" s="194">
        <v>10000</v>
      </c>
      <c r="W6" s="194">
        <v>16000</v>
      </c>
      <c r="X6" s="194">
        <v>11000</v>
      </c>
      <c r="Y6" s="194">
        <v>7500</v>
      </c>
      <c r="Z6" s="194">
        <v>5500</v>
      </c>
      <c r="AA6" s="194">
        <v>4000</v>
      </c>
      <c r="AB6" s="194"/>
      <c r="AC6" s="210">
        <f t="shared" si="1"/>
        <v>-371.42857142857144</v>
      </c>
      <c r="AD6" s="204">
        <f t="shared" si="2"/>
        <v>763928.57142857148</v>
      </c>
      <c r="AE6" s="211">
        <f t="shared" si="3"/>
        <v>3242.8571428571595</v>
      </c>
      <c r="AF6" s="226">
        <f t="shared" si="4"/>
        <v>67.671000000000092</v>
      </c>
      <c r="AG6" s="227">
        <f t="shared" si="5"/>
        <v>86.286000000000001</v>
      </c>
      <c r="AH6" s="186">
        <f t="shared" si="6"/>
        <v>-3.9879826415934162E-2</v>
      </c>
    </row>
    <row r="7" spans="3:34"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M7" s="196">
        <v>0.62780000000000002</v>
      </c>
      <c r="N7" s="194">
        <v>2041</v>
      </c>
      <c r="O7" s="242">
        <f t="shared" ref="O7:O38" si="10">+P7+R7</f>
        <v>285.28490222012289</v>
      </c>
      <c r="P7" s="242">
        <v>249.14413698630142</v>
      </c>
      <c r="Q7" s="242">
        <v>0.20961643835616439</v>
      </c>
      <c r="R7" s="242">
        <f t="shared" ref="R7:R38" si="11">+(Q7*1000000)/$Y$1</f>
        <v>36.140765233821448</v>
      </c>
      <c r="S7" s="243">
        <f t="shared" ref="S7:S38" si="12">+P7/O7</f>
        <v>0.8733169370248145</v>
      </c>
      <c r="T7" s="245">
        <f t="shared" si="9"/>
        <v>1.196444203723996</v>
      </c>
      <c r="U7" s="243">
        <f t="shared" ref="U7:U38" si="13">+G7/E7</f>
        <v>0.98879999999999979</v>
      </c>
      <c r="V7" s="194">
        <v>400</v>
      </c>
      <c r="W7" s="194">
        <v>280</v>
      </c>
      <c r="X7" s="194">
        <v>200</v>
      </c>
      <c r="Y7" s="194">
        <v>120</v>
      </c>
      <c r="Z7" s="194">
        <v>80</v>
      </c>
      <c r="AA7" s="194"/>
      <c r="AB7" s="194"/>
      <c r="AC7" s="210">
        <f t="shared" si="1"/>
        <v>-16</v>
      </c>
      <c r="AD7" s="204">
        <f t="shared" si="2"/>
        <v>32696</v>
      </c>
      <c r="AE7" s="211">
        <f t="shared" si="3"/>
        <v>40</v>
      </c>
      <c r="AF7" s="226">
        <f t="shared" si="4"/>
        <v>1.6862999999999999</v>
      </c>
      <c r="AG7" s="227">
        <f t="shared" si="5"/>
        <v>1.59432</v>
      </c>
      <c r="AH7" s="186">
        <f t="shared" si="6"/>
        <v>0.16373722627737214</v>
      </c>
    </row>
    <row r="8" spans="3:34" x14ac:dyDescent="0.25">
      <c r="C8" t="s">
        <v>346</v>
      </c>
      <c r="E8" s="194">
        <v>2.5</v>
      </c>
      <c r="F8" s="194">
        <v>7.0000000000000007E-2</v>
      </c>
      <c r="G8" s="194">
        <f>+E8*99.53%</f>
        <v>2.4882499999999999</v>
      </c>
      <c r="H8">
        <f t="shared" si="0"/>
        <v>1.1750000000000149E-2</v>
      </c>
      <c r="I8" s="186">
        <f t="shared" si="7"/>
        <v>0.99529999999999996</v>
      </c>
      <c r="J8" s="186">
        <f t="shared" si="8"/>
        <v>4.70000000000006E-3</v>
      </c>
      <c r="M8" s="196">
        <v>0.93179999999999996</v>
      </c>
      <c r="N8" s="194">
        <v>2029</v>
      </c>
      <c r="O8" s="242">
        <f t="shared" si="10"/>
        <v>3767.1428889938588</v>
      </c>
      <c r="P8" s="242">
        <v>3691.9893698630135</v>
      </c>
      <c r="Q8" s="242">
        <v>0.43589041095890391</v>
      </c>
      <c r="R8" s="242">
        <f t="shared" si="11"/>
        <v>75.153519130845496</v>
      </c>
      <c r="S8" s="243">
        <f t="shared" si="12"/>
        <v>0.98005026054349709</v>
      </c>
      <c r="T8" s="245">
        <f t="shared" si="9"/>
        <v>2.4501256513587428</v>
      </c>
      <c r="U8" s="243">
        <f t="shared" si="13"/>
        <v>0.99529999999999996</v>
      </c>
      <c r="V8" s="194">
        <v>2950</v>
      </c>
      <c r="W8" s="194">
        <v>750</v>
      </c>
      <c r="X8" s="194"/>
      <c r="Y8" s="194"/>
      <c r="Z8" s="194"/>
      <c r="AA8" s="194"/>
      <c r="AB8" s="194"/>
      <c r="AC8" s="210">
        <f t="shared" si="1"/>
        <v>-440</v>
      </c>
      <c r="AD8" s="204">
        <f t="shared" si="2"/>
        <v>891750</v>
      </c>
      <c r="AE8" s="211">
        <f t="shared" si="3"/>
        <v>-1010</v>
      </c>
      <c r="AF8" s="226">
        <f t="shared" si="4"/>
        <v>3.1864499999999998</v>
      </c>
      <c r="AG8" s="227">
        <f t="shared" si="5"/>
        <v>3.1864499999999998</v>
      </c>
      <c r="AH8" s="186">
        <f t="shared" si="6"/>
        <v>0.27457999999999994</v>
      </c>
    </row>
    <row r="9" spans="3:34" x14ac:dyDescent="0.25">
      <c r="C9" t="s">
        <v>311</v>
      </c>
      <c r="E9" s="194">
        <v>14.92</v>
      </c>
      <c r="F9" s="194">
        <v>89.54</v>
      </c>
      <c r="G9" s="194">
        <v>0</v>
      </c>
      <c r="H9">
        <f t="shared" si="0"/>
        <v>14.92</v>
      </c>
      <c r="I9" s="186">
        <f t="shared" si="7"/>
        <v>0</v>
      </c>
      <c r="J9" s="186">
        <f t="shared" si="8"/>
        <v>1</v>
      </c>
      <c r="M9" s="196">
        <v>0.69059999999999999</v>
      </c>
      <c r="N9" s="194">
        <v>2039</v>
      </c>
      <c r="O9" s="242">
        <f t="shared" si="10"/>
        <v>3970.7652338214457</v>
      </c>
      <c r="P9" s="242">
        <v>0</v>
      </c>
      <c r="Q9" s="242">
        <v>23.030438356164385</v>
      </c>
      <c r="R9" s="242">
        <f t="shared" si="11"/>
        <v>3970.7652338214457</v>
      </c>
      <c r="S9" s="243">
        <f t="shared" si="12"/>
        <v>0</v>
      </c>
      <c r="T9" s="245">
        <f t="shared" si="9"/>
        <v>0</v>
      </c>
      <c r="U9" s="243">
        <f t="shared" si="13"/>
        <v>0</v>
      </c>
      <c r="V9" s="194">
        <v>2500</v>
      </c>
      <c r="W9" s="213">
        <v>3000</v>
      </c>
      <c r="X9" s="194">
        <v>2100</v>
      </c>
      <c r="Y9" s="194">
        <v>1800</v>
      </c>
      <c r="Z9" s="194"/>
      <c r="AA9" s="194"/>
      <c r="AB9" s="194"/>
      <c r="AC9" s="210">
        <f t="shared" si="1"/>
        <v>-60</v>
      </c>
      <c r="AD9" s="204">
        <f t="shared" si="2"/>
        <v>124000</v>
      </c>
      <c r="AE9" s="211">
        <f t="shared" si="3"/>
        <v>1660</v>
      </c>
      <c r="AF9" s="226">
        <f t="shared" si="4"/>
        <v>14.424799999999999</v>
      </c>
      <c r="AG9" s="227">
        <f t="shared" si="5"/>
        <v>15.46505</v>
      </c>
      <c r="AH9" s="186">
        <f t="shared" si="6"/>
        <v>3.653150134048256E-2</v>
      </c>
    </row>
    <row r="10" spans="3:34" x14ac:dyDescent="0.25">
      <c r="C10" t="s">
        <v>492</v>
      </c>
      <c r="E10" s="194">
        <v>153.29</v>
      </c>
      <c r="F10" s="194">
        <v>0</v>
      </c>
      <c r="G10" s="194">
        <v>153.29</v>
      </c>
      <c r="H10">
        <f t="shared" si="0"/>
        <v>0</v>
      </c>
      <c r="I10" s="186">
        <f t="shared" si="7"/>
        <v>1</v>
      </c>
      <c r="J10" s="186">
        <f t="shared" si="8"/>
        <v>0</v>
      </c>
      <c r="M10" s="196">
        <v>0.70950000000000002</v>
      </c>
      <c r="N10" s="194">
        <v>2036</v>
      </c>
      <c r="O10" s="242">
        <f t="shared" si="10"/>
        <v>70553.994630136978</v>
      </c>
      <c r="P10" s="242">
        <v>70553.994630136978</v>
      </c>
      <c r="Q10" s="242">
        <v>0</v>
      </c>
      <c r="R10" s="242">
        <f t="shared" si="11"/>
        <v>0</v>
      </c>
      <c r="S10" s="243">
        <f t="shared" si="12"/>
        <v>1</v>
      </c>
      <c r="T10" s="245">
        <f t="shared" si="9"/>
        <v>153.29</v>
      </c>
      <c r="U10" s="243">
        <f t="shared" si="13"/>
        <v>1</v>
      </c>
      <c r="V10" s="194">
        <v>65000</v>
      </c>
      <c r="W10" s="213">
        <v>37500</v>
      </c>
      <c r="X10" s="194">
        <v>22500</v>
      </c>
      <c r="Y10" s="194">
        <v>12500</v>
      </c>
      <c r="Z10" s="194"/>
      <c r="AA10" s="194"/>
      <c r="AB10" s="194"/>
      <c r="AC10" s="232">
        <f t="shared" si="1"/>
        <v>-3450</v>
      </c>
      <c r="AD10" s="233">
        <f t="shared" si="2"/>
        <v>7029250</v>
      </c>
      <c r="AE10" s="234">
        <f t="shared" si="3"/>
        <v>5050</v>
      </c>
      <c r="AF10" s="224">
        <f t="shared" si="4"/>
        <v>204.54599999999999</v>
      </c>
      <c r="AG10" s="225">
        <f t="shared" si="5"/>
        <v>190.67599999999999</v>
      </c>
      <c r="AH10" s="186">
        <f t="shared" si="6"/>
        <v>0.24389066475308238</v>
      </c>
    </row>
    <row r="11" spans="3:34" x14ac:dyDescent="0.25">
      <c r="C11" t="s">
        <v>493</v>
      </c>
      <c r="E11" s="194">
        <v>0.88</v>
      </c>
      <c r="F11" s="194">
        <v>0</v>
      </c>
      <c r="G11" s="194">
        <v>0.88</v>
      </c>
      <c r="H11">
        <f t="shared" si="0"/>
        <v>0</v>
      </c>
      <c r="I11" s="186">
        <f t="shared" si="7"/>
        <v>1</v>
      </c>
      <c r="J11" s="186">
        <f t="shared" si="8"/>
        <v>0</v>
      </c>
      <c r="M11" s="196">
        <v>0.69830000000000003</v>
      </c>
      <c r="N11" s="194">
        <v>2042</v>
      </c>
      <c r="O11" s="242">
        <f t="shared" si="10"/>
        <v>226.03172602739721</v>
      </c>
      <c r="P11" s="242">
        <v>226.03172602739721</v>
      </c>
      <c r="Q11" s="242">
        <v>0</v>
      </c>
      <c r="R11" s="242">
        <f t="shared" si="11"/>
        <v>0</v>
      </c>
      <c r="S11" s="243">
        <f t="shared" si="12"/>
        <v>1</v>
      </c>
      <c r="T11" s="245">
        <f t="shared" si="9"/>
        <v>0.88</v>
      </c>
      <c r="U11" s="243">
        <f t="shared" si="13"/>
        <v>1</v>
      </c>
      <c r="V11" s="194">
        <v>150</v>
      </c>
      <c r="W11" s="231">
        <v>180</v>
      </c>
      <c r="X11" s="194">
        <v>105</v>
      </c>
      <c r="Y11" s="194">
        <v>90</v>
      </c>
      <c r="Z11" s="194">
        <v>60</v>
      </c>
      <c r="AA11" s="194"/>
      <c r="AB11" s="194"/>
      <c r="AC11" s="232">
        <f t="shared" si="1"/>
        <v>-5.4</v>
      </c>
      <c r="AD11" s="233">
        <f t="shared" si="2"/>
        <v>11079</v>
      </c>
      <c r="AE11" s="234">
        <f t="shared" si="3"/>
        <v>52.199999999998909</v>
      </c>
      <c r="AF11" s="224">
        <f t="shared" si="4"/>
        <v>0.81183299999999559</v>
      </c>
      <c r="AG11" s="225">
        <f t="shared" si="5"/>
        <v>0.89614799999972805</v>
      </c>
      <c r="AH11" s="186">
        <f t="shared" si="6"/>
        <v>1.8349999999690961E-2</v>
      </c>
    </row>
    <row r="12" spans="3:34" x14ac:dyDescent="0.25">
      <c r="C12" t="s">
        <v>494</v>
      </c>
      <c r="E12" s="194">
        <v>543.79</v>
      </c>
      <c r="F12" s="194">
        <v>0</v>
      </c>
      <c r="G12" s="194">
        <f>+E12</f>
        <v>543.79</v>
      </c>
      <c r="H12">
        <f t="shared" si="0"/>
        <v>0</v>
      </c>
      <c r="I12" s="186">
        <f t="shared" si="7"/>
        <v>1</v>
      </c>
      <c r="J12" s="186">
        <f t="shared" si="8"/>
        <v>0</v>
      </c>
      <c r="M12" s="196">
        <v>0.31709999999999999</v>
      </c>
      <c r="N12" s="194">
        <v>2099</v>
      </c>
      <c r="O12" s="242">
        <f t="shared" si="10"/>
        <v>43276.035643835618</v>
      </c>
      <c r="P12" s="242">
        <v>43276.035643835618</v>
      </c>
      <c r="Q12" s="242">
        <v>0</v>
      </c>
      <c r="R12" s="242">
        <f t="shared" si="11"/>
        <v>0</v>
      </c>
      <c r="S12" s="243">
        <f t="shared" si="12"/>
        <v>1</v>
      </c>
      <c r="T12" s="245">
        <f t="shared" si="9"/>
        <v>543.79</v>
      </c>
      <c r="U12" s="243">
        <f t="shared" si="13"/>
        <v>1</v>
      </c>
      <c r="V12" s="194">
        <v>40000</v>
      </c>
      <c r="W12" s="194"/>
      <c r="X12" s="194">
        <v>32500</v>
      </c>
      <c r="Z12" s="194">
        <v>27500</v>
      </c>
      <c r="AA12" s="194"/>
      <c r="AB12" s="194">
        <v>22500</v>
      </c>
      <c r="AC12" s="232">
        <f t="shared" si="1"/>
        <v>-575</v>
      </c>
      <c r="AD12" s="233">
        <f t="shared" si="2"/>
        <v>1200750</v>
      </c>
      <c r="AE12" s="234">
        <f t="shared" si="3"/>
        <v>-6175</v>
      </c>
      <c r="AF12" s="224">
        <f t="shared" si="4"/>
        <v>487.67193750000001</v>
      </c>
      <c r="AG12" s="225">
        <f t="shared" si="5"/>
        <v>476.8588125</v>
      </c>
      <c r="AH12" s="186">
        <f t="shared" si="6"/>
        <v>-0.1230827847146876</v>
      </c>
    </row>
    <row r="13" spans="3:34" x14ac:dyDescent="0.25">
      <c r="C13" t="s">
        <v>29</v>
      </c>
      <c r="E13" s="194">
        <v>272.89999999999998</v>
      </c>
      <c r="F13" s="194">
        <v>0</v>
      </c>
      <c r="G13" s="194">
        <v>272.29000000000002</v>
      </c>
      <c r="H13">
        <f t="shared" si="0"/>
        <v>0.6099999999999568</v>
      </c>
      <c r="I13" s="186">
        <f t="shared" si="7"/>
        <v>0.99776474899230505</v>
      </c>
      <c r="J13" s="186">
        <f t="shared" si="8"/>
        <v>2.2352510076949681E-3</v>
      </c>
      <c r="M13" s="228">
        <v>0.71530000000000005</v>
      </c>
      <c r="N13" s="194">
        <v>2036</v>
      </c>
      <c r="O13" s="242">
        <f t="shared" si="10"/>
        <v>119308.68268493151</v>
      </c>
      <c r="P13" s="242">
        <v>119308.68268493151</v>
      </c>
      <c r="Q13" s="242">
        <v>0</v>
      </c>
      <c r="R13" s="242">
        <f t="shared" si="11"/>
        <v>0</v>
      </c>
      <c r="S13" s="243">
        <f t="shared" si="12"/>
        <v>1</v>
      </c>
      <c r="T13" s="245">
        <f t="shared" si="9"/>
        <v>272.89999999999998</v>
      </c>
      <c r="U13" s="243">
        <f t="shared" si="13"/>
        <v>0.99776474899230505</v>
      </c>
      <c r="V13" s="205">
        <v>105000</v>
      </c>
      <c r="W13" s="214">
        <v>75000</v>
      </c>
      <c r="X13" s="194">
        <v>40000</v>
      </c>
      <c r="Y13" s="194">
        <v>25000</v>
      </c>
      <c r="AC13" s="232">
        <f t="shared" si="1"/>
        <v>-5500</v>
      </c>
      <c r="AD13" s="233">
        <f t="shared" si="2"/>
        <v>11212500</v>
      </c>
      <c r="AE13" s="234">
        <f t="shared" si="3"/>
        <v>14500</v>
      </c>
      <c r="AF13" s="224">
        <f t="shared" si="4"/>
        <v>348.94</v>
      </c>
      <c r="AG13" s="225">
        <f t="shared" si="5"/>
        <v>341.64</v>
      </c>
      <c r="AH13" s="186">
        <f t="shared" si="6"/>
        <v>0.25188713814584102</v>
      </c>
    </row>
    <row r="14" spans="3:34" x14ac:dyDescent="0.25">
      <c r="C14" t="s">
        <v>345</v>
      </c>
      <c r="E14" s="194">
        <v>16.52</v>
      </c>
      <c r="F14" s="194">
        <v>1.61</v>
      </c>
      <c r="G14">
        <f>+E14*98.07%</f>
        <v>16.201163999999999</v>
      </c>
      <c r="H14">
        <f t="shared" si="0"/>
        <v>0.31883600000000101</v>
      </c>
      <c r="I14" s="186">
        <f t="shared" si="7"/>
        <v>0.98069999999999991</v>
      </c>
      <c r="J14" s="186">
        <f t="shared" si="8"/>
        <v>1.930000000000006E-2</v>
      </c>
      <c r="M14" s="228">
        <v>0.73629999999999995</v>
      </c>
      <c r="N14" s="194">
        <v>2060</v>
      </c>
      <c r="O14" s="242">
        <f t="shared" si="10"/>
        <v>4154.1152328767121</v>
      </c>
      <c r="P14" s="242">
        <v>4154.1152328767121</v>
      </c>
      <c r="Q14" s="242">
        <v>0</v>
      </c>
      <c r="R14" s="242">
        <f t="shared" si="11"/>
        <v>0</v>
      </c>
      <c r="S14" s="243">
        <f t="shared" si="12"/>
        <v>1</v>
      </c>
      <c r="T14" s="245">
        <f t="shared" si="9"/>
        <v>16.52</v>
      </c>
      <c r="U14" s="243">
        <f t="shared" si="13"/>
        <v>0.98069999999999991</v>
      </c>
      <c r="V14" s="194">
        <v>4000</v>
      </c>
      <c r="W14" s="194">
        <v>3000</v>
      </c>
      <c r="X14" s="194">
        <v>1800</v>
      </c>
      <c r="Y14" s="194">
        <v>1000</v>
      </c>
      <c r="Z14" s="194">
        <v>900</v>
      </c>
      <c r="AA14" s="194">
        <v>700</v>
      </c>
      <c r="AB14" s="194">
        <v>500</v>
      </c>
      <c r="AC14" s="232">
        <f t="shared" si="1"/>
        <v>-114.28571428571429</v>
      </c>
      <c r="AD14" s="233">
        <f t="shared" si="2"/>
        <v>234271.42857142858</v>
      </c>
      <c r="AE14" s="234">
        <f t="shared" si="3"/>
        <v>-1157.1428571428696</v>
      </c>
      <c r="AF14" s="224">
        <f t="shared" si="4"/>
        <v>20.752857142857053</v>
      </c>
      <c r="AG14" s="225">
        <f t="shared" si="5"/>
        <v>16.47714285712421</v>
      </c>
      <c r="AH14" s="186">
        <f t="shared" si="6"/>
        <v>-2.5942580433286396E-3</v>
      </c>
    </row>
    <row r="15" spans="3:34" x14ac:dyDescent="0.25">
      <c r="C15" t="s">
        <v>140</v>
      </c>
      <c r="E15" s="194">
        <v>21.91</v>
      </c>
      <c r="F15" s="194">
        <v>0</v>
      </c>
      <c r="G15">
        <f>+E15</f>
        <v>21.91</v>
      </c>
      <c r="H15">
        <f t="shared" si="0"/>
        <v>0</v>
      </c>
      <c r="I15" s="186">
        <f t="shared" si="7"/>
        <v>1</v>
      </c>
      <c r="J15" s="186">
        <f t="shared" si="8"/>
        <v>0</v>
      </c>
      <c r="M15" s="228">
        <v>0.78649999999999998</v>
      </c>
      <c r="N15" s="194">
        <v>2035</v>
      </c>
      <c r="O15" s="242">
        <f t="shared" si="10"/>
        <v>10381.531479452055</v>
      </c>
      <c r="P15" s="242">
        <v>10381.531479452055</v>
      </c>
      <c r="Q15" s="242">
        <v>0</v>
      </c>
      <c r="R15" s="242">
        <f t="shared" si="11"/>
        <v>0</v>
      </c>
      <c r="S15" s="243">
        <f t="shared" si="12"/>
        <v>1</v>
      </c>
      <c r="T15" s="245">
        <f t="shared" si="9"/>
        <v>21.91</v>
      </c>
      <c r="U15" s="243">
        <f t="shared" si="13"/>
        <v>1</v>
      </c>
      <c r="V15" s="205">
        <v>10500</v>
      </c>
      <c r="W15" s="215">
        <v>6000</v>
      </c>
      <c r="X15" s="194">
        <v>2300</v>
      </c>
      <c r="Y15" s="194">
        <v>1800</v>
      </c>
      <c r="AC15" s="232">
        <f t="shared" si="1"/>
        <v>-596</v>
      </c>
      <c r="AD15" s="233">
        <f t="shared" si="2"/>
        <v>1213540</v>
      </c>
      <c r="AE15" s="234">
        <f t="shared" si="3"/>
        <v>680</v>
      </c>
      <c r="AF15" s="224">
        <f t="shared" si="4"/>
        <v>30.605250000000002</v>
      </c>
      <c r="AG15" s="225">
        <f t="shared" si="5"/>
        <v>28.196249999999999</v>
      </c>
      <c r="AH15" s="186">
        <f t="shared" si="6"/>
        <v>0.28691236878137832</v>
      </c>
    </row>
    <row r="16" spans="3:34" x14ac:dyDescent="0.25">
      <c r="C16" t="s">
        <v>495</v>
      </c>
      <c r="E16" s="194">
        <v>8.85</v>
      </c>
      <c r="F16" s="194">
        <v>0</v>
      </c>
      <c r="G16">
        <f>+E16</f>
        <v>8.85</v>
      </c>
      <c r="H16">
        <f t="shared" si="0"/>
        <v>0</v>
      </c>
      <c r="I16" s="186">
        <f t="shared" si="7"/>
        <v>1</v>
      </c>
      <c r="J16" s="186">
        <f t="shared" si="8"/>
        <v>0</v>
      </c>
      <c r="M16" s="228">
        <v>0.55530000000000002</v>
      </c>
      <c r="N16" s="194">
        <v>2052</v>
      </c>
      <c r="O16" s="242">
        <f t="shared" si="10"/>
        <v>1737.8650958904109</v>
      </c>
      <c r="P16" s="242">
        <v>1737.8650958904109</v>
      </c>
      <c r="Q16" s="242">
        <v>0</v>
      </c>
      <c r="R16" s="242">
        <f t="shared" si="11"/>
        <v>0</v>
      </c>
      <c r="S16" s="243">
        <f t="shared" si="12"/>
        <v>1</v>
      </c>
      <c r="T16" s="245">
        <f t="shared" si="9"/>
        <v>8.85</v>
      </c>
      <c r="U16" s="243">
        <f t="shared" si="13"/>
        <v>1</v>
      </c>
      <c r="V16" s="205">
        <v>1600</v>
      </c>
      <c r="W16" s="205">
        <v>1500</v>
      </c>
      <c r="X16" s="194">
        <v>1100</v>
      </c>
      <c r="Y16" s="194">
        <v>750</v>
      </c>
      <c r="Z16" s="194">
        <v>500</v>
      </c>
      <c r="AA16" s="194">
        <v>250</v>
      </c>
      <c r="AB16" s="194">
        <v>200</v>
      </c>
      <c r="AC16" s="232">
        <f t="shared" si="1"/>
        <v>-52.142857142857146</v>
      </c>
      <c r="AD16" s="233">
        <f t="shared" si="2"/>
        <v>106953.57142857143</v>
      </c>
      <c r="AE16" s="234">
        <f t="shared" si="3"/>
        <v>-43.571428571434808</v>
      </c>
      <c r="AF16" s="224">
        <f t="shared" si="4"/>
        <v>9.0895428571428205</v>
      </c>
      <c r="AG16" s="225">
        <f t="shared" si="5"/>
        <v>9.2355428571459655</v>
      </c>
      <c r="AH16" s="186">
        <f t="shared" si="6"/>
        <v>4.3564164649261675E-2</v>
      </c>
    </row>
    <row r="17" spans="3:34" x14ac:dyDescent="0.25">
      <c r="C17" t="s">
        <v>61</v>
      </c>
      <c r="E17" s="194">
        <v>146.25</v>
      </c>
      <c r="F17" s="194">
        <v>0</v>
      </c>
      <c r="G17">
        <v>146.25</v>
      </c>
      <c r="H17">
        <f t="shared" si="0"/>
        <v>0</v>
      </c>
      <c r="I17" s="186">
        <f t="shared" si="7"/>
        <v>1</v>
      </c>
      <c r="J17" s="186">
        <f t="shared" si="8"/>
        <v>0</v>
      </c>
      <c r="M17" s="228">
        <v>0.58260000000000001</v>
      </c>
      <c r="N17" s="194">
        <v>2039</v>
      </c>
      <c r="O17" s="242">
        <f t="shared" si="10"/>
        <v>48971.756410958893</v>
      </c>
      <c r="P17" s="242">
        <v>48971.756410958893</v>
      </c>
      <c r="Q17" s="242">
        <v>0</v>
      </c>
      <c r="R17" s="242">
        <f t="shared" si="11"/>
        <v>0</v>
      </c>
      <c r="S17" s="243">
        <f t="shared" si="12"/>
        <v>1</v>
      </c>
      <c r="T17" s="245">
        <f t="shared" si="9"/>
        <v>146.25</v>
      </c>
      <c r="U17" s="243">
        <f t="shared" si="13"/>
        <v>1</v>
      </c>
      <c r="V17" s="205">
        <v>50000</v>
      </c>
      <c r="W17" s="205">
        <v>35000</v>
      </c>
      <c r="X17" s="194">
        <v>20000</v>
      </c>
      <c r="Y17" s="194">
        <v>12500</v>
      </c>
      <c r="AC17" s="232">
        <f t="shared" si="1"/>
        <v>-2550</v>
      </c>
      <c r="AD17" s="233">
        <f t="shared" si="2"/>
        <v>5199500</v>
      </c>
      <c r="AE17" s="234">
        <f t="shared" si="3"/>
        <v>50</v>
      </c>
      <c r="AF17" s="224">
        <f t="shared" si="4"/>
        <v>173.54837499999999</v>
      </c>
      <c r="AG17" s="225">
        <f t="shared" si="5"/>
        <v>168.34712500000001</v>
      </c>
      <c r="AH17" s="186">
        <f t="shared" si="6"/>
        <v>0.15109145299145302</v>
      </c>
    </row>
    <row r="18" spans="3:34" x14ac:dyDescent="0.25">
      <c r="C18" t="s">
        <v>496</v>
      </c>
      <c r="E18" s="194">
        <v>89.99</v>
      </c>
      <c r="F18" s="194">
        <v>0</v>
      </c>
      <c r="G18">
        <f>+E18</f>
        <v>89.99</v>
      </c>
      <c r="H18">
        <f t="shared" si="0"/>
        <v>0</v>
      </c>
      <c r="I18" s="186">
        <f t="shared" si="7"/>
        <v>1</v>
      </c>
      <c r="J18" s="186">
        <f t="shared" si="8"/>
        <v>0</v>
      </c>
      <c r="M18" s="228">
        <v>0.42830000000000001</v>
      </c>
      <c r="N18" s="194">
        <v>2044</v>
      </c>
      <c r="O18" s="242">
        <f t="shared" si="10"/>
        <v>20119.028164383562</v>
      </c>
      <c r="P18" s="242">
        <v>20119.028164383562</v>
      </c>
      <c r="Q18" s="242">
        <v>0</v>
      </c>
      <c r="R18" s="242">
        <f t="shared" si="11"/>
        <v>0</v>
      </c>
      <c r="S18" s="243">
        <f t="shared" si="12"/>
        <v>1</v>
      </c>
      <c r="T18" s="245">
        <f t="shared" si="9"/>
        <v>89.99</v>
      </c>
      <c r="U18" s="243">
        <f t="shared" si="13"/>
        <v>1</v>
      </c>
      <c r="V18" s="205">
        <v>20000</v>
      </c>
      <c r="W18" s="205">
        <v>17500</v>
      </c>
      <c r="X18" s="194">
        <v>12500</v>
      </c>
      <c r="Y18" s="194">
        <v>7600</v>
      </c>
      <c r="Z18" s="194">
        <v>6000</v>
      </c>
      <c r="AC18" s="232">
        <f t="shared" si="1"/>
        <v>-758</v>
      </c>
      <c r="AD18" s="233">
        <f t="shared" si="2"/>
        <v>1551460</v>
      </c>
      <c r="AE18" s="234">
        <f t="shared" si="3"/>
        <v>2108</v>
      </c>
      <c r="AF18" s="224">
        <f t="shared" si="4"/>
        <v>96.833039999999997</v>
      </c>
      <c r="AG18" s="225">
        <f t="shared" si="5"/>
        <v>98.147040000000004</v>
      </c>
      <c r="AH18" s="186">
        <f t="shared" si="6"/>
        <v>9.0643849316590835E-2</v>
      </c>
    </row>
    <row r="19" spans="3:34" x14ac:dyDescent="0.25">
      <c r="C19" t="s">
        <v>497</v>
      </c>
      <c r="E19" s="194">
        <v>86.96</v>
      </c>
      <c r="F19" s="194">
        <v>357.74</v>
      </c>
      <c r="G19">
        <f>+E19*68.57%</f>
        <v>59.628471999999995</v>
      </c>
      <c r="H19">
        <f t="shared" si="0"/>
        <v>27.331527999999999</v>
      </c>
      <c r="I19" s="186">
        <f t="shared" si="7"/>
        <v>0.68569999999999998</v>
      </c>
      <c r="J19" s="186">
        <f t="shared" si="8"/>
        <v>0.31430000000000002</v>
      </c>
      <c r="M19" s="228">
        <v>0.87790000000000001</v>
      </c>
      <c r="N19" s="194">
        <v>2035</v>
      </c>
      <c r="O19" s="242">
        <f t="shared" si="10"/>
        <v>36739.649441662732</v>
      </c>
      <c r="P19" s="242">
        <v>5802.3135890410958</v>
      </c>
      <c r="Q19" s="242">
        <v>179.43654794520549</v>
      </c>
      <c r="R19" s="242">
        <f t="shared" si="11"/>
        <v>30937.335852621636</v>
      </c>
      <c r="S19" s="243">
        <f t="shared" si="12"/>
        <v>0.15793056485893622</v>
      </c>
      <c r="T19" s="245">
        <f t="shared" si="9"/>
        <v>13.733641920133094</v>
      </c>
      <c r="U19" s="243">
        <f t="shared" si="13"/>
        <v>0.68569999999999998</v>
      </c>
      <c r="V19" s="205">
        <v>42000</v>
      </c>
      <c r="W19" s="205">
        <v>22000</v>
      </c>
      <c r="X19" s="194">
        <v>16000</v>
      </c>
      <c r="Y19" s="194">
        <v>8000</v>
      </c>
      <c r="AC19" s="232">
        <f t="shared" si="1"/>
        <v>-2160</v>
      </c>
      <c r="AD19" s="233">
        <f t="shared" si="2"/>
        <v>4401400</v>
      </c>
      <c r="AE19" s="234">
        <f t="shared" si="3"/>
        <v>5800</v>
      </c>
      <c r="AF19" s="224">
        <f t="shared" si="4"/>
        <v>130.85249999999999</v>
      </c>
      <c r="AG19" s="225">
        <f t="shared" si="5"/>
        <v>120.45</v>
      </c>
      <c r="AH19" s="186">
        <f t="shared" si="6"/>
        <v>0.38511959521619149</v>
      </c>
    </row>
    <row r="20" spans="3:34" x14ac:dyDescent="0.25">
      <c r="C20" t="s">
        <v>498</v>
      </c>
      <c r="E20" s="194">
        <v>5.73</v>
      </c>
      <c r="F20" s="194">
        <v>0</v>
      </c>
      <c r="G20">
        <f>+E20</f>
        <v>5.73</v>
      </c>
      <c r="H20">
        <f t="shared" si="0"/>
        <v>0</v>
      </c>
      <c r="I20" s="186">
        <f t="shared" si="7"/>
        <v>1</v>
      </c>
      <c r="J20" s="186">
        <f t="shared" si="8"/>
        <v>0</v>
      </c>
      <c r="M20" s="228">
        <v>0.61819999999999997</v>
      </c>
      <c r="N20" s="194">
        <v>2050</v>
      </c>
      <c r="O20" s="242">
        <f t="shared" si="10"/>
        <v>3032.86197260274</v>
      </c>
      <c r="P20" s="242">
        <v>3032.86197260274</v>
      </c>
      <c r="Q20" s="242">
        <v>0</v>
      </c>
      <c r="R20" s="242">
        <f t="shared" si="11"/>
        <v>0</v>
      </c>
      <c r="S20" s="243">
        <f t="shared" si="12"/>
        <v>1</v>
      </c>
      <c r="T20" s="245">
        <f t="shared" si="9"/>
        <v>5.73</v>
      </c>
      <c r="U20" s="243">
        <f t="shared" si="13"/>
        <v>1</v>
      </c>
      <c r="V20" s="205">
        <v>2250</v>
      </c>
      <c r="W20" s="205">
        <v>1250</v>
      </c>
      <c r="X20" s="194">
        <v>600</v>
      </c>
      <c r="Y20" s="194">
        <v>400</v>
      </c>
      <c r="Z20" s="194">
        <v>200</v>
      </c>
      <c r="AA20" s="194">
        <v>150</v>
      </c>
      <c r="AB20" s="194">
        <v>100</v>
      </c>
      <c r="AC20" s="232">
        <f t="shared" si="1"/>
        <v>-64.642857142857139</v>
      </c>
      <c r="AD20" s="233">
        <f t="shared" si="2"/>
        <v>132255.35714285716</v>
      </c>
      <c r="AE20" s="234">
        <f t="shared" si="3"/>
        <v>-262.4999999999709</v>
      </c>
      <c r="AF20" s="224">
        <f t="shared" si="4"/>
        <v>10.881562500000161</v>
      </c>
      <c r="AG20" s="225">
        <f t="shared" si="5"/>
        <v>7.7432142857189472</v>
      </c>
      <c r="AH20" s="186">
        <f t="shared" si="6"/>
        <v>0.35134629768218961</v>
      </c>
    </row>
    <row r="21" spans="3:34" x14ac:dyDescent="0.25">
      <c r="C21" t="s">
        <v>499</v>
      </c>
      <c r="E21" s="194">
        <v>89.27</v>
      </c>
      <c r="F21" s="194">
        <v>504.38</v>
      </c>
      <c r="G21">
        <f>+E21*5.84%</f>
        <v>5.213368</v>
      </c>
      <c r="H21">
        <f t="shared" si="0"/>
        <v>84.056631999999993</v>
      </c>
      <c r="I21" s="186">
        <f t="shared" si="7"/>
        <v>5.8400000000000001E-2</v>
      </c>
      <c r="J21" s="186">
        <f t="shared" si="8"/>
        <v>0.94159999999999999</v>
      </c>
      <c r="M21" s="228">
        <v>0.24510000000000001</v>
      </c>
      <c r="N21" s="194">
        <v>2059</v>
      </c>
      <c r="O21" s="242">
        <f t="shared" si="10"/>
        <v>5687.8121180916396</v>
      </c>
      <c r="P21" s="242">
        <v>1396.6784383561644</v>
      </c>
      <c r="Q21" s="242">
        <v>24.888575342465753</v>
      </c>
      <c r="R21" s="242">
        <f t="shared" si="11"/>
        <v>4291.1336797354752</v>
      </c>
      <c r="S21" s="243">
        <f t="shared" si="12"/>
        <v>0.24555635969648984</v>
      </c>
      <c r="T21" s="245">
        <f t="shared" si="9"/>
        <v>21.920816230105647</v>
      </c>
      <c r="U21" s="243">
        <f t="shared" si="13"/>
        <v>5.8400000000000001E-2</v>
      </c>
      <c r="V21" s="205">
        <v>10000</v>
      </c>
      <c r="W21" s="205">
        <v>18500</v>
      </c>
      <c r="X21" s="194">
        <v>10000</v>
      </c>
      <c r="Y21" s="194">
        <v>7000</v>
      </c>
      <c r="Z21" s="194">
        <v>5000</v>
      </c>
      <c r="AA21" s="194">
        <v>3500</v>
      </c>
      <c r="AB21" s="194">
        <v>2100</v>
      </c>
      <c r="AC21" s="232">
        <f t="shared" si="1"/>
        <v>-419.28571428571439</v>
      </c>
      <c r="AD21" s="233">
        <f t="shared" si="2"/>
        <v>861260.71428571444</v>
      </c>
      <c r="AE21" s="234">
        <f t="shared" si="3"/>
        <v>-2048.5714285714785</v>
      </c>
      <c r="AF21" s="224">
        <f t="shared" si="4"/>
        <v>56.594292857142499</v>
      </c>
      <c r="AG21" s="225">
        <f t="shared" si="5"/>
        <v>87.224962500087017</v>
      </c>
      <c r="AH21" s="186">
        <f t="shared" si="6"/>
        <v>-2.2908451886557404E-2</v>
      </c>
    </row>
    <row r="22" spans="3:34" x14ac:dyDescent="0.25">
      <c r="C22" t="s">
        <v>500</v>
      </c>
      <c r="E22" s="194">
        <v>10.25</v>
      </c>
      <c r="F22" s="194">
        <v>60.26</v>
      </c>
      <c r="G22">
        <f>+E22*2%</f>
        <v>0.20500000000000002</v>
      </c>
      <c r="H22">
        <f t="shared" si="0"/>
        <v>10.045</v>
      </c>
      <c r="I22" s="186">
        <f t="shared" si="7"/>
        <v>0.02</v>
      </c>
      <c r="J22" s="186">
        <f t="shared" si="8"/>
        <v>0.98</v>
      </c>
      <c r="M22" s="228">
        <v>0.98270000000000002</v>
      </c>
      <c r="N22" s="194">
        <v>2025</v>
      </c>
      <c r="O22" s="242">
        <f t="shared" si="10"/>
        <v>13330.402025507794</v>
      </c>
      <c r="P22" s="242">
        <v>802.2064657534246</v>
      </c>
      <c r="Q22" s="242">
        <v>72.663534246575338</v>
      </c>
      <c r="R22" s="242">
        <f t="shared" si="11"/>
        <v>12528.195559754369</v>
      </c>
      <c r="S22" s="243">
        <f t="shared" si="12"/>
        <v>6.0178715106896125E-2</v>
      </c>
      <c r="T22" s="245">
        <f t="shared" si="9"/>
        <v>0.6168318298456853</v>
      </c>
      <c r="U22" s="243">
        <f t="shared" si="13"/>
        <v>0.02</v>
      </c>
      <c r="V22" s="205">
        <v>8000</v>
      </c>
      <c r="W22" s="205">
        <v>5000</v>
      </c>
      <c r="AC22" s="232">
        <f t="shared" si="1"/>
        <v>-600</v>
      </c>
      <c r="AD22" s="233">
        <f t="shared" si="2"/>
        <v>1220000</v>
      </c>
      <c r="AE22" s="234">
        <f t="shared" si="3"/>
        <v>5000</v>
      </c>
      <c r="AF22" s="224">
        <f t="shared" si="4"/>
        <v>11.862500000000001</v>
      </c>
      <c r="AG22" s="225">
        <f t="shared" si="5"/>
        <v>11.862500000000001</v>
      </c>
      <c r="AH22" s="186">
        <f t="shared" si="6"/>
        <v>0.15731707317073176</v>
      </c>
    </row>
    <row r="23" spans="3:34" x14ac:dyDescent="0.25">
      <c r="C23" t="s">
        <v>501</v>
      </c>
      <c r="E23" s="194">
        <v>17.7</v>
      </c>
      <c r="F23" s="194">
        <v>97.48</v>
      </c>
      <c r="G23">
        <f>+E23*8.23%</f>
        <v>1.4567099999999999</v>
      </c>
      <c r="H23">
        <f t="shared" si="0"/>
        <v>16.243289999999998</v>
      </c>
      <c r="I23" s="186">
        <f t="shared" si="7"/>
        <v>8.2299999999999998E-2</v>
      </c>
      <c r="J23" s="186">
        <f t="shared" si="8"/>
        <v>0.91769999999999996</v>
      </c>
      <c r="M23" s="228">
        <v>0.97750000000000004</v>
      </c>
      <c r="N23" s="194">
        <v>2025</v>
      </c>
      <c r="O23" s="242">
        <f t="shared" si="10"/>
        <v>18303.892234293809</v>
      </c>
      <c r="P23" s="242">
        <v>2380.4156164383562</v>
      </c>
      <c r="Q23" s="242">
        <v>92.356164383561648</v>
      </c>
      <c r="R23" s="242">
        <f t="shared" si="11"/>
        <v>15923.476617855455</v>
      </c>
      <c r="S23" s="243">
        <f t="shared" si="12"/>
        <v>0.13004969576790104</v>
      </c>
      <c r="T23" s="245">
        <f t="shared" si="9"/>
        <v>2.3018796150918481</v>
      </c>
      <c r="U23" s="243">
        <f t="shared" si="13"/>
        <v>8.2299999999999998E-2</v>
      </c>
      <c r="V23" s="194">
        <v>8000</v>
      </c>
      <c r="W23" s="213">
        <v>5000</v>
      </c>
      <c r="AC23" s="232">
        <f t="shared" si="1"/>
        <v>-600</v>
      </c>
      <c r="AD23" s="233">
        <f t="shared" si="2"/>
        <v>1220000</v>
      </c>
      <c r="AE23" s="234">
        <f t="shared" si="3"/>
        <v>5000</v>
      </c>
      <c r="AF23" s="224">
        <f t="shared" si="4"/>
        <v>11.862500000000001</v>
      </c>
      <c r="AG23" s="225">
        <f t="shared" si="5"/>
        <v>11.862500000000001</v>
      </c>
      <c r="AH23" s="186">
        <f t="shared" si="6"/>
        <v>-0.32980225988700557</v>
      </c>
    </row>
    <row r="24" spans="3:34" x14ac:dyDescent="0.25">
      <c r="C24" t="s">
        <v>502</v>
      </c>
      <c r="E24" s="194">
        <v>8.8000000000000007</v>
      </c>
      <c r="F24" s="194">
        <v>2.82</v>
      </c>
      <c r="G24">
        <f>+E24*94.66%</f>
        <v>8.3300800000000006</v>
      </c>
      <c r="H24">
        <f t="shared" si="0"/>
        <v>0.46992000000000012</v>
      </c>
      <c r="I24" s="186">
        <f t="shared" si="7"/>
        <v>0.9466</v>
      </c>
      <c r="J24" s="186">
        <f t="shared" si="8"/>
        <v>5.340000000000001E-2</v>
      </c>
      <c r="M24" s="228">
        <v>0.7712</v>
      </c>
      <c r="N24" s="194">
        <v>2039</v>
      </c>
      <c r="O24" s="242">
        <f t="shared" si="10"/>
        <v>3090.1880736891835</v>
      </c>
      <c r="P24" s="242">
        <v>2982.4176438356171</v>
      </c>
      <c r="Q24" s="242">
        <v>0.62506849315068491</v>
      </c>
      <c r="R24" s="242">
        <f t="shared" si="11"/>
        <v>107.77042985356636</v>
      </c>
      <c r="S24" s="243">
        <f t="shared" si="12"/>
        <v>0.96512496091381716</v>
      </c>
      <c r="T24" s="245">
        <f t="shared" si="9"/>
        <v>8.4930996560415917</v>
      </c>
      <c r="U24" s="243">
        <f t="shared" si="13"/>
        <v>0.9466</v>
      </c>
      <c r="V24" s="194">
        <v>3000</v>
      </c>
      <c r="W24" s="213">
        <v>2000</v>
      </c>
      <c r="X24" s="194">
        <v>1100</v>
      </c>
      <c r="Y24" s="194">
        <v>800</v>
      </c>
      <c r="AC24" s="232">
        <f t="shared" si="1"/>
        <v>-150</v>
      </c>
      <c r="AD24" s="233">
        <f t="shared" si="2"/>
        <v>305850</v>
      </c>
      <c r="AE24" s="234">
        <f t="shared" si="3"/>
        <v>0</v>
      </c>
      <c r="AF24" s="224">
        <f t="shared" si="4"/>
        <v>10.4025</v>
      </c>
      <c r="AG24" s="225">
        <f t="shared" si="5"/>
        <v>9.8823749999999997</v>
      </c>
      <c r="AH24" s="186">
        <f t="shared" si="6"/>
        <v>0.12299715909090897</v>
      </c>
    </row>
    <row r="25" spans="3:34" x14ac:dyDescent="0.25">
      <c r="C25" t="s">
        <v>503</v>
      </c>
      <c r="E25" s="194">
        <v>1.1399999999999999</v>
      </c>
      <c r="F25" s="194">
        <v>0.47</v>
      </c>
      <c r="G25">
        <f>+E25*93.12%</f>
        <v>1.0615679999999998</v>
      </c>
      <c r="H25">
        <f t="shared" si="0"/>
        <v>7.8432000000000057E-2</v>
      </c>
      <c r="I25" s="186">
        <f t="shared" si="7"/>
        <v>0.93119999999999992</v>
      </c>
      <c r="J25" s="186">
        <f t="shared" si="8"/>
        <v>6.8800000000000056E-2</v>
      </c>
      <c r="M25" s="228">
        <v>0.73509999999999998</v>
      </c>
      <c r="N25" s="194">
        <v>2033</v>
      </c>
      <c r="O25" s="242">
        <f t="shared" si="10"/>
        <v>1290.1837175247995</v>
      </c>
      <c r="P25" s="242">
        <v>1266.3858904109591</v>
      </c>
      <c r="Q25" s="242">
        <v>0.13802739726027391</v>
      </c>
      <c r="R25" s="242">
        <f t="shared" si="11"/>
        <v>23.797827113840331</v>
      </c>
      <c r="S25" s="243">
        <f t="shared" si="12"/>
        <v>0.98155469892342451</v>
      </c>
      <c r="T25" s="245">
        <f t="shared" si="9"/>
        <v>1.1189723567727039</v>
      </c>
      <c r="U25" s="243">
        <f t="shared" si="13"/>
        <v>0.93119999999999992</v>
      </c>
      <c r="V25" s="205">
        <v>1000</v>
      </c>
      <c r="W25" s="213">
        <v>300</v>
      </c>
      <c r="X25" s="194">
        <v>100</v>
      </c>
      <c r="AC25" s="232">
        <f t="shared" si="1"/>
        <v>-90</v>
      </c>
      <c r="AD25" s="233">
        <f t="shared" si="2"/>
        <v>182716.66666666666</v>
      </c>
      <c r="AE25" s="234">
        <f t="shared" si="3"/>
        <v>-253.33333333334303</v>
      </c>
      <c r="AF25" s="224">
        <f t="shared" si="4"/>
        <v>1.7714666666666437</v>
      </c>
      <c r="AG25" s="225">
        <f t="shared" si="5"/>
        <v>1.5737583333405851</v>
      </c>
      <c r="AH25" s="186">
        <f t="shared" si="6"/>
        <v>0.38048976608823271</v>
      </c>
    </row>
    <row r="26" spans="3:34" x14ac:dyDescent="0.25">
      <c r="C26" t="s">
        <v>504</v>
      </c>
      <c r="E26" s="194">
        <v>1.31</v>
      </c>
      <c r="F26" s="194">
        <v>0.37</v>
      </c>
      <c r="G26">
        <f>+E26*95.34%</f>
        <v>1.2489540000000001</v>
      </c>
      <c r="H26">
        <f t="shared" si="0"/>
        <v>6.1045999999999934E-2</v>
      </c>
      <c r="I26" s="186">
        <f t="shared" si="7"/>
        <v>0.95340000000000003</v>
      </c>
      <c r="J26" s="186">
        <f t="shared" si="8"/>
        <v>4.6599999999999947E-2</v>
      </c>
      <c r="M26" s="228">
        <v>0.34710000000000002</v>
      </c>
      <c r="N26" s="194">
        <v>2053</v>
      </c>
      <c r="O26" s="242">
        <f t="shared" si="10"/>
        <v>483.05330278696272</v>
      </c>
      <c r="P26" s="242">
        <v>435.87805479452061</v>
      </c>
      <c r="Q26" s="242">
        <v>0.27361643835616434</v>
      </c>
      <c r="R26" s="242">
        <f t="shared" si="11"/>
        <v>47.175247992442124</v>
      </c>
      <c r="S26" s="243">
        <f t="shared" si="12"/>
        <v>0.90233945670122573</v>
      </c>
      <c r="T26" s="245">
        <f t="shared" si="9"/>
        <v>1.1820646882786057</v>
      </c>
      <c r="U26" s="243">
        <f t="shared" si="13"/>
        <v>0.95340000000000003</v>
      </c>
      <c r="V26" s="205">
        <v>480</v>
      </c>
      <c r="W26" s="205">
        <v>280</v>
      </c>
      <c r="X26" s="194">
        <v>125</v>
      </c>
      <c r="Y26">
        <v>90</v>
      </c>
      <c r="Z26">
        <v>50</v>
      </c>
      <c r="AA26">
        <v>30</v>
      </c>
      <c r="AB26">
        <v>25</v>
      </c>
      <c r="AC26" s="232">
        <f t="shared" si="1"/>
        <v>-13.857142857142858</v>
      </c>
      <c r="AD26" s="233">
        <f t="shared" si="2"/>
        <v>28353.571428571428</v>
      </c>
      <c r="AE26" s="234">
        <f t="shared" si="3"/>
        <v>-95.142857142858702</v>
      </c>
      <c r="AF26" s="224">
        <f t="shared" si="4"/>
        <v>2.3178021428571336</v>
      </c>
      <c r="AG26" s="225">
        <f t="shared" si="5"/>
        <v>1.6080075</v>
      </c>
      <c r="AH26" s="186">
        <f t="shared" si="6"/>
        <v>0.22748664122137402</v>
      </c>
    </row>
    <row r="27" spans="3:34" x14ac:dyDescent="0.25">
      <c r="C27" t="s">
        <v>505</v>
      </c>
      <c r="E27" s="194">
        <v>4.72</v>
      </c>
      <c r="F27" s="194">
        <v>7.45</v>
      </c>
      <c r="G27">
        <f>+E27*73.7%</f>
        <v>3.47864</v>
      </c>
      <c r="H27">
        <f t="shared" si="0"/>
        <v>1.2413599999999998</v>
      </c>
      <c r="I27" s="186">
        <f t="shared" si="7"/>
        <v>0.73699999999999999</v>
      </c>
      <c r="J27" s="186">
        <f t="shared" si="8"/>
        <v>0.26299999999999996</v>
      </c>
      <c r="M27" s="228">
        <v>0.91449999999999998</v>
      </c>
      <c r="N27" s="194">
        <v>2030</v>
      </c>
      <c r="O27" s="242">
        <f t="shared" si="10"/>
        <v>4583.6177808219181</v>
      </c>
      <c r="P27" s="242">
        <v>4583.6177808219181</v>
      </c>
      <c r="Q27" s="242">
        <v>0</v>
      </c>
      <c r="R27" s="242">
        <f t="shared" si="11"/>
        <v>0</v>
      </c>
      <c r="S27" s="243">
        <f t="shared" si="12"/>
        <v>1</v>
      </c>
      <c r="T27" s="245">
        <f t="shared" si="9"/>
        <v>4.72</v>
      </c>
      <c r="U27" s="243">
        <f t="shared" si="13"/>
        <v>0.73699999999999999</v>
      </c>
      <c r="V27" s="205">
        <v>3750</v>
      </c>
      <c r="W27" s="205">
        <v>1750</v>
      </c>
      <c r="X27" s="194">
        <v>750</v>
      </c>
      <c r="AC27" s="232">
        <f t="shared" si="1"/>
        <v>-300</v>
      </c>
      <c r="AD27" s="233">
        <f t="shared" si="2"/>
        <v>609583.33333333337</v>
      </c>
      <c r="AE27" s="234">
        <f t="shared" si="3"/>
        <v>583.33333333337214</v>
      </c>
      <c r="AF27" s="224">
        <f t="shared" si="4"/>
        <v>7.9083333333334034</v>
      </c>
      <c r="AG27" s="225">
        <f t="shared" si="5"/>
        <v>7.6041666666376591</v>
      </c>
      <c r="AH27" s="186">
        <f t="shared" si="6"/>
        <v>0.61105225988086009</v>
      </c>
    </row>
    <row r="28" spans="3:34" x14ac:dyDescent="0.25">
      <c r="C28" t="s">
        <v>506</v>
      </c>
      <c r="E28" s="194">
        <v>11.27</v>
      </c>
      <c r="F28" s="194">
        <v>0</v>
      </c>
      <c r="G28">
        <v>11.27</v>
      </c>
      <c r="H28">
        <f t="shared" si="0"/>
        <v>0</v>
      </c>
      <c r="I28" s="186">
        <f t="shared" si="7"/>
        <v>1</v>
      </c>
      <c r="J28" s="186">
        <f t="shared" si="8"/>
        <v>0</v>
      </c>
      <c r="M28" s="228">
        <v>0.4148</v>
      </c>
      <c r="N28" s="194">
        <v>2067</v>
      </c>
      <c r="O28" s="242">
        <f t="shared" si="10"/>
        <v>0</v>
      </c>
      <c r="P28" s="242"/>
      <c r="Q28" s="242"/>
      <c r="R28" s="242">
        <f t="shared" si="11"/>
        <v>0</v>
      </c>
      <c r="S28" s="243" t="e">
        <f t="shared" si="12"/>
        <v>#DIV/0!</v>
      </c>
      <c r="T28" s="245"/>
      <c r="U28" s="243">
        <f t="shared" si="13"/>
        <v>1</v>
      </c>
      <c r="V28" s="205">
        <v>2500</v>
      </c>
      <c r="W28" s="214">
        <v>1750</v>
      </c>
      <c r="X28" s="194">
        <v>1250</v>
      </c>
      <c r="Y28">
        <v>800</v>
      </c>
      <c r="Z28">
        <v>600</v>
      </c>
      <c r="AA28">
        <v>400</v>
      </c>
      <c r="AB28">
        <v>300</v>
      </c>
      <c r="AC28" s="232">
        <f t="shared" si="1"/>
        <v>-71.071428571428569</v>
      </c>
      <c r="AD28" s="233">
        <f t="shared" si="2"/>
        <v>145716.07142857142</v>
      </c>
      <c r="AE28" s="234">
        <f t="shared" si="3"/>
        <v>-1188.5714285714203</v>
      </c>
      <c r="AF28" s="224">
        <f t="shared" si="4"/>
        <v>11.248778571428643</v>
      </c>
      <c r="AG28" s="225">
        <f t="shared" si="5"/>
        <v>8.2619705357080697</v>
      </c>
      <c r="AH28" s="186">
        <f t="shared" si="6"/>
        <v>-0.2669058974527001</v>
      </c>
    </row>
    <row r="29" spans="3:34" x14ac:dyDescent="0.25">
      <c r="C29" t="s">
        <v>318</v>
      </c>
      <c r="E29" s="194">
        <v>3.84</v>
      </c>
      <c r="F29" s="194">
        <v>23.03</v>
      </c>
      <c r="H29">
        <f t="shared" si="0"/>
        <v>3.84</v>
      </c>
      <c r="I29" s="186">
        <f t="shared" si="7"/>
        <v>0</v>
      </c>
      <c r="J29" s="186">
        <f t="shared" si="8"/>
        <v>1</v>
      </c>
      <c r="M29" s="228">
        <v>0.84079999999999999</v>
      </c>
      <c r="N29" s="194">
        <v>2028</v>
      </c>
      <c r="O29" s="242">
        <f t="shared" si="10"/>
        <v>5516.7123287671238</v>
      </c>
      <c r="P29" s="242">
        <v>0</v>
      </c>
      <c r="Q29" s="242">
        <v>31.996931506849318</v>
      </c>
      <c r="R29" s="242">
        <f t="shared" si="11"/>
        <v>5516.7123287671238</v>
      </c>
      <c r="S29" s="243">
        <f t="shared" si="12"/>
        <v>0</v>
      </c>
      <c r="T29" s="245">
        <f t="shared" si="9"/>
        <v>0</v>
      </c>
      <c r="U29" s="243">
        <f t="shared" si="13"/>
        <v>0</v>
      </c>
      <c r="V29" s="205">
        <v>5300</v>
      </c>
      <c r="W29" s="205">
        <v>1250</v>
      </c>
      <c r="AC29" s="232">
        <f t="shared" si="1"/>
        <v>-810</v>
      </c>
      <c r="AD29" s="233">
        <f t="shared" si="2"/>
        <v>1641500</v>
      </c>
      <c r="AE29" s="234">
        <f t="shared" si="3"/>
        <v>-1180</v>
      </c>
      <c r="AF29" s="224">
        <f t="shared" si="4"/>
        <v>6.0152000000000001</v>
      </c>
      <c r="AG29" s="225">
        <f t="shared" si="5"/>
        <v>6.0152000000000001</v>
      </c>
      <c r="AH29" s="186">
        <f t="shared" si="6"/>
        <v>0.5664583333333334</v>
      </c>
    </row>
    <row r="30" spans="3:34" x14ac:dyDescent="0.25">
      <c r="C30" t="s">
        <v>508</v>
      </c>
      <c r="E30" s="194">
        <v>14.92</v>
      </c>
      <c r="F30">
        <v>0.24</v>
      </c>
      <c r="G30">
        <f>+E30*99.74%</f>
        <v>14.881207999999999</v>
      </c>
      <c r="H30">
        <f t="shared" si="0"/>
        <v>3.8792000000000826E-2</v>
      </c>
      <c r="I30" s="186">
        <f t="shared" si="7"/>
        <v>0.99739999999999995</v>
      </c>
      <c r="J30" s="186">
        <f t="shared" si="8"/>
        <v>2.6000000000000554E-3</v>
      </c>
      <c r="M30" s="228">
        <v>0.75690000000000002</v>
      </c>
      <c r="N30" s="194">
        <v>2043</v>
      </c>
      <c r="O30" s="242">
        <f t="shared" si="10"/>
        <v>12434.820158715165</v>
      </c>
      <c r="P30" s="242">
        <v>12274.754027397263</v>
      </c>
      <c r="Q30" s="242">
        <v>0.92838356164383562</v>
      </c>
      <c r="R30" s="242">
        <f t="shared" si="11"/>
        <v>160.06613131790269</v>
      </c>
      <c r="S30" s="243">
        <f t="shared" si="12"/>
        <v>0.98712758775158338</v>
      </c>
      <c r="T30" s="245">
        <f t="shared" si="9"/>
        <v>14.727943609253623</v>
      </c>
      <c r="U30" s="243">
        <f t="shared" si="13"/>
        <v>0.99739999999999995</v>
      </c>
      <c r="V30" s="205">
        <v>10000</v>
      </c>
      <c r="W30" s="205">
        <v>4000</v>
      </c>
      <c r="X30" s="194">
        <v>1000</v>
      </c>
      <c r="Y30">
        <v>500</v>
      </c>
      <c r="Z30">
        <v>400</v>
      </c>
      <c r="AC30" s="232">
        <f t="shared" si="1"/>
        <v>-454</v>
      </c>
      <c r="AD30" s="233">
        <f t="shared" si="2"/>
        <v>924800</v>
      </c>
      <c r="AE30" s="234">
        <f t="shared" si="3"/>
        <v>-2722</v>
      </c>
      <c r="AF30" s="224">
        <f t="shared" si="4"/>
        <v>30.549405</v>
      </c>
      <c r="AG30" s="225">
        <f t="shared" si="5"/>
        <v>20.979105000000001</v>
      </c>
      <c r="AH30" s="186">
        <f t="shared" si="6"/>
        <v>0.40610623324396788</v>
      </c>
    </row>
    <row r="31" spans="3:34" x14ac:dyDescent="0.25">
      <c r="C31" t="s">
        <v>80</v>
      </c>
      <c r="E31" s="194">
        <v>43.42</v>
      </c>
      <c r="F31" s="194">
        <v>16.96</v>
      </c>
      <c r="G31">
        <f>+E31*93.49%</f>
        <v>40.593358000000002</v>
      </c>
      <c r="H31">
        <f t="shared" si="0"/>
        <v>2.8266419999999997</v>
      </c>
      <c r="I31" s="186">
        <f t="shared" si="7"/>
        <v>0.93490000000000006</v>
      </c>
      <c r="J31" s="186">
        <f t="shared" si="8"/>
        <v>6.5099999999999991E-2</v>
      </c>
      <c r="M31" s="228">
        <v>0.76190000000000002</v>
      </c>
      <c r="N31" s="194">
        <v>2042</v>
      </c>
      <c r="O31" s="242">
        <f t="shared" si="10"/>
        <v>30543.691030703827</v>
      </c>
      <c r="P31" s="242">
        <v>30059.642849315071</v>
      </c>
      <c r="Q31" s="242">
        <v>2.8074794520547948</v>
      </c>
      <c r="R31" s="242">
        <f t="shared" si="11"/>
        <v>484.04818138875771</v>
      </c>
      <c r="S31" s="243">
        <f t="shared" si="12"/>
        <v>0.98415226958319579</v>
      </c>
      <c r="T31" s="245">
        <f t="shared" si="9"/>
        <v>42.731891545302361</v>
      </c>
      <c r="U31" s="243">
        <f t="shared" si="13"/>
        <v>0.93490000000000006</v>
      </c>
      <c r="V31" s="205">
        <v>25000</v>
      </c>
      <c r="W31" s="205">
        <v>12500</v>
      </c>
      <c r="X31" s="194">
        <v>4500</v>
      </c>
      <c r="Y31">
        <v>2500</v>
      </c>
      <c r="Z31">
        <v>1000</v>
      </c>
      <c r="AC31" s="232">
        <f t="shared" si="1"/>
        <v>-1160</v>
      </c>
      <c r="AD31" s="233">
        <f t="shared" si="2"/>
        <v>2363900</v>
      </c>
      <c r="AE31" s="234">
        <f t="shared" si="3"/>
        <v>-4820</v>
      </c>
      <c r="AF31" s="224">
        <f t="shared" si="4"/>
        <v>81.0227</v>
      </c>
      <c r="AG31" s="225">
        <f t="shared" si="5"/>
        <v>63.758200000000002</v>
      </c>
      <c r="AH31" s="186">
        <f t="shared" si="6"/>
        <v>0.46840626439428834</v>
      </c>
    </row>
    <row r="32" spans="3:34" x14ac:dyDescent="0.25">
      <c r="C32" t="s">
        <v>449</v>
      </c>
      <c r="E32" s="194">
        <v>7.3</v>
      </c>
      <c r="F32" s="194">
        <v>4.54</v>
      </c>
      <c r="G32">
        <f>+E32*89.64%</f>
        <v>6.5437199999999995</v>
      </c>
      <c r="H32">
        <f t="shared" si="0"/>
        <v>0.75628000000000029</v>
      </c>
      <c r="I32" s="186">
        <f t="shared" si="7"/>
        <v>0.89639999999999997</v>
      </c>
      <c r="J32" s="186">
        <f t="shared" si="8"/>
        <v>0.10360000000000004</v>
      </c>
      <c r="M32" s="228">
        <v>0.77580000000000005</v>
      </c>
      <c r="N32" s="194">
        <v>2044</v>
      </c>
      <c r="O32" s="242">
        <f t="shared" si="10"/>
        <v>1962.0646849315069</v>
      </c>
      <c r="P32" s="242">
        <v>1962.0646849315069</v>
      </c>
      <c r="Q32" s="242">
        <v>0</v>
      </c>
      <c r="R32" s="242">
        <f t="shared" si="11"/>
        <v>0</v>
      </c>
      <c r="S32" s="243">
        <f t="shared" si="12"/>
        <v>1</v>
      </c>
      <c r="T32" s="245">
        <f t="shared" si="9"/>
        <v>7.3</v>
      </c>
      <c r="U32" s="243">
        <f t="shared" si="13"/>
        <v>0.89639999999999997</v>
      </c>
      <c r="V32" s="205">
        <v>2000</v>
      </c>
      <c r="W32" s="205">
        <v>1250</v>
      </c>
      <c r="X32" s="194">
        <v>900</v>
      </c>
      <c r="Y32">
        <v>600</v>
      </c>
      <c r="Z32">
        <v>400</v>
      </c>
      <c r="AC32" s="232">
        <f t="shared" si="1"/>
        <v>-77</v>
      </c>
      <c r="AD32" s="233">
        <f t="shared" si="2"/>
        <v>157340</v>
      </c>
      <c r="AE32" s="234">
        <f t="shared" si="3"/>
        <v>-48</v>
      </c>
      <c r="AF32" s="224">
        <f t="shared" si="4"/>
        <v>8.5497599999999991</v>
      </c>
      <c r="AG32" s="225">
        <f t="shared" si="5"/>
        <v>7.6737599999999997</v>
      </c>
      <c r="AH32" s="186">
        <f t="shared" si="6"/>
        <v>5.1199999999999982E-2</v>
      </c>
    </row>
    <row r="33" spans="3:34" x14ac:dyDescent="0.25">
      <c r="C33" t="s">
        <v>509</v>
      </c>
      <c r="E33" s="194">
        <v>0.57999999999999996</v>
      </c>
      <c r="F33" s="194">
        <v>0</v>
      </c>
      <c r="G33">
        <f>+E33</f>
        <v>0.57999999999999996</v>
      </c>
      <c r="H33">
        <f t="shared" si="0"/>
        <v>0</v>
      </c>
      <c r="I33" s="186">
        <f t="shared" si="7"/>
        <v>1</v>
      </c>
      <c r="J33" s="186">
        <f t="shared" si="8"/>
        <v>0</v>
      </c>
      <c r="M33" s="228">
        <v>0.91830000000000001</v>
      </c>
      <c r="N33" s="194">
        <v>2031</v>
      </c>
      <c r="O33" s="242">
        <f t="shared" si="10"/>
        <v>60862.479471894199</v>
      </c>
      <c r="P33" s="242">
        <v>26403.53284931507</v>
      </c>
      <c r="Q33" s="242">
        <v>199.86189041095895</v>
      </c>
      <c r="R33" s="242">
        <f t="shared" si="11"/>
        <v>34458.946622579126</v>
      </c>
      <c r="S33" s="243">
        <f t="shared" si="12"/>
        <v>0.43382282612242257</v>
      </c>
      <c r="T33" s="245">
        <f t="shared" si="9"/>
        <v>0.25161723915100509</v>
      </c>
      <c r="U33" s="243">
        <f t="shared" si="13"/>
        <v>1</v>
      </c>
      <c r="V33" s="205">
        <v>500</v>
      </c>
      <c r="W33" s="205">
        <v>200</v>
      </c>
      <c r="X33" s="194">
        <v>80</v>
      </c>
      <c r="AC33" s="232">
        <f t="shared" si="1"/>
        <v>-42</v>
      </c>
      <c r="AD33" s="233">
        <f t="shared" si="2"/>
        <v>85310</v>
      </c>
      <c r="AE33" s="234">
        <f t="shared" si="3"/>
        <v>8</v>
      </c>
      <c r="AF33" s="224">
        <f t="shared" si="4"/>
        <v>1.0198100000000001</v>
      </c>
      <c r="AG33" s="225">
        <f t="shared" si="5"/>
        <v>0.95958500000000002</v>
      </c>
      <c r="AH33" s="186">
        <f t="shared" si="6"/>
        <v>0.65445689655172434</v>
      </c>
    </row>
    <row r="34" spans="3:34" x14ac:dyDescent="0.25">
      <c r="C34" t="s">
        <v>510</v>
      </c>
      <c r="E34" s="194">
        <v>130.22</v>
      </c>
      <c r="F34" s="194">
        <v>284</v>
      </c>
      <c r="G34">
        <f>+E34*63.65%</f>
        <v>82.88503</v>
      </c>
      <c r="H34">
        <f t="shared" si="0"/>
        <v>47.334969999999998</v>
      </c>
      <c r="I34" s="186">
        <f t="shared" si="7"/>
        <v>0.63649999999999995</v>
      </c>
      <c r="J34" s="186">
        <f t="shared" si="8"/>
        <v>0.36349999999999999</v>
      </c>
      <c r="M34" s="228">
        <v>0.63759999999999994</v>
      </c>
      <c r="N34" s="194">
        <v>2018</v>
      </c>
      <c r="O34" s="242">
        <f t="shared" si="10"/>
        <v>604.87506849315071</v>
      </c>
      <c r="P34" s="242">
        <v>604.87506849315071</v>
      </c>
      <c r="Q34" s="242">
        <v>0</v>
      </c>
      <c r="R34" s="242">
        <f t="shared" si="11"/>
        <v>0</v>
      </c>
      <c r="S34" s="243">
        <f t="shared" si="12"/>
        <v>1</v>
      </c>
      <c r="T34" s="245">
        <f t="shared" si="9"/>
        <v>130.22</v>
      </c>
      <c r="U34" s="243">
        <f t="shared" si="13"/>
        <v>0.63649999999999995</v>
      </c>
      <c r="V34" s="205">
        <v>55000</v>
      </c>
      <c r="W34" s="205">
        <v>31000</v>
      </c>
      <c r="X34" s="194">
        <v>15000</v>
      </c>
      <c r="Y34">
        <v>8000</v>
      </c>
      <c r="AC34" s="232">
        <f t="shared" si="1"/>
        <v>-3140</v>
      </c>
      <c r="AD34" s="233">
        <f t="shared" si="2"/>
        <v>6393600</v>
      </c>
      <c r="AE34" s="234">
        <f t="shared" si="3"/>
        <v>57080</v>
      </c>
      <c r="AF34" s="224">
        <f t="shared" si="4"/>
        <v>-40.909199999999998</v>
      </c>
      <c r="AG34" s="225">
        <f t="shared" si="5"/>
        <v>-39.376199999999997</v>
      </c>
      <c r="AH34" s="186">
        <f t="shared" si="6"/>
        <v>-1.3023821225618186</v>
      </c>
    </row>
    <row r="35" spans="3:34" x14ac:dyDescent="0.25">
      <c r="C35" t="s">
        <v>344</v>
      </c>
      <c r="E35" s="194">
        <v>24.09</v>
      </c>
      <c r="F35" s="194">
        <v>0</v>
      </c>
      <c r="G35">
        <f>+E35</f>
        <v>24.09</v>
      </c>
      <c r="H35">
        <f t="shared" si="0"/>
        <v>0</v>
      </c>
      <c r="I35" s="186">
        <f t="shared" si="7"/>
        <v>1</v>
      </c>
      <c r="J35" s="186">
        <f t="shared" si="8"/>
        <v>0</v>
      </c>
      <c r="M35" s="228">
        <v>0.73740000000000006</v>
      </c>
      <c r="N35" s="194">
        <v>2064</v>
      </c>
      <c r="O35" s="242">
        <f t="shared" si="10"/>
        <v>4233.3403013698626</v>
      </c>
      <c r="P35" s="242">
        <v>4233.3403013698626</v>
      </c>
      <c r="Q35" s="242">
        <v>0</v>
      </c>
      <c r="R35" s="242">
        <f t="shared" si="11"/>
        <v>0</v>
      </c>
      <c r="S35" s="243">
        <f t="shared" si="12"/>
        <v>1</v>
      </c>
      <c r="T35" s="245">
        <f t="shared" si="9"/>
        <v>24.09</v>
      </c>
      <c r="U35" s="243">
        <f t="shared" si="13"/>
        <v>1</v>
      </c>
      <c r="V35" s="205">
        <v>4000</v>
      </c>
      <c r="W35" s="205">
        <v>3500</v>
      </c>
      <c r="X35" s="194">
        <v>2500</v>
      </c>
      <c r="Y35">
        <v>2000</v>
      </c>
      <c r="Z35">
        <v>1500</v>
      </c>
      <c r="AA35">
        <v>1250</v>
      </c>
      <c r="AB35">
        <v>1000</v>
      </c>
      <c r="AC35" s="232">
        <f t="shared" si="1"/>
        <v>-103.57142857142857</v>
      </c>
      <c r="AD35" s="233">
        <f t="shared" si="2"/>
        <v>213017.85714285713</v>
      </c>
      <c r="AE35" s="234">
        <f t="shared" si="3"/>
        <v>-753.57142857144936</v>
      </c>
      <c r="AF35" s="224">
        <f t="shared" si="4"/>
        <v>26.068821428571262</v>
      </c>
      <c r="AG35" s="225">
        <f t="shared" si="5"/>
        <v>24.491499999999998</v>
      </c>
      <c r="AH35" s="186">
        <f t="shared" si="6"/>
        <v>1.6666666666666611E-2</v>
      </c>
    </row>
    <row r="36" spans="3:34" x14ac:dyDescent="0.25">
      <c r="C36" t="s">
        <v>511</v>
      </c>
      <c r="E36" s="194">
        <v>5.59</v>
      </c>
      <c r="F36" s="194">
        <v>0</v>
      </c>
      <c r="G36">
        <f>+E36</f>
        <v>5.59</v>
      </c>
      <c r="H36">
        <f t="shared" si="0"/>
        <v>0</v>
      </c>
      <c r="I36" s="186">
        <f t="shared" si="7"/>
        <v>1</v>
      </c>
      <c r="J36" s="186">
        <f t="shared" si="8"/>
        <v>0</v>
      </c>
      <c r="M36" s="228">
        <v>0.69210000000000005</v>
      </c>
      <c r="N36" s="194">
        <v>2047</v>
      </c>
      <c r="O36" s="242">
        <f t="shared" si="10"/>
        <v>1476.5236986301368</v>
      </c>
      <c r="P36" s="242">
        <v>1476.5236986301368</v>
      </c>
      <c r="Q36" s="242">
        <v>0</v>
      </c>
      <c r="R36" s="242">
        <f t="shared" si="11"/>
        <v>0</v>
      </c>
      <c r="S36" s="243">
        <f t="shared" si="12"/>
        <v>1</v>
      </c>
      <c r="T36" s="245">
        <f t="shared" si="9"/>
        <v>5.59</v>
      </c>
      <c r="U36" s="243">
        <f t="shared" si="13"/>
        <v>1</v>
      </c>
      <c r="V36" s="205">
        <v>1400</v>
      </c>
      <c r="W36" s="205">
        <v>1250</v>
      </c>
      <c r="X36" s="194">
        <v>750</v>
      </c>
      <c r="Y36">
        <v>450</v>
      </c>
      <c r="Z36">
        <v>250</v>
      </c>
      <c r="AC36" s="232">
        <f t="shared" si="1"/>
        <v>-62</v>
      </c>
      <c r="AD36" s="233">
        <f t="shared" si="2"/>
        <v>126680</v>
      </c>
      <c r="AE36" s="234">
        <f t="shared" si="3"/>
        <v>-234</v>
      </c>
      <c r="AF36" s="224">
        <f t="shared" si="4"/>
        <v>5.7454650000000003</v>
      </c>
      <c r="AG36" s="225">
        <f t="shared" si="5"/>
        <v>5.9425650000000001</v>
      </c>
      <c r="AH36" s="186">
        <f t="shared" si="6"/>
        <v>6.307066189624333E-2</v>
      </c>
    </row>
    <row r="37" spans="3:34" x14ac:dyDescent="0.25">
      <c r="C37" t="s">
        <v>345</v>
      </c>
      <c r="E37" s="194">
        <v>16.52</v>
      </c>
      <c r="F37" s="194">
        <v>1.91</v>
      </c>
      <c r="G37">
        <f>+E37*98.07%</f>
        <v>16.201163999999999</v>
      </c>
      <c r="H37">
        <f t="shared" si="0"/>
        <v>0.31883600000000101</v>
      </c>
      <c r="I37" s="186">
        <f t="shared" si="7"/>
        <v>0.98069999999999991</v>
      </c>
      <c r="J37" s="186">
        <f t="shared" si="8"/>
        <v>1.930000000000006E-2</v>
      </c>
      <c r="M37" s="228">
        <v>0.73629999999999995</v>
      </c>
      <c r="N37" s="194">
        <v>2060</v>
      </c>
      <c r="O37" s="242">
        <f t="shared" si="10"/>
        <v>4154.1152328767121</v>
      </c>
      <c r="P37" s="242">
        <v>4154.1152328767121</v>
      </c>
      <c r="Q37" s="242">
        <v>0</v>
      </c>
      <c r="R37" s="242">
        <f t="shared" si="11"/>
        <v>0</v>
      </c>
      <c r="S37" s="243">
        <f t="shared" si="12"/>
        <v>1</v>
      </c>
      <c r="T37" s="245">
        <f t="shared" si="9"/>
        <v>16.52</v>
      </c>
      <c r="U37" s="243">
        <f t="shared" si="13"/>
        <v>0.98069999999999991</v>
      </c>
      <c r="V37" s="205">
        <v>4000</v>
      </c>
      <c r="W37" s="205">
        <v>3000</v>
      </c>
      <c r="X37" s="194">
        <v>1800</v>
      </c>
      <c r="Y37">
        <v>1250</v>
      </c>
      <c r="Z37">
        <v>1000</v>
      </c>
      <c r="AA37">
        <v>750</v>
      </c>
      <c r="AC37" s="232">
        <f t="shared" si="1"/>
        <v>-130.28571428571428</v>
      </c>
      <c r="AD37" s="233">
        <f t="shared" si="2"/>
        <v>266772.38095238095</v>
      </c>
      <c r="AE37" s="234">
        <f t="shared" si="3"/>
        <v>-1616.1904761904734</v>
      </c>
      <c r="AF37" s="224">
        <f t="shared" si="4"/>
        <v>17.401809523809543</v>
      </c>
      <c r="AG37" s="225">
        <f t="shared" si="5"/>
        <v>14.447047619026899</v>
      </c>
      <c r="AH37" s="186">
        <f t="shared" si="6"/>
        <v>-0.12548137899352912</v>
      </c>
    </row>
    <row r="38" spans="3:34" x14ac:dyDescent="0.25">
      <c r="C38" t="s">
        <v>512</v>
      </c>
      <c r="E38" s="194">
        <v>90.73</v>
      </c>
      <c r="F38" s="194">
        <v>10.09</v>
      </c>
      <c r="G38">
        <f>+E38*98.15%</f>
        <v>89.051495000000003</v>
      </c>
      <c r="H38">
        <f t="shared" si="0"/>
        <v>1.6785050000000012</v>
      </c>
      <c r="I38" s="186">
        <f t="shared" si="7"/>
        <v>0.98150000000000004</v>
      </c>
      <c r="J38" s="186">
        <f t="shared" si="8"/>
        <v>1.8500000000000013E-2</v>
      </c>
      <c r="M38" s="228">
        <v>0.50829999999999997</v>
      </c>
      <c r="N38" s="194">
        <v>2061</v>
      </c>
      <c r="O38" s="242">
        <f t="shared" si="10"/>
        <v>18271.22222390175</v>
      </c>
      <c r="P38" s="242">
        <v>17849.99879452055</v>
      </c>
      <c r="Q38" s="242">
        <v>2.4430958904109596</v>
      </c>
      <c r="R38" s="242">
        <f t="shared" si="11"/>
        <v>421.22342938119994</v>
      </c>
      <c r="S38" s="243">
        <f t="shared" si="12"/>
        <v>0.97694607266994049</v>
      </c>
      <c r="T38" s="245">
        <f t="shared" si="9"/>
        <v>88.638317173343708</v>
      </c>
      <c r="U38" s="243">
        <f t="shared" si="13"/>
        <v>0.98150000000000004</v>
      </c>
      <c r="V38" s="205">
        <v>19000</v>
      </c>
      <c r="W38" s="205">
        <v>16000</v>
      </c>
      <c r="X38" s="194">
        <v>10000</v>
      </c>
      <c r="Y38">
        <v>7000</v>
      </c>
      <c r="Z38">
        <v>4500</v>
      </c>
      <c r="AA38">
        <v>3000</v>
      </c>
      <c r="AB38">
        <v>2000</v>
      </c>
    </row>
    <row r="39" spans="3:34" x14ac:dyDescent="0.25">
      <c r="H39">
        <f t="shared" si="0"/>
        <v>0</v>
      </c>
      <c r="I39" s="186"/>
      <c r="J39" s="186"/>
    </row>
    <row r="40" spans="3:34" x14ac:dyDescent="0.25">
      <c r="C40" t="s">
        <v>519</v>
      </c>
      <c r="E40" s="194" t="s">
        <v>527</v>
      </c>
      <c r="F40" s="194">
        <v>23.75</v>
      </c>
      <c r="G40" t="e">
        <f>+E40*0.74%</f>
        <v>#VALUE!</v>
      </c>
      <c r="H40" t="e">
        <f t="shared" si="0"/>
        <v>#VALUE!</v>
      </c>
      <c r="I40" s="186" t="e">
        <f t="shared" si="7"/>
        <v>#VALUE!</v>
      </c>
      <c r="J40" s="186" t="e">
        <f t="shared" si="8"/>
        <v>#VALUE!</v>
      </c>
      <c r="M40" s="228">
        <v>0.30909999999999999</v>
      </c>
      <c r="N40" s="194">
        <v>2049</v>
      </c>
      <c r="O40" s="194"/>
      <c r="P40" s="194"/>
      <c r="Q40" s="194"/>
      <c r="R40" s="194"/>
      <c r="S40" s="194"/>
      <c r="T40" s="194"/>
      <c r="U40" s="194"/>
    </row>
    <row r="41" spans="3:34" x14ac:dyDescent="0.25">
      <c r="C41" t="s">
        <v>520</v>
      </c>
      <c r="E41" s="194">
        <v>6.24</v>
      </c>
      <c r="F41" s="194">
        <v>11.14</v>
      </c>
      <c r="G41">
        <f>+E41*70.26%</f>
        <v>4.3842240000000006</v>
      </c>
      <c r="H41">
        <f t="shared" si="0"/>
        <v>1.8557759999999996</v>
      </c>
      <c r="I41" s="186">
        <f t="shared" si="7"/>
        <v>0.70260000000000011</v>
      </c>
      <c r="J41" s="186">
        <f t="shared" si="8"/>
        <v>0.29739999999999994</v>
      </c>
      <c r="M41" s="228">
        <v>0.77259999999999995</v>
      </c>
      <c r="N41" s="194">
        <v>2041</v>
      </c>
      <c r="O41" s="194"/>
      <c r="P41" s="194"/>
      <c r="Q41" s="194"/>
      <c r="R41" s="194"/>
      <c r="S41" s="194"/>
      <c r="T41" s="194"/>
      <c r="U41" s="194"/>
      <c r="V41" s="205">
        <v>3700</v>
      </c>
    </row>
    <row r="42" spans="3:34" x14ac:dyDescent="0.25">
      <c r="C42" t="s">
        <v>521</v>
      </c>
      <c r="E42" s="194">
        <v>18.809999999999999</v>
      </c>
      <c r="F42" s="194">
        <v>112.29</v>
      </c>
      <c r="G42">
        <f>+E42*0.49%</f>
        <v>9.2168999999999987E-2</v>
      </c>
      <c r="H42">
        <f t="shared" si="0"/>
        <v>18.717831</v>
      </c>
      <c r="I42" s="186">
        <f t="shared" si="7"/>
        <v>4.8999999999999998E-3</v>
      </c>
      <c r="J42" s="186">
        <f t="shared" si="8"/>
        <v>0.9951000000000001</v>
      </c>
      <c r="M42" s="228">
        <v>0.29599999999999999</v>
      </c>
      <c r="N42" s="194">
        <v>2042</v>
      </c>
      <c r="O42" s="194"/>
      <c r="P42" s="194"/>
      <c r="Q42" s="194"/>
      <c r="R42" s="194"/>
      <c r="S42" s="194"/>
      <c r="T42" s="194"/>
      <c r="U42" s="194"/>
      <c r="V42" s="205">
        <v>4500</v>
      </c>
    </row>
    <row r="43" spans="3:34" x14ac:dyDescent="0.25">
      <c r="C43" t="s">
        <v>522</v>
      </c>
      <c r="E43" s="194">
        <v>9.35</v>
      </c>
      <c r="F43" s="194">
        <v>4.1900000000000004</v>
      </c>
      <c r="G43">
        <f>+E43*92.53%</f>
        <v>8.6515550000000001</v>
      </c>
      <c r="H43">
        <f t="shared" si="0"/>
        <v>0.69844499999999954</v>
      </c>
      <c r="I43" s="186">
        <f t="shared" si="7"/>
        <v>0.92530000000000001</v>
      </c>
      <c r="J43" s="186">
        <f t="shared" si="8"/>
        <v>7.4699999999999947E-2</v>
      </c>
      <c r="M43" s="228">
        <v>0.51980000000000004</v>
      </c>
      <c r="N43" s="194">
        <v>2068</v>
      </c>
      <c r="O43" s="194"/>
      <c r="P43" s="194"/>
      <c r="Q43" s="194"/>
      <c r="R43" s="194"/>
      <c r="S43" s="194"/>
      <c r="T43" s="194"/>
      <c r="U43" s="194"/>
      <c r="V43" s="194">
        <v>1800</v>
      </c>
    </row>
    <row r="45" spans="3:34" x14ac:dyDescent="0.25">
      <c r="V45">
        <f>+SUM(V6:V43)</f>
        <v>529280</v>
      </c>
      <c r="W45" t="s">
        <v>528</v>
      </c>
    </row>
    <row r="46" spans="3:34" x14ac:dyDescent="0.25">
      <c r="V46">
        <f>+V45*365</f>
        <v>193187200</v>
      </c>
      <c r="W46" t="s">
        <v>528</v>
      </c>
    </row>
    <row r="47" spans="3:34" x14ac:dyDescent="0.25">
      <c r="C47" t="s">
        <v>513</v>
      </c>
      <c r="E47" s="212">
        <f>+SUM(E5:E38)+E42</f>
        <v>1984.8899999999996</v>
      </c>
      <c r="F47" t="s">
        <v>488</v>
      </c>
      <c r="V47" s="229">
        <f>+V46/1000000</f>
        <v>193.18719999999999</v>
      </c>
      <c r="W47" t="s">
        <v>529</v>
      </c>
    </row>
    <row r="48" spans="3:34" x14ac:dyDescent="0.25">
      <c r="C48" t="s">
        <v>514</v>
      </c>
      <c r="E48">
        <f>+SUM(G5:G38)+G42</f>
        <v>1725.2950059999996</v>
      </c>
      <c r="F48" t="s">
        <v>488</v>
      </c>
      <c r="G48" s="186">
        <f>+E48/E47</f>
        <v>0.86921441792744181</v>
      </c>
      <c r="H48" s="186"/>
      <c r="I48" s="186"/>
      <c r="J48" s="186"/>
      <c r="K48" s="186"/>
      <c r="L48" s="186"/>
      <c r="M48" s="212"/>
      <c r="V48" s="219" t="s">
        <v>530</v>
      </c>
      <c r="W48" s="219" t="s">
        <v>531</v>
      </c>
    </row>
    <row r="49" spans="3:23" x14ac:dyDescent="0.25">
      <c r="C49" t="s">
        <v>517</v>
      </c>
      <c r="E49" s="212">
        <f>+E47-E48</f>
        <v>259.59499400000004</v>
      </c>
      <c r="F49" t="s">
        <v>488</v>
      </c>
      <c r="G49" s="186">
        <f>+E49/E47</f>
        <v>0.13078558207255822</v>
      </c>
      <c r="H49" s="186"/>
      <c r="I49" s="186"/>
      <c r="J49" s="186"/>
      <c r="K49" s="186"/>
      <c r="L49" s="186"/>
      <c r="V49" s="236">
        <f>+V47*V54</f>
        <v>25.114335999999998</v>
      </c>
      <c r="W49" s="237">
        <f>+V47*(100%-V54)</f>
        <v>168.07286399999998</v>
      </c>
    </row>
    <row r="50" spans="3:23" x14ac:dyDescent="0.25">
      <c r="C50" t="s">
        <v>515</v>
      </c>
      <c r="E50" s="212">
        <f>+SUM(F5:F38)</f>
        <v>1635.0453439999999</v>
      </c>
      <c r="F50" t="s">
        <v>516</v>
      </c>
      <c r="V50" s="246">
        <f>+E49/V49</f>
        <v>10.33652627726252</v>
      </c>
    </row>
    <row r="51" spans="3:23" x14ac:dyDescent="0.25">
      <c r="E51" s="212">
        <f>+E50*(1000000000)</f>
        <v>1635045344000</v>
      </c>
      <c r="F51" t="s">
        <v>526</v>
      </c>
    </row>
    <row r="52" spans="3:23" x14ac:dyDescent="0.25">
      <c r="E52" s="212">
        <f>+(E51/G1)/1000000</f>
        <v>272.62588454016498</v>
      </c>
      <c r="N52" t="s">
        <v>518</v>
      </c>
      <c r="V52" t="s">
        <v>532</v>
      </c>
    </row>
    <row r="53" spans="3:23" x14ac:dyDescent="0.25">
      <c r="N53">
        <v>71</v>
      </c>
      <c r="V53" s="235">
        <v>0.87</v>
      </c>
    </row>
    <row r="54" spans="3:23" x14ac:dyDescent="0.25">
      <c r="E54">
        <f>+E50*1000</f>
        <v>1635045.3439999998</v>
      </c>
      <c r="F54" t="s">
        <v>523</v>
      </c>
      <c r="N54">
        <v>29</v>
      </c>
      <c r="V54" s="235">
        <v>0.13</v>
      </c>
    </row>
    <row r="55" spans="3:23" x14ac:dyDescent="0.25">
      <c r="E55">
        <f>+E54/11</f>
        <v>148640.4858181818</v>
      </c>
      <c r="F55" t="s">
        <v>523</v>
      </c>
      <c r="Q55" t="s">
        <v>540</v>
      </c>
      <c r="R55" s="212">
        <f>+E47</f>
        <v>1984.8899999999996</v>
      </c>
      <c r="S55" t="s">
        <v>488</v>
      </c>
    </row>
    <row r="56" spans="3:23" x14ac:dyDescent="0.25">
      <c r="E56">
        <f>+E55/365</f>
        <v>407.234207721046</v>
      </c>
      <c r="F56" t="s">
        <v>523</v>
      </c>
      <c r="Q56" t="s">
        <v>541</v>
      </c>
      <c r="R56" s="245">
        <f>+SUM(T6:T38)</f>
        <v>1737.7836457184026</v>
      </c>
    </row>
    <row r="58" spans="3:23" x14ac:dyDescent="0.25">
      <c r="E58">
        <v>1000</v>
      </c>
      <c r="F58" t="s">
        <v>523</v>
      </c>
    </row>
    <row r="59" spans="3:23" x14ac:dyDescent="0.25">
      <c r="E59">
        <f>+E58*365</f>
        <v>365000</v>
      </c>
    </row>
    <row r="60" spans="3:23" x14ac:dyDescent="0.25">
      <c r="E60" s="229">
        <f>+E54/E59</f>
        <v>4.4795762849315066</v>
      </c>
      <c r="F60" t="s">
        <v>524</v>
      </c>
    </row>
    <row r="61" spans="3:23" x14ac:dyDescent="0.25">
      <c r="E61" s="223"/>
    </row>
  </sheetData>
  <mergeCells count="1">
    <mergeCell ref="AF3:AG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F94E-1C8E-46BD-A56D-E61B734F2704}">
  <dimension ref="C1:Y60"/>
  <sheetViews>
    <sheetView showGridLines="0" tabSelected="1" zoomScale="115" zoomScaleNormal="115" workbookViewId="0">
      <selection activeCell="L5" sqref="L5:L37"/>
    </sheetView>
  </sheetViews>
  <sheetFormatPr baseColWidth="10" defaultRowHeight="15" x14ac:dyDescent="0.25"/>
  <cols>
    <col min="3" max="4" width="17.5703125" customWidth="1"/>
    <col min="5" max="5" width="21.42578125" customWidth="1"/>
    <col min="6" max="6" width="13.42578125" bestFit="1" customWidth="1"/>
    <col min="14" max="14" width="14.140625" customWidth="1"/>
    <col min="21" max="21" width="14.140625" customWidth="1"/>
    <col min="22" max="22" width="21.28515625" customWidth="1"/>
    <col min="23" max="23" width="18.85546875" customWidth="1"/>
    <col min="24" max="24" width="20.28515625" customWidth="1"/>
  </cols>
  <sheetData>
    <row r="1" spans="3:25" x14ac:dyDescent="0.25">
      <c r="F1" t="s">
        <v>507</v>
      </c>
      <c r="G1" s="229">
        <f>+F29*1000/E29</f>
        <v>390.60340856748041</v>
      </c>
      <c r="H1" s="229" t="s">
        <v>525</v>
      </c>
      <c r="I1" s="229"/>
      <c r="J1" s="229"/>
      <c r="N1">
        <v>1</v>
      </c>
      <c r="O1" t="s">
        <v>484</v>
      </c>
      <c r="P1">
        <v>5800</v>
      </c>
      <c r="Q1" t="s">
        <v>485</v>
      </c>
    </row>
    <row r="3" spans="3:25" x14ac:dyDescent="0.25">
      <c r="M3" s="207" t="s">
        <v>479</v>
      </c>
      <c r="N3" s="208"/>
      <c r="O3" s="208"/>
      <c r="P3" s="208"/>
      <c r="Q3" s="208"/>
      <c r="R3" s="208"/>
      <c r="S3" s="209"/>
      <c r="W3" s="275" t="s">
        <v>488</v>
      </c>
      <c r="X3" s="275"/>
    </row>
    <row r="4" spans="3:25" x14ac:dyDescent="0.25">
      <c r="E4" s="216" t="s">
        <v>475</v>
      </c>
      <c r="F4" s="217" t="s">
        <v>478</v>
      </c>
      <c r="G4" s="218" t="s">
        <v>477</v>
      </c>
      <c r="H4" s="218" t="s">
        <v>476</v>
      </c>
      <c r="I4" s="218"/>
      <c r="J4" s="218"/>
      <c r="K4" s="219" t="s">
        <v>480</v>
      </c>
      <c r="L4" s="216" t="s">
        <v>481</v>
      </c>
      <c r="M4" s="216">
        <v>2020</v>
      </c>
      <c r="N4" s="217">
        <v>2025</v>
      </c>
      <c r="O4" s="217">
        <v>2030</v>
      </c>
      <c r="P4" s="217">
        <v>2035</v>
      </c>
      <c r="Q4" s="217">
        <v>2040</v>
      </c>
      <c r="R4" s="217">
        <v>2045</v>
      </c>
      <c r="S4" s="218">
        <v>2050</v>
      </c>
      <c r="T4" s="220" t="s">
        <v>483</v>
      </c>
      <c r="U4" s="221" t="s">
        <v>482</v>
      </c>
      <c r="V4" s="222" t="s">
        <v>486</v>
      </c>
      <c r="W4" s="220" t="s">
        <v>487</v>
      </c>
      <c r="X4" s="221" t="s">
        <v>489</v>
      </c>
      <c r="Y4" s="183" t="s">
        <v>490</v>
      </c>
    </row>
    <row r="5" spans="3:25" x14ac:dyDescent="0.25">
      <c r="C5" t="s">
        <v>342</v>
      </c>
      <c r="E5" s="276">
        <v>89.87</v>
      </c>
      <c r="F5" s="206">
        <v>0</v>
      </c>
      <c r="G5" s="199">
        <f>+E5</f>
        <v>89.87</v>
      </c>
      <c r="H5">
        <f>+E5-G5</f>
        <v>0</v>
      </c>
      <c r="I5" s="186">
        <f>+G5/E5</f>
        <v>1</v>
      </c>
      <c r="J5" s="186">
        <f>+H5/E5</f>
        <v>0</v>
      </c>
      <c r="K5" s="200">
        <v>0.24629999999999999</v>
      </c>
      <c r="L5" s="276">
        <v>2048</v>
      </c>
      <c r="M5" s="276">
        <v>10000</v>
      </c>
      <c r="N5" s="206">
        <v>16000</v>
      </c>
      <c r="O5" s="206">
        <v>11000</v>
      </c>
      <c r="P5" s="206">
        <v>7500</v>
      </c>
      <c r="Q5" s="206">
        <v>5500</v>
      </c>
      <c r="R5" s="206">
        <v>4000</v>
      </c>
      <c r="S5" s="199"/>
      <c r="T5" s="210">
        <f>+SLOPE(M5:S5,$M$4:$S$4)</f>
        <v>-371.42857142857144</v>
      </c>
      <c r="U5" s="204">
        <f>+INTERCEPT(M5:S5,$M$4:$S$4)</f>
        <v>763928.57142857148</v>
      </c>
      <c r="V5" s="211">
        <f>+T5*L5+U5</f>
        <v>3242.8571428571595</v>
      </c>
      <c r="W5" s="224">
        <f>+((L5-$M$4)*V5+((L5-$M$4)*(M5-V5))/2)*365/1000000</f>
        <v>67.671000000000092</v>
      </c>
      <c r="X5" s="225">
        <f>+((T5*L5*L5/2)+(U5*L5)-(T5*$M$4*$M$4/2)-(U5*$M$4))*365/1000000</f>
        <v>86.286000000000001</v>
      </c>
      <c r="Y5" s="186">
        <f>+(X5-E5)/E5</f>
        <v>-3.9879826415934162E-2</v>
      </c>
    </row>
    <row r="6" spans="3:25" x14ac:dyDescent="0.25">
      <c r="C6" t="s">
        <v>346</v>
      </c>
      <c r="E6" s="194">
        <v>2.5</v>
      </c>
      <c r="F6" s="194">
        <v>7.0000000000000007E-2</v>
      </c>
      <c r="G6" s="194">
        <f>+E6*99.53%</f>
        <v>2.4882499999999999</v>
      </c>
      <c r="H6">
        <f>+E6-G6</f>
        <v>1.1750000000000149E-2</v>
      </c>
      <c r="I6" s="186">
        <f>+G6/E6</f>
        <v>0.99529999999999996</v>
      </c>
      <c r="J6" s="186">
        <f>+H6/E6</f>
        <v>4.70000000000006E-3</v>
      </c>
      <c r="K6" s="196">
        <v>0.93179999999999996</v>
      </c>
      <c r="L6" s="194">
        <v>2029</v>
      </c>
      <c r="M6" s="194">
        <v>2950</v>
      </c>
      <c r="N6" s="194">
        <v>750</v>
      </c>
      <c r="O6" s="194"/>
      <c r="P6" s="194"/>
      <c r="Q6" s="194"/>
      <c r="R6" s="194"/>
      <c r="S6" s="194"/>
      <c r="T6" s="210">
        <f>+SLOPE(M6:S6,$M$4:$S$4)</f>
        <v>-440</v>
      </c>
      <c r="U6" s="204">
        <f>+INTERCEPT(M6:S6,$M$4:$S$4)</f>
        <v>891750</v>
      </c>
      <c r="V6" s="211">
        <f>+T6*L6+U6</f>
        <v>-1010</v>
      </c>
      <c r="W6" s="226">
        <f>+((L6-$M$4)*V6+((L6-$M$4)*(M6-V6))/2)*365/1000000</f>
        <v>3.1864499999999998</v>
      </c>
      <c r="X6" s="227">
        <f>+((T6*L6*L6/2)+(U6*L6)-(T6*$M$4*$M$4/2)-(U6*$M$4))*365/1000000</f>
        <v>3.1864499999999998</v>
      </c>
      <c r="Y6" s="186">
        <f>+(X6-E6)/E6</f>
        <v>0.27457999999999994</v>
      </c>
    </row>
    <row r="7" spans="3:25" x14ac:dyDescent="0.25">
      <c r="C7" t="s">
        <v>491</v>
      </c>
      <c r="E7" s="194">
        <v>1.37</v>
      </c>
      <c r="F7" s="230">
        <f>+E7*1.12%</f>
        <v>1.5344000000000003E-2</v>
      </c>
      <c r="G7" s="195">
        <f>+E7*98.88%</f>
        <v>1.3546559999999999</v>
      </c>
      <c r="H7">
        <f>+E7-G7</f>
        <v>1.5344000000000246E-2</v>
      </c>
      <c r="I7" s="186">
        <f>+G7/E7</f>
        <v>0.98879999999999979</v>
      </c>
      <c r="J7" s="186">
        <f>+H7/E7</f>
        <v>1.1200000000000179E-2</v>
      </c>
      <c r="K7" s="196">
        <v>0.62780000000000002</v>
      </c>
      <c r="L7" s="194">
        <v>2041</v>
      </c>
      <c r="M7" s="194">
        <v>400</v>
      </c>
      <c r="N7" s="194">
        <v>280</v>
      </c>
      <c r="O7" s="194">
        <v>200</v>
      </c>
      <c r="P7" s="194">
        <v>120</v>
      </c>
      <c r="Q7" s="194">
        <v>80</v>
      </c>
      <c r="R7" s="194"/>
      <c r="S7" s="194"/>
      <c r="T7" s="210">
        <f>+SLOPE(M7:S7,$M$4:$S$4)</f>
        <v>-16</v>
      </c>
      <c r="U7" s="204">
        <f>+INTERCEPT(M7:S7,$M$4:$S$4)</f>
        <v>32696</v>
      </c>
      <c r="V7" s="211">
        <f>+T7*L7+U7</f>
        <v>40</v>
      </c>
      <c r="W7" s="226">
        <f>+((L7-$M$4)*V7+((L7-$M$4)*(M7-V7))/2)*365/1000000</f>
        <v>1.6862999999999999</v>
      </c>
      <c r="X7" s="227">
        <f>+((T7*L7*L7/2)+(U7*L7)-(T7*$M$4*$M$4/2)-(U7*$M$4))*365/1000000</f>
        <v>1.59432</v>
      </c>
      <c r="Y7" s="186">
        <f>+(X7-E7)/E7</f>
        <v>0.16373722627737214</v>
      </c>
    </row>
    <row r="8" spans="3:25" x14ac:dyDescent="0.25">
      <c r="C8" t="s">
        <v>311</v>
      </c>
      <c r="E8" s="194">
        <v>14.92</v>
      </c>
      <c r="F8" s="194">
        <v>89.54</v>
      </c>
      <c r="G8" s="194">
        <v>0</v>
      </c>
      <c r="H8">
        <f>+E8-G8</f>
        <v>14.92</v>
      </c>
      <c r="I8" s="186">
        <f>+G8/E8</f>
        <v>0</v>
      </c>
      <c r="J8" s="186">
        <f>+H8/E8</f>
        <v>1</v>
      </c>
      <c r="K8" s="196">
        <v>0.69059999999999999</v>
      </c>
      <c r="L8" s="194">
        <v>2039</v>
      </c>
      <c r="M8" s="194">
        <v>2500</v>
      </c>
      <c r="N8" s="213">
        <v>3000</v>
      </c>
      <c r="O8" s="194">
        <v>2100</v>
      </c>
      <c r="P8" s="194">
        <v>1800</v>
      </c>
      <c r="Q8" s="194"/>
      <c r="R8" s="194"/>
      <c r="S8" s="194"/>
      <c r="T8" s="210">
        <f>+SLOPE(M8:S8,$M$4:$S$4)</f>
        <v>-60</v>
      </c>
      <c r="U8" s="204">
        <f>+INTERCEPT(M8:S8,$M$4:$S$4)</f>
        <v>124000</v>
      </c>
      <c r="V8" s="211">
        <f>+T8*L8+U8</f>
        <v>1660</v>
      </c>
      <c r="W8" s="226">
        <f>+((L8-$M$4)*V8+((L8-$M$4)*(M8-V8))/2)*365/1000000</f>
        <v>14.424799999999999</v>
      </c>
      <c r="X8" s="227">
        <f>+((T8*L8*L8/2)+(U8*L8)-(T8*$M$4*$M$4/2)-(U8*$M$4))*365/1000000</f>
        <v>15.46505</v>
      </c>
      <c r="Y8" s="186">
        <f>+(X8-E8)/E8</f>
        <v>3.653150134048256E-2</v>
      </c>
    </row>
    <row r="9" spans="3:25" x14ac:dyDescent="0.25">
      <c r="C9" t="s">
        <v>140</v>
      </c>
      <c r="E9" s="194">
        <v>21.91</v>
      </c>
      <c r="F9" s="194">
        <v>0</v>
      </c>
      <c r="G9">
        <f>+E9</f>
        <v>21.91</v>
      </c>
      <c r="H9">
        <f>+E9-G9</f>
        <v>0</v>
      </c>
      <c r="I9" s="186">
        <f>+G9/E9</f>
        <v>1</v>
      </c>
      <c r="J9" s="186">
        <f>+H9/E9</f>
        <v>0</v>
      </c>
      <c r="K9" s="228">
        <v>0.78649999999999998</v>
      </c>
      <c r="L9" s="194">
        <v>2035</v>
      </c>
      <c r="M9" s="205">
        <v>10500</v>
      </c>
      <c r="N9" s="215">
        <v>6000</v>
      </c>
      <c r="O9" s="194">
        <v>2300</v>
      </c>
      <c r="P9" s="194">
        <v>1800</v>
      </c>
      <c r="T9" s="210">
        <f>+SLOPE(M9:S9,$M$4:$S$4)</f>
        <v>-596</v>
      </c>
      <c r="U9" s="204">
        <f>+INTERCEPT(M9:S9,$M$4:$S$4)</f>
        <v>1213540</v>
      </c>
      <c r="V9" s="211">
        <f>+T9*L9+U9</f>
        <v>680</v>
      </c>
      <c r="W9" s="226">
        <f>+((L9-$M$4)*V9+((L9-$M$4)*(M9-V9))/2)*365/1000000</f>
        <v>30.605250000000002</v>
      </c>
      <c r="X9" s="227">
        <f>+((T9*L9*L9/2)+(U9*L9)-(T9*$M$4*$M$4/2)-(U9*$M$4))*365/1000000</f>
        <v>28.196249999999999</v>
      </c>
      <c r="Y9" s="186">
        <f>+(X9-E9)/E9</f>
        <v>0.28691236878137832</v>
      </c>
    </row>
    <row r="10" spans="3:25" x14ac:dyDescent="0.25">
      <c r="C10" t="s">
        <v>495</v>
      </c>
      <c r="E10" s="194">
        <v>8.85</v>
      </c>
      <c r="F10" s="194">
        <v>0</v>
      </c>
      <c r="G10">
        <f>+E10</f>
        <v>8.85</v>
      </c>
      <c r="H10">
        <f>+E10-G10</f>
        <v>0</v>
      </c>
      <c r="I10" s="186">
        <f>+G10/E10</f>
        <v>1</v>
      </c>
      <c r="J10" s="186">
        <f>+H10/E10</f>
        <v>0</v>
      </c>
      <c r="K10" s="228">
        <v>0.55530000000000002</v>
      </c>
      <c r="L10" s="194">
        <v>2052</v>
      </c>
      <c r="M10" s="205">
        <v>1600</v>
      </c>
      <c r="N10" s="205">
        <v>1500</v>
      </c>
      <c r="O10" s="194">
        <v>1100</v>
      </c>
      <c r="P10" s="194">
        <v>750</v>
      </c>
      <c r="Q10" s="194">
        <v>500</v>
      </c>
      <c r="R10" s="194">
        <v>250</v>
      </c>
      <c r="S10" s="194">
        <v>200</v>
      </c>
      <c r="T10" s="232">
        <f>+SLOPE(M10:S10,$M$4:$S$4)</f>
        <v>-52.142857142857146</v>
      </c>
      <c r="U10" s="233">
        <f>+INTERCEPT(M10:S10,$M$4:$S$4)</f>
        <v>106953.57142857143</v>
      </c>
      <c r="V10" s="234">
        <f>+T10*L10+U10</f>
        <v>-43.571428571434808</v>
      </c>
      <c r="W10" s="224">
        <f>+((L10-$M$4)*V10+((L10-$M$4)*(M10-V10))/2)*365/1000000</f>
        <v>9.0895428571428205</v>
      </c>
      <c r="X10" s="225">
        <f>+((T10*L10*L10/2)+(U10*L10)-(T10*$M$4*$M$4/2)-(U10*$M$4))*365/1000000</f>
        <v>9.2355428571459655</v>
      </c>
      <c r="Y10" s="186">
        <f>+(X10-E10)/E10</f>
        <v>4.3564164649261675E-2</v>
      </c>
    </row>
    <row r="11" spans="3:25" x14ac:dyDescent="0.25">
      <c r="C11" t="s">
        <v>492</v>
      </c>
      <c r="E11" s="194">
        <v>153.29</v>
      </c>
      <c r="F11" s="194">
        <v>0</v>
      </c>
      <c r="G11" s="194">
        <v>153.29</v>
      </c>
      <c r="H11">
        <f>+E11-G11</f>
        <v>0</v>
      </c>
      <c r="I11" s="186">
        <f>+G11/E11</f>
        <v>1</v>
      </c>
      <c r="J11" s="186">
        <f>+H11/E11</f>
        <v>0</v>
      </c>
      <c r="K11" s="196">
        <v>0.70950000000000002</v>
      </c>
      <c r="L11" s="194">
        <v>2036</v>
      </c>
      <c r="M11" s="194">
        <v>65000</v>
      </c>
      <c r="N11" s="213">
        <v>37500</v>
      </c>
      <c r="O11" s="194">
        <v>22500</v>
      </c>
      <c r="P11" s="194">
        <v>12500</v>
      </c>
      <c r="Q11" s="194"/>
      <c r="R11" s="194"/>
      <c r="S11" s="194"/>
      <c r="T11" s="232">
        <f>+SLOPE(M11:S11,$M$4:$S$4)</f>
        <v>-3450</v>
      </c>
      <c r="U11" s="233">
        <f>+INTERCEPT(M11:S11,$M$4:$S$4)</f>
        <v>7029250</v>
      </c>
      <c r="V11" s="234">
        <f>+T11*L11+U11</f>
        <v>5050</v>
      </c>
      <c r="W11" s="224">
        <f>+((L11-$M$4)*V11+((L11-$M$4)*(M11-V11))/2)*365/1000000</f>
        <v>204.54599999999999</v>
      </c>
      <c r="X11" s="225">
        <f>+((T11*L11*L11/2)+(U11*L11)-(T11*$M$4*$M$4/2)-(U11*$M$4))*365/1000000</f>
        <v>190.67599999999999</v>
      </c>
      <c r="Y11" s="186">
        <f>+(X11-E11)/E11</f>
        <v>0.24389066475308238</v>
      </c>
    </row>
    <row r="12" spans="3:25" x14ac:dyDescent="0.25">
      <c r="C12" t="s">
        <v>493</v>
      </c>
      <c r="E12" s="194">
        <v>0.88</v>
      </c>
      <c r="F12" s="194">
        <v>0</v>
      </c>
      <c r="G12" s="194">
        <v>0.88</v>
      </c>
      <c r="H12">
        <f>+E12-G12</f>
        <v>0</v>
      </c>
      <c r="I12" s="186">
        <f>+G12/E12</f>
        <v>1</v>
      </c>
      <c r="J12" s="186">
        <f>+H12/E12</f>
        <v>0</v>
      </c>
      <c r="K12" s="196">
        <v>0.69830000000000003</v>
      </c>
      <c r="L12" s="194">
        <v>2042</v>
      </c>
      <c r="M12" s="194">
        <v>150</v>
      </c>
      <c r="N12" s="231">
        <v>180</v>
      </c>
      <c r="O12" s="194">
        <v>105</v>
      </c>
      <c r="P12" s="194">
        <v>90</v>
      </c>
      <c r="Q12" s="194">
        <v>60</v>
      </c>
      <c r="R12" s="194"/>
      <c r="S12" s="194"/>
      <c r="T12" s="232">
        <f>+SLOPE(M12:S12,$M$4:$S$4)</f>
        <v>-5.4</v>
      </c>
      <c r="U12" s="233">
        <f>+INTERCEPT(M12:S12,$M$4:$S$4)</f>
        <v>11079</v>
      </c>
      <c r="V12" s="234">
        <f>+T12*L12+U12</f>
        <v>52.199999999998909</v>
      </c>
      <c r="W12" s="224">
        <f>+((L12-$M$4)*V12+((L12-$M$4)*(M12-V12))/2)*365/1000000</f>
        <v>0.81183299999999559</v>
      </c>
      <c r="X12" s="225">
        <f>+((T12*L12*L12/2)+(U12*L12)-(T12*$M$4*$M$4/2)-(U12*$M$4))*365/1000000</f>
        <v>0.89614799999972805</v>
      </c>
      <c r="Y12" s="186">
        <f>+(X12-E12)/E12</f>
        <v>1.8349999999690961E-2</v>
      </c>
    </row>
    <row r="13" spans="3:25" x14ac:dyDescent="0.25">
      <c r="C13" t="s">
        <v>494</v>
      </c>
      <c r="E13" s="194">
        <v>543.79</v>
      </c>
      <c r="F13" s="194">
        <v>0</v>
      </c>
      <c r="G13" s="194">
        <f>+E13</f>
        <v>543.79</v>
      </c>
      <c r="H13">
        <f>+E13-G13</f>
        <v>0</v>
      </c>
      <c r="I13" s="186">
        <f>+G13/E13</f>
        <v>1</v>
      </c>
      <c r="J13" s="186">
        <f>+H13/E13</f>
        <v>0</v>
      </c>
      <c r="K13" s="196">
        <v>0.31709999999999999</v>
      </c>
      <c r="L13" s="194">
        <v>2099</v>
      </c>
      <c r="M13" s="194">
        <v>40000</v>
      </c>
      <c r="N13" s="194"/>
      <c r="O13" s="194">
        <v>32500</v>
      </c>
      <c r="Q13" s="194">
        <v>27500</v>
      </c>
      <c r="R13" s="194"/>
      <c r="S13" s="194">
        <v>22500</v>
      </c>
      <c r="T13" s="232">
        <f>+SLOPE(M13:S13,$M$4:$S$4)</f>
        <v>-575</v>
      </c>
      <c r="U13" s="233">
        <f>+INTERCEPT(M13:S13,$M$4:$S$4)</f>
        <v>1200750</v>
      </c>
      <c r="V13" s="234">
        <f>+T13*L13+U13</f>
        <v>-6175</v>
      </c>
      <c r="W13" s="224">
        <f>+((L13-$M$4)*V13+((L13-$M$4)*(M13-V13))/2)*365/1000000</f>
        <v>487.67193750000001</v>
      </c>
      <c r="X13" s="225">
        <f>+((T13*L13*L13/2)+(U13*L13)-(T13*$M$4*$M$4/2)-(U13*$M$4))*365/1000000</f>
        <v>476.8588125</v>
      </c>
      <c r="Y13" s="186">
        <f>+(X13-E13)/E13</f>
        <v>-0.1230827847146876</v>
      </c>
    </row>
    <row r="14" spans="3:25" x14ac:dyDescent="0.25">
      <c r="C14" t="s">
        <v>61</v>
      </c>
      <c r="E14" s="194">
        <v>146.25</v>
      </c>
      <c r="F14" s="194">
        <v>0</v>
      </c>
      <c r="G14">
        <v>146.25</v>
      </c>
      <c r="H14">
        <f>+E14-G14</f>
        <v>0</v>
      </c>
      <c r="I14" s="186">
        <f>+G14/E14</f>
        <v>1</v>
      </c>
      <c r="J14" s="186">
        <f>+H14/E14</f>
        <v>0</v>
      </c>
      <c r="K14" s="228">
        <v>0.58260000000000001</v>
      </c>
      <c r="L14" s="194">
        <v>2039</v>
      </c>
      <c r="M14" s="205">
        <v>50000</v>
      </c>
      <c r="N14" s="205">
        <v>35000</v>
      </c>
      <c r="O14" s="194">
        <v>20000</v>
      </c>
      <c r="P14" s="194">
        <v>12500</v>
      </c>
      <c r="T14" s="232">
        <f>+SLOPE(M14:S14,$M$4:$S$4)</f>
        <v>-2550</v>
      </c>
      <c r="U14" s="233">
        <f>+INTERCEPT(M14:S14,$M$4:$S$4)</f>
        <v>5199500</v>
      </c>
      <c r="V14" s="234">
        <f>+T14*L14+U14</f>
        <v>50</v>
      </c>
      <c r="W14" s="224">
        <f>+((L14-$M$4)*V14+((L14-$M$4)*(M14-V14))/2)*365/1000000</f>
        <v>173.54837499999999</v>
      </c>
      <c r="X14" s="225">
        <f>+((T14*L14*L14/2)+(U14*L14)-(T14*$M$4*$M$4/2)-(U14*$M$4))*365/1000000</f>
        <v>168.34712500000001</v>
      </c>
      <c r="Y14" s="186">
        <f>+(X14-E14)/E14</f>
        <v>0.15109145299145302</v>
      </c>
    </row>
    <row r="15" spans="3:25" x14ac:dyDescent="0.25">
      <c r="C15" t="s">
        <v>496</v>
      </c>
      <c r="E15" s="194">
        <v>89.99</v>
      </c>
      <c r="F15" s="194">
        <v>0</v>
      </c>
      <c r="G15">
        <f>+E15</f>
        <v>89.99</v>
      </c>
      <c r="H15">
        <f>+E15-G15</f>
        <v>0</v>
      </c>
      <c r="I15" s="186">
        <f>+G15/E15</f>
        <v>1</v>
      </c>
      <c r="J15" s="186">
        <f>+H15/E15</f>
        <v>0</v>
      </c>
      <c r="K15" s="228">
        <v>0.42830000000000001</v>
      </c>
      <c r="L15" s="194">
        <v>2044</v>
      </c>
      <c r="M15" s="205">
        <v>20000</v>
      </c>
      <c r="N15" s="205">
        <v>17500</v>
      </c>
      <c r="O15" s="194">
        <v>12500</v>
      </c>
      <c r="P15" s="194">
        <v>7600</v>
      </c>
      <c r="Q15" s="194">
        <v>6000</v>
      </c>
      <c r="T15" s="232">
        <f>+SLOPE(M15:S15,$M$4:$S$4)</f>
        <v>-758</v>
      </c>
      <c r="U15" s="233">
        <f>+INTERCEPT(M15:S15,$M$4:$S$4)</f>
        <v>1551460</v>
      </c>
      <c r="V15" s="234">
        <f>+T15*L15+U15</f>
        <v>2108</v>
      </c>
      <c r="W15" s="224">
        <f>+((L15-$M$4)*V15+((L15-$M$4)*(M15-V15))/2)*365/1000000</f>
        <v>96.833039999999997</v>
      </c>
      <c r="X15" s="225">
        <f>+((T15*L15*L15/2)+(U15*L15)-(T15*$M$4*$M$4/2)-(U15*$M$4))*365/1000000</f>
        <v>98.147040000000004</v>
      </c>
      <c r="Y15" s="186">
        <f>+(X15-E15)/E15</f>
        <v>9.0643849316590835E-2</v>
      </c>
    </row>
    <row r="16" spans="3:25" x14ac:dyDescent="0.25">
      <c r="C16" t="s">
        <v>301</v>
      </c>
      <c r="E16" s="277">
        <v>28.68</v>
      </c>
      <c r="F16" s="277">
        <v>172.07</v>
      </c>
      <c r="G16" s="278">
        <v>0</v>
      </c>
      <c r="H16">
        <f>+E16-G16</f>
        <v>28.68</v>
      </c>
      <c r="I16" s="186">
        <f>+G16/E16</f>
        <v>0</v>
      </c>
      <c r="J16" s="186">
        <f>+H16/E16</f>
        <v>1</v>
      </c>
      <c r="K16" s="279">
        <v>0.96079999999999999</v>
      </c>
      <c r="L16" s="280">
        <v>2027</v>
      </c>
      <c r="M16" s="213">
        <v>20000</v>
      </c>
      <c r="N16" s="213">
        <v>12500</v>
      </c>
      <c r="O16" s="278"/>
      <c r="P16" s="278"/>
      <c r="Q16" s="278"/>
      <c r="R16" s="278"/>
      <c r="S16" s="278"/>
      <c r="T16" s="232">
        <f>+SLOPE(M16:S16,$M$4:$S$4)</f>
        <v>-1500</v>
      </c>
      <c r="U16" s="233">
        <f>+INTERCEPT(M16:S16,$M$4:$S$4)</f>
        <v>3050000</v>
      </c>
      <c r="V16" s="234">
        <f>+T16*L16+U16</f>
        <v>9500</v>
      </c>
      <c r="W16" s="224">
        <f>+((L16-$M$4)*V16+((L16-$M$4)*(M16-V16))/2)*365/1000000</f>
        <v>37.686250000000001</v>
      </c>
      <c r="X16" s="225">
        <f>+((T16*L16*L16/2)+(U16*L16)-(T16*$M$4*$M$4/2)-(U16*$M$4))*365/1000000</f>
        <v>37.686250000000001</v>
      </c>
      <c r="Y16" s="186">
        <f>+(X16-E16)/E16</f>
        <v>0.31402545327754539</v>
      </c>
    </row>
    <row r="17" spans="3:25" x14ac:dyDescent="0.25">
      <c r="C17" t="s">
        <v>497</v>
      </c>
      <c r="E17" s="194">
        <v>86.96</v>
      </c>
      <c r="F17" s="194">
        <v>357.74</v>
      </c>
      <c r="G17">
        <f>+E17*68.57%</f>
        <v>59.628471999999995</v>
      </c>
      <c r="H17">
        <f>+E17-G17</f>
        <v>27.331527999999999</v>
      </c>
      <c r="I17" s="186">
        <f>+G17/E17</f>
        <v>0.68569999999999998</v>
      </c>
      <c r="J17" s="186">
        <f>+H17/E17</f>
        <v>0.31430000000000002</v>
      </c>
      <c r="K17" s="228">
        <v>0.87790000000000001</v>
      </c>
      <c r="L17" s="194">
        <v>2035</v>
      </c>
      <c r="M17" s="205">
        <v>42000</v>
      </c>
      <c r="N17" s="205">
        <v>22000</v>
      </c>
      <c r="O17" s="194">
        <v>16000</v>
      </c>
      <c r="P17" s="194">
        <v>8000</v>
      </c>
      <c r="T17" s="232">
        <f>+SLOPE(M17:S17,$M$4:$S$4)</f>
        <v>-2160</v>
      </c>
      <c r="U17" s="233">
        <f>+INTERCEPT(M17:S17,$M$4:$S$4)</f>
        <v>4401400</v>
      </c>
      <c r="V17" s="234">
        <f>+T17*L17+U17</f>
        <v>5800</v>
      </c>
      <c r="W17" s="224">
        <f>+((L17-$M$4)*V17+((L17-$M$4)*(M17-V17))/2)*365/1000000</f>
        <v>130.85249999999999</v>
      </c>
      <c r="X17" s="225">
        <f>+((T17*L17*L17/2)+(U17*L17)-(T17*$M$4*$M$4/2)-(U17*$M$4))*365/1000000</f>
        <v>120.45</v>
      </c>
      <c r="Y17" s="186">
        <f>+(X17-E17)/E17</f>
        <v>0.38511959521619149</v>
      </c>
    </row>
    <row r="18" spans="3:25" x14ac:dyDescent="0.25">
      <c r="C18" t="s">
        <v>498</v>
      </c>
      <c r="E18" s="194">
        <v>5.73</v>
      </c>
      <c r="F18" s="194">
        <v>0</v>
      </c>
      <c r="G18">
        <f>+E18</f>
        <v>5.73</v>
      </c>
      <c r="H18">
        <f>+E18-G18</f>
        <v>0</v>
      </c>
      <c r="I18" s="186">
        <f>+G18/E18</f>
        <v>1</v>
      </c>
      <c r="J18" s="186">
        <f>+H18/E18</f>
        <v>0</v>
      </c>
      <c r="K18" s="228">
        <v>0.61819999999999997</v>
      </c>
      <c r="L18" s="194">
        <v>2050</v>
      </c>
      <c r="M18" s="205">
        <v>2250</v>
      </c>
      <c r="N18" s="205">
        <v>1250</v>
      </c>
      <c r="O18" s="194">
        <v>600</v>
      </c>
      <c r="P18" s="194">
        <v>400</v>
      </c>
      <c r="Q18" s="194">
        <v>200</v>
      </c>
      <c r="R18" s="194">
        <v>150</v>
      </c>
      <c r="S18" s="194">
        <v>100</v>
      </c>
      <c r="T18" s="232">
        <f>+SLOPE(M18:S18,$M$4:$S$4)</f>
        <v>-64.642857142857139</v>
      </c>
      <c r="U18" s="233">
        <f>+INTERCEPT(M18:S18,$M$4:$S$4)</f>
        <v>132255.35714285716</v>
      </c>
      <c r="V18" s="234">
        <f>+T18*L18+U18</f>
        <v>-262.4999999999709</v>
      </c>
      <c r="W18" s="224">
        <f>+((L18-$M$4)*V18+((L18-$M$4)*(M18-V18))/2)*365/1000000</f>
        <v>10.881562500000161</v>
      </c>
      <c r="X18" s="225">
        <f>+((T18*L18*L18/2)+(U18*L18)-(T18*$M$4*$M$4/2)-(U18*$M$4))*365/1000000</f>
        <v>7.7432142857189472</v>
      </c>
      <c r="Y18" s="186">
        <f>+(X18-E18)/E18</f>
        <v>0.35134629768218961</v>
      </c>
    </row>
    <row r="19" spans="3:25" x14ac:dyDescent="0.25">
      <c r="C19" t="s">
        <v>499</v>
      </c>
      <c r="E19" s="194">
        <v>89.27</v>
      </c>
      <c r="F19" s="194">
        <v>504.38</v>
      </c>
      <c r="G19">
        <f>+E19*5.84%</f>
        <v>5.213368</v>
      </c>
      <c r="H19">
        <f>+E19-G19</f>
        <v>84.056631999999993</v>
      </c>
      <c r="I19" s="186">
        <f>+G19/E19</f>
        <v>5.8400000000000001E-2</v>
      </c>
      <c r="J19" s="186">
        <f>+H19/E19</f>
        <v>0.94159999999999999</v>
      </c>
      <c r="K19" s="228">
        <v>0.24510000000000001</v>
      </c>
      <c r="L19" s="194">
        <v>2059</v>
      </c>
      <c r="M19" s="205">
        <v>10000</v>
      </c>
      <c r="N19" s="205">
        <v>18500</v>
      </c>
      <c r="O19" s="194">
        <v>10000</v>
      </c>
      <c r="P19" s="194">
        <v>7000</v>
      </c>
      <c r="Q19" s="194">
        <v>5000</v>
      </c>
      <c r="R19" s="194">
        <v>3500</v>
      </c>
      <c r="S19" s="194">
        <v>2100</v>
      </c>
      <c r="T19" s="232">
        <f>+SLOPE(M19:S19,$M$4:$S$4)</f>
        <v>-419.28571428571439</v>
      </c>
      <c r="U19" s="233">
        <f>+INTERCEPT(M19:S19,$M$4:$S$4)</f>
        <v>861260.71428571444</v>
      </c>
      <c r="V19" s="234">
        <f>+T19*L19+U19</f>
        <v>-2048.5714285714785</v>
      </c>
      <c r="W19" s="224">
        <f>+((L19-$M$4)*V19+((L19-$M$4)*(M19-V19))/2)*365/1000000</f>
        <v>56.594292857142499</v>
      </c>
      <c r="X19" s="225">
        <f>+((T19*L19*L19/2)+(U19*L19)-(T19*$M$4*$M$4/2)-(U19*$M$4))*365/1000000</f>
        <v>87.224962500087017</v>
      </c>
      <c r="Y19" s="186">
        <f>+(X19-E19)/E19</f>
        <v>-2.2908451886557404E-2</v>
      </c>
    </row>
    <row r="20" spans="3:25" x14ac:dyDescent="0.25">
      <c r="C20" t="s">
        <v>501</v>
      </c>
      <c r="E20" s="194">
        <v>17.7</v>
      </c>
      <c r="F20" s="194">
        <v>97.48</v>
      </c>
      <c r="G20">
        <f>+E20*8.23%</f>
        <v>1.4567099999999999</v>
      </c>
      <c r="H20">
        <f>+E20-G20</f>
        <v>16.243289999999998</v>
      </c>
      <c r="I20" s="186">
        <f>+G20/E20</f>
        <v>8.2299999999999998E-2</v>
      </c>
      <c r="J20" s="186">
        <f>+H20/E20</f>
        <v>0.91769999999999996</v>
      </c>
      <c r="K20" s="228">
        <v>0.97750000000000004</v>
      </c>
      <c r="L20" s="194">
        <v>2025</v>
      </c>
      <c r="M20" s="194">
        <v>8000</v>
      </c>
      <c r="N20" s="213">
        <v>5000</v>
      </c>
      <c r="T20" s="232">
        <f>+SLOPE(M20:S20,$M$4:$S$4)</f>
        <v>-600</v>
      </c>
      <c r="U20" s="233">
        <f>+INTERCEPT(M20:S20,$M$4:$S$4)</f>
        <v>1220000</v>
      </c>
      <c r="V20" s="234">
        <f>+T20*L20+U20</f>
        <v>5000</v>
      </c>
      <c r="W20" s="224">
        <f>+((L20-$M$4)*V20+((L20-$M$4)*(M20-V20))/2)*365/1000000</f>
        <v>11.862500000000001</v>
      </c>
      <c r="X20" s="225">
        <f>+((T20*L20*L20/2)+(U20*L20)-(T20*$M$4*$M$4/2)-(U20*$M$4))*365/1000000</f>
        <v>11.862500000000001</v>
      </c>
      <c r="Y20" s="186">
        <f>+(X20-E20)/E20</f>
        <v>-0.32980225988700557</v>
      </c>
    </row>
    <row r="21" spans="3:25" x14ac:dyDescent="0.25">
      <c r="C21" t="s">
        <v>500</v>
      </c>
      <c r="E21" s="194">
        <v>10.25</v>
      </c>
      <c r="F21" s="194">
        <v>60.26</v>
      </c>
      <c r="G21">
        <f>+E21*2%</f>
        <v>0.20500000000000002</v>
      </c>
      <c r="H21">
        <f>+E21-G21</f>
        <v>10.045</v>
      </c>
      <c r="I21" s="186">
        <f>+G21/E21</f>
        <v>0.02</v>
      </c>
      <c r="J21" s="186">
        <f>+H21/E21</f>
        <v>0.98</v>
      </c>
      <c r="K21" s="228">
        <v>0.98270000000000002</v>
      </c>
      <c r="L21" s="194">
        <v>2025</v>
      </c>
      <c r="M21" s="205">
        <v>8000</v>
      </c>
      <c r="N21" s="205">
        <v>5000</v>
      </c>
      <c r="T21" s="232">
        <f>+SLOPE(M21:S21,$M$4:$S$4)</f>
        <v>-600</v>
      </c>
      <c r="U21" s="233">
        <f>+INTERCEPT(M21:S21,$M$4:$S$4)</f>
        <v>1220000</v>
      </c>
      <c r="V21" s="234">
        <f>+T21*L21+U21</f>
        <v>5000</v>
      </c>
      <c r="W21" s="224">
        <f>+((L21-$M$4)*V21+((L21-$M$4)*(M21-V21))/2)*365/1000000</f>
        <v>11.862500000000001</v>
      </c>
      <c r="X21" s="225">
        <f>+((T21*L21*L21/2)+(U21*L21)-(T21*$M$4*$M$4/2)-(U21*$M$4))*365/1000000</f>
        <v>11.862500000000001</v>
      </c>
      <c r="Y21" s="186">
        <f>+(X21-E21)/E21</f>
        <v>0.15731707317073176</v>
      </c>
    </row>
    <row r="22" spans="3:25" x14ac:dyDescent="0.25">
      <c r="C22" t="s">
        <v>503</v>
      </c>
      <c r="E22" s="194">
        <v>1.1399999999999999</v>
      </c>
      <c r="F22" s="194">
        <v>0.47</v>
      </c>
      <c r="G22">
        <f>+E22*93.12%</f>
        <v>1.0615679999999998</v>
      </c>
      <c r="H22">
        <f>+E22-G22</f>
        <v>7.8432000000000057E-2</v>
      </c>
      <c r="I22" s="186">
        <f>+G22/E22</f>
        <v>0.93119999999999992</v>
      </c>
      <c r="J22" s="186">
        <f>+H22/E22</f>
        <v>6.8800000000000056E-2</v>
      </c>
      <c r="K22" s="228">
        <v>0.73509999999999998</v>
      </c>
      <c r="L22" s="194">
        <v>2033</v>
      </c>
      <c r="M22" s="205">
        <v>1000</v>
      </c>
      <c r="N22" s="213">
        <v>300</v>
      </c>
      <c r="O22" s="194">
        <v>100</v>
      </c>
      <c r="T22" s="232">
        <f>+SLOPE(M22:S22,$M$4:$S$4)</f>
        <v>-90</v>
      </c>
      <c r="U22" s="233">
        <f>+INTERCEPT(M22:S22,$M$4:$S$4)</f>
        <v>182716.66666666666</v>
      </c>
      <c r="V22" s="234">
        <f>+T22*L22+U22</f>
        <v>-253.33333333334303</v>
      </c>
      <c r="W22" s="224">
        <f>+((L22-$M$4)*V22+((L22-$M$4)*(M22-V22))/2)*365/1000000</f>
        <v>1.7714666666666437</v>
      </c>
      <c r="X22" s="225">
        <f>+((T22*L22*L22/2)+(U22*L22)-(T22*$M$4*$M$4/2)-(U22*$M$4))*365/1000000</f>
        <v>1.5737583333405851</v>
      </c>
      <c r="Y22" s="186">
        <f>+(X22-E22)/E22</f>
        <v>0.38048976608823271</v>
      </c>
    </row>
    <row r="23" spans="3:25" x14ac:dyDescent="0.25">
      <c r="C23" t="s">
        <v>504</v>
      </c>
      <c r="E23" s="194">
        <v>1.31</v>
      </c>
      <c r="F23" s="194">
        <v>0.37</v>
      </c>
      <c r="G23">
        <f>+E23*95.34%</f>
        <v>1.2489540000000001</v>
      </c>
      <c r="H23">
        <f>+E23-G23</f>
        <v>6.1045999999999934E-2</v>
      </c>
      <c r="I23" s="186">
        <f>+G23/E23</f>
        <v>0.95340000000000003</v>
      </c>
      <c r="J23" s="186">
        <f>+H23/E23</f>
        <v>4.6599999999999947E-2</v>
      </c>
      <c r="K23" s="228">
        <v>0.34710000000000002</v>
      </c>
      <c r="L23" s="194">
        <v>2053</v>
      </c>
      <c r="M23" s="205">
        <v>480</v>
      </c>
      <c r="N23" s="205">
        <v>280</v>
      </c>
      <c r="O23" s="194">
        <v>125</v>
      </c>
      <c r="P23">
        <v>90</v>
      </c>
      <c r="Q23">
        <v>50</v>
      </c>
      <c r="R23">
        <v>30</v>
      </c>
      <c r="S23">
        <v>25</v>
      </c>
      <c r="T23" s="232">
        <f>+SLOPE(M23:S23,$M$4:$S$4)</f>
        <v>-13.857142857142858</v>
      </c>
      <c r="U23" s="233">
        <f>+INTERCEPT(M23:S23,$M$4:$S$4)</f>
        <v>28353.571428571428</v>
      </c>
      <c r="V23" s="234">
        <f>+T23*L23+U23</f>
        <v>-95.142857142858702</v>
      </c>
      <c r="W23" s="224">
        <f>+((L23-$M$4)*V23+((L23-$M$4)*(M23-V23))/2)*365/1000000</f>
        <v>2.3178021428571336</v>
      </c>
      <c r="X23" s="225">
        <f>+((T23*L23*L23/2)+(U23*L23)-(T23*$M$4*$M$4/2)-(U23*$M$4))*365/1000000</f>
        <v>1.6080075</v>
      </c>
      <c r="Y23" s="186">
        <f>+(X23-E23)/E23</f>
        <v>0.22748664122137402</v>
      </c>
    </row>
    <row r="24" spans="3:25" x14ac:dyDescent="0.25">
      <c r="C24" t="s">
        <v>502</v>
      </c>
      <c r="E24" s="194">
        <v>8.8000000000000007</v>
      </c>
      <c r="F24" s="194">
        <v>2.82</v>
      </c>
      <c r="G24">
        <f>+E24*94.66%</f>
        <v>8.3300800000000006</v>
      </c>
      <c r="H24">
        <f>+E24-G24</f>
        <v>0.46992000000000012</v>
      </c>
      <c r="I24" s="186">
        <f>+G24/E24</f>
        <v>0.9466</v>
      </c>
      <c r="J24" s="186">
        <f>+H24/E24</f>
        <v>5.340000000000001E-2</v>
      </c>
      <c r="K24" s="228">
        <v>0.7712</v>
      </c>
      <c r="L24" s="194">
        <v>2039</v>
      </c>
      <c r="M24" s="194">
        <v>3000</v>
      </c>
      <c r="N24" s="213">
        <v>2000</v>
      </c>
      <c r="O24" s="194">
        <v>1100</v>
      </c>
      <c r="P24" s="194">
        <v>800</v>
      </c>
      <c r="T24" s="232">
        <f>+SLOPE(M24:S24,$M$4:$S$4)</f>
        <v>-150</v>
      </c>
      <c r="U24" s="233">
        <f>+INTERCEPT(M24:S24,$M$4:$S$4)</f>
        <v>305850</v>
      </c>
      <c r="V24" s="234">
        <f>+T24*L24+U24</f>
        <v>0</v>
      </c>
      <c r="W24" s="224">
        <f>+((L24-$M$4)*V24+((L24-$M$4)*(M24-V24))/2)*365/1000000</f>
        <v>10.4025</v>
      </c>
      <c r="X24" s="225">
        <f>+((T24*L24*L24/2)+(U24*L24)-(T24*$M$4*$M$4/2)-(U24*$M$4))*365/1000000</f>
        <v>9.8823749999999997</v>
      </c>
      <c r="Y24" s="186">
        <f>+(X24-E24)/E24</f>
        <v>0.12299715909090897</v>
      </c>
    </row>
    <row r="25" spans="3:25" x14ac:dyDescent="0.25">
      <c r="C25" t="s">
        <v>505</v>
      </c>
      <c r="E25" s="194">
        <v>4.72</v>
      </c>
      <c r="F25" s="194">
        <v>7.45</v>
      </c>
      <c r="G25">
        <f>+E25*73.7%</f>
        <v>3.47864</v>
      </c>
      <c r="H25">
        <f>+E25-G25</f>
        <v>1.2413599999999998</v>
      </c>
      <c r="I25" s="186">
        <f>+G25/E25</f>
        <v>0.73699999999999999</v>
      </c>
      <c r="J25" s="186">
        <f>+H25/E25</f>
        <v>0.26299999999999996</v>
      </c>
      <c r="K25" s="228">
        <v>0.91449999999999998</v>
      </c>
      <c r="L25" s="194">
        <v>2030</v>
      </c>
      <c r="M25" s="205">
        <v>3750</v>
      </c>
      <c r="N25" s="205">
        <v>1750</v>
      </c>
      <c r="O25" s="194">
        <v>750</v>
      </c>
      <c r="T25" s="232">
        <f>+SLOPE(M25:S25,$M$4:$S$4)</f>
        <v>-300</v>
      </c>
      <c r="U25" s="233">
        <f>+INTERCEPT(M25:S25,$M$4:$S$4)</f>
        <v>609583.33333333337</v>
      </c>
      <c r="V25" s="234">
        <f>+T25*L25+U25</f>
        <v>583.33333333337214</v>
      </c>
      <c r="W25" s="224">
        <f>+((L25-$M$4)*V25+((L25-$M$4)*(M25-V25))/2)*365/1000000</f>
        <v>7.9083333333334034</v>
      </c>
      <c r="X25" s="225">
        <f>+((T25*L25*L25/2)+(U25*L25)-(T25*$M$4*$M$4/2)-(U25*$M$4))*365/1000000</f>
        <v>7.6041666666376591</v>
      </c>
      <c r="Y25" s="186">
        <f>+(X25-E25)/E25</f>
        <v>0.61105225988086009</v>
      </c>
    </row>
    <row r="26" spans="3:25" x14ac:dyDescent="0.25">
      <c r="C26" t="s">
        <v>506</v>
      </c>
      <c r="E26" s="194">
        <v>11.27</v>
      </c>
      <c r="F26" s="194">
        <v>0</v>
      </c>
      <c r="G26">
        <v>11.27</v>
      </c>
      <c r="H26">
        <f>+E26-G26</f>
        <v>0</v>
      </c>
      <c r="I26" s="186">
        <f>+G26/E26</f>
        <v>1</v>
      </c>
      <c r="J26" s="186">
        <f>+H26/E26</f>
        <v>0</v>
      </c>
      <c r="K26" s="228">
        <v>0.4148</v>
      </c>
      <c r="L26" s="194">
        <v>2067</v>
      </c>
      <c r="M26" s="205">
        <v>2500</v>
      </c>
      <c r="N26" s="214">
        <v>1750</v>
      </c>
      <c r="O26" s="194">
        <v>1250</v>
      </c>
      <c r="P26">
        <v>800</v>
      </c>
      <c r="Q26">
        <v>600</v>
      </c>
      <c r="R26">
        <v>400</v>
      </c>
      <c r="S26">
        <v>300</v>
      </c>
      <c r="T26" s="232">
        <f>+SLOPE(M26:S26,$M$4:$S$4)</f>
        <v>-71.071428571428569</v>
      </c>
      <c r="U26" s="233">
        <f>+INTERCEPT(M26:S26,$M$4:$S$4)</f>
        <v>145716.07142857142</v>
      </c>
      <c r="V26" s="234">
        <f>+T26*L26+U26</f>
        <v>-1188.5714285714203</v>
      </c>
      <c r="W26" s="224">
        <f>+((L26-$M$4)*V26+((L26-$M$4)*(M26-V26))/2)*365/1000000</f>
        <v>11.248778571428643</v>
      </c>
      <c r="X26" s="225">
        <f>+((T26*L26*L26/2)+(U26*L26)-(T26*$M$4*$M$4/2)-(U26*$M$4))*365/1000000</f>
        <v>8.2619705357080697</v>
      </c>
      <c r="Y26" s="186">
        <f>+(X26-E26)/E26</f>
        <v>-0.2669058974527001</v>
      </c>
    </row>
    <row r="27" spans="3:25" x14ac:dyDescent="0.25">
      <c r="C27" t="s">
        <v>318</v>
      </c>
      <c r="E27" s="194">
        <v>3.84</v>
      </c>
      <c r="F27" s="194">
        <v>23.03</v>
      </c>
      <c r="H27">
        <f>+E27-G27</f>
        <v>3.84</v>
      </c>
      <c r="I27" s="186">
        <f>+G27/E27</f>
        <v>0</v>
      </c>
      <c r="J27" s="186">
        <f>+H27/E27</f>
        <v>1</v>
      </c>
      <c r="K27" s="228">
        <v>0.84079999999999999</v>
      </c>
      <c r="L27" s="194">
        <v>2028</v>
      </c>
      <c r="M27" s="205">
        <v>5300</v>
      </c>
      <c r="N27" s="205">
        <v>1250</v>
      </c>
      <c r="T27" s="232">
        <f>+SLOPE(M27:S27,$M$4:$S$4)</f>
        <v>-810</v>
      </c>
      <c r="U27" s="233">
        <f>+INTERCEPT(M27:S27,$M$4:$S$4)</f>
        <v>1641500</v>
      </c>
      <c r="V27" s="234">
        <f>+T27*L27+U27</f>
        <v>-1180</v>
      </c>
      <c r="W27" s="224">
        <f>+((L27-$M$4)*V27+((L27-$M$4)*(M27-V27))/2)*365/1000000</f>
        <v>6.0152000000000001</v>
      </c>
      <c r="X27" s="225">
        <f>+((T27*L27*L27/2)+(U27*L27)-(T27*$M$4*$M$4/2)-(U27*$M$4))*365/1000000</f>
        <v>6.0152000000000001</v>
      </c>
      <c r="Y27" s="186">
        <f>+(X27-E27)/E27</f>
        <v>0.5664583333333334</v>
      </c>
    </row>
    <row r="28" spans="3:25" x14ac:dyDescent="0.25">
      <c r="C28" t="s">
        <v>508</v>
      </c>
      <c r="E28" s="194">
        <v>14.92</v>
      </c>
      <c r="F28">
        <v>0.24</v>
      </c>
      <c r="G28">
        <f>+E28*99.74%</f>
        <v>14.881207999999999</v>
      </c>
      <c r="H28">
        <f>+E28-G28</f>
        <v>3.8792000000000826E-2</v>
      </c>
      <c r="I28" s="186">
        <f>+G28/E28</f>
        <v>0.99739999999999995</v>
      </c>
      <c r="J28" s="186">
        <f>+H28/E28</f>
        <v>2.6000000000000554E-3</v>
      </c>
      <c r="K28" s="228">
        <v>0.75690000000000002</v>
      </c>
      <c r="L28" s="194">
        <v>2043</v>
      </c>
      <c r="M28" s="205">
        <v>10000</v>
      </c>
      <c r="N28" s="205">
        <v>4000</v>
      </c>
      <c r="O28" s="194">
        <v>1000</v>
      </c>
      <c r="P28">
        <v>500</v>
      </c>
      <c r="Q28">
        <v>400</v>
      </c>
      <c r="T28" s="232">
        <f>+SLOPE(M28:S28,$M$4:$S$4)</f>
        <v>-454</v>
      </c>
      <c r="U28" s="233">
        <f>+INTERCEPT(M28:S28,$M$4:$S$4)</f>
        <v>924800</v>
      </c>
      <c r="V28" s="234">
        <f>+T28*L28+U28</f>
        <v>-2722</v>
      </c>
      <c r="W28" s="224">
        <f>+((L28-$M$4)*V28+((L28-$M$4)*(M28-V28))/2)*365/1000000</f>
        <v>30.549405</v>
      </c>
      <c r="X28" s="225">
        <f>+((T28*L28*L28/2)+(U28*L28)-(T28*$M$4*$M$4/2)-(U28*$M$4))*365/1000000</f>
        <v>20.979105000000001</v>
      </c>
      <c r="Y28" s="186">
        <f>+(X28-E28)/E28</f>
        <v>0.40610623324396788</v>
      </c>
    </row>
    <row r="29" spans="3:25" x14ac:dyDescent="0.25">
      <c r="C29" t="s">
        <v>80</v>
      </c>
      <c r="E29" s="194">
        <v>43.42</v>
      </c>
      <c r="F29" s="194">
        <v>16.96</v>
      </c>
      <c r="G29">
        <f>+E29*93.49%</f>
        <v>40.593358000000002</v>
      </c>
      <c r="H29">
        <f>+E29-G29</f>
        <v>2.8266419999999997</v>
      </c>
      <c r="I29" s="186">
        <f>+G29/E29</f>
        <v>0.93490000000000006</v>
      </c>
      <c r="J29" s="186">
        <f>+H29/E29</f>
        <v>6.5099999999999991E-2</v>
      </c>
      <c r="K29" s="228">
        <v>0.76190000000000002</v>
      </c>
      <c r="L29" s="194">
        <v>2042</v>
      </c>
      <c r="M29" s="205">
        <v>25000</v>
      </c>
      <c r="N29" s="205">
        <v>12500</v>
      </c>
      <c r="O29" s="194">
        <v>4500</v>
      </c>
      <c r="P29">
        <v>2500</v>
      </c>
      <c r="Q29">
        <v>1000</v>
      </c>
      <c r="T29" s="232">
        <f>+SLOPE(M29:S29,$M$4:$S$4)</f>
        <v>-1160</v>
      </c>
      <c r="U29" s="233">
        <f>+INTERCEPT(M29:S29,$M$4:$S$4)</f>
        <v>2363900</v>
      </c>
      <c r="V29" s="234">
        <f>+T29*L29+U29</f>
        <v>-4820</v>
      </c>
      <c r="W29" s="224">
        <f>+((L29-$M$4)*V29+((L29-$M$4)*(M29-V29))/2)*365/1000000</f>
        <v>81.0227</v>
      </c>
      <c r="X29" s="225">
        <f>+((T29*L29*L29/2)+(U29*L29)-(T29*$M$4*$M$4/2)-(U29*$M$4))*365/1000000</f>
        <v>63.758200000000002</v>
      </c>
      <c r="Y29" s="186">
        <f>+(X29-E29)/E29</f>
        <v>0.46840626439428834</v>
      </c>
    </row>
    <row r="30" spans="3:25" x14ac:dyDescent="0.25">
      <c r="C30" t="s">
        <v>449</v>
      </c>
      <c r="E30" s="194">
        <v>7.3</v>
      </c>
      <c r="F30" s="194">
        <v>4.54</v>
      </c>
      <c r="G30">
        <f>+E30*89.64%</f>
        <v>6.5437199999999995</v>
      </c>
      <c r="H30">
        <f>+E30-G30</f>
        <v>0.75628000000000029</v>
      </c>
      <c r="I30" s="186">
        <f>+G30/E30</f>
        <v>0.89639999999999997</v>
      </c>
      <c r="J30" s="186">
        <f>+H30/E30</f>
        <v>0.10360000000000004</v>
      </c>
      <c r="K30" s="228">
        <v>0.77580000000000005</v>
      </c>
      <c r="L30" s="194">
        <v>2044</v>
      </c>
      <c r="M30" s="205">
        <v>2000</v>
      </c>
      <c r="N30" s="205">
        <v>1250</v>
      </c>
      <c r="O30" s="194">
        <v>900</v>
      </c>
      <c r="P30">
        <v>600</v>
      </c>
      <c r="Q30">
        <v>400</v>
      </c>
      <c r="T30" s="232">
        <f>+SLOPE(M30:S30,$M$4:$S$4)</f>
        <v>-77</v>
      </c>
      <c r="U30" s="233">
        <f>+INTERCEPT(M30:S30,$M$4:$S$4)</f>
        <v>157340</v>
      </c>
      <c r="V30" s="234">
        <f>+T30*L30+U30</f>
        <v>-48</v>
      </c>
      <c r="W30" s="224">
        <f>+((L30-$M$4)*V30+((L30-$M$4)*(M30-V30))/2)*365/1000000</f>
        <v>8.5497599999999991</v>
      </c>
      <c r="X30" s="225">
        <f>+((T30*L30*L30/2)+(U30*L30)-(T30*$M$4*$M$4/2)-(U30*$M$4))*365/1000000</f>
        <v>7.6737599999999997</v>
      </c>
      <c r="Y30" s="186">
        <f>+(X30-E30)/E30</f>
        <v>5.1199999999999982E-2</v>
      </c>
    </row>
    <row r="31" spans="3:25" x14ac:dyDescent="0.25">
      <c r="C31" t="s">
        <v>510</v>
      </c>
      <c r="E31" s="194">
        <v>130.22</v>
      </c>
      <c r="F31" s="194">
        <v>284</v>
      </c>
      <c r="G31">
        <f>+E31*63.65%</f>
        <v>82.88503</v>
      </c>
      <c r="H31">
        <f>+E31-G31</f>
        <v>47.334969999999998</v>
      </c>
      <c r="I31" s="186">
        <f>+G31/E31</f>
        <v>0.63649999999999995</v>
      </c>
      <c r="J31" s="186">
        <f>+H31/E31</f>
        <v>0.36349999999999999</v>
      </c>
      <c r="K31" s="228">
        <v>0.63759999999999994</v>
      </c>
      <c r="L31" s="194">
        <v>2018</v>
      </c>
      <c r="M31" s="205">
        <v>55000</v>
      </c>
      <c r="N31" s="205">
        <v>31000</v>
      </c>
      <c r="O31" s="194">
        <v>15000</v>
      </c>
      <c r="P31">
        <v>8000</v>
      </c>
      <c r="T31" s="232">
        <f>+SLOPE(M31:S31,$M$4:$S$4)</f>
        <v>-3140</v>
      </c>
      <c r="U31" s="233">
        <f>+INTERCEPT(M31:S31,$M$4:$S$4)</f>
        <v>6393600</v>
      </c>
      <c r="V31" s="234">
        <f>+T31*L31+U31</f>
        <v>57080</v>
      </c>
      <c r="W31" s="224">
        <f>+((L31-$M$4)*V31+((L31-$M$4)*(M31-V31))/2)*365/1000000</f>
        <v>-40.909199999999998</v>
      </c>
      <c r="X31" s="225">
        <f>+((T31*L31*L31/2)+(U31*L31)-(T31*$M$4*$M$4/2)-(U31*$M$4))*365/1000000</f>
        <v>-39.376199999999997</v>
      </c>
      <c r="Y31" s="186">
        <f>+(X31-E31)/E31</f>
        <v>-1.3023821225618186</v>
      </c>
    </row>
    <row r="32" spans="3:25" x14ac:dyDescent="0.25">
      <c r="C32" t="s">
        <v>509</v>
      </c>
      <c r="E32" s="194">
        <v>0.57999999999999996</v>
      </c>
      <c r="F32" s="194">
        <v>0</v>
      </c>
      <c r="G32">
        <f>+E32</f>
        <v>0.57999999999999996</v>
      </c>
      <c r="H32">
        <f>+E32-G32</f>
        <v>0</v>
      </c>
      <c r="I32" s="186">
        <f>+G32/E32</f>
        <v>1</v>
      </c>
      <c r="J32" s="186">
        <f>+H32/E32</f>
        <v>0</v>
      </c>
      <c r="K32" s="228">
        <v>0.91830000000000001</v>
      </c>
      <c r="L32" s="194">
        <v>2031</v>
      </c>
      <c r="M32" s="205">
        <v>500</v>
      </c>
      <c r="N32" s="205">
        <v>200</v>
      </c>
      <c r="O32" s="194">
        <v>80</v>
      </c>
      <c r="T32" s="232">
        <f>+SLOPE(M32:S32,$M$4:$S$4)</f>
        <v>-42</v>
      </c>
      <c r="U32" s="233">
        <f>+INTERCEPT(M32:S32,$M$4:$S$4)</f>
        <v>85310</v>
      </c>
      <c r="V32" s="234">
        <f>+T32*L32+U32</f>
        <v>8</v>
      </c>
      <c r="W32" s="224">
        <f>+((L32-$M$4)*V32+((L32-$M$4)*(M32-V32))/2)*365/1000000</f>
        <v>1.0198100000000001</v>
      </c>
      <c r="X32" s="225">
        <f>+((T32*L32*L32/2)+(U32*L32)-(T32*$M$4*$M$4/2)-(U32*$M$4))*365/1000000</f>
        <v>0.95958500000000002</v>
      </c>
      <c r="Y32" s="186">
        <f>+(X32-E32)/E32</f>
        <v>0.65445689655172434</v>
      </c>
    </row>
    <row r="33" spans="3:25" x14ac:dyDescent="0.25">
      <c r="C33" t="s">
        <v>29</v>
      </c>
      <c r="E33" s="194">
        <v>272.89999999999998</v>
      </c>
      <c r="F33" s="194">
        <v>0</v>
      </c>
      <c r="G33" s="194">
        <v>272.29000000000002</v>
      </c>
      <c r="H33">
        <f>+E33-G33</f>
        <v>0.6099999999999568</v>
      </c>
      <c r="I33" s="186">
        <f>+G33/E33</f>
        <v>0.99776474899230505</v>
      </c>
      <c r="J33" s="186">
        <f>+H33/E33</f>
        <v>2.2352510076949681E-3</v>
      </c>
      <c r="K33" s="228">
        <v>0.71530000000000005</v>
      </c>
      <c r="L33" s="194">
        <v>2036</v>
      </c>
      <c r="M33" s="205">
        <v>105000</v>
      </c>
      <c r="N33" s="214">
        <v>75000</v>
      </c>
      <c r="O33" s="194">
        <v>40000</v>
      </c>
      <c r="P33" s="194">
        <v>25000</v>
      </c>
      <c r="T33" s="232">
        <f>+SLOPE(M33:S33,$M$4:$S$4)</f>
        <v>-5500</v>
      </c>
      <c r="U33" s="233">
        <f>+INTERCEPT(M33:S33,$M$4:$S$4)</f>
        <v>11212500</v>
      </c>
      <c r="V33" s="234">
        <f>+T33*L33+U33</f>
        <v>14500</v>
      </c>
      <c r="W33" s="224">
        <f>+((L33-$M$4)*V33+((L33-$M$4)*(M33-V33))/2)*365/1000000</f>
        <v>348.94</v>
      </c>
      <c r="X33" s="225">
        <f>+((T33*L33*L33/2)+(U33*L33)-(T33*$M$4*$M$4/2)-(U33*$M$4))*365/1000000</f>
        <v>341.64</v>
      </c>
      <c r="Y33" s="186">
        <f>+(X33-E33)/E33</f>
        <v>0.25188713814584102</v>
      </c>
    </row>
    <row r="34" spans="3:25" x14ac:dyDescent="0.25">
      <c r="C34" t="s">
        <v>344</v>
      </c>
      <c r="E34" s="194">
        <v>24.09</v>
      </c>
      <c r="F34" s="194">
        <v>0</v>
      </c>
      <c r="G34">
        <f>+E34</f>
        <v>24.09</v>
      </c>
      <c r="H34">
        <f>+E34-G34</f>
        <v>0</v>
      </c>
      <c r="I34" s="186">
        <f>+G34/E34</f>
        <v>1</v>
      </c>
      <c r="J34" s="186">
        <f>+H34/E34</f>
        <v>0</v>
      </c>
      <c r="K34" s="228">
        <v>0.73740000000000006</v>
      </c>
      <c r="L34" s="194">
        <v>2064</v>
      </c>
      <c r="M34" s="205">
        <v>4000</v>
      </c>
      <c r="N34" s="205">
        <v>3500</v>
      </c>
      <c r="O34" s="194">
        <v>2500</v>
      </c>
      <c r="P34">
        <v>2000</v>
      </c>
      <c r="Q34">
        <v>1500</v>
      </c>
      <c r="R34">
        <v>1250</v>
      </c>
      <c r="S34">
        <v>1000</v>
      </c>
      <c r="T34" s="232">
        <f>+SLOPE(M34:S34,$M$4:$S$4)</f>
        <v>-103.57142857142857</v>
      </c>
      <c r="U34" s="233">
        <f>+INTERCEPT(M34:S34,$M$4:$S$4)</f>
        <v>213017.85714285713</v>
      </c>
      <c r="V34" s="234">
        <f>+T34*L34+U34</f>
        <v>-753.57142857144936</v>
      </c>
      <c r="W34" s="224">
        <f>+((L34-$M$4)*V34+((L34-$M$4)*(M34-V34))/2)*365/1000000</f>
        <v>26.068821428571262</v>
      </c>
      <c r="X34" s="225">
        <f>+((T34*L34*L34/2)+(U34*L34)-(T34*$M$4*$M$4/2)-(U34*$M$4))*365/1000000</f>
        <v>24.491499999999998</v>
      </c>
      <c r="Y34" s="186">
        <f>+(X34-E34)/E34</f>
        <v>1.6666666666666611E-2</v>
      </c>
    </row>
    <row r="35" spans="3:25" x14ac:dyDescent="0.25">
      <c r="C35" t="s">
        <v>511</v>
      </c>
      <c r="E35" s="194">
        <v>5.59</v>
      </c>
      <c r="F35" s="194">
        <v>0</v>
      </c>
      <c r="G35">
        <f>+E35</f>
        <v>5.59</v>
      </c>
      <c r="H35">
        <f>+E35-G35</f>
        <v>0</v>
      </c>
      <c r="I35" s="186">
        <f>+G35/E35</f>
        <v>1</v>
      </c>
      <c r="J35" s="186">
        <f>+H35/E35</f>
        <v>0</v>
      </c>
      <c r="K35" s="228">
        <v>0.69210000000000005</v>
      </c>
      <c r="L35" s="194">
        <v>2047</v>
      </c>
      <c r="M35" s="205">
        <v>1400</v>
      </c>
      <c r="N35" s="205">
        <v>1250</v>
      </c>
      <c r="O35" s="194">
        <v>750</v>
      </c>
      <c r="P35">
        <v>450</v>
      </c>
      <c r="Q35">
        <v>250</v>
      </c>
      <c r="T35" s="232">
        <f>+SLOPE(M35:S35,$M$4:$S$4)</f>
        <v>-62</v>
      </c>
      <c r="U35" s="233">
        <f>+INTERCEPT(M35:S35,$M$4:$S$4)</f>
        <v>126680</v>
      </c>
      <c r="V35" s="234">
        <f>+T35*L35+U35</f>
        <v>-234</v>
      </c>
      <c r="W35" s="224">
        <f>+((L35-$M$4)*V35+((L35-$M$4)*(M35-V35))/2)*365/1000000</f>
        <v>5.7454650000000003</v>
      </c>
      <c r="X35" s="225">
        <f>+((T35*L35*L35/2)+(U35*L35)-(T35*$M$4*$M$4/2)-(U35*$M$4))*365/1000000</f>
        <v>5.9425650000000001</v>
      </c>
      <c r="Y35" s="186">
        <f>+(X35-E35)/E35</f>
        <v>6.307066189624333E-2</v>
      </c>
    </row>
    <row r="36" spans="3:25" x14ac:dyDescent="0.25">
      <c r="C36" t="s">
        <v>345</v>
      </c>
      <c r="E36" s="194">
        <v>16.52</v>
      </c>
      <c r="F36" s="194">
        <v>1.91</v>
      </c>
      <c r="G36">
        <f>+E36*98.07%</f>
        <v>16.201163999999999</v>
      </c>
      <c r="H36">
        <f>+E36-G36</f>
        <v>0.31883600000000101</v>
      </c>
      <c r="I36" s="186">
        <f>+G36/E36</f>
        <v>0.98069999999999991</v>
      </c>
      <c r="J36" s="186">
        <f>+H36/E36</f>
        <v>1.930000000000006E-2</v>
      </c>
      <c r="K36" s="228">
        <v>0.73629999999999995</v>
      </c>
      <c r="L36" s="194">
        <v>2060</v>
      </c>
      <c r="M36" s="205">
        <v>4000</v>
      </c>
      <c r="N36" s="205">
        <v>3000</v>
      </c>
      <c r="O36" s="194">
        <v>1800</v>
      </c>
      <c r="P36">
        <v>1250</v>
      </c>
      <c r="Q36">
        <v>1000</v>
      </c>
      <c r="R36">
        <v>750</v>
      </c>
      <c r="T36" s="232">
        <f>+SLOPE(M36:S36,$M$4:$S$4)</f>
        <v>-130.28571428571428</v>
      </c>
      <c r="U36" s="233">
        <f>+INTERCEPT(M36:S36,$M$4:$S$4)</f>
        <v>266772.38095238095</v>
      </c>
      <c r="V36" s="234">
        <f>+T36*L36+U36</f>
        <v>-1616.1904761904734</v>
      </c>
      <c r="W36" s="224">
        <f>+((L36-$M$4)*V36+((L36-$M$4)*(M36-V36))/2)*365/1000000</f>
        <v>17.401809523809543</v>
      </c>
      <c r="X36" s="225">
        <f>+((T36*L36*L36/2)+(U36*L36)-(T36*$M$4*$M$4/2)-(U36*$M$4))*365/1000000</f>
        <v>14.447047619026899</v>
      </c>
      <c r="Y36" s="186">
        <f>+(X36-E36)/E36</f>
        <v>-0.12548137899352912</v>
      </c>
    </row>
    <row r="37" spans="3:25" x14ac:dyDescent="0.25">
      <c r="C37" t="s">
        <v>512</v>
      </c>
      <c r="E37" s="194">
        <v>90.73</v>
      </c>
      <c r="F37" s="194">
        <v>10.09</v>
      </c>
      <c r="G37">
        <f>+E37*98.15%</f>
        <v>89.051495000000003</v>
      </c>
      <c r="H37">
        <f>+E37-G37</f>
        <v>1.6785050000000012</v>
      </c>
      <c r="I37" s="186">
        <f>+G37/E37</f>
        <v>0.98150000000000004</v>
      </c>
      <c r="J37" s="186">
        <f>+H37/E37</f>
        <v>1.8500000000000013E-2</v>
      </c>
      <c r="K37" s="228">
        <v>0.50829999999999997</v>
      </c>
      <c r="L37" s="194">
        <v>2061</v>
      </c>
      <c r="M37" s="205">
        <v>19000</v>
      </c>
      <c r="N37" s="205">
        <v>16000</v>
      </c>
      <c r="O37" s="194">
        <v>10000</v>
      </c>
      <c r="P37">
        <v>7000</v>
      </c>
      <c r="Q37">
        <v>4500</v>
      </c>
      <c r="R37">
        <v>3000</v>
      </c>
      <c r="S37">
        <v>2000</v>
      </c>
    </row>
    <row r="38" spans="3:25" x14ac:dyDescent="0.25">
      <c r="H38">
        <f t="shared" ref="H38:H42" si="0">+E38-G38</f>
        <v>0</v>
      </c>
      <c r="I38" s="186"/>
      <c r="J38" s="186"/>
    </row>
    <row r="39" spans="3:25" x14ac:dyDescent="0.25">
      <c r="C39" t="s">
        <v>519</v>
      </c>
      <c r="E39" s="194" t="s">
        <v>527</v>
      </c>
      <c r="F39" s="194">
        <v>23.75</v>
      </c>
      <c r="G39" t="e">
        <f>+E39*0.74%</f>
        <v>#VALUE!</v>
      </c>
      <c r="H39" t="e">
        <f t="shared" si="0"/>
        <v>#VALUE!</v>
      </c>
      <c r="I39" s="186" t="e">
        <f t="shared" ref="I39:I42" si="1">+G39/E39</f>
        <v>#VALUE!</v>
      </c>
      <c r="J39" s="186" t="e">
        <f t="shared" ref="J39:J42" si="2">+H39/E39</f>
        <v>#VALUE!</v>
      </c>
      <c r="K39" s="228">
        <v>0.30909999999999999</v>
      </c>
      <c r="L39" s="194">
        <v>2049</v>
      </c>
    </row>
    <row r="40" spans="3:25" x14ac:dyDescent="0.25">
      <c r="C40" t="s">
        <v>520</v>
      </c>
      <c r="E40" s="194">
        <v>6.24</v>
      </c>
      <c r="F40" s="194">
        <v>11.14</v>
      </c>
      <c r="G40">
        <f>+E40*70.26%</f>
        <v>4.3842240000000006</v>
      </c>
      <c r="H40">
        <f t="shared" si="0"/>
        <v>1.8557759999999996</v>
      </c>
      <c r="I40" s="186">
        <f t="shared" si="1"/>
        <v>0.70260000000000011</v>
      </c>
      <c r="J40" s="186">
        <f t="shared" si="2"/>
        <v>0.29739999999999994</v>
      </c>
      <c r="K40" s="228">
        <v>0.77259999999999995</v>
      </c>
      <c r="L40" s="194">
        <v>2041</v>
      </c>
      <c r="M40" s="205">
        <v>3700</v>
      </c>
    </row>
    <row r="41" spans="3:25" x14ac:dyDescent="0.25">
      <c r="C41" t="s">
        <v>521</v>
      </c>
      <c r="E41" s="194">
        <v>18.809999999999999</v>
      </c>
      <c r="F41" s="194">
        <v>112.29</v>
      </c>
      <c r="G41">
        <f>+E41*0.49%</f>
        <v>9.2168999999999987E-2</v>
      </c>
      <c r="H41">
        <f t="shared" si="0"/>
        <v>18.717831</v>
      </c>
      <c r="I41" s="186">
        <f t="shared" si="1"/>
        <v>4.8999999999999998E-3</v>
      </c>
      <c r="J41" s="186">
        <f t="shared" si="2"/>
        <v>0.9951000000000001</v>
      </c>
      <c r="K41" s="228">
        <v>0.29599999999999999</v>
      </c>
      <c r="L41" s="194">
        <v>2042</v>
      </c>
      <c r="M41" s="205">
        <v>4500</v>
      </c>
    </row>
    <row r="42" spans="3:25" x14ac:dyDescent="0.25">
      <c r="C42" t="s">
        <v>522</v>
      </c>
      <c r="E42" s="194">
        <v>9.35</v>
      </c>
      <c r="F42" s="194">
        <v>4.1900000000000004</v>
      </c>
      <c r="G42">
        <f>+E42*92.53%</f>
        <v>8.6515550000000001</v>
      </c>
      <c r="H42">
        <f t="shared" si="0"/>
        <v>0.69844499999999954</v>
      </c>
      <c r="I42" s="186">
        <f t="shared" si="1"/>
        <v>0.92530000000000001</v>
      </c>
      <c r="J42" s="186">
        <f t="shared" si="2"/>
        <v>7.4699999999999947E-2</v>
      </c>
      <c r="K42" s="228">
        <v>0.51980000000000004</v>
      </c>
      <c r="L42" s="194">
        <v>2068</v>
      </c>
      <c r="M42" s="194">
        <v>1800</v>
      </c>
    </row>
    <row r="44" spans="3:25" x14ac:dyDescent="0.25">
      <c r="M44">
        <f>+SUM(M6:M42)</f>
        <v>535280</v>
      </c>
      <c r="N44" t="s">
        <v>528</v>
      </c>
    </row>
    <row r="45" spans="3:25" x14ac:dyDescent="0.25">
      <c r="M45">
        <f>+M44*365</f>
        <v>195377200</v>
      </c>
      <c r="N45" t="s">
        <v>528</v>
      </c>
    </row>
    <row r="46" spans="3:25" x14ac:dyDescent="0.25">
      <c r="C46" t="s">
        <v>513</v>
      </c>
      <c r="E46" s="212">
        <f>+SUM(E5:E37)+E41</f>
        <v>1968.37</v>
      </c>
      <c r="F46" t="s">
        <v>488</v>
      </c>
      <c r="M46" s="229">
        <f>+M45/1000000</f>
        <v>195.37719999999999</v>
      </c>
      <c r="N46" t="s">
        <v>529</v>
      </c>
    </row>
    <row r="47" spans="3:25" x14ac:dyDescent="0.25">
      <c r="C47" t="s">
        <v>514</v>
      </c>
      <c r="E47">
        <f>+SUM(G5:G37)+G41</f>
        <v>1709.0938419999995</v>
      </c>
      <c r="F47" t="s">
        <v>488</v>
      </c>
      <c r="G47" s="186">
        <f>+E47/E46</f>
        <v>0.86827874942211047</v>
      </c>
      <c r="H47" s="186"/>
      <c r="I47" s="186"/>
      <c r="J47" s="186"/>
      <c r="K47" s="212"/>
      <c r="M47" s="219" t="s">
        <v>530</v>
      </c>
      <c r="N47" s="219" t="s">
        <v>531</v>
      </c>
    </row>
    <row r="48" spans="3:25" x14ac:dyDescent="0.25">
      <c r="C48" t="s">
        <v>517</v>
      </c>
      <c r="E48" s="212">
        <f>+E46-E47</f>
        <v>259.27615800000035</v>
      </c>
      <c r="F48" t="s">
        <v>488</v>
      </c>
      <c r="G48" s="186">
        <f>+E48/E46</f>
        <v>0.1317212505778895</v>
      </c>
      <c r="H48" s="186"/>
      <c r="I48" s="186"/>
      <c r="J48" s="186"/>
      <c r="M48" s="236">
        <f>+M46*M53</f>
        <v>25.399035999999999</v>
      </c>
      <c r="N48" s="237">
        <f>+M46*(100%-M53)</f>
        <v>169.97816399999999</v>
      </c>
    </row>
    <row r="49" spans="3:13" x14ac:dyDescent="0.25">
      <c r="C49" t="s">
        <v>515</v>
      </c>
      <c r="E49" s="212">
        <f>+SUM(F5:F37)</f>
        <v>1633.435344</v>
      </c>
      <c r="F49" t="s">
        <v>516</v>
      </c>
    </row>
    <row r="50" spans="3:13" x14ac:dyDescent="0.25">
      <c r="E50" s="212">
        <f>+E49*(1000000000)</f>
        <v>1633435344000</v>
      </c>
      <c r="F50" t="s">
        <v>526</v>
      </c>
    </row>
    <row r="51" spans="3:13" x14ac:dyDescent="0.25">
      <c r="E51" s="212">
        <f>+(E50/G1)/1000000</f>
        <v>4181.8256271509435</v>
      </c>
      <c r="L51" t="s">
        <v>518</v>
      </c>
      <c r="M51" t="s">
        <v>532</v>
      </c>
    </row>
    <row r="52" spans="3:13" x14ac:dyDescent="0.25">
      <c r="L52">
        <v>71</v>
      </c>
      <c r="M52" s="235">
        <v>0.87</v>
      </c>
    </row>
    <row r="53" spans="3:13" x14ac:dyDescent="0.25">
      <c r="E53">
        <f>+E49*1000</f>
        <v>1633435.344</v>
      </c>
      <c r="F53" t="s">
        <v>523</v>
      </c>
      <c r="L53">
        <v>29</v>
      </c>
      <c r="M53" s="235">
        <v>0.13</v>
      </c>
    </row>
    <row r="54" spans="3:13" x14ac:dyDescent="0.25">
      <c r="E54">
        <f>+E53/11</f>
        <v>148494.12218181818</v>
      </c>
      <c r="F54" t="s">
        <v>523</v>
      </c>
    </row>
    <row r="55" spans="3:13" x14ac:dyDescent="0.25">
      <c r="E55">
        <f>+E54/365</f>
        <v>406.8332114570361</v>
      </c>
      <c r="F55" t="s">
        <v>523</v>
      </c>
    </row>
    <row r="57" spans="3:13" x14ac:dyDescent="0.25">
      <c r="E57">
        <v>1000</v>
      </c>
      <c r="F57" t="s">
        <v>523</v>
      </c>
    </row>
    <row r="58" spans="3:13" x14ac:dyDescent="0.25">
      <c r="E58">
        <f>+E57*365</f>
        <v>365000</v>
      </c>
    </row>
    <row r="59" spans="3:13" x14ac:dyDescent="0.25">
      <c r="E59" s="229">
        <f>+E53/E58</f>
        <v>4.4751653260273976</v>
      </c>
      <c r="F59" t="s">
        <v>524</v>
      </c>
    </row>
    <row r="60" spans="3:13" x14ac:dyDescent="0.25">
      <c r="E60" s="223"/>
    </row>
  </sheetData>
  <autoFilter ref="C4:Y4" xr:uid="{D470F94E-1C8E-46BD-A56D-E61B734F2704}">
    <sortState xmlns:xlrd2="http://schemas.microsoft.com/office/spreadsheetml/2017/richdata2" ref="C5:Y38">
      <sortCondition ref="C4"/>
    </sortState>
  </autoFilter>
  <mergeCells count="1">
    <mergeCell ref="W3:X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825AB-0F37-47F2-B729-BE4992C6F666}">
  <dimension ref="C1:Y61"/>
  <sheetViews>
    <sheetView showGridLines="0" topLeftCell="H1" zoomScale="115" zoomScaleNormal="115" workbookViewId="0">
      <selection activeCell="L4" sqref="L4:L43"/>
    </sheetView>
  </sheetViews>
  <sheetFormatPr baseColWidth="10" defaultRowHeight="15" x14ac:dyDescent="0.25"/>
  <cols>
    <col min="3" max="4" width="17.5703125" customWidth="1"/>
    <col min="5" max="5" width="21.42578125" customWidth="1"/>
    <col min="6" max="6" width="13.42578125" bestFit="1" customWidth="1"/>
    <col min="14" max="14" width="14.140625" customWidth="1"/>
    <col min="21" max="21" width="14.140625" customWidth="1"/>
    <col min="22" max="22" width="21.28515625" customWidth="1"/>
    <col min="23" max="23" width="18.85546875" customWidth="1"/>
    <col min="24" max="24" width="20.28515625" customWidth="1"/>
  </cols>
  <sheetData>
    <row r="1" spans="3:25" x14ac:dyDescent="0.25">
      <c r="F1" t="s">
        <v>507</v>
      </c>
      <c r="G1" s="229">
        <f>+F29*1000/E29</f>
        <v>5997.3958333333339</v>
      </c>
      <c r="H1" s="229" t="s">
        <v>525</v>
      </c>
      <c r="I1" s="229"/>
      <c r="J1" s="229"/>
      <c r="N1">
        <v>1</v>
      </c>
      <c r="O1" t="s">
        <v>484</v>
      </c>
      <c r="P1">
        <v>5800</v>
      </c>
      <c r="Q1" t="s">
        <v>485</v>
      </c>
    </row>
    <row r="3" spans="3:25" x14ac:dyDescent="0.25">
      <c r="M3" s="207" t="s">
        <v>479</v>
      </c>
      <c r="N3" s="208"/>
      <c r="O3" s="208"/>
      <c r="P3" s="208"/>
      <c r="Q3" s="208"/>
      <c r="R3" s="208"/>
      <c r="S3" s="209"/>
      <c r="W3" s="275" t="s">
        <v>488</v>
      </c>
      <c r="X3" s="275"/>
    </row>
    <row r="4" spans="3:25" x14ac:dyDescent="0.25">
      <c r="E4" s="216" t="s">
        <v>475</v>
      </c>
      <c r="F4" s="217" t="s">
        <v>478</v>
      </c>
      <c r="G4" s="218" t="s">
        <v>477</v>
      </c>
      <c r="H4" s="218" t="s">
        <v>476</v>
      </c>
      <c r="I4" s="218"/>
      <c r="J4" s="218"/>
      <c r="K4" s="219" t="s">
        <v>480</v>
      </c>
      <c r="L4" s="216" t="s">
        <v>481</v>
      </c>
      <c r="M4" s="216">
        <v>2020</v>
      </c>
      <c r="N4" s="217">
        <v>2025</v>
      </c>
      <c r="O4" s="217">
        <v>2030</v>
      </c>
      <c r="P4" s="217">
        <v>2035</v>
      </c>
      <c r="Q4" s="217">
        <v>2040</v>
      </c>
      <c r="R4" s="217">
        <v>2045</v>
      </c>
      <c r="S4" s="218">
        <v>2050</v>
      </c>
      <c r="T4" s="220" t="s">
        <v>483</v>
      </c>
      <c r="U4" s="221" t="s">
        <v>482</v>
      </c>
      <c r="V4" s="222" t="s">
        <v>486</v>
      </c>
      <c r="W4" s="220" t="s">
        <v>487</v>
      </c>
      <c r="X4" s="221" t="s">
        <v>489</v>
      </c>
      <c r="Y4" s="183" t="s">
        <v>490</v>
      </c>
    </row>
    <row r="5" spans="3:25" x14ac:dyDescent="0.25">
      <c r="C5" t="s">
        <v>301</v>
      </c>
      <c r="E5" s="197">
        <v>28.68</v>
      </c>
      <c r="F5" s="198">
        <v>172.07</v>
      </c>
      <c r="G5" s="199">
        <v>0</v>
      </c>
      <c r="H5">
        <f t="shared" ref="H5:H43" si="0">+E5-G5</f>
        <v>28.68</v>
      </c>
      <c r="I5" s="186">
        <f>+G5/E5</f>
        <v>0</v>
      </c>
      <c r="J5" s="186">
        <f>+H5/E5</f>
        <v>1</v>
      </c>
      <c r="K5" s="200">
        <v>0.96079999999999999</v>
      </c>
      <c r="L5" s="201">
        <v>2027</v>
      </c>
      <c r="M5" s="202">
        <v>20000</v>
      </c>
      <c r="N5" s="203">
        <v>12500</v>
      </c>
      <c r="O5" s="206"/>
      <c r="P5" s="206"/>
      <c r="Q5" s="206"/>
      <c r="R5" s="206"/>
      <c r="S5" s="199"/>
      <c r="T5" s="210">
        <f t="shared" ref="T5:T20" si="1">+SLOPE(M5:S5,$M$4:$S$4)</f>
        <v>-1500</v>
      </c>
      <c r="U5" s="204">
        <f t="shared" ref="U5:U20" si="2">+INTERCEPT(M5:S5,$M$4:$S$4)</f>
        <v>3050000</v>
      </c>
      <c r="V5" s="211">
        <f t="shared" ref="V5:V20" si="3">+T5*L5+U5</f>
        <v>9500</v>
      </c>
      <c r="W5" s="224">
        <f t="shared" ref="W5:W20" si="4">+((L5-$M$4)*V5+((L5-$M$4)*(M5-V5))/2)*365/1000000</f>
        <v>37.686250000000001</v>
      </c>
      <c r="X5" s="225">
        <f t="shared" ref="X5:X20" si="5">+((T5*L5*L5/2)+(U5*L5)-(T5*$M$4*$M$4/2)-(U5*$M$4))*365/1000000</f>
        <v>37.686250000000001</v>
      </c>
      <c r="Y5" s="186">
        <f t="shared" ref="Y5:Y37" si="6">+(X5-E5)/E5</f>
        <v>0.31402545327754539</v>
      </c>
    </row>
    <row r="6" spans="3:25" x14ac:dyDescent="0.25">
      <c r="C6" t="s">
        <v>342</v>
      </c>
      <c r="E6" s="194">
        <v>89.87</v>
      </c>
      <c r="F6" s="194">
        <v>0</v>
      </c>
      <c r="G6" s="194">
        <f>+E6</f>
        <v>89.87</v>
      </c>
      <c r="H6">
        <f t="shared" si="0"/>
        <v>0</v>
      </c>
      <c r="I6" s="186">
        <f t="shared" ref="I6:I43" si="7">+G6/E6</f>
        <v>1</v>
      </c>
      <c r="J6" s="186">
        <f t="shared" ref="J6:J43" si="8">+H6/E6</f>
        <v>0</v>
      </c>
      <c r="K6" s="196">
        <v>0.24629999999999999</v>
      </c>
      <c r="L6" s="194">
        <v>2048</v>
      </c>
      <c r="M6" s="194">
        <v>10000</v>
      </c>
      <c r="N6" s="194">
        <v>16000</v>
      </c>
      <c r="O6" s="194">
        <v>11000</v>
      </c>
      <c r="P6" s="194">
        <v>7500</v>
      </c>
      <c r="Q6" s="194">
        <v>5500</v>
      </c>
      <c r="R6" s="194">
        <v>4000</v>
      </c>
      <c r="S6" s="194"/>
      <c r="T6" s="210">
        <f t="shared" si="1"/>
        <v>-371.42857142857144</v>
      </c>
      <c r="U6" s="204">
        <f t="shared" si="2"/>
        <v>763928.57142857148</v>
      </c>
      <c r="V6" s="211">
        <f t="shared" si="3"/>
        <v>3242.8571428571595</v>
      </c>
      <c r="W6" s="226">
        <f t="shared" si="4"/>
        <v>67.671000000000092</v>
      </c>
      <c r="X6" s="227">
        <f t="shared" si="5"/>
        <v>86.286000000000001</v>
      </c>
      <c r="Y6" s="186">
        <f t="shared" si="6"/>
        <v>-3.9879826415934162E-2</v>
      </c>
    </row>
    <row r="7" spans="3:25"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K7" s="196">
        <v>0.62780000000000002</v>
      </c>
      <c r="L7" s="194">
        <v>2041</v>
      </c>
      <c r="M7" s="194">
        <v>400</v>
      </c>
      <c r="N7" s="194">
        <v>280</v>
      </c>
      <c r="O7" s="194">
        <v>200</v>
      </c>
      <c r="P7" s="194">
        <v>120</v>
      </c>
      <c r="Q7" s="194">
        <v>80</v>
      </c>
      <c r="R7" s="194"/>
      <c r="S7" s="194"/>
      <c r="T7" s="210">
        <f t="shared" si="1"/>
        <v>-16</v>
      </c>
      <c r="U7" s="204">
        <f t="shared" si="2"/>
        <v>32696</v>
      </c>
      <c r="V7" s="211">
        <f t="shared" si="3"/>
        <v>40</v>
      </c>
      <c r="W7" s="226">
        <f t="shared" si="4"/>
        <v>1.6862999999999999</v>
      </c>
      <c r="X7" s="227">
        <f t="shared" si="5"/>
        <v>1.59432</v>
      </c>
      <c r="Y7" s="186">
        <f t="shared" si="6"/>
        <v>0.16373722627737214</v>
      </c>
    </row>
    <row r="8" spans="3:25" x14ac:dyDescent="0.25">
      <c r="C8" t="s">
        <v>346</v>
      </c>
      <c r="E8" s="194">
        <v>2.5</v>
      </c>
      <c r="F8" s="194">
        <v>7.0000000000000007E-2</v>
      </c>
      <c r="G8" s="194">
        <f>+E8*99.53%</f>
        <v>2.4882499999999999</v>
      </c>
      <c r="H8">
        <f t="shared" si="0"/>
        <v>1.1750000000000149E-2</v>
      </c>
      <c r="I8" s="186">
        <f t="shared" si="7"/>
        <v>0.99529999999999996</v>
      </c>
      <c r="J8" s="186">
        <f t="shared" si="8"/>
        <v>4.70000000000006E-3</v>
      </c>
      <c r="K8" s="196">
        <v>0.93179999999999996</v>
      </c>
      <c r="L8" s="194">
        <v>2029</v>
      </c>
      <c r="M8" s="194">
        <v>2950</v>
      </c>
      <c r="N8" s="194">
        <v>750</v>
      </c>
      <c r="O8" s="194"/>
      <c r="P8" s="194"/>
      <c r="Q8" s="194"/>
      <c r="R8" s="194"/>
      <c r="S8" s="194"/>
      <c r="T8" s="210">
        <f t="shared" si="1"/>
        <v>-440</v>
      </c>
      <c r="U8" s="204">
        <f t="shared" si="2"/>
        <v>891750</v>
      </c>
      <c r="V8" s="211">
        <f t="shared" si="3"/>
        <v>-1010</v>
      </c>
      <c r="W8" s="226">
        <f t="shared" si="4"/>
        <v>3.1864499999999998</v>
      </c>
      <c r="X8" s="227">
        <f t="shared" si="5"/>
        <v>3.1864499999999998</v>
      </c>
      <c r="Y8" s="186">
        <f t="shared" si="6"/>
        <v>0.27457999999999994</v>
      </c>
    </row>
    <row r="9" spans="3:25" x14ac:dyDescent="0.25">
      <c r="C9" t="s">
        <v>311</v>
      </c>
      <c r="E9" s="194">
        <v>14.92</v>
      </c>
      <c r="F9" s="194">
        <v>89.54</v>
      </c>
      <c r="G9" s="194">
        <v>0</v>
      </c>
      <c r="H9">
        <f t="shared" si="0"/>
        <v>14.92</v>
      </c>
      <c r="I9" s="186">
        <f t="shared" si="7"/>
        <v>0</v>
      </c>
      <c r="J9" s="186">
        <f t="shared" si="8"/>
        <v>1</v>
      </c>
      <c r="K9" s="196">
        <v>0.69059999999999999</v>
      </c>
      <c r="L9" s="194">
        <v>2039</v>
      </c>
      <c r="M9" s="194">
        <v>2500</v>
      </c>
      <c r="N9" s="213">
        <v>3000</v>
      </c>
      <c r="O9" s="194">
        <v>2100</v>
      </c>
      <c r="P9" s="194">
        <v>1800</v>
      </c>
      <c r="Q9" s="194"/>
      <c r="R9" s="194"/>
      <c r="S9" s="194"/>
      <c r="T9" s="210">
        <f t="shared" si="1"/>
        <v>-60</v>
      </c>
      <c r="U9" s="204">
        <f t="shared" si="2"/>
        <v>124000</v>
      </c>
      <c r="V9" s="211">
        <f t="shared" si="3"/>
        <v>1660</v>
      </c>
      <c r="W9" s="226">
        <f t="shared" si="4"/>
        <v>14.424799999999999</v>
      </c>
      <c r="X9" s="227">
        <f t="shared" si="5"/>
        <v>15.46505</v>
      </c>
      <c r="Y9" s="186">
        <f t="shared" si="6"/>
        <v>3.653150134048256E-2</v>
      </c>
    </row>
    <row r="10" spans="3:25" x14ac:dyDescent="0.25">
      <c r="C10" t="s">
        <v>492</v>
      </c>
      <c r="E10" s="194">
        <v>153.29</v>
      </c>
      <c r="F10" s="194">
        <v>0</v>
      </c>
      <c r="G10" s="194">
        <v>153.29</v>
      </c>
      <c r="H10">
        <f t="shared" si="0"/>
        <v>0</v>
      </c>
      <c r="I10" s="186">
        <f t="shared" si="7"/>
        <v>1</v>
      </c>
      <c r="J10" s="186">
        <f t="shared" si="8"/>
        <v>0</v>
      </c>
      <c r="K10" s="196">
        <v>0.70950000000000002</v>
      </c>
      <c r="L10" s="194">
        <v>2036</v>
      </c>
      <c r="M10" s="194">
        <v>65000</v>
      </c>
      <c r="N10" s="213">
        <v>37500</v>
      </c>
      <c r="O10" s="194">
        <v>22500</v>
      </c>
      <c r="P10" s="194">
        <v>12500</v>
      </c>
      <c r="Q10" s="194"/>
      <c r="R10" s="194"/>
      <c r="S10" s="194"/>
      <c r="T10" s="232">
        <f t="shared" si="1"/>
        <v>-3450</v>
      </c>
      <c r="U10" s="233">
        <f t="shared" si="2"/>
        <v>7029250</v>
      </c>
      <c r="V10" s="234">
        <f t="shared" si="3"/>
        <v>5050</v>
      </c>
      <c r="W10" s="224">
        <f t="shared" si="4"/>
        <v>204.54599999999999</v>
      </c>
      <c r="X10" s="225">
        <f t="shared" si="5"/>
        <v>190.67599999999999</v>
      </c>
      <c r="Y10" s="186">
        <f t="shared" si="6"/>
        <v>0.24389066475308238</v>
      </c>
    </row>
    <row r="11" spans="3:25" x14ac:dyDescent="0.25">
      <c r="C11" t="s">
        <v>493</v>
      </c>
      <c r="E11" s="194">
        <v>0.88</v>
      </c>
      <c r="F11" s="194">
        <v>0</v>
      </c>
      <c r="G11" s="194">
        <v>0.88</v>
      </c>
      <c r="H11">
        <f t="shared" si="0"/>
        <v>0</v>
      </c>
      <c r="I11" s="186">
        <f t="shared" si="7"/>
        <v>1</v>
      </c>
      <c r="J11" s="186">
        <f t="shared" si="8"/>
        <v>0</v>
      </c>
      <c r="K11" s="196">
        <v>0.69830000000000003</v>
      </c>
      <c r="L11" s="194">
        <v>2042</v>
      </c>
      <c r="M11" s="194">
        <v>150</v>
      </c>
      <c r="N11" s="231">
        <v>180</v>
      </c>
      <c r="O11" s="194">
        <v>105</v>
      </c>
      <c r="P11" s="194">
        <v>90</v>
      </c>
      <c r="Q11" s="194">
        <v>60</v>
      </c>
      <c r="R11" s="194"/>
      <c r="S11" s="194"/>
      <c r="T11" s="232">
        <f t="shared" si="1"/>
        <v>-5.4</v>
      </c>
      <c r="U11" s="233">
        <f t="shared" si="2"/>
        <v>11079</v>
      </c>
      <c r="V11" s="234">
        <f t="shared" si="3"/>
        <v>52.199999999998909</v>
      </c>
      <c r="W11" s="224">
        <f t="shared" si="4"/>
        <v>0.81183299999999559</v>
      </c>
      <c r="X11" s="225">
        <f t="shared" si="5"/>
        <v>0.89614799999972805</v>
      </c>
      <c r="Y11" s="186">
        <f t="shared" si="6"/>
        <v>1.8349999999690961E-2</v>
      </c>
    </row>
    <row r="12" spans="3:25" x14ac:dyDescent="0.25">
      <c r="C12" t="s">
        <v>494</v>
      </c>
      <c r="E12" s="194">
        <v>543.79</v>
      </c>
      <c r="F12" s="194">
        <v>0</v>
      </c>
      <c r="G12" s="194">
        <f>+E12</f>
        <v>543.79</v>
      </c>
      <c r="H12">
        <f t="shared" si="0"/>
        <v>0</v>
      </c>
      <c r="I12" s="186">
        <f t="shared" si="7"/>
        <v>1</v>
      </c>
      <c r="J12" s="186">
        <f t="shared" si="8"/>
        <v>0</v>
      </c>
      <c r="K12" s="196">
        <v>0.31709999999999999</v>
      </c>
      <c r="L12" s="194">
        <v>2099</v>
      </c>
      <c r="M12" s="194">
        <v>40000</v>
      </c>
      <c r="N12" s="194"/>
      <c r="O12" s="194">
        <v>32500</v>
      </c>
      <c r="Q12" s="194">
        <v>27500</v>
      </c>
      <c r="R12" s="194"/>
      <c r="S12" s="194">
        <v>22500</v>
      </c>
      <c r="T12" s="232">
        <f t="shared" si="1"/>
        <v>-575</v>
      </c>
      <c r="U12" s="233">
        <f t="shared" si="2"/>
        <v>1200750</v>
      </c>
      <c r="V12" s="234">
        <f t="shared" si="3"/>
        <v>-6175</v>
      </c>
      <c r="W12" s="224">
        <f t="shared" si="4"/>
        <v>487.67193750000001</v>
      </c>
      <c r="X12" s="225">
        <f t="shared" si="5"/>
        <v>476.8588125</v>
      </c>
      <c r="Y12" s="186">
        <f t="shared" si="6"/>
        <v>-0.1230827847146876</v>
      </c>
    </row>
    <row r="13" spans="3:25" x14ac:dyDescent="0.25">
      <c r="C13" t="s">
        <v>29</v>
      </c>
      <c r="E13" s="194">
        <v>272.89999999999998</v>
      </c>
      <c r="F13" s="194">
        <v>0</v>
      </c>
      <c r="G13" s="194">
        <v>272.29000000000002</v>
      </c>
      <c r="H13">
        <f t="shared" si="0"/>
        <v>0.6099999999999568</v>
      </c>
      <c r="I13" s="186">
        <f t="shared" si="7"/>
        <v>0.99776474899230505</v>
      </c>
      <c r="J13" s="186">
        <f t="shared" si="8"/>
        <v>2.2352510076949681E-3</v>
      </c>
      <c r="K13" s="228">
        <v>0.71530000000000005</v>
      </c>
      <c r="L13" s="194">
        <v>2036</v>
      </c>
      <c r="M13" s="205">
        <v>105000</v>
      </c>
      <c r="N13" s="214">
        <v>75000</v>
      </c>
      <c r="O13" s="194">
        <v>40000</v>
      </c>
      <c r="P13" s="194">
        <v>25000</v>
      </c>
      <c r="T13" s="232">
        <f t="shared" si="1"/>
        <v>-5500</v>
      </c>
      <c r="U13" s="233">
        <f t="shared" si="2"/>
        <v>11212500</v>
      </c>
      <c r="V13" s="234">
        <f t="shared" si="3"/>
        <v>14500</v>
      </c>
      <c r="W13" s="224">
        <f t="shared" si="4"/>
        <v>348.94</v>
      </c>
      <c r="X13" s="225">
        <f t="shared" si="5"/>
        <v>341.64</v>
      </c>
      <c r="Y13" s="186">
        <f t="shared" si="6"/>
        <v>0.25188713814584102</v>
      </c>
    </row>
    <row r="14" spans="3:25" x14ac:dyDescent="0.25">
      <c r="C14" t="s">
        <v>345</v>
      </c>
      <c r="E14" s="194">
        <v>16.52</v>
      </c>
      <c r="F14" s="194">
        <v>1.61</v>
      </c>
      <c r="G14">
        <f>+E14*98.07%</f>
        <v>16.201163999999999</v>
      </c>
      <c r="H14">
        <f t="shared" si="0"/>
        <v>0.31883600000000101</v>
      </c>
      <c r="I14" s="186">
        <f t="shared" si="7"/>
        <v>0.98069999999999991</v>
      </c>
      <c r="J14" s="186">
        <f t="shared" si="8"/>
        <v>1.930000000000006E-2</v>
      </c>
      <c r="K14" s="228">
        <v>0.73629999999999995</v>
      </c>
      <c r="L14" s="194">
        <v>2060</v>
      </c>
      <c r="M14" s="194">
        <v>4000</v>
      </c>
      <c r="N14" s="194">
        <v>3000</v>
      </c>
      <c r="O14" s="194">
        <v>1800</v>
      </c>
      <c r="P14" s="194">
        <v>1000</v>
      </c>
      <c r="Q14" s="194">
        <v>900</v>
      </c>
      <c r="R14" s="194">
        <v>700</v>
      </c>
      <c r="S14" s="194">
        <v>500</v>
      </c>
      <c r="T14" s="232">
        <f t="shared" si="1"/>
        <v>-114.28571428571429</v>
      </c>
      <c r="U14" s="233">
        <f t="shared" si="2"/>
        <v>234271.42857142858</v>
      </c>
      <c r="V14" s="234">
        <f t="shared" si="3"/>
        <v>-1157.1428571428696</v>
      </c>
      <c r="W14" s="224">
        <f t="shared" si="4"/>
        <v>20.752857142857053</v>
      </c>
      <c r="X14" s="225">
        <f t="shared" si="5"/>
        <v>16.47714285712421</v>
      </c>
      <c r="Y14" s="186">
        <f t="shared" si="6"/>
        <v>-2.5942580433286396E-3</v>
      </c>
    </row>
    <row r="15" spans="3:25" x14ac:dyDescent="0.25">
      <c r="C15" t="s">
        <v>140</v>
      </c>
      <c r="E15" s="194">
        <v>21.91</v>
      </c>
      <c r="F15" s="194">
        <v>0</v>
      </c>
      <c r="G15">
        <f>+E15</f>
        <v>21.91</v>
      </c>
      <c r="H15">
        <f t="shared" si="0"/>
        <v>0</v>
      </c>
      <c r="I15" s="186">
        <f t="shared" si="7"/>
        <v>1</v>
      </c>
      <c r="J15" s="186">
        <f t="shared" si="8"/>
        <v>0</v>
      </c>
      <c r="K15" s="228">
        <v>0.78649999999999998</v>
      </c>
      <c r="L15" s="194">
        <v>2035</v>
      </c>
      <c r="M15" s="205">
        <v>10500</v>
      </c>
      <c r="N15" s="215">
        <v>6000</v>
      </c>
      <c r="O15" s="194">
        <v>2300</v>
      </c>
      <c r="P15" s="194">
        <v>1800</v>
      </c>
      <c r="T15" s="232">
        <f t="shared" si="1"/>
        <v>-596</v>
      </c>
      <c r="U15" s="233">
        <f t="shared" si="2"/>
        <v>1213540</v>
      </c>
      <c r="V15" s="234">
        <f t="shared" si="3"/>
        <v>680</v>
      </c>
      <c r="W15" s="224">
        <f t="shared" si="4"/>
        <v>30.605250000000002</v>
      </c>
      <c r="X15" s="225">
        <f t="shared" si="5"/>
        <v>28.196249999999999</v>
      </c>
      <c r="Y15" s="186">
        <f t="shared" si="6"/>
        <v>0.28691236878137832</v>
      </c>
    </row>
    <row r="16" spans="3:25" x14ac:dyDescent="0.25">
      <c r="C16" t="s">
        <v>495</v>
      </c>
      <c r="E16" s="194">
        <v>8.85</v>
      </c>
      <c r="F16" s="194">
        <v>0</v>
      </c>
      <c r="G16">
        <f>+E16</f>
        <v>8.85</v>
      </c>
      <c r="H16">
        <f t="shared" si="0"/>
        <v>0</v>
      </c>
      <c r="I16" s="186">
        <f t="shared" si="7"/>
        <v>1</v>
      </c>
      <c r="J16" s="186">
        <f t="shared" si="8"/>
        <v>0</v>
      </c>
      <c r="K16" s="228">
        <v>0.55530000000000002</v>
      </c>
      <c r="L16" s="194">
        <v>2052</v>
      </c>
      <c r="M16" s="205">
        <v>1600</v>
      </c>
      <c r="N16" s="205">
        <v>1500</v>
      </c>
      <c r="O16" s="194">
        <v>1100</v>
      </c>
      <c r="P16" s="194">
        <v>750</v>
      </c>
      <c r="Q16" s="194">
        <v>500</v>
      </c>
      <c r="R16" s="194">
        <v>250</v>
      </c>
      <c r="S16" s="194">
        <v>200</v>
      </c>
      <c r="T16" s="232">
        <f t="shared" si="1"/>
        <v>-52.142857142857146</v>
      </c>
      <c r="U16" s="233">
        <f t="shared" si="2"/>
        <v>106953.57142857143</v>
      </c>
      <c r="V16" s="234">
        <f t="shared" si="3"/>
        <v>-43.571428571434808</v>
      </c>
      <c r="W16" s="224">
        <f t="shared" si="4"/>
        <v>9.0895428571428205</v>
      </c>
      <c r="X16" s="225">
        <f t="shared" si="5"/>
        <v>9.2355428571459655</v>
      </c>
      <c r="Y16" s="186">
        <f t="shared" si="6"/>
        <v>4.3564164649261675E-2</v>
      </c>
    </row>
    <row r="17" spans="3:25" x14ac:dyDescent="0.25">
      <c r="C17" t="s">
        <v>61</v>
      </c>
      <c r="E17" s="194">
        <v>146.25</v>
      </c>
      <c r="F17" s="194">
        <v>0</v>
      </c>
      <c r="G17">
        <v>146.25</v>
      </c>
      <c r="H17">
        <f t="shared" si="0"/>
        <v>0</v>
      </c>
      <c r="I17" s="186">
        <f t="shared" si="7"/>
        <v>1</v>
      </c>
      <c r="J17" s="186">
        <f t="shared" si="8"/>
        <v>0</v>
      </c>
      <c r="K17" s="228">
        <v>0.58260000000000001</v>
      </c>
      <c r="L17" s="194">
        <v>2039</v>
      </c>
      <c r="M17" s="205">
        <v>50000</v>
      </c>
      <c r="N17" s="205">
        <v>35000</v>
      </c>
      <c r="O17" s="194">
        <v>20000</v>
      </c>
      <c r="P17" s="194">
        <v>12500</v>
      </c>
      <c r="T17" s="232">
        <f t="shared" si="1"/>
        <v>-2550</v>
      </c>
      <c r="U17" s="233">
        <f t="shared" si="2"/>
        <v>5199500</v>
      </c>
      <c r="V17" s="234">
        <f t="shared" si="3"/>
        <v>50</v>
      </c>
      <c r="W17" s="224">
        <f t="shared" si="4"/>
        <v>173.54837499999999</v>
      </c>
      <c r="X17" s="225">
        <f t="shared" si="5"/>
        <v>168.34712500000001</v>
      </c>
      <c r="Y17" s="186">
        <f t="shared" si="6"/>
        <v>0.15109145299145302</v>
      </c>
    </row>
    <row r="18" spans="3:25" x14ac:dyDescent="0.25">
      <c r="C18" t="s">
        <v>496</v>
      </c>
      <c r="E18" s="194">
        <v>89.99</v>
      </c>
      <c r="F18" s="194">
        <v>0</v>
      </c>
      <c r="G18">
        <f>+E18</f>
        <v>89.99</v>
      </c>
      <c r="H18">
        <f t="shared" si="0"/>
        <v>0</v>
      </c>
      <c r="I18" s="186">
        <f t="shared" si="7"/>
        <v>1</v>
      </c>
      <c r="J18" s="186">
        <f t="shared" si="8"/>
        <v>0</v>
      </c>
      <c r="K18" s="228">
        <v>0.42830000000000001</v>
      </c>
      <c r="L18" s="194">
        <v>2044</v>
      </c>
      <c r="M18" s="205">
        <v>20000</v>
      </c>
      <c r="N18" s="205">
        <v>17500</v>
      </c>
      <c r="O18" s="194">
        <v>12500</v>
      </c>
      <c r="P18" s="194">
        <v>7600</v>
      </c>
      <c r="Q18" s="194">
        <v>6000</v>
      </c>
      <c r="T18" s="232">
        <f t="shared" si="1"/>
        <v>-758</v>
      </c>
      <c r="U18" s="233">
        <f t="shared" si="2"/>
        <v>1551460</v>
      </c>
      <c r="V18" s="234">
        <f t="shared" si="3"/>
        <v>2108</v>
      </c>
      <c r="W18" s="224">
        <f t="shared" si="4"/>
        <v>96.833039999999997</v>
      </c>
      <c r="X18" s="225">
        <f t="shared" si="5"/>
        <v>98.147040000000004</v>
      </c>
      <c r="Y18" s="186">
        <f t="shared" si="6"/>
        <v>9.0643849316590835E-2</v>
      </c>
    </row>
    <row r="19" spans="3:25" x14ac:dyDescent="0.25">
      <c r="C19" t="s">
        <v>497</v>
      </c>
      <c r="E19" s="194">
        <v>86.96</v>
      </c>
      <c r="F19" s="194">
        <v>357.74</v>
      </c>
      <c r="G19">
        <f>+E19*68.57%</f>
        <v>59.628471999999995</v>
      </c>
      <c r="H19">
        <f t="shared" si="0"/>
        <v>27.331527999999999</v>
      </c>
      <c r="I19" s="186">
        <f t="shared" si="7"/>
        <v>0.68569999999999998</v>
      </c>
      <c r="J19" s="186">
        <f t="shared" si="8"/>
        <v>0.31430000000000002</v>
      </c>
      <c r="K19" s="228">
        <v>0.87790000000000001</v>
      </c>
      <c r="L19" s="194">
        <v>2035</v>
      </c>
      <c r="M19" s="205">
        <v>42000</v>
      </c>
      <c r="N19" s="205">
        <v>22000</v>
      </c>
      <c r="O19" s="194">
        <v>16000</v>
      </c>
      <c r="P19" s="194">
        <v>8000</v>
      </c>
      <c r="T19" s="232">
        <f t="shared" si="1"/>
        <v>-2160</v>
      </c>
      <c r="U19" s="233">
        <f t="shared" si="2"/>
        <v>4401400</v>
      </c>
      <c r="V19" s="234">
        <f t="shared" si="3"/>
        <v>5800</v>
      </c>
      <c r="W19" s="224">
        <f t="shared" si="4"/>
        <v>130.85249999999999</v>
      </c>
      <c r="X19" s="225">
        <f t="shared" si="5"/>
        <v>120.45</v>
      </c>
      <c r="Y19" s="186">
        <f t="shared" si="6"/>
        <v>0.38511959521619149</v>
      </c>
    </row>
    <row r="20" spans="3:25" x14ac:dyDescent="0.25">
      <c r="C20" t="s">
        <v>498</v>
      </c>
      <c r="E20" s="194">
        <v>5.73</v>
      </c>
      <c r="F20" s="194">
        <v>0</v>
      </c>
      <c r="G20">
        <f>+E20</f>
        <v>5.73</v>
      </c>
      <c r="H20">
        <f t="shared" si="0"/>
        <v>0</v>
      </c>
      <c r="I20" s="186">
        <f t="shared" si="7"/>
        <v>1</v>
      </c>
      <c r="J20" s="186">
        <f t="shared" si="8"/>
        <v>0</v>
      </c>
      <c r="K20" s="228">
        <v>0.61819999999999997</v>
      </c>
      <c r="L20" s="194">
        <v>2050</v>
      </c>
      <c r="M20" s="205">
        <v>2250</v>
      </c>
      <c r="N20" s="205">
        <v>1250</v>
      </c>
      <c r="O20" s="194">
        <v>600</v>
      </c>
      <c r="P20" s="194">
        <v>400</v>
      </c>
      <c r="Q20" s="194">
        <v>200</v>
      </c>
      <c r="R20" s="194">
        <v>150</v>
      </c>
      <c r="S20" s="194">
        <v>100</v>
      </c>
      <c r="T20" s="232">
        <f t="shared" si="1"/>
        <v>-64.642857142857139</v>
      </c>
      <c r="U20" s="233">
        <f t="shared" si="2"/>
        <v>132255.35714285716</v>
      </c>
      <c r="V20" s="234">
        <f t="shared" si="3"/>
        <v>-262.4999999999709</v>
      </c>
      <c r="W20" s="224">
        <f t="shared" si="4"/>
        <v>10.881562500000161</v>
      </c>
      <c r="X20" s="225">
        <f t="shared" si="5"/>
        <v>7.7432142857189472</v>
      </c>
      <c r="Y20" s="186">
        <f t="shared" si="6"/>
        <v>0.35134629768218961</v>
      </c>
    </row>
    <row r="21" spans="3:25" x14ac:dyDescent="0.25">
      <c r="C21" t="s">
        <v>499</v>
      </c>
      <c r="E21" s="194">
        <v>89.27</v>
      </c>
      <c r="F21" s="194">
        <v>504.38</v>
      </c>
      <c r="G21">
        <f>+E21*5.84%</f>
        <v>5.213368</v>
      </c>
      <c r="H21">
        <f t="shared" si="0"/>
        <v>84.056631999999993</v>
      </c>
      <c r="I21" s="186">
        <f t="shared" si="7"/>
        <v>5.8400000000000001E-2</v>
      </c>
      <c r="J21" s="186">
        <f t="shared" si="8"/>
        <v>0.94159999999999999</v>
      </c>
      <c r="K21" s="228">
        <v>0.24510000000000001</v>
      </c>
      <c r="L21" s="194">
        <v>2059</v>
      </c>
      <c r="M21" s="205">
        <v>10000</v>
      </c>
      <c r="N21" s="205">
        <v>18500</v>
      </c>
      <c r="O21" s="194">
        <v>10000</v>
      </c>
      <c r="P21" s="194">
        <v>7000</v>
      </c>
      <c r="Q21" s="194">
        <v>5000</v>
      </c>
      <c r="R21" s="194">
        <v>3500</v>
      </c>
      <c r="S21" s="194">
        <v>2100</v>
      </c>
      <c r="T21" s="232">
        <f t="shared" ref="T21:T24" si="9">+SLOPE(M21:S21,$M$4:$S$4)</f>
        <v>-419.28571428571439</v>
      </c>
      <c r="U21" s="233">
        <f t="shared" ref="U21:U24" si="10">+INTERCEPT(M21:S21,$M$4:$S$4)</f>
        <v>861260.71428571444</v>
      </c>
      <c r="V21" s="234">
        <f t="shared" ref="V21:V24" si="11">+T21*L21+U21</f>
        <v>-2048.5714285714785</v>
      </c>
      <c r="W21" s="224">
        <f t="shared" ref="W21:W24" si="12">+((L21-$M$4)*V21+((L21-$M$4)*(M21-V21))/2)*365/1000000</f>
        <v>56.594292857142499</v>
      </c>
      <c r="X21" s="225">
        <f t="shared" ref="X21:X24" si="13">+((T21*L21*L21/2)+(U21*L21)-(T21*$M$4*$M$4/2)-(U21*$M$4))*365/1000000</f>
        <v>87.224962500087017</v>
      </c>
      <c r="Y21" s="186">
        <f t="shared" si="6"/>
        <v>-2.2908451886557404E-2</v>
      </c>
    </row>
    <row r="22" spans="3:25" x14ac:dyDescent="0.25">
      <c r="C22" t="s">
        <v>500</v>
      </c>
      <c r="E22" s="194">
        <v>10.25</v>
      </c>
      <c r="F22" s="194">
        <v>60.26</v>
      </c>
      <c r="G22">
        <f>+E22*2%</f>
        <v>0.20500000000000002</v>
      </c>
      <c r="H22">
        <f t="shared" si="0"/>
        <v>10.045</v>
      </c>
      <c r="I22" s="186">
        <f t="shared" si="7"/>
        <v>0.02</v>
      </c>
      <c r="J22" s="186">
        <f t="shared" si="8"/>
        <v>0.98</v>
      </c>
      <c r="K22" s="228">
        <v>0.98270000000000002</v>
      </c>
      <c r="L22" s="194">
        <v>2025</v>
      </c>
      <c r="M22" s="205">
        <v>8000</v>
      </c>
      <c r="N22" s="205">
        <v>5000</v>
      </c>
      <c r="T22" s="232">
        <f t="shared" si="9"/>
        <v>-600</v>
      </c>
      <c r="U22" s="233">
        <f t="shared" si="10"/>
        <v>1220000</v>
      </c>
      <c r="V22" s="234">
        <f t="shared" si="11"/>
        <v>5000</v>
      </c>
      <c r="W22" s="224">
        <f t="shared" si="12"/>
        <v>11.862500000000001</v>
      </c>
      <c r="X22" s="225">
        <f t="shared" si="13"/>
        <v>11.862500000000001</v>
      </c>
      <c r="Y22" s="186">
        <f t="shared" si="6"/>
        <v>0.15731707317073176</v>
      </c>
    </row>
    <row r="23" spans="3:25" x14ac:dyDescent="0.25">
      <c r="C23" t="s">
        <v>501</v>
      </c>
      <c r="E23" s="194">
        <v>17.7</v>
      </c>
      <c r="F23" s="194">
        <v>97.48</v>
      </c>
      <c r="G23">
        <f>+E23*8.23%</f>
        <v>1.4567099999999999</v>
      </c>
      <c r="H23">
        <f t="shared" si="0"/>
        <v>16.243289999999998</v>
      </c>
      <c r="I23" s="186">
        <f t="shared" si="7"/>
        <v>8.2299999999999998E-2</v>
      </c>
      <c r="J23" s="186">
        <f t="shared" si="8"/>
        <v>0.91769999999999996</v>
      </c>
      <c r="K23" s="228">
        <v>0.97750000000000004</v>
      </c>
      <c r="L23" s="194">
        <v>2025</v>
      </c>
      <c r="M23" s="194">
        <v>8000</v>
      </c>
      <c r="N23" s="213">
        <v>5000</v>
      </c>
      <c r="T23" s="232">
        <f t="shared" si="9"/>
        <v>-600</v>
      </c>
      <c r="U23" s="233">
        <f t="shared" si="10"/>
        <v>1220000</v>
      </c>
      <c r="V23" s="234">
        <f t="shared" si="11"/>
        <v>5000</v>
      </c>
      <c r="W23" s="224">
        <f t="shared" si="12"/>
        <v>11.862500000000001</v>
      </c>
      <c r="X23" s="225">
        <f t="shared" si="13"/>
        <v>11.862500000000001</v>
      </c>
      <c r="Y23" s="186">
        <f t="shared" si="6"/>
        <v>-0.32980225988700557</v>
      </c>
    </row>
    <row r="24" spans="3:25" x14ac:dyDescent="0.25">
      <c r="C24" t="s">
        <v>502</v>
      </c>
      <c r="E24" s="194">
        <v>8.8000000000000007</v>
      </c>
      <c r="F24" s="194">
        <v>2.82</v>
      </c>
      <c r="G24">
        <f>+E24*94.66%</f>
        <v>8.3300800000000006</v>
      </c>
      <c r="H24">
        <f t="shared" si="0"/>
        <v>0.46992000000000012</v>
      </c>
      <c r="I24" s="186">
        <f t="shared" si="7"/>
        <v>0.9466</v>
      </c>
      <c r="J24" s="186">
        <f t="shared" si="8"/>
        <v>5.340000000000001E-2</v>
      </c>
      <c r="K24" s="228">
        <v>0.7712</v>
      </c>
      <c r="L24" s="194">
        <v>2039</v>
      </c>
      <c r="M24" s="194">
        <v>3000</v>
      </c>
      <c r="N24" s="213">
        <v>2000</v>
      </c>
      <c r="O24" s="194">
        <v>1100</v>
      </c>
      <c r="P24" s="194">
        <v>800</v>
      </c>
      <c r="T24" s="232">
        <f t="shared" si="9"/>
        <v>-150</v>
      </c>
      <c r="U24" s="233">
        <f t="shared" si="10"/>
        <v>305850</v>
      </c>
      <c r="V24" s="234">
        <f t="shared" si="11"/>
        <v>0</v>
      </c>
      <c r="W24" s="224">
        <f t="shared" si="12"/>
        <v>10.4025</v>
      </c>
      <c r="X24" s="225">
        <f t="shared" si="13"/>
        <v>9.8823749999999997</v>
      </c>
      <c r="Y24" s="186">
        <f t="shared" si="6"/>
        <v>0.12299715909090897</v>
      </c>
    </row>
    <row r="25" spans="3:25" x14ac:dyDescent="0.25">
      <c r="C25" t="s">
        <v>503</v>
      </c>
      <c r="E25" s="194">
        <v>1.1399999999999999</v>
      </c>
      <c r="F25" s="194">
        <v>0.47</v>
      </c>
      <c r="G25">
        <f>+E25*93.12%</f>
        <v>1.0615679999999998</v>
      </c>
      <c r="H25">
        <f t="shared" si="0"/>
        <v>7.8432000000000057E-2</v>
      </c>
      <c r="I25" s="186">
        <f t="shared" si="7"/>
        <v>0.93119999999999992</v>
      </c>
      <c r="J25" s="186">
        <f t="shared" si="8"/>
        <v>6.8800000000000056E-2</v>
      </c>
      <c r="K25" s="228">
        <v>0.73509999999999998</v>
      </c>
      <c r="L25" s="194">
        <v>2033</v>
      </c>
      <c r="M25" s="205">
        <v>1000</v>
      </c>
      <c r="N25" s="213">
        <v>300</v>
      </c>
      <c r="O25" s="194">
        <v>100</v>
      </c>
      <c r="T25" s="232">
        <f t="shared" ref="T25:T26" si="14">+SLOPE(M25:S25,$M$4:$S$4)</f>
        <v>-90</v>
      </c>
      <c r="U25" s="233">
        <f t="shared" ref="U25:U26" si="15">+INTERCEPT(M25:S25,$M$4:$S$4)</f>
        <v>182716.66666666666</v>
      </c>
      <c r="V25" s="234">
        <f t="shared" ref="V25:V26" si="16">+T25*L25+U25</f>
        <v>-253.33333333334303</v>
      </c>
      <c r="W25" s="224">
        <f t="shared" ref="W25:W26" si="17">+((L25-$M$4)*V25+((L25-$M$4)*(M25-V25))/2)*365/1000000</f>
        <v>1.7714666666666437</v>
      </c>
      <c r="X25" s="225">
        <f t="shared" ref="X25:X26" si="18">+((T25*L25*L25/2)+(U25*L25)-(T25*$M$4*$M$4/2)-(U25*$M$4))*365/1000000</f>
        <v>1.5737583333405851</v>
      </c>
      <c r="Y25" s="186">
        <f t="shared" si="6"/>
        <v>0.38048976608823271</v>
      </c>
    </row>
    <row r="26" spans="3:25" x14ac:dyDescent="0.25">
      <c r="C26" t="s">
        <v>504</v>
      </c>
      <c r="E26" s="194">
        <v>1.31</v>
      </c>
      <c r="F26" s="194">
        <v>0.37</v>
      </c>
      <c r="G26">
        <f>+E26*95.34%</f>
        <v>1.2489540000000001</v>
      </c>
      <c r="H26">
        <f t="shared" si="0"/>
        <v>6.1045999999999934E-2</v>
      </c>
      <c r="I26" s="186">
        <f t="shared" si="7"/>
        <v>0.95340000000000003</v>
      </c>
      <c r="J26" s="186">
        <f t="shared" si="8"/>
        <v>4.6599999999999947E-2</v>
      </c>
      <c r="K26" s="228">
        <v>0.34710000000000002</v>
      </c>
      <c r="L26" s="194">
        <v>2053</v>
      </c>
      <c r="M26" s="205">
        <v>480</v>
      </c>
      <c r="N26" s="205">
        <v>280</v>
      </c>
      <c r="O26" s="194">
        <v>125</v>
      </c>
      <c r="P26">
        <v>90</v>
      </c>
      <c r="Q26">
        <v>50</v>
      </c>
      <c r="R26">
        <v>30</v>
      </c>
      <c r="S26">
        <v>25</v>
      </c>
      <c r="T26" s="232">
        <f t="shared" si="14"/>
        <v>-13.857142857142858</v>
      </c>
      <c r="U26" s="233">
        <f t="shared" si="15"/>
        <v>28353.571428571428</v>
      </c>
      <c r="V26" s="234">
        <f t="shared" si="16"/>
        <v>-95.142857142858702</v>
      </c>
      <c r="W26" s="224">
        <f t="shared" si="17"/>
        <v>2.3178021428571336</v>
      </c>
      <c r="X26" s="225">
        <f t="shared" si="18"/>
        <v>1.6080075</v>
      </c>
      <c r="Y26" s="186">
        <f t="shared" si="6"/>
        <v>0.22748664122137402</v>
      </c>
    </row>
    <row r="27" spans="3:25" x14ac:dyDescent="0.25">
      <c r="C27" t="s">
        <v>505</v>
      </c>
      <c r="E27" s="194">
        <v>4.72</v>
      </c>
      <c r="F27" s="194">
        <v>7.45</v>
      </c>
      <c r="G27">
        <f>+E27*73.7%</f>
        <v>3.47864</v>
      </c>
      <c r="H27">
        <f t="shared" si="0"/>
        <v>1.2413599999999998</v>
      </c>
      <c r="I27" s="186">
        <f t="shared" si="7"/>
        <v>0.73699999999999999</v>
      </c>
      <c r="J27" s="186">
        <f t="shared" si="8"/>
        <v>0.26299999999999996</v>
      </c>
      <c r="K27" s="228">
        <v>0.91449999999999998</v>
      </c>
      <c r="L27" s="194">
        <v>2030</v>
      </c>
      <c r="M27" s="205">
        <v>3750</v>
      </c>
      <c r="N27" s="205">
        <v>1750</v>
      </c>
      <c r="O27" s="194">
        <v>750</v>
      </c>
      <c r="T27" s="232">
        <f t="shared" ref="T27:T28" si="19">+SLOPE(M27:S27,$M$4:$S$4)</f>
        <v>-300</v>
      </c>
      <c r="U27" s="233">
        <f t="shared" ref="U27:U28" si="20">+INTERCEPT(M27:S27,$M$4:$S$4)</f>
        <v>609583.33333333337</v>
      </c>
      <c r="V27" s="234">
        <f t="shared" ref="V27:V28" si="21">+T27*L27+U27</f>
        <v>583.33333333337214</v>
      </c>
      <c r="W27" s="224">
        <f t="shared" ref="W27:W28" si="22">+((L27-$M$4)*V27+((L27-$M$4)*(M27-V27))/2)*365/1000000</f>
        <v>7.9083333333334034</v>
      </c>
      <c r="X27" s="225">
        <f t="shared" ref="X27:X28" si="23">+((T27*L27*L27/2)+(U27*L27)-(T27*$M$4*$M$4/2)-(U27*$M$4))*365/1000000</f>
        <v>7.6041666666376591</v>
      </c>
      <c r="Y27" s="186">
        <f t="shared" si="6"/>
        <v>0.61105225988086009</v>
      </c>
    </row>
    <row r="28" spans="3:25" x14ac:dyDescent="0.25">
      <c r="C28" t="s">
        <v>506</v>
      </c>
      <c r="E28" s="194">
        <v>11.27</v>
      </c>
      <c r="F28" s="194">
        <v>0</v>
      </c>
      <c r="G28">
        <v>11.27</v>
      </c>
      <c r="H28">
        <f t="shared" si="0"/>
        <v>0</v>
      </c>
      <c r="I28" s="186">
        <f t="shared" si="7"/>
        <v>1</v>
      </c>
      <c r="J28" s="186">
        <f t="shared" si="8"/>
        <v>0</v>
      </c>
      <c r="K28" s="228">
        <v>0.4148</v>
      </c>
      <c r="L28" s="194">
        <v>2067</v>
      </c>
      <c r="M28" s="205">
        <v>2500</v>
      </c>
      <c r="N28" s="214">
        <v>1750</v>
      </c>
      <c r="O28" s="194">
        <v>1250</v>
      </c>
      <c r="P28">
        <v>800</v>
      </c>
      <c r="Q28">
        <v>600</v>
      </c>
      <c r="R28">
        <v>400</v>
      </c>
      <c r="S28">
        <v>300</v>
      </c>
      <c r="T28" s="232">
        <f t="shared" si="19"/>
        <v>-71.071428571428569</v>
      </c>
      <c r="U28" s="233">
        <f t="shared" si="20"/>
        <v>145716.07142857142</v>
      </c>
      <c r="V28" s="234">
        <f t="shared" si="21"/>
        <v>-1188.5714285714203</v>
      </c>
      <c r="W28" s="224">
        <f t="shared" si="22"/>
        <v>11.248778571428643</v>
      </c>
      <c r="X28" s="225">
        <f t="shared" si="23"/>
        <v>8.2619705357080697</v>
      </c>
      <c r="Y28" s="186">
        <f t="shared" si="6"/>
        <v>-0.2669058974527001</v>
      </c>
    </row>
    <row r="29" spans="3:25" x14ac:dyDescent="0.25">
      <c r="C29" t="s">
        <v>318</v>
      </c>
      <c r="E29" s="194">
        <v>3.84</v>
      </c>
      <c r="F29" s="194">
        <v>23.03</v>
      </c>
      <c r="H29">
        <f t="shared" si="0"/>
        <v>3.84</v>
      </c>
      <c r="I29" s="186">
        <f t="shared" si="7"/>
        <v>0</v>
      </c>
      <c r="J29" s="186">
        <f t="shared" si="8"/>
        <v>1</v>
      </c>
      <c r="K29" s="228">
        <v>0.84079999999999999</v>
      </c>
      <c r="L29" s="194">
        <v>2028</v>
      </c>
      <c r="M29" s="205">
        <v>5300</v>
      </c>
      <c r="N29" s="205">
        <v>1250</v>
      </c>
      <c r="T29" s="232">
        <f t="shared" ref="T29:T32" si="24">+SLOPE(M29:S29,$M$4:$S$4)</f>
        <v>-810</v>
      </c>
      <c r="U29" s="233">
        <f t="shared" ref="U29:U32" si="25">+INTERCEPT(M29:S29,$M$4:$S$4)</f>
        <v>1641500</v>
      </c>
      <c r="V29" s="234">
        <f t="shared" ref="V29:V32" si="26">+T29*L29+U29</f>
        <v>-1180</v>
      </c>
      <c r="W29" s="224">
        <f t="shared" ref="W29:W32" si="27">+((L29-$M$4)*V29+((L29-$M$4)*(M29-V29))/2)*365/1000000</f>
        <v>6.0152000000000001</v>
      </c>
      <c r="X29" s="225">
        <f t="shared" ref="X29:X32" si="28">+((T29*L29*L29/2)+(U29*L29)-(T29*$M$4*$M$4/2)-(U29*$M$4))*365/1000000</f>
        <v>6.0152000000000001</v>
      </c>
      <c r="Y29" s="186">
        <f t="shared" si="6"/>
        <v>0.5664583333333334</v>
      </c>
    </row>
    <row r="30" spans="3:25" x14ac:dyDescent="0.25">
      <c r="C30" t="s">
        <v>508</v>
      </c>
      <c r="E30" s="194">
        <v>14.92</v>
      </c>
      <c r="F30">
        <v>0.24</v>
      </c>
      <c r="G30">
        <f>+E30*99.74%</f>
        <v>14.881207999999999</v>
      </c>
      <c r="H30">
        <f t="shared" si="0"/>
        <v>3.8792000000000826E-2</v>
      </c>
      <c r="I30" s="186">
        <f t="shared" si="7"/>
        <v>0.99739999999999995</v>
      </c>
      <c r="J30" s="186">
        <f t="shared" si="8"/>
        <v>2.6000000000000554E-3</v>
      </c>
      <c r="K30" s="228">
        <v>0.75690000000000002</v>
      </c>
      <c r="L30" s="194">
        <v>2043</v>
      </c>
      <c r="M30" s="205">
        <v>10000</v>
      </c>
      <c r="N30" s="205">
        <v>4000</v>
      </c>
      <c r="O30" s="194">
        <v>1000</v>
      </c>
      <c r="P30">
        <v>500</v>
      </c>
      <c r="Q30">
        <v>400</v>
      </c>
      <c r="T30" s="232">
        <f t="shared" si="24"/>
        <v>-454</v>
      </c>
      <c r="U30" s="233">
        <f t="shared" si="25"/>
        <v>924800</v>
      </c>
      <c r="V30" s="234">
        <f t="shared" si="26"/>
        <v>-2722</v>
      </c>
      <c r="W30" s="224">
        <f t="shared" si="27"/>
        <v>30.549405</v>
      </c>
      <c r="X30" s="225">
        <f t="shared" si="28"/>
        <v>20.979105000000001</v>
      </c>
      <c r="Y30" s="186">
        <f t="shared" si="6"/>
        <v>0.40610623324396788</v>
      </c>
    </row>
    <row r="31" spans="3:25" x14ac:dyDescent="0.25">
      <c r="C31" t="s">
        <v>80</v>
      </c>
      <c r="E31" s="194">
        <v>43.42</v>
      </c>
      <c r="F31" s="194">
        <v>16.96</v>
      </c>
      <c r="G31">
        <f>+E31*93.49%</f>
        <v>40.593358000000002</v>
      </c>
      <c r="H31">
        <f t="shared" si="0"/>
        <v>2.8266419999999997</v>
      </c>
      <c r="I31" s="186">
        <f t="shared" si="7"/>
        <v>0.93490000000000006</v>
      </c>
      <c r="J31" s="186">
        <f t="shared" si="8"/>
        <v>6.5099999999999991E-2</v>
      </c>
      <c r="K31" s="228">
        <v>0.76190000000000002</v>
      </c>
      <c r="L31" s="194">
        <v>2042</v>
      </c>
      <c r="M31" s="205">
        <v>25000</v>
      </c>
      <c r="N31" s="205">
        <v>12500</v>
      </c>
      <c r="O31" s="194">
        <v>4500</v>
      </c>
      <c r="P31">
        <v>2500</v>
      </c>
      <c r="Q31">
        <v>1000</v>
      </c>
      <c r="T31" s="232">
        <f t="shared" si="24"/>
        <v>-1160</v>
      </c>
      <c r="U31" s="233">
        <f t="shared" si="25"/>
        <v>2363900</v>
      </c>
      <c r="V31" s="234">
        <f t="shared" si="26"/>
        <v>-4820</v>
      </c>
      <c r="W31" s="224">
        <f t="shared" si="27"/>
        <v>81.0227</v>
      </c>
      <c r="X31" s="225">
        <f t="shared" si="28"/>
        <v>63.758200000000002</v>
      </c>
      <c r="Y31" s="186">
        <f t="shared" si="6"/>
        <v>0.46840626439428834</v>
      </c>
    </row>
    <row r="32" spans="3:25" x14ac:dyDescent="0.25">
      <c r="C32" t="s">
        <v>449</v>
      </c>
      <c r="E32" s="194">
        <v>7.3</v>
      </c>
      <c r="F32" s="194">
        <v>4.54</v>
      </c>
      <c r="G32">
        <f>+E32*89.64%</f>
        <v>6.5437199999999995</v>
      </c>
      <c r="H32">
        <f t="shared" si="0"/>
        <v>0.75628000000000029</v>
      </c>
      <c r="I32" s="186">
        <f t="shared" si="7"/>
        <v>0.89639999999999997</v>
      </c>
      <c r="J32" s="186">
        <f t="shared" si="8"/>
        <v>0.10360000000000004</v>
      </c>
      <c r="K32" s="228">
        <v>0.77580000000000005</v>
      </c>
      <c r="L32" s="194">
        <v>2044</v>
      </c>
      <c r="M32" s="205">
        <v>2000</v>
      </c>
      <c r="N32" s="205">
        <v>1250</v>
      </c>
      <c r="O32" s="194">
        <v>900</v>
      </c>
      <c r="P32">
        <v>600</v>
      </c>
      <c r="Q32">
        <v>400</v>
      </c>
      <c r="T32" s="232">
        <f t="shared" si="24"/>
        <v>-77</v>
      </c>
      <c r="U32" s="233">
        <f t="shared" si="25"/>
        <v>157340</v>
      </c>
      <c r="V32" s="234">
        <f t="shared" si="26"/>
        <v>-48</v>
      </c>
      <c r="W32" s="224">
        <f t="shared" si="27"/>
        <v>8.5497599999999991</v>
      </c>
      <c r="X32" s="225">
        <f t="shared" si="28"/>
        <v>7.6737599999999997</v>
      </c>
      <c r="Y32" s="186">
        <f t="shared" si="6"/>
        <v>5.1199999999999982E-2</v>
      </c>
    </row>
    <row r="33" spans="3:25" x14ac:dyDescent="0.25">
      <c r="C33" t="s">
        <v>509</v>
      </c>
      <c r="E33" s="194">
        <v>0.57999999999999996</v>
      </c>
      <c r="F33" s="194">
        <v>0</v>
      </c>
      <c r="G33">
        <f>+E33</f>
        <v>0.57999999999999996</v>
      </c>
      <c r="H33">
        <f t="shared" si="0"/>
        <v>0</v>
      </c>
      <c r="I33" s="186">
        <f t="shared" si="7"/>
        <v>1</v>
      </c>
      <c r="J33" s="186">
        <f t="shared" si="8"/>
        <v>0</v>
      </c>
      <c r="K33" s="228">
        <v>0.91830000000000001</v>
      </c>
      <c r="L33" s="194">
        <v>2031</v>
      </c>
      <c r="M33" s="205">
        <v>500</v>
      </c>
      <c r="N33" s="205">
        <v>200</v>
      </c>
      <c r="O33" s="194">
        <v>80</v>
      </c>
      <c r="T33" s="232">
        <f t="shared" ref="T33:T37" si="29">+SLOPE(M33:S33,$M$4:$S$4)</f>
        <v>-42</v>
      </c>
      <c r="U33" s="233">
        <f t="shared" ref="U33:U37" si="30">+INTERCEPT(M33:S33,$M$4:$S$4)</f>
        <v>85310</v>
      </c>
      <c r="V33" s="234">
        <f t="shared" ref="V33:V37" si="31">+T33*L33+U33</f>
        <v>8</v>
      </c>
      <c r="W33" s="224">
        <f t="shared" ref="W33:W37" si="32">+((L33-$M$4)*V33+((L33-$M$4)*(M33-V33))/2)*365/1000000</f>
        <v>1.0198100000000001</v>
      </c>
      <c r="X33" s="225">
        <f t="shared" ref="X33:X37" si="33">+((T33*L33*L33/2)+(U33*L33)-(T33*$M$4*$M$4/2)-(U33*$M$4))*365/1000000</f>
        <v>0.95958500000000002</v>
      </c>
      <c r="Y33" s="186">
        <f t="shared" si="6"/>
        <v>0.65445689655172434</v>
      </c>
    </row>
    <row r="34" spans="3:25" x14ac:dyDescent="0.25">
      <c r="C34" t="s">
        <v>510</v>
      </c>
      <c r="E34" s="194">
        <v>130.22</v>
      </c>
      <c r="F34" s="194">
        <v>284</v>
      </c>
      <c r="G34">
        <f>+E34*63.65%</f>
        <v>82.88503</v>
      </c>
      <c r="H34">
        <f t="shared" si="0"/>
        <v>47.334969999999998</v>
      </c>
      <c r="I34" s="186">
        <f t="shared" si="7"/>
        <v>0.63649999999999995</v>
      </c>
      <c r="J34" s="186">
        <f t="shared" si="8"/>
        <v>0.36349999999999999</v>
      </c>
      <c r="K34" s="228">
        <v>0.63759999999999994</v>
      </c>
      <c r="L34" s="194">
        <v>2018</v>
      </c>
      <c r="M34" s="205">
        <v>55000</v>
      </c>
      <c r="N34" s="205">
        <v>31000</v>
      </c>
      <c r="O34" s="194">
        <v>15000</v>
      </c>
      <c r="P34">
        <v>8000</v>
      </c>
      <c r="T34" s="232">
        <f t="shared" si="29"/>
        <v>-3140</v>
      </c>
      <c r="U34" s="233">
        <f t="shared" si="30"/>
        <v>6393600</v>
      </c>
      <c r="V34" s="234">
        <f t="shared" si="31"/>
        <v>57080</v>
      </c>
      <c r="W34" s="224">
        <f t="shared" si="32"/>
        <v>-40.909199999999998</v>
      </c>
      <c r="X34" s="225">
        <f t="shared" si="33"/>
        <v>-39.376199999999997</v>
      </c>
      <c r="Y34" s="186">
        <f t="shared" si="6"/>
        <v>-1.3023821225618186</v>
      </c>
    </row>
    <row r="35" spans="3:25" x14ac:dyDescent="0.25">
      <c r="C35" t="s">
        <v>344</v>
      </c>
      <c r="E35" s="194">
        <v>24.09</v>
      </c>
      <c r="F35" s="194">
        <v>0</v>
      </c>
      <c r="G35">
        <f>+E35</f>
        <v>24.09</v>
      </c>
      <c r="H35">
        <f t="shared" si="0"/>
        <v>0</v>
      </c>
      <c r="I35" s="186">
        <f t="shared" si="7"/>
        <v>1</v>
      </c>
      <c r="J35" s="186">
        <f t="shared" si="8"/>
        <v>0</v>
      </c>
      <c r="K35" s="228">
        <v>0.73740000000000006</v>
      </c>
      <c r="L35" s="194">
        <v>2064</v>
      </c>
      <c r="M35" s="205">
        <v>4000</v>
      </c>
      <c r="N35" s="205">
        <v>3500</v>
      </c>
      <c r="O35" s="194">
        <v>2500</v>
      </c>
      <c r="P35">
        <v>2000</v>
      </c>
      <c r="Q35">
        <v>1500</v>
      </c>
      <c r="R35">
        <v>1250</v>
      </c>
      <c r="S35">
        <v>1000</v>
      </c>
      <c r="T35" s="232">
        <f t="shared" si="29"/>
        <v>-103.57142857142857</v>
      </c>
      <c r="U35" s="233">
        <f t="shared" si="30"/>
        <v>213017.85714285713</v>
      </c>
      <c r="V35" s="234">
        <f t="shared" si="31"/>
        <v>-753.57142857144936</v>
      </c>
      <c r="W35" s="224">
        <f t="shared" si="32"/>
        <v>26.068821428571262</v>
      </c>
      <c r="X35" s="225">
        <f t="shared" si="33"/>
        <v>24.491499999999998</v>
      </c>
      <c r="Y35" s="186">
        <f t="shared" si="6"/>
        <v>1.6666666666666611E-2</v>
      </c>
    </row>
    <row r="36" spans="3:25" x14ac:dyDescent="0.25">
      <c r="C36" t="s">
        <v>511</v>
      </c>
      <c r="E36" s="194">
        <v>5.59</v>
      </c>
      <c r="F36" s="194">
        <v>0</v>
      </c>
      <c r="G36">
        <f>+E36</f>
        <v>5.59</v>
      </c>
      <c r="H36">
        <f t="shared" si="0"/>
        <v>0</v>
      </c>
      <c r="I36" s="186">
        <f t="shared" si="7"/>
        <v>1</v>
      </c>
      <c r="J36" s="186">
        <f t="shared" si="8"/>
        <v>0</v>
      </c>
      <c r="K36" s="228">
        <v>0.69210000000000005</v>
      </c>
      <c r="L36" s="194">
        <v>2047</v>
      </c>
      <c r="M36" s="205">
        <v>1400</v>
      </c>
      <c r="N36" s="205">
        <v>1250</v>
      </c>
      <c r="O36" s="194">
        <v>750</v>
      </c>
      <c r="P36">
        <v>450</v>
      </c>
      <c r="Q36">
        <v>250</v>
      </c>
      <c r="T36" s="232">
        <f t="shared" si="29"/>
        <v>-62</v>
      </c>
      <c r="U36" s="233">
        <f t="shared" si="30"/>
        <v>126680</v>
      </c>
      <c r="V36" s="234">
        <f t="shared" si="31"/>
        <v>-234</v>
      </c>
      <c r="W36" s="224">
        <f t="shared" si="32"/>
        <v>5.7454650000000003</v>
      </c>
      <c r="X36" s="225">
        <f t="shared" si="33"/>
        <v>5.9425650000000001</v>
      </c>
      <c r="Y36" s="186">
        <f t="shared" si="6"/>
        <v>6.307066189624333E-2</v>
      </c>
    </row>
    <row r="37" spans="3:25" x14ac:dyDescent="0.25">
      <c r="C37" t="s">
        <v>345</v>
      </c>
      <c r="E37" s="194">
        <v>16.52</v>
      </c>
      <c r="F37" s="194">
        <v>1.91</v>
      </c>
      <c r="G37">
        <f>+E37*98.07%</f>
        <v>16.201163999999999</v>
      </c>
      <c r="H37">
        <f t="shared" si="0"/>
        <v>0.31883600000000101</v>
      </c>
      <c r="I37" s="186">
        <f t="shared" si="7"/>
        <v>0.98069999999999991</v>
      </c>
      <c r="J37" s="186">
        <f t="shared" si="8"/>
        <v>1.930000000000006E-2</v>
      </c>
      <c r="K37" s="228">
        <v>0.73629999999999995</v>
      </c>
      <c r="L37" s="194">
        <v>2060</v>
      </c>
      <c r="M37" s="205">
        <v>4000</v>
      </c>
      <c r="N37" s="205">
        <v>3000</v>
      </c>
      <c r="O37" s="194">
        <v>1800</v>
      </c>
      <c r="P37">
        <v>1250</v>
      </c>
      <c r="Q37">
        <v>1000</v>
      </c>
      <c r="R37">
        <v>750</v>
      </c>
      <c r="T37" s="232">
        <f t="shared" si="29"/>
        <v>-130.28571428571428</v>
      </c>
      <c r="U37" s="233">
        <f t="shared" si="30"/>
        <v>266772.38095238095</v>
      </c>
      <c r="V37" s="234">
        <f t="shared" si="31"/>
        <v>-1616.1904761904734</v>
      </c>
      <c r="W37" s="224">
        <f t="shared" si="32"/>
        <v>17.401809523809543</v>
      </c>
      <c r="X37" s="225">
        <f t="shared" si="33"/>
        <v>14.447047619026899</v>
      </c>
      <c r="Y37" s="186">
        <f t="shared" si="6"/>
        <v>-0.12548137899352912</v>
      </c>
    </row>
    <row r="38" spans="3:25" x14ac:dyDescent="0.25">
      <c r="C38" t="s">
        <v>512</v>
      </c>
      <c r="E38" s="194">
        <v>90.73</v>
      </c>
      <c r="F38" s="194">
        <v>10.09</v>
      </c>
      <c r="G38">
        <f>+E38*98.15%</f>
        <v>89.051495000000003</v>
      </c>
      <c r="H38">
        <f t="shared" si="0"/>
        <v>1.6785050000000012</v>
      </c>
      <c r="I38" s="186">
        <f t="shared" si="7"/>
        <v>0.98150000000000004</v>
      </c>
      <c r="J38" s="186">
        <f t="shared" si="8"/>
        <v>1.8500000000000013E-2</v>
      </c>
      <c r="K38" s="228">
        <v>0.50829999999999997</v>
      </c>
      <c r="L38" s="194">
        <v>2061</v>
      </c>
      <c r="M38" s="205">
        <v>19000</v>
      </c>
      <c r="N38" s="205">
        <v>16000</v>
      </c>
      <c r="O38" s="194">
        <v>10000</v>
      </c>
      <c r="P38">
        <v>7000</v>
      </c>
      <c r="Q38">
        <v>4500</v>
      </c>
      <c r="R38">
        <v>3000</v>
      </c>
      <c r="S38">
        <v>2000</v>
      </c>
    </row>
    <row r="39" spans="3:25" x14ac:dyDescent="0.25">
      <c r="H39">
        <f t="shared" si="0"/>
        <v>0</v>
      </c>
      <c r="I39" s="186"/>
      <c r="J39" s="186"/>
    </row>
    <row r="40" spans="3:25" x14ac:dyDescent="0.25">
      <c r="C40" t="s">
        <v>519</v>
      </c>
      <c r="E40" s="194" t="s">
        <v>527</v>
      </c>
      <c r="F40" s="194">
        <v>23.75</v>
      </c>
      <c r="G40" t="e">
        <f>+E40*0.74%</f>
        <v>#VALUE!</v>
      </c>
      <c r="H40" t="e">
        <f t="shared" si="0"/>
        <v>#VALUE!</v>
      </c>
      <c r="I40" s="186" t="e">
        <f t="shared" si="7"/>
        <v>#VALUE!</v>
      </c>
      <c r="J40" s="186" t="e">
        <f t="shared" si="8"/>
        <v>#VALUE!</v>
      </c>
      <c r="K40" s="228">
        <v>0.30909999999999999</v>
      </c>
      <c r="L40" s="194">
        <v>2049</v>
      </c>
    </row>
    <row r="41" spans="3:25" x14ac:dyDescent="0.25">
      <c r="C41" t="s">
        <v>520</v>
      </c>
      <c r="E41" s="194">
        <v>6.24</v>
      </c>
      <c r="F41" s="194">
        <v>11.14</v>
      </c>
      <c r="G41">
        <f>+E41*70.26%</f>
        <v>4.3842240000000006</v>
      </c>
      <c r="H41">
        <f t="shared" si="0"/>
        <v>1.8557759999999996</v>
      </c>
      <c r="I41" s="186">
        <f t="shared" si="7"/>
        <v>0.70260000000000011</v>
      </c>
      <c r="J41" s="186">
        <f t="shared" si="8"/>
        <v>0.29739999999999994</v>
      </c>
      <c r="K41" s="228">
        <v>0.77259999999999995</v>
      </c>
      <c r="L41" s="194">
        <v>2041</v>
      </c>
      <c r="M41" s="205">
        <v>3700</v>
      </c>
    </row>
    <row r="42" spans="3:25" x14ac:dyDescent="0.25">
      <c r="C42" t="s">
        <v>521</v>
      </c>
      <c r="E42" s="194">
        <v>18.809999999999999</v>
      </c>
      <c r="F42" s="194">
        <v>112.29</v>
      </c>
      <c r="G42">
        <f>+E42*0.49%</f>
        <v>9.2168999999999987E-2</v>
      </c>
      <c r="H42">
        <f t="shared" si="0"/>
        <v>18.717831</v>
      </c>
      <c r="I42" s="186">
        <f t="shared" si="7"/>
        <v>4.8999999999999998E-3</v>
      </c>
      <c r="J42" s="186">
        <f t="shared" si="8"/>
        <v>0.9951000000000001</v>
      </c>
      <c r="K42" s="228">
        <v>0.29599999999999999</v>
      </c>
      <c r="L42" s="194">
        <v>2042</v>
      </c>
      <c r="M42" s="205">
        <v>4500</v>
      </c>
    </row>
    <row r="43" spans="3:25" x14ac:dyDescent="0.25">
      <c r="C43" t="s">
        <v>522</v>
      </c>
      <c r="E43" s="194">
        <v>9.35</v>
      </c>
      <c r="F43" s="194">
        <v>4.1900000000000004</v>
      </c>
      <c r="G43">
        <f>+E43*92.53%</f>
        <v>8.6515550000000001</v>
      </c>
      <c r="H43">
        <f t="shared" si="0"/>
        <v>0.69844499999999954</v>
      </c>
      <c r="I43" s="186">
        <f t="shared" si="7"/>
        <v>0.92530000000000001</v>
      </c>
      <c r="J43" s="186">
        <f t="shared" si="8"/>
        <v>7.4699999999999947E-2</v>
      </c>
      <c r="K43" s="228">
        <v>0.51980000000000004</v>
      </c>
      <c r="L43" s="194">
        <v>2068</v>
      </c>
      <c r="M43" s="194">
        <v>1800</v>
      </c>
    </row>
    <row r="45" spans="3:25" x14ac:dyDescent="0.25">
      <c r="M45">
        <f>+SUM(M6:M43)</f>
        <v>529280</v>
      </c>
      <c r="N45" t="s">
        <v>528</v>
      </c>
    </row>
    <row r="46" spans="3:25" x14ac:dyDescent="0.25">
      <c r="M46">
        <f>+M45*365</f>
        <v>193187200</v>
      </c>
      <c r="N46" t="s">
        <v>528</v>
      </c>
    </row>
    <row r="47" spans="3:25" x14ac:dyDescent="0.25">
      <c r="C47" t="s">
        <v>513</v>
      </c>
      <c r="E47" s="212">
        <f>+SUM(E5:E38)+E42</f>
        <v>1984.8899999999996</v>
      </c>
      <c r="F47" t="s">
        <v>488</v>
      </c>
      <c r="M47" s="229">
        <f>+M46/1000000</f>
        <v>193.18719999999999</v>
      </c>
      <c r="N47" t="s">
        <v>529</v>
      </c>
    </row>
    <row r="48" spans="3:25" x14ac:dyDescent="0.25">
      <c r="C48" t="s">
        <v>514</v>
      </c>
      <c r="E48">
        <f>+SUM(G5:G38)+G42</f>
        <v>1725.2950059999996</v>
      </c>
      <c r="F48" t="s">
        <v>488</v>
      </c>
      <c r="G48" s="186">
        <f>+E48/E47</f>
        <v>0.86921441792744181</v>
      </c>
      <c r="H48" s="186"/>
      <c r="I48" s="186"/>
      <c r="J48" s="186"/>
      <c r="K48" s="212"/>
      <c r="M48" s="219" t="s">
        <v>530</v>
      </c>
      <c r="N48" s="219" t="s">
        <v>531</v>
      </c>
    </row>
    <row r="49" spans="3:14" x14ac:dyDescent="0.25">
      <c r="C49" t="s">
        <v>517</v>
      </c>
      <c r="E49" s="212">
        <f>+E47-E48</f>
        <v>259.59499400000004</v>
      </c>
      <c r="F49" t="s">
        <v>488</v>
      </c>
      <c r="G49" s="186">
        <f>+E49/E47</f>
        <v>0.13078558207255822</v>
      </c>
      <c r="H49" s="186"/>
      <c r="I49" s="186"/>
      <c r="J49" s="186"/>
      <c r="M49" s="236">
        <f>+M47*M54</f>
        <v>25.114335999999998</v>
      </c>
      <c r="N49" s="237">
        <f>+M47*(100%-M54)</f>
        <v>168.07286399999998</v>
      </c>
    </row>
    <row r="50" spans="3:14" x14ac:dyDescent="0.25">
      <c r="C50" t="s">
        <v>515</v>
      </c>
      <c r="E50" s="212">
        <f>+SUM(F5:F38)</f>
        <v>1635.0453439999999</v>
      </c>
      <c r="F50" t="s">
        <v>516</v>
      </c>
    </row>
    <row r="51" spans="3:14" x14ac:dyDescent="0.25">
      <c r="E51" s="212">
        <f>+E50*(1000000000)</f>
        <v>1635045344000</v>
      </c>
      <c r="F51" t="s">
        <v>526</v>
      </c>
    </row>
    <row r="52" spans="3:14" x14ac:dyDescent="0.25">
      <c r="E52" s="212">
        <f>+(E51/G1)/1000000</f>
        <v>272.62588454016498</v>
      </c>
      <c r="L52" t="s">
        <v>518</v>
      </c>
      <c r="M52" t="s">
        <v>532</v>
      </c>
    </row>
    <row r="53" spans="3:14" x14ac:dyDescent="0.25">
      <c r="L53">
        <v>71</v>
      </c>
      <c r="M53" s="235">
        <v>0.87</v>
      </c>
    </row>
    <row r="54" spans="3:14" x14ac:dyDescent="0.25">
      <c r="E54">
        <f>+E50*1000</f>
        <v>1635045.3439999998</v>
      </c>
      <c r="F54" t="s">
        <v>523</v>
      </c>
      <c r="L54">
        <v>29</v>
      </c>
      <c r="M54" s="235">
        <v>0.13</v>
      </c>
    </row>
    <row r="55" spans="3:14" x14ac:dyDescent="0.25">
      <c r="E55">
        <f>+E54/11</f>
        <v>148640.4858181818</v>
      </c>
      <c r="F55" t="s">
        <v>523</v>
      </c>
    </row>
    <row r="56" spans="3:14" x14ac:dyDescent="0.25">
      <c r="E56">
        <f>+E55/365</f>
        <v>407.234207721046</v>
      </c>
      <c r="F56" t="s">
        <v>523</v>
      </c>
    </row>
    <row r="58" spans="3:14" x14ac:dyDescent="0.25">
      <c r="E58">
        <v>1000</v>
      </c>
      <c r="F58" t="s">
        <v>523</v>
      </c>
    </row>
    <row r="59" spans="3:14" x14ac:dyDescent="0.25">
      <c r="E59">
        <f>+E58*365</f>
        <v>365000</v>
      </c>
    </row>
    <row r="60" spans="3:14" x14ac:dyDescent="0.25">
      <c r="E60" s="229">
        <f>+E54/E59</f>
        <v>4.4795762849315066</v>
      </c>
      <c r="F60" t="s">
        <v>524</v>
      </c>
    </row>
    <row r="61" spans="3:14" x14ac:dyDescent="0.25">
      <c r="E61" s="223"/>
    </row>
  </sheetData>
  <mergeCells count="1">
    <mergeCell ref="W3:X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72A72-AF19-4504-9414-6F61CF25CDA8}">
  <dimension ref="B1:U47"/>
  <sheetViews>
    <sheetView showGridLines="0" workbookViewId="0">
      <selection activeCell="G3" sqref="G3:G37"/>
    </sheetView>
  </sheetViews>
  <sheetFormatPr baseColWidth="10" defaultRowHeight="15" x14ac:dyDescent="0.25"/>
  <cols>
    <col min="2" max="2" width="30.28515625" customWidth="1"/>
    <col min="4" max="5" width="11.42578125" style="194"/>
    <col min="20" max="20" width="12" bestFit="1" customWidth="1"/>
  </cols>
  <sheetData>
    <row r="1" spans="2:21" x14ac:dyDescent="0.25">
      <c r="D1" s="250">
        <v>6.0871741676095334</v>
      </c>
      <c r="E1" s="194" t="s">
        <v>545</v>
      </c>
      <c r="L1">
        <v>1.01</v>
      </c>
      <c r="M1" t="s">
        <v>548</v>
      </c>
      <c r="N1">
        <f>+L1/1000</f>
        <v>1.01E-3</v>
      </c>
      <c r="O1" t="s">
        <v>549</v>
      </c>
      <c r="T1">
        <f>6.1178632*1000000000</f>
        <v>6117863200</v>
      </c>
      <c r="U1" t="s">
        <v>550</v>
      </c>
    </row>
    <row r="2" spans="2:21" x14ac:dyDescent="0.25">
      <c r="C2" s="194"/>
      <c r="T2">
        <f>+T1/(1000000000000000)</f>
        <v>6.1178631999999998E-6</v>
      </c>
      <c r="U2" t="s">
        <v>551</v>
      </c>
    </row>
    <row r="3" spans="2:21" x14ac:dyDescent="0.25">
      <c r="C3" s="247" t="s">
        <v>475</v>
      </c>
      <c r="E3" s="247" t="s">
        <v>542</v>
      </c>
      <c r="F3" s="194" t="s">
        <v>543</v>
      </c>
      <c r="G3" s="247" t="s">
        <v>478</v>
      </c>
      <c r="L3" s="251" t="s">
        <v>544</v>
      </c>
      <c r="M3" s="205" t="s">
        <v>547</v>
      </c>
      <c r="N3" t="s">
        <v>554</v>
      </c>
      <c r="P3" s="205" t="s">
        <v>552</v>
      </c>
      <c r="Q3" t="s">
        <v>552</v>
      </c>
      <c r="R3" t="s">
        <v>553</v>
      </c>
    </row>
    <row r="4" spans="2:21" x14ac:dyDescent="0.25">
      <c r="B4" t="s">
        <v>301</v>
      </c>
      <c r="C4" s="254">
        <v>28.68</v>
      </c>
      <c r="E4" s="255">
        <v>0</v>
      </c>
      <c r="F4" s="249">
        <f>+C4-E4</f>
        <v>28.68</v>
      </c>
      <c r="G4" s="183">
        <v>172.07</v>
      </c>
      <c r="I4">
        <f>+F4/G4</f>
        <v>0.16667635264717848</v>
      </c>
      <c r="L4" s="252">
        <f>+E4*1000*$D$1/1000</f>
        <v>0</v>
      </c>
      <c r="M4" s="248">
        <f>+G4*1000*$N$1</f>
        <v>173.79070000000002</v>
      </c>
      <c r="N4" s="253">
        <f>+IF(L4=0,0,M4/L4)</f>
        <v>0</v>
      </c>
      <c r="P4" s="248">
        <f>+M4+L4</f>
        <v>173.79070000000002</v>
      </c>
      <c r="Q4" s="229">
        <f>+C4*1000000*$T$2</f>
        <v>175.460316576</v>
      </c>
      <c r="R4" s="186">
        <f>+(P4-Q4)/P4</f>
        <v>-9.6070536340551096E-3</v>
      </c>
    </row>
    <row r="5" spans="2:21" x14ac:dyDescent="0.25">
      <c r="B5" t="s">
        <v>342</v>
      </c>
      <c r="C5" s="247">
        <v>89.87</v>
      </c>
      <c r="E5" s="255">
        <f>+C5</f>
        <v>89.87</v>
      </c>
      <c r="F5" s="249">
        <f t="shared" ref="F5:F37" si="0">+C5-E5</f>
        <v>0</v>
      </c>
      <c r="G5" s="183">
        <v>0</v>
      </c>
      <c r="I5" t="e">
        <f t="shared" ref="I5:I37" si="1">+F5/G5</f>
        <v>#DIV/0!</v>
      </c>
      <c r="L5" s="252">
        <f t="shared" ref="L5:L37" si="2">+E5*1000*$D$1/1000</f>
        <v>547.05434244306878</v>
      </c>
      <c r="M5" s="248">
        <f t="shared" ref="M5:M37" si="3">+G5*1000*$N$1</f>
        <v>0</v>
      </c>
      <c r="N5" s="253">
        <f t="shared" ref="N5:N37" si="4">+IF(L5=0,0,M5/L5)</f>
        <v>0</v>
      </c>
      <c r="P5" s="248">
        <f t="shared" ref="P5:P36" si="5">+M5+L5</f>
        <v>547.05434244306878</v>
      </c>
      <c r="Q5" s="229">
        <f t="shared" ref="Q5:Q37" si="6">+C5*1000000*$T$2</f>
        <v>549.81236578400001</v>
      </c>
      <c r="R5" s="186">
        <f t="shared" ref="R5:R37" si="7">+(P5-Q5)/P5</f>
        <v>-5.0415893393959401E-3</v>
      </c>
    </row>
    <row r="6" spans="2:21" x14ac:dyDescent="0.25">
      <c r="B6" t="s">
        <v>491</v>
      </c>
      <c r="C6" s="247">
        <v>1.37</v>
      </c>
      <c r="E6" s="256">
        <f>+C6*98.88%</f>
        <v>1.3546559999999999</v>
      </c>
      <c r="F6" s="249">
        <f t="shared" si="0"/>
        <v>1.5344000000000246E-2</v>
      </c>
      <c r="G6" s="183">
        <v>1.5344000000000003E-2</v>
      </c>
      <c r="I6">
        <f t="shared" si="1"/>
        <v>1.0000000000000158</v>
      </c>
      <c r="L6" s="252">
        <f t="shared" si="2"/>
        <v>8.2460270091972596</v>
      </c>
      <c r="M6" s="248">
        <f t="shared" si="3"/>
        <v>1.5497440000000003E-2</v>
      </c>
      <c r="N6" s="253">
        <f t="shared" si="4"/>
        <v>1.8793826387804495E-3</v>
      </c>
      <c r="P6" s="248">
        <f t="shared" si="5"/>
        <v>8.2615244491972604</v>
      </c>
      <c r="Q6" s="229">
        <f t="shared" si="6"/>
        <v>8.3814725839999991</v>
      </c>
      <c r="R6" s="186">
        <f t="shared" si="7"/>
        <v>-1.4518886379909409E-2</v>
      </c>
    </row>
    <row r="7" spans="2:21" x14ac:dyDescent="0.25">
      <c r="B7" t="s">
        <v>346</v>
      </c>
      <c r="C7" s="247">
        <v>2.5</v>
      </c>
      <c r="E7" s="255">
        <f>+C7*99.53%</f>
        <v>2.4882499999999999</v>
      </c>
      <c r="F7" s="249">
        <f t="shared" si="0"/>
        <v>1.1750000000000149E-2</v>
      </c>
      <c r="G7" s="183">
        <v>7.0000000000000007E-2</v>
      </c>
      <c r="I7">
        <f t="shared" si="1"/>
        <v>0.16785714285714498</v>
      </c>
      <c r="L7" s="252">
        <f t="shared" si="2"/>
        <v>15.146411122554422</v>
      </c>
      <c r="M7" s="248">
        <f t="shared" si="3"/>
        <v>7.0699999999999999E-2</v>
      </c>
      <c r="N7" s="253">
        <f t="shared" si="4"/>
        <v>4.6677724134082882E-3</v>
      </c>
      <c r="P7" s="248">
        <f t="shared" si="5"/>
        <v>15.217111122554423</v>
      </c>
      <c r="Q7" s="229">
        <f t="shared" si="6"/>
        <v>15.294658</v>
      </c>
      <c r="R7" s="186">
        <f t="shared" si="7"/>
        <v>-5.0960314885681139E-3</v>
      </c>
    </row>
    <row r="8" spans="2:21" x14ac:dyDescent="0.25">
      <c r="B8" t="s">
        <v>311</v>
      </c>
      <c r="C8" s="247">
        <v>14.92</v>
      </c>
      <c r="E8" s="255">
        <v>0</v>
      </c>
      <c r="F8" s="249">
        <f t="shared" si="0"/>
        <v>14.92</v>
      </c>
      <c r="G8" s="183">
        <v>89.54</v>
      </c>
      <c r="I8">
        <f t="shared" si="1"/>
        <v>0.16662943935671207</v>
      </c>
      <c r="L8" s="252">
        <f t="shared" si="2"/>
        <v>0</v>
      </c>
      <c r="M8" s="248">
        <f t="shared" si="3"/>
        <v>90.435400000000001</v>
      </c>
      <c r="N8" s="253">
        <f t="shared" si="4"/>
        <v>0</v>
      </c>
      <c r="P8" s="248">
        <f t="shared" si="5"/>
        <v>90.435400000000001</v>
      </c>
      <c r="Q8" s="229">
        <f t="shared" si="6"/>
        <v>91.278518943999998</v>
      </c>
      <c r="R8" s="186">
        <f t="shared" si="7"/>
        <v>-9.3228862149113828E-3</v>
      </c>
    </row>
    <row r="9" spans="2:21" x14ac:dyDescent="0.25">
      <c r="B9" t="s">
        <v>492</v>
      </c>
      <c r="C9" s="247">
        <v>153.29</v>
      </c>
      <c r="E9" s="255">
        <v>153.29</v>
      </c>
      <c r="F9" s="249">
        <f t="shared" si="0"/>
        <v>0</v>
      </c>
      <c r="G9" s="183">
        <v>0</v>
      </c>
      <c r="I9" t="e">
        <f t="shared" si="1"/>
        <v>#DIV/0!</v>
      </c>
      <c r="L9" s="252">
        <f t="shared" si="2"/>
        <v>933.10292815286539</v>
      </c>
      <c r="M9" s="248">
        <f t="shared" si="3"/>
        <v>0</v>
      </c>
      <c r="N9" s="253">
        <f t="shared" si="4"/>
        <v>0</v>
      </c>
      <c r="P9" s="248">
        <f t="shared" si="5"/>
        <v>933.10292815286539</v>
      </c>
      <c r="Q9" s="229">
        <f t="shared" si="6"/>
        <v>937.80724992799992</v>
      </c>
      <c r="R9" s="186">
        <f t="shared" si="7"/>
        <v>-5.041589339395843E-3</v>
      </c>
    </row>
    <row r="10" spans="2:21" x14ac:dyDescent="0.25">
      <c r="B10" t="s">
        <v>493</v>
      </c>
      <c r="C10" s="247">
        <v>0.88</v>
      </c>
      <c r="E10" s="255">
        <v>0.88</v>
      </c>
      <c r="F10" s="249">
        <f t="shared" si="0"/>
        <v>0</v>
      </c>
      <c r="G10" s="183">
        <v>0</v>
      </c>
      <c r="I10" t="e">
        <f t="shared" si="1"/>
        <v>#DIV/0!</v>
      </c>
      <c r="L10" s="252">
        <f t="shared" si="2"/>
        <v>5.3567132674963895</v>
      </c>
      <c r="M10" s="248">
        <f t="shared" si="3"/>
        <v>0</v>
      </c>
      <c r="N10" s="253">
        <f t="shared" si="4"/>
        <v>0</v>
      </c>
      <c r="P10" s="248">
        <f t="shared" si="5"/>
        <v>5.3567132674963895</v>
      </c>
      <c r="Q10" s="229">
        <f t="shared" si="6"/>
        <v>5.3837196159999996</v>
      </c>
      <c r="R10" s="186">
        <f t="shared" si="7"/>
        <v>-5.0415893393958404E-3</v>
      </c>
    </row>
    <row r="11" spans="2:21" x14ac:dyDescent="0.25">
      <c r="B11" t="s">
        <v>494</v>
      </c>
      <c r="C11" s="247">
        <v>543.79</v>
      </c>
      <c r="E11" s="255">
        <f>+C11</f>
        <v>543.79</v>
      </c>
      <c r="F11" s="249">
        <f t="shared" si="0"/>
        <v>0</v>
      </c>
      <c r="G11" s="183">
        <v>0</v>
      </c>
      <c r="I11" t="e">
        <f t="shared" si="1"/>
        <v>#DIV/0!</v>
      </c>
      <c r="L11" s="252">
        <f t="shared" si="2"/>
        <v>3310.1444406043884</v>
      </c>
      <c r="M11" s="248">
        <f t="shared" si="3"/>
        <v>0</v>
      </c>
      <c r="N11" s="253">
        <f t="shared" si="4"/>
        <v>0</v>
      </c>
      <c r="P11" s="248">
        <f t="shared" si="5"/>
        <v>3310.1444406043884</v>
      </c>
      <c r="Q11" s="229">
        <f t="shared" si="6"/>
        <v>3326.8328295279998</v>
      </c>
      <c r="R11" s="186">
        <f t="shared" si="7"/>
        <v>-5.0415893393958291E-3</v>
      </c>
    </row>
    <row r="12" spans="2:21" x14ac:dyDescent="0.25">
      <c r="B12" t="s">
        <v>29</v>
      </c>
      <c r="C12" s="247">
        <v>272.89999999999998</v>
      </c>
      <c r="E12" s="255">
        <v>272.29000000000002</v>
      </c>
      <c r="F12" s="249">
        <f t="shared" si="0"/>
        <v>0.6099999999999568</v>
      </c>
      <c r="G12" s="183">
        <v>0</v>
      </c>
      <c r="I12" t="e">
        <f t="shared" si="1"/>
        <v>#DIV/0!</v>
      </c>
      <c r="L12" s="252">
        <f t="shared" si="2"/>
        <v>1657.4766540983999</v>
      </c>
      <c r="M12" s="248">
        <f t="shared" si="3"/>
        <v>0</v>
      </c>
      <c r="N12" s="253">
        <f t="shared" si="4"/>
        <v>0</v>
      </c>
      <c r="P12" s="248">
        <f t="shared" si="5"/>
        <v>1657.4766540983999</v>
      </c>
      <c r="Q12" s="229">
        <f t="shared" si="6"/>
        <v>1669.56486728</v>
      </c>
      <c r="R12" s="186">
        <f t="shared" si="7"/>
        <v>-7.2931423508801486E-3</v>
      </c>
    </row>
    <row r="13" spans="2:21" x14ac:dyDescent="0.25">
      <c r="B13" t="s">
        <v>345</v>
      </c>
      <c r="C13" s="247">
        <v>16.52</v>
      </c>
      <c r="E13" s="255">
        <f>+C13*98.07%</f>
        <v>16.201163999999999</v>
      </c>
      <c r="F13" s="249">
        <f t="shared" si="0"/>
        <v>0.31883600000000101</v>
      </c>
      <c r="G13" s="183">
        <v>1.61</v>
      </c>
      <c r="I13">
        <f t="shared" si="1"/>
        <v>0.19803478260869625</v>
      </c>
      <c r="L13" s="252">
        <f t="shared" si="2"/>
        <v>98.619306986005526</v>
      </c>
      <c r="M13" s="248">
        <f t="shared" si="3"/>
        <v>1.6261000000000001</v>
      </c>
      <c r="N13" s="253">
        <f t="shared" si="4"/>
        <v>1.6488657745594888E-2</v>
      </c>
      <c r="P13" s="248">
        <f t="shared" si="5"/>
        <v>100.24540698600552</v>
      </c>
      <c r="Q13" s="229">
        <f t="shared" si="6"/>
        <v>101.067100064</v>
      </c>
      <c r="R13" s="186">
        <f t="shared" si="7"/>
        <v>-8.1968152227582056E-3</v>
      </c>
    </row>
    <row r="14" spans="2:21" x14ac:dyDescent="0.25">
      <c r="B14" t="s">
        <v>140</v>
      </c>
      <c r="C14" s="247">
        <v>21.91</v>
      </c>
      <c r="E14" s="255">
        <f>+C14</f>
        <v>21.91</v>
      </c>
      <c r="F14" s="249">
        <f t="shared" si="0"/>
        <v>0</v>
      </c>
      <c r="G14" s="183">
        <v>0</v>
      </c>
      <c r="I14" t="e">
        <f t="shared" si="1"/>
        <v>#DIV/0!</v>
      </c>
      <c r="L14" s="252">
        <f t="shared" si="2"/>
        <v>133.36998601232486</v>
      </c>
      <c r="M14" s="248">
        <f t="shared" si="3"/>
        <v>0</v>
      </c>
      <c r="N14" s="253">
        <f t="shared" si="4"/>
        <v>0</v>
      </c>
      <c r="P14" s="248">
        <f t="shared" si="5"/>
        <v>133.36998601232486</v>
      </c>
      <c r="Q14" s="229">
        <f t="shared" si="6"/>
        <v>134.04238271200001</v>
      </c>
      <c r="R14" s="186">
        <f t="shared" si="7"/>
        <v>-5.041589339396124E-3</v>
      </c>
    </row>
    <row r="15" spans="2:21" x14ac:dyDescent="0.25">
      <c r="B15" t="s">
        <v>495</v>
      </c>
      <c r="C15" s="247">
        <v>8.85</v>
      </c>
      <c r="E15" s="255">
        <f>+C15</f>
        <v>8.85</v>
      </c>
      <c r="F15" s="249">
        <f t="shared" si="0"/>
        <v>0</v>
      </c>
      <c r="G15" s="183">
        <v>0</v>
      </c>
      <c r="I15" t="e">
        <f t="shared" si="1"/>
        <v>#DIV/0!</v>
      </c>
      <c r="L15" s="252">
        <f t="shared" si="2"/>
        <v>53.87149138334437</v>
      </c>
      <c r="M15" s="248">
        <f t="shared" si="3"/>
        <v>0</v>
      </c>
      <c r="N15" s="253">
        <f t="shared" si="4"/>
        <v>0</v>
      </c>
      <c r="P15" s="248">
        <f t="shared" si="5"/>
        <v>53.87149138334437</v>
      </c>
      <c r="Q15" s="229">
        <f t="shared" si="6"/>
        <v>54.143089320000001</v>
      </c>
      <c r="R15" s="186">
        <f t="shared" si="7"/>
        <v>-5.0415893393959757E-3</v>
      </c>
    </row>
    <row r="16" spans="2:21" x14ac:dyDescent="0.25">
      <c r="B16" t="s">
        <v>61</v>
      </c>
      <c r="C16" s="247">
        <v>146.25</v>
      </c>
      <c r="E16" s="255">
        <v>146.25</v>
      </c>
      <c r="F16" s="249">
        <f t="shared" si="0"/>
        <v>0</v>
      </c>
      <c r="G16" s="183">
        <v>0</v>
      </c>
      <c r="I16" t="e">
        <f t="shared" si="1"/>
        <v>#DIV/0!</v>
      </c>
      <c r="L16" s="252">
        <f t="shared" si="2"/>
        <v>890.24922201289428</v>
      </c>
      <c r="M16" s="248">
        <f t="shared" si="3"/>
        <v>0</v>
      </c>
      <c r="N16" s="253">
        <f t="shared" si="4"/>
        <v>0</v>
      </c>
      <c r="P16" s="248">
        <f t="shared" si="5"/>
        <v>890.24922201289428</v>
      </c>
      <c r="Q16" s="229">
        <f t="shared" si="6"/>
        <v>894.73749299999997</v>
      </c>
      <c r="R16" s="186">
        <f t="shared" si="7"/>
        <v>-5.0415893393958907E-3</v>
      </c>
    </row>
    <row r="17" spans="2:18" x14ac:dyDescent="0.25">
      <c r="B17" t="s">
        <v>496</v>
      </c>
      <c r="C17" s="247">
        <v>89.99</v>
      </c>
      <c r="E17" s="255">
        <f>+C17</f>
        <v>89.99</v>
      </c>
      <c r="F17" s="249">
        <f t="shared" si="0"/>
        <v>0</v>
      </c>
      <c r="G17" s="183">
        <v>0</v>
      </c>
      <c r="I17" t="e">
        <f t="shared" si="1"/>
        <v>#DIV/0!</v>
      </c>
      <c r="L17" s="252">
        <f t="shared" si="2"/>
        <v>547.78480334318192</v>
      </c>
      <c r="M17" s="248">
        <f t="shared" si="3"/>
        <v>0</v>
      </c>
      <c r="N17" s="253">
        <f t="shared" si="4"/>
        <v>0</v>
      </c>
      <c r="P17" s="248">
        <f t="shared" si="5"/>
        <v>547.78480334318192</v>
      </c>
      <c r="Q17" s="229">
        <f t="shared" si="6"/>
        <v>550.54650936799999</v>
      </c>
      <c r="R17" s="186">
        <f t="shared" si="7"/>
        <v>-5.0415893393959046E-3</v>
      </c>
    </row>
    <row r="18" spans="2:18" x14ac:dyDescent="0.25">
      <c r="B18" t="s">
        <v>497</v>
      </c>
      <c r="C18" s="247">
        <v>86.96</v>
      </c>
      <c r="E18" s="255">
        <f>+C18*68.57%</f>
        <v>59.628471999999995</v>
      </c>
      <c r="F18" s="249">
        <f t="shared" si="0"/>
        <v>27.331527999999999</v>
      </c>
      <c r="G18" s="183">
        <v>357.74</v>
      </c>
      <c r="I18">
        <f t="shared" si="1"/>
        <v>7.6400536702633193E-2</v>
      </c>
      <c r="L18" s="252">
        <f t="shared" si="2"/>
        <v>362.96889441242831</v>
      </c>
      <c r="M18" s="248">
        <f t="shared" si="3"/>
        <v>361.31740000000002</v>
      </c>
      <c r="N18" s="253">
        <f t="shared" si="4"/>
        <v>0.995450038728245</v>
      </c>
      <c r="P18" s="248">
        <f t="shared" si="5"/>
        <v>724.28629441242833</v>
      </c>
      <c r="Q18" s="229">
        <f t="shared" si="6"/>
        <v>532.00938387199994</v>
      </c>
      <c r="R18" s="186">
        <f t="shared" si="7"/>
        <v>0.26547086700903483</v>
      </c>
    </row>
    <row r="19" spans="2:18" x14ac:dyDescent="0.25">
      <c r="B19" t="s">
        <v>498</v>
      </c>
      <c r="C19" s="247">
        <v>5.73</v>
      </c>
      <c r="E19" s="255">
        <f>+C19</f>
        <v>5.73</v>
      </c>
      <c r="F19" s="249">
        <f t="shared" si="0"/>
        <v>0</v>
      </c>
      <c r="G19" s="183">
        <v>0</v>
      </c>
      <c r="I19" t="e">
        <f t="shared" si="1"/>
        <v>#DIV/0!</v>
      </c>
      <c r="L19" s="252">
        <f t="shared" si="2"/>
        <v>34.879507980402622</v>
      </c>
      <c r="M19" s="248">
        <f t="shared" si="3"/>
        <v>0</v>
      </c>
      <c r="N19" s="253">
        <f t="shared" si="4"/>
        <v>0</v>
      </c>
      <c r="P19" s="248">
        <f t="shared" si="5"/>
        <v>34.879507980402622</v>
      </c>
      <c r="Q19" s="229">
        <f t="shared" si="6"/>
        <v>35.055356136</v>
      </c>
      <c r="R19" s="186">
        <f t="shared" si="7"/>
        <v>-5.0415893393960919E-3</v>
      </c>
    </row>
    <row r="20" spans="2:18" x14ac:dyDescent="0.25">
      <c r="B20" t="s">
        <v>499</v>
      </c>
      <c r="C20" s="247">
        <v>89.27</v>
      </c>
      <c r="E20" s="255">
        <f>+C20*5.84%</f>
        <v>5.213368</v>
      </c>
      <c r="F20" s="249">
        <f t="shared" si="0"/>
        <v>84.056631999999993</v>
      </c>
      <c r="G20" s="183">
        <v>504.38</v>
      </c>
      <c r="I20">
        <f t="shared" si="1"/>
        <v>0.16665338038780284</v>
      </c>
      <c r="L20" s="252">
        <f t="shared" si="2"/>
        <v>31.734679015842179</v>
      </c>
      <c r="M20" s="248">
        <f t="shared" si="3"/>
        <v>509.42380000000003</v>
      </c>
      <c r="N20" s="253">
        <f t="shared" si="4"/>
        <v>16.052590282879244</v>
      </c>
      <c r="P20" s="248">
        <f t="shared" si="5"/>
        <v>541.1584790158422</v>
      </c>
      <c r="Q20" s="229">
        <f t="shared" si="6"/>
        <v>546.14164786399999</v>
      </c>
      <c r="R20" s="186">
        <f t="shared" si="7"/>
        <v>-9.2083355271828024E-3</v>
      </c>
    </row>
    <row r="21" spans="2:18" x14ac:dyDescent="0.25">
      <c r="B21" t="s">
        <v>500</v>
      </c>
      <c r="C21" s="247">
        <v>10.25</v>
      </c>
      <c r="E21" s="255">
        <f>+C21*2%</f>
        <v>0.20500000000000002</v>
      </c>
      <c r="F21" s="249">
        <f t="shared" si="0"/>
        <v>10.045</v>
      </c>
      <c r="G21" s="183">
        <v>60.26</v>
      </c>
      <c r="I21">
        <f t="shared" si="1"/>
        <v>0.16669432459342848</v>
      </c>
      <c r="L21" s="252">
        <f t="shared" si="2"/>
        <v>1.2478707043599546</v>
      </c>
      <c r="M21" s="248">
        <f t="shared" si="3"/>
        <v>60.8626</v>
      </c>
      <c r="N21" s="253">
        <f t="shared" si="4"/>
        <v>48.773161984932592</v>
      </c>
      <c r="P21" s="248">
        <f t="shared" si="5"/>
        <v>62.110470704359955</v>
      </c>
      <c r="Q21" s="229">
        <f t="shared" si="6"/>
        <v>62.708097799999997</v>
      </c>
      <c r="R21" s="186">
        <f t="shared" si="7"/>
        <v>-9.6220023590658631E-3</v>
      </c>
    </row>
    <row r="22" spans="2:18" x14ac:dyDescent="0.25">
      <c r="B22" t="s">
        <v>501</v>
      </c>
      <c r="C22" s="247">
        <v>17.7</v>
      </c>
      <c r="E22" s="255">
        <f>+C22*8.23%</f>
        <v>1.4567099999999999</v>
      </c>
      <c r="F22" s="249">
        <f t="shared" si="0"/>
        <v>16.243289999999998</v>
      </c>
      <c r="G22" s="183">
        <v>97.48</v>
      </c>
      <c r="I22">
        <f t="shared" si="1"/>
        <v>0.16663202708247843</v>
      </c>
      <c r="L22" s="252">
        <f t="shared" si="2"/>
        <v>8.8672474816984828</v>
      </c>
      <c r="M22" s="248">
        <f t="shared" si="3"/>
        <v>98.454800000000006</v>
      </c>
      <c r="N22" s="253">
        <f t="shared" si="4"/>
        <v>11.103197492029558</v>
      </c>
      <c r="P22" s="248">
        <f t="shared" si="5"/>
        <v>107.32204748169849</v>
      </c>
      <c r="Q22" s="229">
        <f t="shared" si="6"/>
        <v>108.28617864</v>
      </c>
      <c r="R22" s="186">
        <f t="shared" si="7"/>
        <v>-8.9835330290910127E-3</v>
      </c>
    </row>
    <row r="23" spans="2:18" x14ac:dyDescent="0.25">
      <c r="B23" t="s">
        <v>502</v>
      </c>
      <c r="C23" s="247">
        <v>8.8000000000000007</v>
      </c>
      <c r="E23" s="255">
        <f>+C23*94.66%</f>
        <v>8.3300800000000006</v>
      </c>
      <c r="F23" s="249">
        <f t="shared" si="0"/>
        <v>0.46992000000000012</v>
      </c>
      <c r="G23" s="183">
        <v>2.82</v>
      </c>
      <c r="I23">
        <f t="shared" si="1"/>
        <v>0.16663829787234047</v>
      </c>
      <c r="L23" s="252">
        <f t="shared" si="2"/>
        <v>50.706647790120819</v>
      </c>
      <c r="M23" s="248">
        <f t="shared" si="3"/>
        <v>2.8482000000000003</v>
      </c>
      <c r="N23" s="253">
        <f t="shared" si="4"/>
        <v>5.6170149756082186E-2</v>
      </c>
      <c r="P23" s="248">
        <f t="shared" si="5"/>
        <v>53.554847790120817</v>
      </c>
      <c r="Q23" s="229">
        <f t="shared" si="6"/>
        <v>53.837196159999998</v>
      </c>
      <c r="R23" s="186">
        <f t="shared" si="7"/>
        <v>-5.2721346718357176E-3</v>
      </c>
    </row>
    <row r="24" spans="2:18" x14ac:dyDescent="0.25">
      <c r="B24" t="s">
        <v>503</v>
      </c>
      <c r="C24" s="247">
        <v>1.1399999999999999</v>
      </c>
      <c r="E24" s="255">
        <f>+C24*93.12%</f>
        <v>1.0615679999999998</v>
      </c>
      <c r="F24" s="249">
        <f t="shared" si="0"/>
        <v>7.8432000000000057E-2</v>
      </c>
      <c r="G24" s="183">
        <v>0.47</v>
      </c>
      <c r="I24">
        <f t="shared" si="1"/>
        <v>0.16687659574468097</v>
      </c>
      <c r="L24" s="252">
        <f t="shared" si="2"/>
        <v>6.4619493067609159</v>
      </c>
      <c r="M24" s="248">
        <f t="shared" si="3"/>
        <v>0.47470000000000001</v>
      </c>
      <c r="N24" s="253">
        <f t="shared" si="4"/>
        <v>7.3460805318193642E-2</v>
      </c>
      <c r="P24" s="248">
        <f t="shared" si="5"/>
        <v>6.9366493067609163</v>
      </c>
      <c r="Q24" s="229">
        <f t="shared" si="6"/>
        <v>6.974364048</v>
      </c>
      <c r="R24" s="186">
        <f t="shared" si="7"/>
        <v>-5.4370257989436507E-3</v>
      </c>
    </row>
    <row r="25" spans="2:18" x14ac:dyDescent="0.25">
      <c r="B25" t="s">
        <v>504</v>
      </c>
      <c r="C25" s="247">
        <v>1.31</v>
      </c>
      <c r="E25" s="255">
        <f>+C25*95.34%</f>
        <v>1.2489540000000001</v>
      </c>
      <c r="F25" s="249">
        <f t="shared" si="0"/>
        <v>6.1045999999999934E-2</v>
      </c>
      <c r="G25" s="183">
        <v>0.37</v>
      </c>
      <c r="I25">
        <f t="shared" si="1"/>
        <v>0.16498918918918901</v>
      </c>
      <c r="L25" s="252">
        <f t="shared" si="2"/>
        <v>7.6026005253325986</v>
      </c>
      <c r="M25" s="248">
        <f t="shared" si="3"/>
        <v>0.37370000000000003</v>
      </c>
      <c r="N25" s="253">
        <f t="shared" si="4"/>
        <v>4.9154233311982598E-2</v>
      </c>
      <c r="P25" s="248">
        <f t="shared" si="5"/>
        <v>7.9763005253325989</v>
      </c>
      <c r="Q25" s="229">
        <f t="shared" si="6"/>
        <v>8.014400792</v>
      </c>
      <c r="R25" s="186">
        <f t="shared" si="7"/>
        <v>-4.7766839459465263E-3</v>
      </c>
    </row>
    <row r="26" spans="2:18" x14ac:dyDescent="0.25">
      <c r="B26" t="s">
        <v>505</v>
      </c>
      <c r="C26" s="247">
        <v>4.72</v>
      </c>
      <c r="E26" s="255">
        <f>+C26*73.7%</f>
        <v>3.47864</v>
      </c>
      <c r="F26" s="249">
        <f t="shared" si="0"/>
        <v>1.2413599999999998</v>
      </c>
      <c r="G26" s="183">
        <v>7.45</v>
      </c>
      <c r="I26">
        <f t="shared" si="1"/>
        <v>0.16662550335570467</v>
      </c>
      <c r="L26" s="252">
        <f t="shared" si="2"/>
        <v>21.175087546413227</v>
      </c>
      <c r="M26" s="248">
        <f t="shared" si="3"/>
        <v>7.5245000000000006</v>
      </c>
      <c r="N26" s="253">
        <f t="shared" si="4"/>
        <v>0.35534681892139564</v>
      </c>
      <c r="P26" s="248">
        <f t="shared" si="5"/>
        <v>28.699587546413227</v>
      </c>
      <c r="Q26" s="229">
        <f t="shared" si="6"/>
        <v>28.876314303999997</v>
      </c>
      <c r="R26" s="186">
        <f t="shared" si="7"/>
        <v>-6.1578152404095183E-3</v>
      </c>
    </row>
    <row r="27" spans="2:18" x14ac:dyDescent="0.25">
      <c r="B27" t="s">
        <v>506</v>
      </c>
      <c r="C27" s="247">
        <v>11.27</v>
      </c>
      <c r="E27" s="255">
        <v>11.27</v>
      </c>
      <c r="F27" s="249">
        <f t="shared" si="0"/>
        <v>0</v>
      </c>
      <c r="G27" s="183">
        <v>0</v>
      </c>
      <c r="I27" t="e">
        <f t="shared" si="1"/>
        <v>#DIV/0!</v>
      </c>
      <c r="L27" s="252">
        <f t="shared" si="2"/>
        <v>68.602452868959446</v>
      </c>
      <c r="M27" s="248">
        <f t="shared" si="3"/>
        <v>0</v>
      </c>
      <c r="N27" s="253">
        <f t="shared" si="4"/>
        <v>0</v>
      </c>
      <c r="P27" s="248">
        <f t="shared" si="5"/>
        <v>68.602452868959446</v>
      </c>
      <c r="Q27" s="229">
        <f t="shared" si="6"/>
        <v>68.948318263999994</v>
      </c>
      <c r="R27" s="186">
        <f t="shared" si="7"/>
        <v>-5.0415893393957849E-3</v>
      </c>
    </row>
    <row r="28" spans="2:18" x14ac:dyDescent="0.25">
      <c r="B28" t="s">
        <v>318</v>
      </c>
      <c r="C28" s="247">
        <v>3.84</v>
      </c>
      <c r="E28" s="255"/>
      <c r="F28" s="249">
        <f t="shared" si="0"/>
        <v>3.84</v>
      </c>
      <c r="G28" s="183">
        <v>23.03</v>
      </c>
      <c r="I28">
        <f t="shared" si="1"/>
        <v>0.16673903603994789</v>
      </c>
      <c r="L28" s="252">
        <f t="shared" si="2"/>
        <v>0</v>
      </c>
      <c r="M28" s="248">
        <f t="shared" si="3"/>
        <v>23.260300000000001</v>
      </c>
      <c r="N28" s="253">
        <f t="shared" si="4"/>
        <v>0</v>
      </c>
      <c r="P28" s="248">
        <f t="shared" si="5"/>
        <v>23.260300000000001</v>
      </c>
      <c r="Q28" s="229">
        <f t="shared" si="6"/>
        <v>23.492594688000001</v>
      </c>
      <c r="R28" s="186">
        <f t="shared" si="7"/>
        <v>-9.9867451408623114E-3</v>
      </c>
    </row>
    <row r="29" spans="2:18" x14ac:dyDescent="0.25">
      <c r="B29" t="s">
        <v>508</v>
      </c>
      <c r="C29" s="247">
        <v>14.92</v>
      </c>
      <c r="E29" s="255">
        <f>+C29*99.74%</f>
        <v>14.881207999999999</v>
      </c>
      <c r="F29" s="249">
        <f t="shared" si="0"/>
        <v>3.8792000000000826E-2</v>
      </c>
      <c r="G29" s="183">
        <v>0.24</v>
      </c>
      <c r="I29">
        <f t="shared" si="1"/>
        <v>0.16163333333333679</v>
      </c>
      <c r="L29" s="252">
        <f t="shared" si="2"/>
        <v>90.584504920424322</v>
      </c>
      <c r="M29" s="248">
        <f t="shared" si="3"/>
        <v>0.2424</v>
      </c>
      <c r="N29" s="253">
        <f t="shared" si="4"/>
        <v>2.6759543501721503E-3</v>
      </c>
      <c r="P29" s="248">
        <f t="shared" si="5"/>
        <v>90.826904920424326</v>
      </c>
      <c r="Q29" s="229">
        <f t="shared" si="6"/>
        <v>91.278518943999998</v>
      </c>
      <c r="R29" s="186">
        <f t="shared" si="7"/>
        <v>-4.9722494008943973E-3</v>
      </c>
    </row>
    <row r="30" spans="2:18" x14ac:dyDescent="0.25">
      <c r="B30" t="s">
        <v>80</v>
      </c>
      <c r="C30" s="247">
        <v>43.42</v>
      </c>
      <c r="E30" s="255">
        <f>+C30*93.49%</f>
        <v>40.593358000000002</v>
      </c>
      <c r="F30" s="249">
        <f t="shared" si="0"/>
        <v>2.8266419999999997</v>
      </c>
      <c r="G30" s="183">
        <v>16.96</v>
      </c>
      <c r="I30">
        <f t="shared" si="1"/>
        <v>0.1666652122641509</v>
      </c>
      <c r="L30" s="252">
        <f t="shared" si="2"/>
        <v>247.09884019412581</v>
      </c>
      <c r="M30" s="248">
        <f t="shared" si="3"/>
        <v>17.1296</v>
      </c>
      <c r="N30" s="253">
        <f t="shared" si="4"/>
        <v>6.9322866859847024E-2</v>
      </c>
      <c r="P30" s="248">
        <f t="shared" si="5"/>
        <v>264.22844019412582</v>
      </c>
      <c r="Q30" s="229">
        <f t="shared" si="6"/>
        <v>265.63762014399998</v>
      </c>
      <c r="R30" s="186">
        <f t="shared" si="7"/>
        <v>-5.3331880127621707E-3</v>
      </c>
    </row>
    <row r="31" spans="2:18" x14ac:dyDescent="0.25">
      <c r="B31" t="s">
        <v>449</v>
      </c>
      <c r="C31" s="247">
        <v>7.3</v>
      </c>
      <c r="E31" s="255">
        <f>+C31*89.64%</f>
        <v>6.5437199999999995</v>
      </c>
      <c r="F31" s="249">
        <f t="shared" si="0"/>
        <v>0.75628000000000029</v>
      </c>
      <c r="G31" s="183">
        <v>4.54</v>
      </c>
      <c r="I31">
        <f t="shared" si="1"/>
        <v>0.1665814977973569</v>
      </c>
      <c r="L31" s="252">
        <f t="shared" si="2"/>
        <v>39.832763344069853</v>
      </c>
      <c r="M31" s="248">
        <f t="shared" si="3"/>
        <v>4.5853999999999999</v>
      </c>
      <c r="N31" s="253">
        <f t="shared" si="4"/>
        <v>0.11511629159121987</v>
      </c>
      <c r="P31" s="248">
        <f t="shared" si="5"/>
        <v>44.418163344069853</v>
      </c>
      <c r="Q31" s="229">
        <f t="shared" si="6"/>
        <v>44.660401360000002</v>
      </c>
      <c r="R31" s="186">
        <f t="shared" si="7"/>
        <v>-5.4535801954199619E-3</v>
      </c>
    </row>
    <row r="32" spans="2:18" x14ac:dyDescent="0.25">
      <c r="B32" t="s">
        <v>509</v>
      </c>
      <c r="C32" s="247">
        <v>0.57999999999999996</v>
      </c>
      <c r="E32" s="255">
        <f>+C32</f>
        <v>0.57999999999999996</v>
      </c>
      <c r="F32" s="249">
        <f t="shared" si="0"/>
        <v>0</v>
      </c>
      <c r="G32" s="183">
        <v>0</v>
      </c>
      <c r="I32" t="e">
        <f t="shared" si="1"/>
        <v>#DIV/0!</v>
      </c>
      <c r="L32" s="252">
        <f t="shared" si="2"/>
        <v>3.5305610172135293</v>
      </c>
      <c r="M32" s="248">
        <f t="shared" si="3"/>
        <v>0</v>
      </c>
      <c r="N32" s="253">
        <f t="shared" si="4"/>
        <v>0</v>
      </c>
      <c r="P32" s="248">
        <f t="shared" si="5"/>
        <v>3.5305610172135293</v>
      </c>
      <c r="Q32" s="229">
        <f t="shared" si="6"/>
        <v>3.5483606559999998</v>
      </c>
      <c r="R32" s="186">
        <f t="shared" si="7"/>
        <v>-5.0415893393959089E-3</v>
      </c>
    </row>
    <row r="33" spans="2:18" x14ac:dyDescent="0.25">
      <c r="B33" t="s">
        <v>510</v>
      </c>
      <c r="C33" s="247">
        <v>130.22</v>
      </c>
      <c r="E33" s="255">
        <f>+C33*63.65%</f>
        <v>82.88503</v>
      </c>
      <c r="F33" s="249">
        <f t="shared" si="0"/>
        <v>47.334969999999998</v>
      </c>
      <c r="G33" s="183">
        <v>284</v>
      </c>
      <c r="I33">
        <f t="shared" si="1"/>
        <v>0.16667242957746478</v>
      </c>
      <c r="L33" s="252">
        <f t="shared" si="2"/>
        <v>504.53561349754125</v>
      </c>
      <c r="M33" s="248">
        <f t="shared" si="3"/>
        <v>286.84000000000003</v>
      </c>
      <c r="N33" s="253">
        <f t="shared" si="4"/>
        <v>0.56852280062366278</v>
      </c>
      <c r="P33" s="248">
        <f t="shared" si="5"/>
        <v>791.37561349754128</v>
      </c>
      <c r="Q33" s="229">
        <f t="shared" si="6"/>
        <v>796.66814590399997</v>
      </c>
      <c r="R33" s="186">
        <f t="shared" si="7"/>
        <v>-6.6877628223442013E-3</v>
      </c>
    </row>
    <row r="34" spans="2:18" x14ac:dyDescent="0.25">
      <c r="B34" t="s">
        <v>344</v>
      </c>
      <c r="C34" s="247">
        <v>24.09</v>
      </c>
      <c r="E34" s="255">
        <f>+C34</f>
        <v>24.09</v>
      </c>
      <c r="F34" s="249">
        <f t="shared" si="0"/>
        <v>0</v>
      </c>
      <c r="G34" s="183">
        <v>0</v>
      </c>
      <c r="I34" t="e">
        <f t="shared" si="1"/>
        <v>#DIV/0!</v>
      </c>
      <c r="L34" s="252">
        <f t="shared" si="2"/>
        <v>146.64002569771367</v>
      </c>
      <c r="M34" s="248">
        <f t="shared" si="3"/>
        <v>0</v>
      </c>
      <c r="N34" s="253">
        <f t="shared" si="4"/>
        <v>0</v>
      </c>
      <c r="P34" s="248">
        <f t="shared" si="5"/>
        <v>146.64002569771367</v>
      </c>
      <c r="Q34" s="229">
        <f t="shared" si="6"/>
        <v>147.37932448800001</v>
      </c>
      <c r="R34" s="186">
        <f t="shared" si="7"/>
        <v>-5.0415893393959479E-3</v>
      </c>
    </row>
    <row r="35" spans="2:18" x14ac:dyDescent="0.25">
      <c r="B35" t="s">
        <v>511</v>
      </c>
      <c r="C35" s="247">
        <v>5.59</v>
      </c>
      <c r="E35" s="255">
        <f>+C35</f>
        <v>5.59</v>
      </c>
      <c r="F35" s="249">
        <f t="shared" si="0"/>
        <v>0</v>
      </c>
      <c r="G35" s="183">
        <v>0</v>
      </c>
      <c r="I35" t="e">
        <f t="shared" si="1"/>
        <v>#DIV/0!</v>
      </c>
      <c r="L35" s="252">
        <f t="shared" si="2"/>
        <v>34.027303596937294</v>
      </c>
      <c r="M35" s="248">
        <f t="shared" si="3"/>
        <v>0</v>
      </c>
      <c r="N35" s="253">
        <f t="shared" si="4"/>
        <v>0</v>
      </c>
      <c r="P35" s="248">
        <f t="shared" si="5"/>
        <v>34.027303596937294</v>
      </c>
      <c r="Q35" s="229">
        <f t="shared" si="6"/>
        <v>34.198855287999997</v>
      </c>
      <c r="R35" s="186">
        <f t="shared" si="7"/>
        <v>-5.0415893393957901E-3</v>
      </c>
    </row>
    <row r="36" spans="2:18" x14ac:dyDescent="0.25">
      <c r="B36" t="s">
        <v>345</v>
      </c>
      <c r="C36" s="247">
        <v>16.52</v>
      </c>
      <c r="E36" s="255">
        <f>+C36*98.07%</f>
        <v>16.201163999999999</v>
      </c>
      <c r="F36" s="249">
        <f t="shared" si="0"/>
        <v>0.31883600000000101</v>
      </c>
      <c r="G36" s="183">
        <v>1.91</v>
      </c>
      <c r="I36">
        <f t="shared" si="1"/>
        <v>0.16692984293193772</v>
      </c>
      <c r="L36" s="252">
        <f t="shared" si="2"/>
        <v>98.619306986005526</v>
      </c>
      <c r="M36" s="248">
        <f t="shared" si="3"/>
        <v>1.9291</v>
      </c>
      <c r="N36" s="253">
        <f t="shared" si="4"/>
        <v>1.9561078443531825E-2</v>
      </c>
      <c r="P36" s="248">
        <f t="shared" si="5"/>
        <v>100.54840698600553</v>
      </c>
      <c r="Q36" s="229">
        <f t="shared" si="6"/>
        <v>101.067100064</v>
      </c>
      <c r="R36" s="186">
        <f t="shared" si="7"/>
        <v>-5.158640435413986E-3</v>
      </c>
    </row>
    <row r="37" spans="2:18" x14ac:dyDescent="0.25">
      <c r="B37" t="s">
        <v>512</v>
      </c>
      <c r="C37" s="247">
        <v>90.73</v>
      </c>
      <c r="E37" s="255">
        <f>+C37*98.15%</f>
        <v>89.051495000000003</v>
      </c>
      <c r="F37" s="249">
        <f t="shared" si="0"/>
        <v>1.6785050000000012</v>
      </c>
      <c r="G37" s="183">
        <v>10.09</v>
      </c>
      <c r="I37">
        <f t="shared" si="1"/>
        <v>0.16635332011892975</v>
      </c>
      <c r="L37" s="252">
        <f t="shared" si="2"/>
        <v>542.0719599510096</v>
      </c>
      <c r="M37" s="248">
        <f t="shared" si="3"/>
        <v>10.190900000000001</v>
      </c>
      <c r="N37" s="253">
        <f t="shared" si="4"/>
        <v>1.879990250910786E-2</v>
      </c>
      <c r="P37" s="248">
        <f>+M37+L37</f>
        <v>552.26285995100966</v>
      </c>
      <c r="Q37" s="229">
        <f t="shared" si="6"/>
        <v>555.073728136</v>
      </c>
      <c r="R37" s="186">
        <f t="shared" si="7"/>
        <v>-5.0897288027655675E-3</v>
      </c>
    </row>
    <row r="38" spans="2:18" x14ac:dyDescent="0.25">
      <c r="C38" s="194"/>
    </row>
    <row r="39" spans="2:18" x14ac:dyDescent="0.25">
      <c r="C39" s="194"/>
      <c r="E39" s="194">
        <f>+C39*0.74%</f>
        <v>0</v>
      </c>
      <c r="G39">
        <v>23.75</v>
      </c>
    </row>
    <row r="40" spans="2:18" x14ac:dyDescent="0.25">
      <c r="E40" s="194">
        <f>+C40*70.26%</f>
        <v>0</v>
      </c>
      <c r="G40">
        <v>11.14</v>
      </c>
    </row>
    <row r="41" spans="2:18" x14ac:dyDescent="0.25">
      <c r="E41" s="194">
        <f>+C41*0.49%</f>
        <v>0</v>
      </c>
      <c r="G41">
        <v>112.29</v>
      </c>
    </row>
    <row r="42" spans="2:18" x14ac:dyDescent="0.25">
      <c r="E42" s="194">
        <f>+C42*92.53%</f>
        <v>0</v>
      </c>
      <c r="G42">
        <v>4.1900000000000004</v>
      </c>
    </row>
    <row r="47" spans="2:18" x14ac:dyDescent="0.25">
      <c r="D47" s="230">
        <f>+SUM(L4:L37)</f>
        <v>10501.610143273077</v>
      </c>
      <c r="E47" s="194" t="s">
        <v>546</v>
      </c>
    </row>
  </sheetData>
  <conditionalFormatting sqref="N4:N37">
    <cfRule type="cellIs" dxfId="0" priority="1" operator="equal">
      <formula>0</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9CF0-41E5-42A6-A8D5-CF8C8AC8C48F}">
  <dimension ref="A1:B14"/>
  <sheetViews>
    <sheetView workbookViewId="0"/>
  </sheetViews>
  <sheetFormatPr baseColWidth="10" defaultRowHeight="15" x14ac:dyDescent="0.25"/>
  <cols>
    <col min="1" max="2" width="12" bestFit="1" customWidth="1"/>
  </cols>
  <sheetData>
    <row r="1" spans="1:2" x14ac:dyDescent="0.25">
      <c r="A1" t="s">
        <v>569</v>
      </c>
      <c r="B1" t="s">
        <v>570</v>
      </c>
    </row>
    <row r="2" spans="1:2" x14ac:dyDescent="0.25">
      <c r="A2">
        <v>2018.0231850117098</v>
      </c>
      <c r="B2">
        <v>8114.7540983606559</v>
      </c>
    </row>
    <row r="3" spans="1:2" x14ac:dyDescent="0.25">
      <c r="A3">
        <v>2018.9135831381734</v>
      </c>
      <c r="B3">
        <v>19754.098360655738</v>
      </c>
    </row>
    <row r="4" spans="1:2" x14ac:dyDescent="0.25">
      <c r="A4">
        <v>2020.027400468384</v>
      </c>
      <c r="B4">
        <v>9590.163934426233</v>
      </c>
    </row>
    <row r="5" spans="1:2" x14ac:dyDescent="0.25">
      <c r="A5">
        <v>2021.0482435597191</v>
      </c>
      <c r="B5">
        <v>16885.245901639348</v>
      </c>
    </row>
    <row r="6" spans="1:2" x14ac:dyDescent="0.25">
      <c r="A6">
        <v>2022.0573770491803</v>
      </c>
      <c r="B6">
        <v>20081.967213114756</v>
      </c>
    </row>
    <row r="7" spans="1:2" x14ac:dyDescent="0.25">
      <c r="A7">
        <v>2023.1257611241219</v>
      </c>
      <c r="B7">
        <v>19016.393442622953</v>
      </c>
    </row>
    <row r="8" spans="1:2" x14ac:dyDescent="0.25">
      <c r="A8">
        <v>2023.9777517564403</v>
      </c>
      <c r="B8">
        <v>17213.114754098362</v>
      </c>
    </row>
    <row r="9" spans="1:2" x14ac:dyDescent="0.25">
      <c r="A9">
        <v>2024.9744730679158</v>
      </c>
      <c r="B9">
        <v>16065.573770491805</v>
      </c>
    </row>
    <row r="10" spans="1:2" x14ac:dyDescent="0.25">
      <c r="A10">
        <v>2029.9601873536301</v>
      </c>
      <c r="B10">
        <v>11065.573770491806</v>
      </c>
    </row>
    <row r="11" spans="1:2" x14ac:dyDescent="0.25">
      <c r="A11">
        <v>2035.0222482435597</v>
      </c>
      <c r="B11">
        <v>7786.8852459016416</v>
      </c>
    </row>
    <row r="12" spans="1:2" x14ac:dyDescent="0.25">
      <c r="A12">
        <v>2039.9440281030445</v>
      </c>
      <c r="B12">
        <v>5409.8360655737706</v>
      </c>
    </row>
    <row r="13" spans="1:2" x14ac:dyDescent="0.25">
      <c r="A13">
        <v>2045.0110070257613</v>
      </c>
      <c r="B13">
        <v>3852.4590163934445</v>
      </c>
    </row>
    <row r="14" spans="1:2" x14ac:dyDescent="0.25">
      <c r="A14">
        <v>2047.9374707259954</v>
      </c>
      <c r="B14">
        <v>3114.7540983606559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4BD2A-EC50-4959-85F2-E5E23D1683AA}">
  <dimension ref="B3:B16"/>
  <sheetViews>
    <sheetView showGridLines="0" zoomScale="145" zoomScaleNormal="145" workbookViewId="0">
      <selection activeCell="F4" sqref="F4"/>
    </sheetView>
  </sheetViews>
  <sheetFormatPr baseColWidth="10" defaultRowHeight="15" x14ac:dyDescent="0.25"/>
  <sheetData>
    <row r="3" spans="2:2" x14ac:dyDescent="0.25">
      <c r="B3" t="s">
        <v>555</v>
      </c>
    </row>
    <row r="4" spans="2:2" x14ac:dyDescent="0.25">
      <c r="B4" t="s">
        <v>556</v>
      </c>
    </row>
    <row r="5" spans="2:2" x14ac:dyDescent="0.25">
      <c r="B5" t="s">
        <v>557</v>
      </c>
    </row>
    <row r="6" spans="2:2" x14ac:dyDescent="0.25">
      <c r="B6" t="s">
        <v>558</v>
      </c>
    </row>
    <row r="7" spans="2:2" x14ac:dyDescent="0.25">
      <c r="B7" t="s">
        <v>559</v>
      </c>
    </row>
    <row r="8" spans="2:2" x14ac:dyDescent="0.25">
      <c r="B8" t="s">
        <v>560</v>
      </c>
    </row>
    <row r="9" spans="2:2" x14ac:dyDescent="0.25">
      <c r="B9" t="s">
        <v>561</v>
      </c>
    </row>
    <row r="10" spans="2:2" x14ac:dyDescent="0.25">
      <c r="B10" t="s">
        <v>562</v>
      </c>
    </row>
    <row r="11" spans="2:2" x14ac:dyDescent="0.25">
      <c r="B11" t="s">
        <v>563</v>
      </c>
    </row>
    <row r="12" spans="2:2" x14ac:dyDescent="0.25">
      <c r="B12" t="s">
        <v>564</v>
      </c>
    </row>
    <row r="13" spans="2:2" x14ac:dyDescent="0.25">
      <c r="B13" t="s">
        <v>565</v>
      </c>
    </row>
    <row r="14" spans="2:2" x14ac:dyDescent="0.25">
      <c r="B14" t="s">
        <v>566</v>
      </c>
    </row>
    <row r="15" spans="2:2" x14ac:dyDescent="0.25">
      <c r="B15" t="s">
        <v>567</v>
      </c>
    </row>
    <row r="16" spans="2:2" x14ac:dyDescent="0.25">
      <c r="B16" t="s">
        <v>568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96D657-DB62-4DE6-B95C-0D6EA3A783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Gasfield</vt:lpstr>
      <vt:lpstr>Oilfields</vt:lpstr>
      <vt:lpstr>General Oil_Gas_fields</vt:lpstr>
      <vt:lpstr>BDcopia</vt:lpstr>
      <vt:lpstr>BD</vt:lpstr>
      <vt:lpstr>Compracion (2)</vt:lpstr>
      <vt:lpstr>Compracion</vt:lpstr>
      <vt:lpstr>GlobalData (copia bb</vt:lpstr>
      <vt:lpstr>GlobalData</vt:lpstr>
      <vt:lpstr>Datos de Imagenes</vt:lpstr>
      <vt:lpstr>Akacias_</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2022-11-11T02:10:11Z</dcterms:modified>
</cp:coreProperties>
</file>