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bRES_TMPL\"/>
    </mc:Choice>
  </mc:AlternateContent>
  <xr:revisionPtr revIDLastSave="0" documentId="13_ncr:1_{4537E1C0-8F82-48A1-BD3D-20DFD8A760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CAM" sheetId="5" r:id="rId1"/>
    <sheet name="NewProduction" sheetId="1" r:id="rId2"/>
    <sheet name="NewTransport" sheetId="3" r:id="rId3"/>
    <sheet name="COMM&amp;PROCESS" sheetId="4" r:id="rId4"/>
  </sheets>
  <definedNames>
    <definedName name="_xlnm._FilterDatabase" localSheetId="0" hidden="1">DataCAM!$J$98:$AA$98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3" l="1"/>
  <c r="E22" i="3"/>
  <c r="C61" i="1" l="1"/>
  <c r="C53" i="1"/>
  <c r="C100" i="1" s="1"/>
  <c r="C110" i="1" s="1"/>
  <c r="C88" i="1" l="1"/>
  <c r="C51" i="3"/>
  <c r="B34" i="3"/>
  <c r="B40" i="3" s="1"/>
  <c r="B44" i="3" s="1"/>
  <c r="B11" i="3"/>
  <c r="B16" i="3" s="1"/>
  <c r="B22" i="3" s="1"/>
  <c r="D106" i="1"/>
  <c r="C12" i="3" s="1"/>
  <c r="C40" i="3" s="1"/>
  <c r="B106" i="1"/>
  <c r="B110" i="1" s="1"/>
  <c r="D44" i="3" l="1"/>
  <c r="D40" i="3" s="1"/>
  <c r="C22" i="3"/>
  <c r="D16" i="3"/>
  <c r="D11" i="3" s="1"/>
  <c r="D12" i="3" s="1"/>
  <c r="AH106" i="5"/>
  <c r="S106" i="5"/>
  <c r="D81" i="1"/>
  <c r="D41" i="1"/>
  <c r="D40" i="1" s="1"/>
  <c r="E21" i="1" a="1"/>
  <c r="E21" i="1" s="1"/>
  <c r="E9" i="1"/>
  <c r="D48" i="1" l="1"/>
  <c r="D53" i="1" s="1"/>
  <c r="N106" i="5"/>
  <c r="O106" i="5"/>
  <c r="N195" i="5" l="1"/>
  <c r="N196" i="5"/>
  <c r="N197" i="5"/>
  <c r="N198" i="5"/>
  <c r="N199" i="5"/>
  <c r="N200" i="5"/>
  <c r="N194" i="5"/>
  <c r="N190" i="5" l="1"/>
  <c r="O148" i="5"/>
  <c r="K163" i="5"/>
  <c r="K148" i="5"/>
  <c r="N107" i="5"/>
  <c r="Q256" i="5"/>
  <c r="T255" i="5"/>
  <c r="S255" i="5"/>
  <c r="Q255" i="5"/>
  <c r="T254" i="5"/>
  <c r="S254" i="5"/>
  <c r="Q254" i="5"/>
  <c r="T253" i="5"/>
  <c r="S253" i="5"/>
  <c r="Q253" i="5"/>
  <c r="T252" i="5"/>
  <c r="S252" i="5"/>
  <c r="Q252" i="5"/>
  <c r="T251" i="5"/>
  <c r="S251" i="5"/>
  <c r="Q251" i="5"/>
  <c r="T250" i="5"/>
  <c r="S250" i="5"/>
  <c r="Q250" i="5"/>
  <c r="T249" i="5"/>
  <c r="S249" i="5"/>
  <c r="Q249" i="5"/>
  <c r="W248" i="5"/>
  <c r="V248" i="5"/>
  <c r="U248" i="5"/>
  <c r="T248" i="5"/>
  <c r="S248" i="5"/>
  <c r="Q248" i="5"/>
  <c r="W247" i="5"/>
  <c r="V247" i="5"/>
  <c r="U247" i="5"/>
  <c r="T247" i="5"/>
  <c r="S247" i="5"/>
  <c r="AB226" i="5"/>
  <c r="AA226" i="5"/>
  <c r="Z226" i="5"/>
  <c r="AB225" i="5"/>
  <c r="AA225" i="5"/>
  <c r="Z225" i="5"/>
  <c r="AB224" i="5"/>
  <c r="AA224" i="5"/>
  <c r="Z224" i="5"/>
  <c r="AB223" i="5"/>
  <c r="AA223" i="5"/>
  <c r="Z223" i="5"/>
  <c r="AA222" i="5"/>
  <c r="Z222" i="5"/>
  <c r="Q222" i="5"/>
  <c r="AB222" i="5" s="1"/>
  <c r="AA221" i="5"/>
  <c r="Z221" i="5"/>
  <c r="Q221" i="5"/>
  <c r="AB221" i="5" s="1"/>
  <c r="AB220" i="5"/>
  <c r="AA220" i="5"/>
  <c r="AC214" i="5"/>
  <c r="AB214" i="5"/>
  <c r="AA214" i="5"/>
  <c r="Z214" i="5"/>
  <c r="AC213" i="5"/>
  <c r="AB213" i="5"/>
  <c r="AA213" i="5"/>
  <c r="Z213" i="5"/>
  <c r="AC212" i="5"/>
  <c r="AB212" i="5"/>
  <c r="AA212" i="5"/>
  <c r="Z212" i="5"/>
  <c r="AC211" i="5"/>
  <c r="AB211" i="5"/>
  <c r="AA211" i="5"/>
  <c r="Z211" i="5"/>
  <c r="AB210" i="5"/>
  <c r="Z210" i="5"/>
  <c r="R210" i="5"/>
  <c r="AC210" i="5" s="1"/>
  <c r="AB209" i="5"/>
  <c r="AA209" i="5"/>
  <c r="Z209" i="5"/>
  <c r="R209" i="5"/>
  <c r="AC209" i="5" s="1"/>
  <c r="AC208" i="5"/>
  <c r="AB208" i="5"/>
  <c r="Z208" i="5"/>
  <c r="J189" i="5"/>
  <c r="J199" i="5" s="1"/>
  <c r="J214" i="5" s="1"/>
  <c r="J226" i="5" s="1"/>
  <c r="X188" i="5"/>
  <c r="X187" i="5"/>
  <c r="X186" i="5"/>
  <c r="X185" i="5"/>
  <c r="X184" i="5"/>
  <c r="G184" i="5"/>
  <c r="G185" i="5" s="1"/>
  <c r="G186" i="5" s="1"/>
  <c r="K178" i="5"/>
  <c r="K179" i="5" s="1"/>
  <c r="M176" i="5"/>
  <c r="AB164" i="5"/>
  <c r="N161" i="5" s="1"/>
  <c r="P161" i="5" s="1"/>
  <c r="BE162" i="5"/>
  <c r="BD162" i="5"/>
  <c r="BC162" i="5"/>
  <c r="BB162" i="5"/>
  <c r="BA162" i="5"/>
  <c r="AZ162" i="5"/>
  <c r="AY162" i="5"/>
  <c r="AT162" i="5"/>
  <c r="AS162" i="5"/>
  <c r="AR162" i="5"/>
  <c r="AP162" i="5"/>
  <c r="AO162" i="5"/>
  <c r="P162" i="5"/>
  <c r="L162" i="5"/>
  <c r="L189" i="5" s="1"/>
  <c r="L199" i="5" s="1"/>
  <c r="L214" i="5" s="1"/>
  <c r="L226" i="5" s="1"/>
  <c r="J162" i="5"/>
  <c r="BE161" i="5"/>
  <c r="BD161" i="5"/>
  <c r="BC161" i="5"/>
  <c r="BB161" i="5"/>
  <c r="BA161" i="5"/>
  <c r="AZ161" i="5"/>
  <c r="AY161" i="5"/>
  <c r="AT161" i="5"/>
  <c r="AS161" i="5"/>
  <c r="AR161" i="5"/>
  <c r="AQ161" i="5"/>
  <c r="AP161" i="5"/>
  <c r="AO161" i="5"/>
  <c r="M161" i="5"/>
  <c r="M188" i="5" s="1"/>
  <c r="M198" i="5" s="1"/>
  <c r="M213" i="5" s="1"/>
  <c r="M225" i="5" s="1"/>
  <c r="BE160" i="5"/>
  <c r="BD160" i="5"/>
  <c r="BC160" i="5"/>
  <c r="BB160" i="5"/>
  <c r="BA160" i="5"/>
  <c r="AZ160" i="5"/>
  <c r="AY160" i="5"/>
  <c r="AT160" i="5"/>
  <c r="AS160" i="5"/>
  <c r="AR160" i="5"/>
  <c r="AQ160" i="5"/>
  <c r="AP160" i="5"/>
  <c r="AO160" i="5"/>
  <c r="P160" i="5"/>
  <c r="L160" i="5"/>
  <c r="L187" i="5" s="1"/>
  <c r="L197" i="5" s="1"/>
  <c r="L212" i="5" s="1"/>
  <c r="L224" i="5" s="1"/>
  <c r="BE159" i="5"/>
  <c r="BD159" i="5"/>
  <c r="BC159" i="5"/>
  <c r="BB159" i="5"/>
  <c r="BA159" i="5"/>
  <c r="AZ159" i="5"/>
  <c r="AY159" i="5"/>
  <c r="AT159" i="5"/>
  <c r="AS159" i="5"/>
  <c r="AR159" i="5"/>
  <c r="AQ159" i="5"/>
  <c r="AP159" i="5"/>
  <c r="AO159" i="5"/>
  <c r="BE158" i="5"/>
  <c r="BD158" i="5"/>
  <c r="BC158" i="5"/>
  <c r="BB158" i="5"/>
  <c r="BA158" i="5"/>
  <c r="AZ158" i="5"/>
  <c r="AY158" i="5"/>
  <c r="AU158" i="5"/>
  <c r="AT158" i="5"/>
  <c r="AS158" i="5"/>
  <c r="AR158" i="5"/>
  <c r="AQ158" i="5"/>
  <c r="AP158" i="5"/>
  <c r="AO158" i="5"/>
  <c r="N158" i="5"/>
  <c r="P158" i="5" s="1"/>
  <c r="BE157" i="5"/>
  <c r="BD157" i="5"/>
  <c r="BC157" i="5"/>
  <c r="BB157" i="5"/>
  <c r="BA157" i="5"/>
  <c r="AZ157" i="5"/>
  <c r="AY157" i="5"/>
  <c r="AU157" i="5"/>
  <c r="AT157" i="5"/>
  <c r="AS157" i="5"/>
  <c r="AR157" i="5"/>
  <c r="AQ157" i="5"/>
  <c r="AP157" i="5"/>
  <c r="AO157" i="5"/>
  <c r="N157" i="5"/>
  <c r="P157" i="5" s="1"/>
  <c r="BE156" i="5"/>
  <c r="BD156" i="5"/>
  <c r="BC156" i="5"/>
  <c r="BB156" i="5"/>
  <c r="BA156" i="5"/>
  <c r="AZ156" i="5"/>
  <c r="AY156" i="5"/>
  <c r="AT156" i="5"/>
  <c r="AS156" i="5"/>
  <c r="AR156" i="5"/>
  <c r="AQ156" i="5"/>
  <c r="AP156" i="5"/>
  <c r="AO156" i="5"/>
  <c r="P156" i="5"/>
  <c r="K156" i="5"/>
  <c r="K183" i="5" s="1"/>
  <c r="K193" i="5" s="1"/>
  <c r="K208" i="5" s="1"/>
  <c r="K220" i="5" s="1"/>
  <c r="K155" i="5"/>
  <c r="K182" i="5" s="1"/>
  <c r="K192" i="5" s="1"/>
  <c r="K207" i="5" s="1"/>
  <c r="K219" i="5" s="1"/>
  <c r="J147" i="5"/>
  <c r="K146" i="5"/>
  <c r="K145" i="5"/>
  <c r="K144" i="5"/>
  <c r="K143" i="5"/>
  <c r="K142" i="5"/>
  <c r="K141" i="5"/>
  <c r="K140" i="5"/>
  <c r="M134" i="5"/>
  <c r="L134" i="5"/>
  <c r="K134" i="5"/>
  <c r="J134" i="5"/>
  <c r="M133" i="5"/>
  <c r="L133" i="5"/>
  <c r="K133" i="5"/>
  <c r="J133" i="5"/>
  <c r="M132" i="5"/>
  <c r="L132" i="5"/>
  <c r="K132" i="5"/>
  <c r="J132" i="5"/>
  <c r="M131" i="5"/>
  <c r="L131" i="5"/>
  <c r="K131" i="5"/>
  <c r="J131" i="5"/>
  <c r="M130" i="5"/>
  <c r="L130" i="5"/>
  <c r="K130" i="5"/>
  <c r="J130" i="5"/>
  <c r="M129" i="5"/>
  <c r="L129" i="5"/>
  <c r="K129" i="5"/>
  <c r="J129" i="5"/>
  <c r="M128" i="5"/>
  <c r="L128" i="5"/>
  <c r="K128" i="5"/>
  <c r="J128" i="5"/>
  <c r="AD127" i="5"/>
  <c r="U127" i="5"/>
  <c r="M127" i="5"/>
  <c r="M147" i="5" s="1"/>
  <c r="L127" i="5"/>
  <c r="L147" i="5" s="1"/>
  <c r="K127" i="5"/>
  <c r="K162" i="5" s="1"/>
  <c r="K189" i="5" s="1"/>
  <c r="K199" i="5" s="1"/>
  <c r="K214" i="5" s="1"/>
  <c r="K226" i="5" s="1"/>
  <c r="AD126" i="5"/>
  <c r="U126" i="5"/>
  <c r="M126" i="5"/>
  <c r="M146" i="5" s="1"/>
  <c r="L126" i="5"/>
  <c r="L161" i="5" s="1"/>
  <c r="L188" i="5" s="1"/>
  <c r="L198" i="5" s="1"/>
  <c r="L213" i="5" s="1"/>
  <c r="L225" i="5" s="1"/>
  <c r="K126" i="5"/>
  <c r="K161" i="5" s="1"/>
  <c r="K188" i="5" s="1"/>
  <c r="K198" i="5" s="1"/>
  <c r="K213" i="5" s="1"/>
  <c r="K225" i="5" s="1"/>
  <c r="J126" i="5"/>
  <c r="J146" i="5" s="1"/>
  <c r="AD125" i="5"/>
  <c r="U125" i="5"/>
  <c r="M125" i="5"/>
  <c r="M145" i="5" s="1"/>
  <c r="L125" i="5"/>
  <c r="L145" i="5" s="1"/>
  <c r="K125" i="5"/>
  <c r="K160" i="5" s="1"/>
  <c r="K187" i="5" s="1"/>
  <c r="K197" i="5" s="1"/>
  <c r="K212" i="5" s="1"/>
  <c r="K224" i="5" s="1"/>
  <c r="J125" i="5"/>
  <c r="J145" i="5" s="1"/>
  <c r="AD124" i="5"/>
  <c r="U124" i="5"/>
  <c r="M124" i="5"/>
  <c r="M144" i="5" s="1"/>
  <c r="L124" i="5"/>
  <c r="L144" i="5" s="1"/>
  <c r="K124" i="5"/>
  <c r="K159" i="5" s="1"/>
  <c r="K186" i="5" s="1"/>
  <c r="K196" i="5" s="1"/>
  <c r="K211" i="5" s="1"/>
  <c r="K223" i="5" s="1"/>
  <c r="J124" i="5"/>
  <c r="J144" i="5" s="1"/>
  <c r="AD123" i="5"/>
  <c r="U123" i="5"/>
  <c r="M123" i="5"/>
  <c r="M158" i="5" s="1"/>
  <c r="M185" i="5" s="1"/>
  <c r="M195" i="5" s="1"/>
  <c r="M210" i="5" s="1"/>
  <c r="M222" i="5" s="1"/>
  <c r="L123" i="5"/>
  <c r="L158" i="5" s="1"/>
  <c r="L185" i="5" s="1"/>
  <c r="L195" i="5" s="1"/>
  <c r="L210" i="5" s="1"/>
  <c r="L222" i="5" s="1"/>
  <c r="K123" i="5"/>
  <c r="K158" i="5" s="1"/>
  <c r="K185" i="5" s="1"/>
  <c r="K195" i="5" s="1"/>
  <c r="K210" i="5" s="1"/>
  <c r="K222" i="5" s="1"/>
  <c r="J123" i="5"/>
  <c r="J143" i="5" s="1"/>
  <c r="AD122" i="5"/>
  <c r="U122" i="5"/>
  <c r="M122" i="5"/>
  <c r="M142" i="5" s="1"/>
  <c r="L122" i="5"/>
  <c r="L142" i="5" s="1"/>
  <c r="K122" i="5"/>
  <c r="K157" i="5" s="1"/>
  <c r="K184" i="5" s="1"/>
  <c r="K194" i="5" s="1"/>
  <c r="K209" i="5" s="1"/>
  <c r="K221" i="5" s="1"/>
  <c r="J122" i="5"/>
  <c r="J142" i="5" s="1"/>
  <c r="AD121" i="5"/>
  <c r="U121" i="5"/>
  <c r="U128" i="5" s="1"/>
  <c r="U129" i="5" s="1"/>
  <c r="M121" i="5"/>
  <c r="M156" i="5" s="1"/>
  <c r="M183" i="5" s="1"/>
  <c r="M193" i="5" s="1"/>
  <c r="M208" i="5" s="1"/>
  <c r="M220" i="5" s="1"/>
  <c r="L121" i="5"/>
  <c r="L156" i="5" s="1"/>
  <c r="L183" i="5" s="1"/>
  <c r="L193" i="5" s="1"/>
  <c r="L208" i="5" s="1"/>
  <c r="L220" i="5" s="1"/>
  <c r="K121" i="5"/>
  <c r="J121" i="5"/>
  <c r="J156" i="5" s="1"/>
  <c r="J183" i="5" s="1"/>
  <c r="J193" i="5" s="1"/>
  <c r="J208" i="5" s="1"/>
  <c r="J220" i="5" s="1"/>
  <c r="L120" i="5"/>
  <c r="L155" i="5" s="1"/>
  <c r="L182" i="5" s="1"/>
  <c r="L192" i="5" s="1"/>
  <c r="L207" i="5" s="1"/>
  <c r="L219" i="5" s="1"/>
  <c r="K120" i="5"/>
  <c r="J120" i="5"/>
  <c r="J155" i="5" s="1"/>
  <c r="J182" i="5" s="1"/>
  <c r="J192" i="5" s="1"/>
  <c r="J207" i="5" s="1"/>
  <c r="J219" i="5" s="1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B105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M86" i="5"/>
  <c r="M85" i="5"/>
  <c r="M84" i="5"/>
  <c r="M83" i="5"/>
  <c r="K83" i="5"/>
  <c r="M82" i="5"/>
  <c r="M81" i="5"/>
  <c r="M80" i="5"/>
  <c r="M79" i="5"/>
  <c r="M78" i="5"/>
  <c r="M77" i="5"/>
  <c r="M76" i="5"/>
  <c r="K76" i="5"/>
  <c r="M75" i="5"/>
  <c r="M74" i="5"/>
  <c r="K74" i="5"/>
  <c r="M73" i="5"/>
  <c r="K73" i="5"/>
  <c r="M72" i="5"/>
  <c r="M71" i="5"/>
  <c r="M70" i="5"/>
  <c r="M68" i="5"/>
  <c r="M67" i="5"/>
  <c r="M66" i="5"/>
  <c r="M98" i="5" s="1"/>
  <c r="M120" i="5" s="1"/>
  <c r="V65" i="5"/>
  <c r="U65" i="5"/>
  <c r="T65" i="5"/>
  <c r="S65" i="5"/>
  <c r="R65" i="5"/>
  <c r="O65" i="5"/>
  <c r="N65" i="5"/>
  <c r="Y57" i="5"/>
  <c r="N89" i="5" s="1"/>
  <c r="X57" i="5"/>
  <c r="V89" i="5" s="1"/>
  <c r="W57" i="5"/>
  <c r="U89" i="5" s="1"/>
  <c r="V57" i="5"/>
  <c r="T89" i="5" s="1"/>
  <c r="AA89" i="5" s="1"/>
  <c r="U57" i="5"/>
  <c r="S89" i="5" s="1"/>
  <c r="T57" i="5"/>
  <c r="R89" i="5" s="1"/>
  <c r="S57" i="5"/>
  <c r="R57" i="5"/>
  <c r="Q57" i="5"/>
  <c r="P57" i="5"/>
  <c r="O57" i="5"/>
  <c r="N57" i="5"/>
  <c r="Z57" i="5" s="1"/>
  <c r="O89" i="5" s="1"/>
  <c r="Y56" i="5"/>
  <c r="N88" i="5" s="1"/>
  <c r="X56" i="5"/>
  <c r="V88" i="5" s="1"/>
  <c r="W56" i="5"/>
  <c r="U88" i="5" s="1"/>
  <c r="V56" i="5"/>
  <c r="T88" i="5" s="1"/>
  <c r="AA88" i="5" s="1"/>
  <c r="U56" i="5"/>
  <c r="S88" i="5" s="1"/>
  <c r="T56" i="5"/>
  <c r="R88" i="5" s="1"/>
  <c r="S56" i="5"/>
  <c r="R56" i="5"/>
  <c r="Q56" i="5"/>
  <c r="P56" i="5"/>
  <c r="O56" i="5"/>
  <c r="N56" i="5"/>
  <c r="Z56" i="5" s="1"/>
  <c r="O88" i="5" s="1"/>
  <c r="Y55" i="5"/>
  <c r="N87" i="5" s="1"/>
  <c r="X55" i="5"/>
  <c r="V87" i="5" s="1"/>
  <c r="W55" i="5"/>
  <c r="U87" i="5" s="1"/>
  <c r="U105" i="5" s="1"/>
  <c r="V55" i="5"/>
  <c r="T87" i="5" s="1"/>
  <c r="U55" i="5"/>
  <c r="S87" i="5" s="1"/>
  <c r="S105" i="5" s="1"/>
  <c r="T55" i="5"/>
  <c r="R87" i="5" s="1"/>
  <c r="R105" i="5" s="1"/>
  <c r="S55" i="5"/>
  <c r="R55" i="5"/>
  <c r="Q55" i="5"/>
  <c r="P55" i="5"/>
  <c r="O55" i="5"/>
  <c r="N55" i="5"/>
  <c r="Z55" i="5" s="1"/>
  <c r="O87" i="5" s="1"/>
  <c r="Y54" i="5"/>
  <c r="N86" i="5" s="1"/>
  <c r="X54" i="5"/>
  <c r="V86" i="5" s="1"/>
  <c r="W54" i="5"/>
  <c r="U86" i="5" s="1"/>
  <c r="V54" i="5"/>
  <c r="T86" i="5" s="1"/>
  <c r="AA86" i="5" s="1"/>
  <c r="U54" i="5"/>
  <c r="S86" i="5" s="1"/>
  <c r="T54" i="5"/>
  <c r="R86" i="5" s="1"/>
  <c r="S54" i="5"/>
  <c r="R54" i="5"/>
  <c r="Q54" i="5"/>
  <c r="Y53" i="5"/>
  <c r="N85" i="5" s="1"/>
  <c r="X53" i="5"/>
  <c r="V85" i="5" s="1"/>
  <c r="W53" i="5"/>
  <c r="U85" i="5" s="1"/>
  <c r="V53" i="5"/>
  <c r="T85" i="5" s="1"/>
  <c r="AA85" i="5" s="1"/>
  <c r="U53" i="5"/>
  <c r="S85" i="5" s="1"/>
  <c r="T53" i="5"/>
  <c r="R85" i="5" s="1"/>
  <c r="S53" i="5"/>
  <c r="R53" i="5"/>
  <c r="Q53" i="5"/>
  <c r="Y52" i="5"/>
  <c r="N84" i="5" s="1"/>
  <c r="X52" i="5"/>
  <c r="V84" i="5" s="1"/>
  <c r="Q84" i="5" s="1"/>
  <c r="AC84" i="5" s="1"/>
  <c r="W52" i="5"/>
  <c r="U84" i="5" s="1"/>
  <c r="V52" i="5"/>
  <c r="T84" i="5" s="1"/>
  <c r="U52" i="5"/>
  <c r="S84" i="5" s="1"/>
  <c r="T52" i="5"/>
  <c r="R84" i="5" s="1"/>
  <c r="S52" i="5"/>
  <c r="R52" i="5"/>
  <c r="Q52" i="5"/>
  <c r="Y51" i="5"/>
  <c r="N83" i="5" s="1"/>
  <c r="X51" i="5"/>
  <c r="V83" i="5" s="1"/>
  <c r="Q83" i="5" s="1"/>
  <c r="W51" i="5"/>
  <c r="U83" i="5" s="1"/>
  <c r="V51" i="5"/>
  <c r="T83" i="5" s="1"/>
  <c r="U51" i="5"/>
  <c r="S83" i="5" s="1"/>
  <c r="T51" i="5"/>
  <c r="R83" i="5" s="1"/>
  <c r="S51" i="5"/>
  <c r="R51" i="5"/>
  <c r="Q51" i="5"/>
  <c r="K51" i="5"/>
  <c r="Y50" i="5"/>
  <c r="N82" i="5" s="1"/>
  <c r="X50" i="5"/>
  <c r="V82" i="5" s="1"/>
  <c r="W50" i="5"/>
  <c r="U82" i="5" s="1"/>
  <c r="V50" i="5"/>
  <c r="T82" i="5" s="1"/>
  <c r="AA82" i="5" s="1"/>
  <c r="U50" i="5"/>
  <c r="S82" i="5" s="1"/>
  <c r="T50" i="5"/>
  <c r="R82" i="5" s="1"/>
  <c r="S50" i="5"/>
  <c r="R50" i="5"/>
  <c r="Q50" i="5"/>
  <c r="Y49" i="5"/>
  <c r="N81" i="5" s="1"/>
  <c r="X49" i="5"/>
  <c r="V81" i="5" s="1"/>
  <c r="Q81" i="5" s="1"/>
  <c r="AC81" i="5" s="1"/>
  <c r="W49" i="5"/>
  <c r="U81" i="5" s="1"/>
  <c r="V49" i="5"/>
  <c r="T81" i="5" s="1"/>
  <c r="AA81" i="5" s="1"/>
  <c r="U49" i="5"/>
  <c r="S81" i="5" s="1"/>
  <c r="T49" i="5"/>
  <c r="R81" i="5" s="1"/>
  <c r="S49" i="5"/>
  <c r="R49" i="5"/>
  <c r="Q49" i="5"/>
  <c r="Y48" i="5"/>
  <c r="N80" i="5" s="1"/>
  <c r="X48" i="5"/>
  <c r="V80" i="5" s="1"/>
  <c r="Q80" i="5" s="1"/>
  <c r="W48" i="5"/>
  <c r="U80" i="5" s="1"/>
  <c r="V48" i="5"/>
  <c r="T80" i="5" s="1"/>
  <c r="AA80" i="5" s="1"/>
  <c r="U48" i="5"/>
  <c r="S80" i="5" s="1"/>
  <c r="T48" i="5"/>
  <c r="R80" i="5" s="1"/>
  <c r="S48" i="5"/>
  <c r="R48" i="5"/>
  <c r="Q48" i="5"/>
  <c r="Y47" i="5"/>
  <c r="N79" i="5" s="1"/>
  <c r="X47" i="5"/>
  <c r="V79" i="5" s="1"/>
  <c r="W47" i="5"/>
  <c r="U79" i="5" s="1"/>
  <c r="V47" i="5"/>
  <c r="T79" i="5" s="1"/>
  <c r="AA79" i="5" s="1"/>
  <c r="U47" i="5"/>
  <c r="S79" i="5" s="1"/>
  <c r="T47" i="5"/>
  <c r="R79" i="5" s="1"/>
  <c r="S47" i="5"/>
  <c r="R47" i="5"/>
  <c r="Q47" i="5"/>
  <c r="Y46" i="5"/>
  <c r="N78" i="5" s="1"/>
  <c r="X46" i="5"/>
  <c r="V78" i="5" s="1"/>
  <c r="W46" i="5"/>
  <c r="U78" i="5" s="1"/>
  <c r="V46" i="5"/>
  <c r="T78" i="5" s="1"/>
  <c r="U46" i="5"/>
  <c r="S78" i="5" s="1"/>
  <c r="T46" i="5"/>
  <c r="R78" i="5" s="1"/>
  <c r="S46" i="5"/>
  <c r="R46" i="5"/>
  <c r="Q46" i="5"/>
  <c r="Y45" i="5"/>
  <c r="N77" i="5" s="1"/>
  <c r="X45" i="5"/>
  <c r="V77" i="5" s="1"/>
  <c r="Q77" i="5" s="1"/>
  <c r="AC77" i="5" s="1"/>
  <c r="W45" i="5"/>
  <c r="U77" i="5" s="1"/>
  <c r="V45" i="5"/>
  <c r="T77" i="5" s="1"/>
  <c r="AA77" i="5" s="1"/>
  <c r="U45" i="5"/>
  <c r="S77" i="5" s="1"/>
  <c r="T45" i="5"/>
  <c r="R77" i="5" s="1"/>
  <c r="S45" i="5"/>
  <c r="R45" i="5"/>
  <c r="Q45" i="5"/>
  <c r="Y44" i="5"/>
  <c r="N76" i="5" s="1"/>
  <c r="X44" i="5"/>
  <c r="V76" i="5" s="1"/>
  <c r="Q76" i="5" s="1"/>
  <c r="W44" i="5"/>
  <c r="U76" i="5" s="1"/>
  <c r="V44" i="5"/>
  <c r="T76" i="5" s="1"/>
  <c r="AA76" i="5" s="1"/>
  <c r="U44" i="5"/>
  <c r="S76" i="5" s="1"/>
  <c r="T44" i="5"/>
  <c r="R76" i="5" s="1"/>
  <c r="S44" i="5"/>
  <c r="R44" i="5"/>
  <c r="Q44" i="5"/>
  <c r="K44" i="5"/>
  <c r="Y43" i="5"/>
  <c r="N75" i="5" s="1"/>
  <c r="X43" i="5"/>
  <c r="V75" i="5" s="1"/>
  <c r="W43" i="5"/>
  <c r="U75" i="5" s="1"/>
  <c r="V43" i="5"/>
  <c r="T75" i="5" s="1"/>
  <c r="AA75" i="5" s="1"/>
  <c r="U43" i="5"/>
  <c r="S75" i="5" s="1"/>
  <c r="T43" i="5"/>
  <c r="R75" i="5" s="1"/>
  <c r="S43" i="5"/>
  <c r="R43" i="5"/>
  <c r="Q43" i="5"/>
  <c r="Y42" i="5"/>
  <c r="N74" i="5" s="1"/>
  <c r="X42" i="5"/>
  <c r="V74" i="5" s="1"/>
  <c r="Q74" i="5" s="1"/>
  <c r="AC74" i="5" s="1"/>
  <c r="W42" i="5"/>
  <c r="U74" i="5" s="1"/>
  <c r="V42" i="5"/>
  <c r="T74" i="5" s="1"/>
  <c r="AA74" i="5" s="1"/>
  <c r="U42" i="5"/>
  <c r="S74" i="5" s="1"/>
  <c r="T42" i="5"/>
  <c r="R74" i="5" s="1"/>
  <c r="S42" i="5"/>
  <c r="R42" i="5"/>
  <c r="Q42" i="5"/>
  <c r="K42" i="5"/>
  <c r="Y41" i="5"/>
  <c r="N73" i="5" s="1"/>
  <c r="X41" i="5"/>
  <c r="V73" i="5" s="1"/>
  <c r="W41" i="5"/>
  <c r="U73" i="5" s="1"/>
  <c r="V41" i="5"/>
  <c r="T73" i="5" s="1"/>
  <c r="AA73" i="5" s="1"/>
  <c r="U41" i="5"/>
  <c r="S73" i="5" s="1"/>
  <c r="T41" i="5"/>
  <c r="R73" i="5" s="1"/>
  <c r="S41" i="5"/>
  <c r="R41" i="5"/>
  <c r="Q41" i="5"/>
  <c r="K41" i="5"/>
  <c r="Y40" i="5"/>
  <c r="N72" i="5" s="1"/>
  <c r="X40" i="5"/>
  <c r="V72" i="5" s="1"/>
  <c r="Q72" i="5" s="1"/>
  <c r="AC72" i="5" s="1"/>
  <c r="W40" i="5"/>
  <c r="U72" i="5" s="1"/>
  <c r="V40" i="5"/>
  <c r="T72" i="5" s="1"/>
  <c r="U40" i="5"/>
  <c r="S72" i="5" s="1"/>
  <c r="T40" i="5"/>
  <c r="R72" i="5" s="1"/>
  <c r="S40" i="5"/>
  <c r="R40" i="5"/>
  <c r="Q40" i="5"/>
  <c r="Y39" i="5"/>
  <c r="N71" i="5" s="1"/>
  <c r="X39" i="5"/>
  <c r="V71" i="5" s="1"/>
  <c r="Q71" i="5" s="1"/>
  <c r="AC71" i="5" s="1"/>
  <c r="W39" i="5"/>
  <c r="U71" i="5" s="1"/>
  <c r="V39" i="5"/>
  <c r="T71" i="5" s="1"/>
  <c r="U39" i="5"/>
  <c r="S71" i="5" s="1"/>
  <c r="T39" i="5"/>
  <c r="R71" i="5" s="1"/>
  <c r="S39" i="5"/>
  <c r="R39" i="5"/>
  <c r="Q39" i="5"/>
  <c r="Y38" i="5"/>
  <c r="N70" i="5" s="1"/>
  <c r="X38" i="5"/>
  <c r="V70" i="5" s="1"/>
  <c r="Q70" i="5" s="1"/>
  <c r="W38" i="5"/>
  <c r="U70" i="5" s="1"/>
  <c r="V38" i="5"/>
  <c r="T70" i="5" s="1"/>
  <c r="U38" i="5"/>
  <c r="S70" i="5" s="1"/>
  <c r="T38" i="5"/>
  <c r="R70" i="5" s="1"/>
  <c r="S38" i="5"/>
  <c r="R38" i="5"/>
  <c r="Q38" i="5"/>
  <c r="N38" i="5"/>
  <c r="Z38" i="5" s="1"/>
  <c r="O70" i="5" s="1"/>
  <c r="Y37" i="5"/>
  <c r="N69" i="5" s="1"/>
  <c r="X37" i="5"/>
  <c r="V69" i="5" s="1"/>
  <c r="W37" i="5"/>
  <c r="U69" i="5" s="1"/>
  <c r="U100" i="5" s="1"/>
  <c r="V37" i="5"/>
  <c r="T69" i="5" s="1"/>
  <c r="U37" i="5"/>
  <c r="S69" i="5" s="1"/>
  <c r="S100" i="5" s="1"/>
  <c r="T37" i="5"/>
  <c r="R69" i="5" s="1"/>
  <c r="R100" i="5" s="1"/>
  <c r="S37" i="5"/>
  <c r="R37" i="5"/>
  <c r="Q37" i="5"/>
  <c r="Y36" i="5"/>
  <c r="N68" i="5" s="1"/>
  <c r="X36" i="5"/>
  <c r="V68" i="5" s="1"/>
  <c r="Q68" i="5" s="1"/>
  <c r="AC68" i="5" s="1"/>
  <c r="W36" i="5"/>
  <c r="U68" i="5" s="1"/>
  <c r="V36" i="5"/>
  <c r="T68" i="5" s="1"/>
  <c r="AA68" i="5" s="1"/>
  <c r="U36" i="5"/>
  <c r="S68" i="5" s="1"/>
  <c r="T36" i="5"/>
  <c r="R68" i="5" s="1"/>
  <c r="S36" i="5"/>
  <c r="R36" i="5"/>
  <c r="Q36" i="5"/>
  <c r="Y35" i="5"/>
  <c r="N67" i="5" s="1"/>
  <c r="X35" i="5"/>
  <c r="V67" i="5" s="1"/>
  <c r="W35" i="5"/>
  <c r="U67" i="5" s="1"/>
  <c r="V35" i="5"/>
  <c r="T67" i="5" s="1"/>
  <c r="U35" i="5"/>
  <c r="S67" i="5" s="1"/>
  <c r="T35" i="5"/>
  <c r="T61" i="5" s="1"/>
  <c r="S35" i="5"/>
  <c r="R35" i="5"/>
  <c r="Q35" i="5"/>
  <c r="Y28" i="5"/>
  <c r="AE27" i="5"/>
  <c r="AB27" i="5"/>
  <c r="Z27" i="5"/>
  <c r="AC27" i="5" s="1"/>
  <c r="AF27" i="5" s="1"/>
  <c r="AB26" i="5"/>
  <c r="AE26" i="5" s="1"/>
  <c r="Z26" i="5"/>
  <c r="AC26" i="5" s="1"/>
  <c r="AF26" i="5" s="1"/>
  <c r="AC25" i="5"/>
  <c r="AF25" i="5" s="1"/>
  <c r="AB25" i="5"/>
  <c r="AE25" i="5" s="1"/>
  <c r="Z25" i="5"/>
  <c r="P24" i="5"/>
  <c r="P54" i="5" s="1"/>
  <c r="O24" i="5"/>
  <c r="O54" i="5" s="1"/>
  <c r="N24" i="5"/>
  <c r="Z24" i="5" s="1"/>
  <c r="AC24" i="5" s="1"/>
  <c r="AF24" i="5" s="1"/>
  <c r="P23" i="5"/>
  <c r="P53" i="5" s="1"/>
  <c r="O23" i="5"/>
  <c r="O53" i="5" s="1"/>
  <c r="N23" i="5"/>
  <c r="Z23" i="5" s="1"/>
  <c r="AC23" i="5" s="1"/>
  <c r="AF23" i="5" s="1"/>
  <c r="P22" i="5"/>
  <c r="P52" i="5" s="1"/>
  <c r="O22" i="5"/>
  <c r="O52" i="5" s="1"/>
  <c r="N22" i="5"/>
  <c r="Z22" i="5" s="1"/>
  <c r="AC22" i="5" s="1"/>
  <c r="AF22" i="5" s="1"/>
  <c r="P21" i="5"/>
  <c r="P51" i="5" s="1"/>
  <c r="O21" i="5"/>
  <c r="O51" i="5" s="1"/>
  <c r="N21" i="5"/>
  <c r="N51" i="5" s="1"/>
  <c r="Z51" i="5" s="1"/>
  <c r="O83" i="5" s="1"/>
  <c r="K21" i="5"/>
  <c r="D21" i="5"/>
  <c r="AB20" i="5"/>
  <c r="AE20" i="5" s="1"/>
  <c r="P20" i="5"/>
  <c r="P50" i="5" s="1"/>
  <c r="O20" i="5"/>
  <c r="O50" i="5" s="1"/>
  <c r="N20" i="5"/>
  <c r="N50" i="5" s="1"/>
  <c r="Z50" i="5" s="1"/>
  <c r="O82" i="5" s="1"/>
  <c r="AB19" i="5"/>
  <c r="AE19" i="5" s="1"/>
  <c r="P19" i="5"/>
  <c r="P49" i="5" s="1"/>
  <c r="O19" i="5"/>
  <c r="O49" i="5" s="1"/>
  <c r="N19" i="5"/>
  <c r="Z19" i="5" s="1"/>
  <c r="AC19" i="5" s="1"/>
  <c r="AF19" i="5" s="1"/>
  <c r="AB18" i="5"/>
  <c r="AE18" i="5" s="1"/>
  <c r="P18" i="5"/>
  <c r="P48" i="5" s="1"/>
  <c r="O18" i="5"/>
  <c r="O48" i="5" s="1"/>
  <c r="N18" i="5"/>
  <c r="N48" i="5" s="1"/>
  <c r="Z48" i="5" s="1"/>
  <c r="O80" i="5" s="1"/>
  <c r="AB17" i="5"/>
  <c r="AE17" i="5" s="1"/>
  <c r="P17" i="5"/>
  <c r="P47" i="5" s="1"/>
  <c r="O17" i="5"/>
  <c r="O47" i="5" s="1"/>
  <c r="N17" i="5"/>
  <c r="N47" i="5" s="1"/>
  <c r="Z47" i="5" s="1"/>
  <c r="O79" i="5" s="1"/>
  <c r="AB16" i="5"/>
  <c r="AE16" i="5" s="1"/>
  <c r="P16" i="5"/>
  <c r="P46" i="5" s="1"/>
  <c r="O16" i="5"/>
  <c r="O46" i="5" s="1"/>
  <c r="N16" i="5"/>
  <c r="N46" i="5" s="1"/>
  <c r="Z46" i="5" s="1"/>
  <c r="O78" i="5" s="1"/>
  <c r="AB15" i="5"/>
  <c r="AE15" i="5" s="1"/>
  <c r="P15" i="5"/>
  <c r="P45" i="5" s="1"/>
  <c r="O15" i="5"/>
  <c r="O45" i="5" s="1"/>
  <c r="N15" i="5"/>
  <c r="Z15" i="5" s="1"/>
  <c r="AC15" i="5" s="1"/>
  <c r="AF15" i="5" s="1"/>
  <c r="AB14" i="5"/>
  <c r="AE14" i="5" s="1"/>
  <c r="P14" i="5"/>
  <c r="P44" i="5" s="1"/>
  <c r="O14" i="5"/>
  <c r="O44" i="5" s="1"/>
  <c r="N14" i="5"/>
  <c r="N44" i="5" s="1"/>
  <c r="Z44" i="5" s="1"/>
  <c r="O76" i="5" s="1"/>
  <c r="K14" i="5"/>
  <c r="AB13" i="5"/>
  <c r="AE13" i="5" s="1"/>
  <c r="P13" i="5"/>
  <c r="P43" i="5" s="1"/>
  <c r="O13" i="5"/>
  <c r="O43" i="5" s="1"/>
  <c r="N13" i="5"/>
  <c r="N43" i="5" s="1"/>
  <c r="Z43" i="5" s="1"/>
  <c r="O75" i="5" s="1"/>
  <c r="AB12" i="5"/>
  <c r="AE12" i="5" s="1"/>
  <c r="P12" i="5"/>
  <c r="P42" i="5" s="1"/>
  <c r="O12" i="5"/>
  <c r="O42" i="5" s="1"/>
  <c r="N12" i="5"/>
  <c r="N42" i="5" s="1"/>
  <c r="Z42" i="5" s="1"/>
  <c r="O74" i="5" s="1"/>
  <c r="K12" i="5"/>
  <c r="P11" i="5"/>
  <c r="P41" i="5" s="1"/>
  <c r="O11" i="5"/>
  <c r="O41" i="5" s="1"/>
  <c r="N11" i="5"/>
  <c r="Z11" i="5" s="1"/>
  <c r="AC11" i="5" s="1"/>
  <c r="AF11" i="5" s="1"/>
  <c r="K11" i="5"/>
  <c r="Z10" i="5"/>
  <c r="AC10" i="5" s="1"/>
  <c r="AF10" i="5" s="1"/>
  <c r="P10" i="5"/>
  <c r="AB10" i="5" s="1"/>
  <c r="AE10" i="5" s="1"/>
  <c r="O10" i="5"/>
  <c r="O40" i="5" s="1"/>
  <c r="N10" i="5"/>
  <c r="N40" i="5" s="1"/>
  <c r="Z40" i="5" s="1"/>
  <c r="O72" i="5" s="1"/>
  <c r="Z9" i="5"/>
  <c r="AC9" i="5" s="1"/>
  <c r="AF9" i="5" s="1"/>
  <c r="P9" i="5"/>
  <c r="AB9" i="5" s="1"/>
  <c r="AE9" i="5" s="1"/>
  <c r="O9" i="5"/>
  <c r="O39" i="5" s="1"/>
  <c r="N9" i="5"/>
  <c r="N39" i="5" s="1"/>
  <c r="Z39" i="5" s="1"/>
  <c r="O71" i="5" s="1"/>
  <c r="Z8" i="5"/>
  <c r="AC8" i="5" s="1"/>
  <c r="AF8" i="5" s="1"/>
  <c r="P8" i="5"/>
  <c r="AB8" i="5" s="1"/>
  <c r="AE8" i="5" s="1"/>
  <c r="O8" i="5"/>
  <c r="O38" i="5" s="1"/>
  <c r="N8" i="5"/>
  <c r="Z7" i="5"/>
  <c r="AC7" i="5" s="1"/>
  <c r="AF7" i="5" s="1"/>
  <c r="P7" i="5"/>
  <c r="P37" i="5" s="1"/>
  <c r="O7" i="5"/>
  <c r="O37" i="5" s="1"/>
  <c r="N7" i="5"/>
  <c r="N37" i="5" s="1"/>
  <c r="Z37" i="5" s="1"/>
  <c r="O69" i="5" s="1"/>
  <c r="Z6" i="5"/>
  <c r="AC6" i="5" s="1"/>
  <c r="AF6" i="5" s="1"/>
  <c r="P6" i="5"/>
  <c r="AB6" i="5" s="1"/>
  <c r="AE6" i="5" s="1"/>
  <c r="O6" i="5"/>
  <c r="O36" i="5" s="1"/>
  <c r="N6" i="5"/>
  <c r="N36" i="5" s="1"/>
  <c r="Z36" i="5" s="1"/>
  <c r="O68" i="5" s="1"/>
  <c r="Z5" i="5"/>
  <c r="AC5" i="5" s="1"/>
  <c r="AF5" i="5" s="1"/>
  <c r="P5" i="5"/>
  <c r="AB5" i="5" s="1"/>
  <c r="AE5" i="5" s="1"/>
  <c r="O5" i="5"/>
  <c r="O35" i="5" s="1"/>
  <c r="N5" i="5"/>
  <c r="N35" i="5" s="1"/>
  <c r="Z35" i="5" s="1"/>
  <c r="O67" i="5" s="1"/>
  <c r="Z76" i="5" l="1"/>
  <c r="Y76" i="5"/>
  <c r="AG76" i="5"/>
  <c r="X76" i="5"/>
  <c r="P76" i="5"/>
  <c r="AF76" i="5"/>
  <c r="W76" i="5"/>
  <c r="Y79" i="5"/>
  <c r="X79" i="5"/>
  <c r="P79" i="5"/>
  <c r="AF79" i="5"/>
  <c r="AG79" i="5" s="1"/>
  <c r="W79" i="5"/>
  <c r="Z79" i="5"/>
  <c r="Y67" i="5"/>
  <c r="X67" i="5"/>
  <c r="P67" i="5"/>
  <c r="AF67" i="5"/>
  <c r="AG67" i="5" s="1"/>
  <c r="Z67" i="5"/>
  <c r="Z68" i="5"/>
  <c r="Y68" i="5"/>
  <c r="X68" i="5"/>
  <c r="P68" i="5"/>
  <c r="AF68" i="5"/>
  <c r="AG68" i="5" s="1"/>
  <c r="W68" i="5"/>
  <c r="X69" i="5"/>
  <c r="P69" i="5"/>
  <c r="AF69" i="5"/>
  <c r="AG69" i="5" s="1"/>
  <c r="W69" i="5"/>
  <c r="Z69" i="5"/>
  <c r="Y69" i="5"/>
  <c r="AG71" i="5"/>
  <c r="X71" i="5"/>
  <c r="P71" i="5"/>
  <c r="AF71" i="5"/>
  <c r="W71" i="5"/>
  <c r="Y71" i="5"/>
  <c r="Z71" i="5"/>
  <c r="Y72" i="5"/>
  <c r="AG72" i="5"/>
  <c r="X72" i="5"/>
  <c r="P72" i="5"/>
  <c r="AF72" i="5"/>
  <c r="W72" i="5"/>
  <c r="Z72" i="5"/>
  <c r="AG83" i="5"/>
  <c r="X83" i="5"/>
  <c r="P83" i="5"/>
  <c r="AF83" i="5"/>
  <c r="W83" i="5"/>
  <c r="Z83" i="5"/>
  <c r="Y83" i="5"/>
  <c r="Q67" i="5"/>
  <c r="AC67" i="5" s="1"/>
  <c r="T100" i="5"/>
  <c r="AA100" i="5" s="1"/>
  <c r="R157" i="5" s="1"/>
  <c r="AA69" i="5"/>
  <c r="AF70" i="5"/>
  <c r="AG70" i="5" s="1"/>
  <c r="W70" i="5"/>
  <c r="Z70" i="5"/>
  <c r="X70" i="5"/>
  <c r="P70" i="5"/>
  <c r="Y70" i="5"/>
  <c r="AC70" i="5"/>
  <c r="Z75" i="5"/>
  <c r="Y75" i="5"/>
  <c r="AG75" i="5"/>
  <c r="X75" i="5"/>
  <c r="P75" i="5"/>
  <c r="AF75" i="5"/>
  <c r="W75" i="5"/>
  <c r="AH67" i="5"/>
  <c r="AD67" i="5"/>
  <c r="AE67" i="5"/>
  <c r="AE70" i="5"/>
  <c r="AH70" i="5"/>
  <c r="AD70" i="5"/>
  <c r="Y74" i="5"/>
  <c r="AG74" i="5"/>
  <c r="X74" i="5"/>
  <c r="P74" i="5"/>
  <c r="AF74" i="5"/>
  <c r="W74" i="5"/>
  <c r="Z74" i="5"/>
  <c r="Z80" i="5"/>
  <c r="Y80" i="5"/>
  <c r="AG80" i="5"/>
  <c r="X80" i="5"/>
  <c r="P80" i="5"/>
  <c r="AF80" i="5"/>
  <c r="W80" i="5"/>
  <c r="X82" i="5"/>
  <c r="P82" i="5"/>
  <c r="AF82" i="5"/>
  <c r="AG82" i="5" s="1"/>
  <c r="W82" i="5"/>
  <c r="Z82" i="5"/>
  <c r="Y82" i="5"/>
  <c r="AH92" i="5"/>
  <c r="AA67" i="5"/>
  <c r="AE68" i="5"/>
  <c r="AH68" i="5"/>
  <c r="AD68" i="5"/>
  <c r="V100" i="5"/>
  <c r="Q69" i="5"/>
  <c r="AH71" i="5"/>
  <c r="AD71" i="5"/>
  <c r="AE71" i="5" s="1"/>
  <c r="O105" i="5"/>
  <c r="Y87" i="5"/>
  <c r="AG87" i="5"/>
  <c r="X87" i="5"/>
  <c r="P87" i="5"/>
  <c r="AF87" i="5"/>
  <c r="W87" i="5"/>
  <c r="Z87" i="5"/>
  <c r="AF88" i="5"/>
  <c r="W88" i="5"/>
  <c r="Z88" i="5"/>
  <c r="Y88" i="5"/>
  <c r="AG88" i="5"/>
  <c r="X88" i="5"/>
  <c r="P88" i="5"/>
  <c r="Y89" i="5"/>
  <c r="AG89" i="5"/>
  <c r="X89" i="5"/>
  <c r="P89" i="5"/>
  <c r="AF89" i="5"/>
  <c r="W89" i="5"/>
  <c r="Z89" i="5"/>
  <c r="AG78" i="5"/>
  <c r="X78" i="5"/>
  <c r="P78" i="5"/>
  <c r="AF78" i="5"/>
  <c r="W78" i="5"/>
  <c r="Z78" i="5"/>
  <c r="Y78" i="5"/>
  <c r="N100" i="5"/>
  <c r="AE69" i="5"/>
  <c r="AH69" i="5"/>
  <c r="AD69" i="5"/>
  <c r="AB11" i="5"/>
  <c r="AE11" i="5" s="1"/>
  <c r="Z12" i="5"/>
  <c r="AC12" i="5" s="1"/>
  <c r="AF12" i="5" s="1"/>
  <c r="Z13" i="5"/>
  <c r="AC13" i="5" s="1"/>
  <c r="AF13" i="5" s="1"/>
  <c r="AB21" i="5"/>
  <c r="AE21" i="5" s="1"/>
  <c r="AB22" i="5"/>
  <c r="AE22" i="5" s="1"/>
  <c r="AB23" i="5"/>
  <c r="AE23" i="5" s="1"/>
  <c r="AB24" i="5"/>
  <c r="AE24" i="5" s="1"/>
  <c r="O28" i="5"/>
  <c r="P38" i="5"/>
  <c r="AA72" i="5"/>
  <c r="Q73" i="5"/>
  <c r="AC73" i="5" s="1"/>
  <c r="AH75" i="5"/>
  <c r="AD75" i="5"/>
  <c r="AE75" i="5" s="1"/>
  <c r="N45" i="5"/>
  <c r="Z45" i="5" s="1"/>
  <c r="O77" i="5" s="1"/>
  <c r="AH78" i="5"/>
  <c r="AD78" i="5"/>
  <c r="AE78" i="5" s="1"/>
  <c r="Q79" i="5"/>
  <c r="AC79" i="5" s="1"/>
  <c r="N49" i="5"/>
  <c r="Z49" i="5" s="1"/>
  <c r="O81" i="5" s="1"/>
  <c r="AH82" i="5"/>
  <c r="AD82" i="5"/>
  <c r="AE82" i="5" s="1"/>
  <c r="N52" i="5"/>
  <c r="Z52" i="5" s="1"/>
  <c r="O84" i="5" s="1"/>
  <c r="AA84" i="5"/>
  <c r="Q86" i="5"/>
  <c r="AC86" i="5" s="1"/>
  <c r="AH89" i="5"/>
  <c r="AD89" i="5"/>
  <c r="AE89" i="5"/>
  <c r="R67" i="5"/>
  <c r="W67" i="5" s="1"/>
  <c r="Z14" i="5"/>
  <c r="AC14" i="5" s="1"/>
  <c r="AF14" i="5" s="1"/>
  <c r="Z16" i="5"/>
  <c r="AC16" i="5" s="1"/>
  <c r="AF16" i="5" s="1"/>
  <c r="Z17" i="5"/>
  <c r="AC17" i="5" s="1"/>
  <c r="AF17" i="5" s="1"/>
  <c r="Z18" i="5"/>
  <c r="AC18" i="5" s="1"/>
  <c r="AF18" i="5" s="1"/>
  <c r="Z20" i="5"/>
  <c r="AC20" i="5" s="1"/>
  <c r="AF20" i="5" s="1"/>
  <c r="P28" i="5"/>
  <c r="P35" i="5"/>
  <c r="P39" i="5"/>
  <c r="AC76" i="5"/>
  <c r="AA78" i="5"/>
  <c r="AH79" i="5"/>
  <c r="AD79" i="5"/>
  <c r="AE79" i="5" s="1"/>
  <c r="AC80" i="5"/>
  <c r="AC83" i="5"/>
  <c r="N53" i="5"/>
  <c r="Z53" i="5" s="1"/>
  <c r="O85" i="5" s="1"/>
  <c r="AH85" i="5" s="1"/>
  <c r="V105" i="5"/>
  <c r="Q87" i="5"/>
  <c r="P36" i="5"/>
  <c r="AA70" i="5"/>
  <c r="P40" i="5"/>
  <c r="N41" i="5"/>
  <c r="Z41" i="5" s="1"/>
  <c r="O73" i="5" s="1"/>
  <c r="AH73" i="5" s="1"/>
  <c r="AH76" i="5"/>
  <c r="AD76" i="5"/>
  <c r="AE76" i="5" s="1"/>
  <c r="AE80" i="5"/>
  <c r="AH80" i="5"/>
  <c r="AD80" i="5"/>
  <c r="AE83" i="5"/>
  <c r="AH83" i="5"/>
  <c r="AD83" i="5"/>
  <c r="N54" i="5"/>
  <c r="Z54" i="5" s="1"/>
  <c r="O86" i="5" s="1"/>
  <c r="N105" i="5"/>
  <c r="AH87" i="5"/>
  <c r="AD87" i="5"/>
  <c r="AE87" i="5"/>
  <c r="Q88" i="5"/>
  <c r="AC88" i="5" s="1"/>
  <c r="M155" i="5"/>
  <c r="M182" i="5" s="1"/>
  <c r="M192" i="5" s="1"/>
  <c r="M207" i="5" s="1"/>
  <c r="M219" i="5" s="1"/>
  <c r="M140" i="5"/>
  <c r="AB7" i="5"/>
  <c r="AE7" i="5" s="1"/>
  <c r="Z21" i="5"/>
  <c r="AC21" i="5" s="1"/>
  <c r="AF21" i="5" s="1"/>
  <c r="N28" i="5"/>
  <c r="AA71" i="5"/>
  <c r="AH72" i="5"/>
  <c r="AD72" i="5"/>
  <c r="AE72" i="5" s="1"/>
  <c r="AH74" i="5"/>
  <c r="AD74" i="5"/>
  <c r="AE74" i="5"/>
  <c r="Q75" i="5"/>
  <c r="AC75" i="5" s="1"/>
  <c r="AH77" i="5"/>
  <c r="AD77" i="5"/>
  <c r="AE77" i="5" s="1"/>
  <c r="Q78" i="5"/>
  <c r="AC78" i="5" s="1"/>
  <c r="AH81" i="5"/>
  <c r="AD81" i="5"/>
  <c r="AE81" i="5" s="1"/>
  <c r="Q82" i="5"/>
  <c r="AC82" i="5" s="1"/>
  <c r="AA83" i="5"/>
  <c r="AH84" i="5"/>
  <c r="AD84" i="5"/>
  <c r="AE84" i="5" s="1"/>
  <c r="Q85" i="5"/>
  <c r="AC85" i="5" s="1"/>
  <c r="T105" i="5"/>
  <c r="AA105" i="5" s="1"/>
  <c r="R162" i="5" s="1"/>
  <c r="AA87" i="5"/>
  <c r="AH88" i="5"/>
  <c r="AD88" i="5"/>
  <c r="AE88" i="5" s="1"/>
  <c r="Q89" i="5"/>
  <c r="AC89" i="5" s="1"/>
  <c r="AU99" i="5"/>
  <c r="AQ99" i="5"/>
  <c r="AM99" i="5"/>
  <c r="AI99" i="5"/>
  <c r="S99" i="5"/>
  <c r="O99" i="5"/>
  <c r="AT99" i="5"/>
  <c r="AP99" i="5"/>
  <c r="AL99" i="5"/>
  <c r="AH99" i="5"/>
  <c r="V99" i="5"/>
  <c r="R99" i="5"/>
  <c r="N99" i="5"/>
  <c r="AS99" i="5"/>
  <c r="AO99" i="5"/>
  <c r="AK99" i="5"/>
  <c r="U99" i="5"/>
  <c r="Q99" i="5"/>
  <c r="AV99" i="5"/>
  <c r="AR99" i="5"/>
  <c r="AN99" i="5"/>
  <c r="AJ99" i="5"/>
  <c r="T99" i="5"/>
  <c r="AA99" i="5" s="1"/>
  <c r="R156" i="5" s="1"/>
  <c r="AB99" i="5"/>
  <c r="AT106" i="5"/>
  <c r="AP106" i="5"/>
  <c r="AL106" i="5"/>
  <c r="V106" i="5"/>
  <c r="R106" i="5"/>
  <c r="AS106" i="5"/>
  <c r="AO106" i="5"/>
  <c r="AK106" i="5"/>
  <c r="AC106" i="5"/>
  <c r="U106" i="5"/>
  <c r="Q106" i="5"/>
  <c r="AV106" i="5"/>
  <c r="AR106" i="5"/>
  <c r="AN106" i="5"/>
  <c r="AJ106" i="5"/>
  <c r="T106" i="5"/>
  <c r="AA106" i="5" s="1"/>
  <c r="AI106" i="5"/>
  <c r="AS101" i="5"/>
  <c r="AO101" i="5"/>
  <c r="AK101" i="5"/>
  <c r="U101" i="5"/>
  <c r="Q101" i="5"/>
  <c r="AV100" i="5"/>
  <c r="AR100" i="5"/>
  <c r="AN100" i="5"/>
  <c r="AJ100" i="5"/>
  <c r="AB100" i="5"/>
  <c r="AU106" i="5"/>
  <c r="AV101" i="5"/>
  <c r="AR101" i="5"/>
  <c r="AN101" i="5"/>
  <c r="AJ101" i="5"/>
  <c r="AB101" i="5"/>
  <c r="T101" i="5"/>
  <c r="AA101" i="5" s="1"/>
  <c r="R158" i="5" s="1"/>
  <c r="AU100" i="5"/>
  <c r="AQ100" i="5"/>
  <c r="AM100" i="5"/>
  <c r="AI100" i="5"/>
  <c r="AQ106" i="5"/>
  <c r="AU101" i="5"/>
  <c r="AQ101" i="5"/>
  <c r="AM101" i="5"/>
  <c r="AI101" i="5"/>
  <c r="S101" i="5"/>
  <c r="O101" i="5"/>
  <c r="AT100" i="5"/>
  <c r="AP100" i="5"/>
  <c r="AL100" i="5"/>
  <c r="AM106" i="5"/>
  <c r="AT101" i="5"/>
  <c r="AP101" i="5"/>
  <c r="AL101" i="5"/>
  <c r="AH101" i="5"/>
  <c r="V101" i="5"/>
  <c r="R101" i="5"/>
  <c r="N101" i="5"/>
  <c r="AS100" i="5"/>
  <c r="AO100" i="5"/>
  <c r="AK100" i="5"/>
  <c r="AT110" i="5"/>
  <c r="AP110" i="5"/>
  <c r="AL110" i="5"/>
  <c r="AH110" i="5"/>
  <c r="V110" i="5"/>
  <c r="R110" i="5"/>
  <c r="N110" i="5"/>
  <c r="AS109" i="5"/>
  <c r="AO109" i="5"/>
  <c r="AK109" i="5"/>
  <c r="AC109" i="5"/>
  <c r="U109" i="5"/>
  <c r="Q109" i="5"/>
  <c r="AS110" i="5"/>
  <c r="AO110" i="5"/>
  <c r="AK110" i="5"/>
  <c r="AC110" i="5"/>
  <c r="U110" i="5"/>
  <c r="Q110" i="5"/>
  <c r="AV109" i="5"/>
  <c r="AR109" i="5"/>
  <c r="AN109" i="5"/>
  <c r="AJ109" i="5"/>
  <c r="AB109" i="5"/>
  <c r="T109" i="5"/>
  <c r="AA109" i="5" s="1"/>
  <c r="P109" i="5"/>
  <c r="AG109" i="5" s="1"/>
  <c r="AV110" i="5"/>
  <c r="AR110" i="5"/>
  <c r="AN110" i="5"/>
  <c r="AJ110" i="5"/>
  <c r="AB110" i="5"/>
  <c r="T110" i="5"/>
  <c r="AA110" i="5" s="1"/>
  <c r="AU109" i="5"/>
  <c r="AQ109" i="5"/>
  <c r="AM109" i="5"/>
  <c r="AI109" i="5"/>
  <c r="S109" i="5"/>
  <c r="O109" i="5"/>
  <c r="AU110" i="5"/>
  <c r="O110" i="5"/>
  <c r="AT109" i="5"/>
  <c r="N109" i="5"/>
  <c r="AE109" i="5" s="1"/>
  <c r="AQ110" i="5"/>
  <c r="AP109" i="5"/>
  <c r="AT103" i="5"/>
  <c r="AP103" i="5"/>
  <c r="AL103" i="5"/>
  <c r="AH103" i="5"/>
  <c r="V103" i="5"/>
  <c r="R103" i="5"/>
  <c r="N103" i="5"/>
  <c r="AM110" i="5"/>
  <c r="AL109" i="5"/>
  <c r="V109" i="5"/>
  <c r="AS103" i="5"/>
  <c r="AO103" i="5"/>
  <c r="AK103" i="5"/>
  <c r="U103" i="5"/>
  <c r="Q103" i="5"/>
  <c r="AU103" i="5"/>
  <c r="AM103" i="5"/>
  <c r="O103" i="5"/>
  <c r="AR103" i="5"/>
  <c r="AJ103" i="5"/>
  <c r="AB103" i="5"/>
  <c r="T103" i="5"/>
  <c r="AA103" i="5" s="1"/>
  <c r="R160" i="5" s="1"/>
  <c r="AI110" i="5"/>
  <c r="AH109" i="5"/>
  <c r="AQ103" i="5"/>
  <c r="AI103" i="5"/>
  <c r="S103" i="5"/>
  <c r="S110" i="5"/>
  <c r="R109" i="5"/>
  <c r="AV103" i="5"/>
  <c r="AN103" i="5"/>
  <c r="AV108" i="5"/>
  <c r="AR108" i="5"/>
  <c r="AN108" i="5"/>
  <c r="AJ108" i="5"/>
  <c r="AB108" i="5"/>
  <c r="T108" i="5"/>
  <c r="AA108" i="5" s="1"/>
  <c r="P108" i="5"/>
  <c r="AG108" i="5" s="1"/>
  <c r="AU107" i="5"/>
  <c r="AQ107" i="5"/>
  <c r="AM107" i="5"/>
  <c r="AI107" i="5"/>
  <c r="AU108" i="5"/>
  <c r="AQ108" i="5"/>
  <c r="AM108" i="5"/>
  <c r="AI108" i="5"/>
  <c r="S108" i="5"/>
  <c r="O108" i="5"/>
  <c r="AT107" i="5"/>
  <c r="AP107" i="5"/>
  <c r="AL107" i="5"/>
  <c r="AH107" i="5"/>
  <c r="AT108" i="5"/>
  <c r="AP108" i="5"/>
  <c r="AL108" i="5"/>
  <c r="AH108" i="5"/>
  <c r="V108" i="5"/>
  <c r="R108" i="5"/>
  <c r="N108" i="5"/>
  <c r="AE108" i="5" s="1"/>
  <c r="AS107" i="5"/>
  <c r="AO107" i="5"/>
  <c r="AK107" i="5"/>
  <c r="AC107" i="5"/>
  <c r="AS108" i="5"/>
  <c r="AC108" i="5"/>
  <c r="AR107" i="5"/>
  <c r="S107" i="5"/>
  <c r="O107" i="5"/>
  <c r="AO108" i="5"/>
  <c r="AN107" i="5"/>
  <c r="AB107" i="5"/>
  <c r="V107" i="5"/>
  <c r="R107" i="5"/>
  <c r="AE107" i="5"/>
  <c r="AK108" i="5"/>
  <c r="U108" i="5"/>
  <c r="AJ107" i="5"/>
  <c r="U107" i="5"/>
  <c r="Q107" i="5"/>
  <c r="AV102" i="5"/>
  <c r="T107" i="5"/>
  <c r="AA107" i="5" s="1"/>
  <c r="AT102" i="5"/>
  <c r="AP102" i="5"/>
  <c r="AL102" i="5"/>
  <c r="AH102" i="5"/>
  <c r="V102" i="5"/>
  <c r="R102" i="5"/>
  <c r="N102" i="5"/>
  <c r="AV107" i="5"/>
  <c r="P107" i="5"/>
  <c r="AG107" i="5" s="1"/>
  <c r="AS102" i="5"/>
  <c r="AO102" i="5"/>
  <c r="AK102" i="5"/>
  <c r="U102" i="5"/>
  <c r="Q102" i="5"/>
  <c r="AR102" i="5"/>
  <c r="AN102" i="5"/>
  <c r="AJ102" i="5"/>
  <c r="AB102" i="5"/>
  <c r="T102" i="5"/>
  <c r="Q108" i="5"/>
  <c r="AU102" i="5"/>
  <c r="AQ102" i="5"/>
  <c r="AM102" i="5"/>
  <c r="AI102" i="5"/>
  <c r="S102" i="5"/>
  <c r="O102" i="5"/>
  <c r="AT112" i="5"/>
  <c r="AS112" i="5"/>
  <c r="AV112" i="5"/>
  <c r="AR112" i="5"/>
  <c r="AU112" i="5"/>
  <c r="AQ112" i="5"/>
  <c r="AN112" i="5"/>
  <c r="AJ112" i="5"/>
  <c r="AB112" i="5"/>
  <c r="T112" i="5"/>
  <c r="AA112" i="5" s="1"/>
  <c r="P112" i="5"/>
  <c r="AG112" i="5" s="1"/>
  <c r="AU111" i="5"/>
  <c r="AQ111" i="5"/>
  <c r="AM111" i="5"/>
  <c r="AI111" i="5"/>
  <c r="S111" i="5"/>
  <c r="O111" i="5"/>
  <c r="AM112" i="5"/>
  <c r="AI112" i="5"/>
  <c r="S112" i="5"/>
  <c r="O112" i="5"/>
  <c r="AT111" i="5"/>
  <c r="AP111" i="5"/>
  <c r="AL111" i="5"/>
  <c r="AH111" i="5"/>
  <c r="V111" i="5"/>
  <c r="R111" i="5"/>
  <c r="N111" i="5"/>
  <c r="AE111" i="5" s="1"/>
  <c r="AP112" i="5"/>
  <c r="AL112" i="5"/>
  <c r="AH112" i="5"/>
  <c r="V112" i="5"/>
  <c r="R112" i="5"/>
  <c r="N112" i="5"/>
  <c r="AE112" i="5" s="1"/>
  <c r="AS111" i="5"/>
  <c r="AO111" i="5"/>
  <c r="AK111" i="5"/>
  <c r="AC111" i="5"/>
  <c r="U111" i="5"/>
  <c r="Q111" i="5"/>
  <c r="Q112" i="5"/>
  <c r="AV111" i="5"/>
  <c r="P111" i="5"/>
  <c r="AG111" i="5" s="1"/>
  <c r="AV104" i="5"/>
  <c r="AR104" i="5"/>
  <c r="AN104" i="5"/>
  <c r="AJ104" i="5"/>
  <c r="AC112" i="5"/>
  <c r="AR111" i="5"/>
  <c r="AB111" i="5"/>
  <c r="AU104" i="5"/>
  <c r="AQ104" i="5"/>
  <c r="AM104" i="5"/>
  <c r="AI104" i="5"/>
  <c r="S104" i="5"/>
  <c r="O104" i="5"/>
  <c r="AO112" i="5"/>
  <c r="AN111" i="5"/>
  <c r="AT104" i="5"/>
  <c r="AP104" i="5"/>
  <c r="AL104" i="5"/>
  <c r="V104" i="5"/>
  <c r="R104" i="5"/>
  <c r="N104" i="5"/>
  <c r="AS104" i="5"/>
  <c r="U104" i="5"/>
  <c r="AK112" i="5"/>
  <c r="AJ111" i="5"/>
  <c r="AO104" i="5"/>
  <c r="AB104" i="5"/>
  <c r="T104" i="5"/>
  <c r="AA104" i="5" s="1"/>
  <c r="R161" i="5" s="1"/>
  <c r="U112" i="5"/>
  <c r="T111" i="5"/>
  <c r="AA111" i="5" s="1"/>
  <c r="AK104" i="5"/>
  <c r="Q104" i="5"/>
  <c r="S158" i="5"/>
  <c r="S161" i="5"/>
  <c r="S157" i="5"/>
  <c r="AE208" i="5"/>
  <c r="AE220" i="5"/>
  <c r="K147" i="5"/>
  <c r="L157" i="5"/>
  <c r="L184" i="5" s="1"/>
  <c r="L194" i="5" s="1"/>
  <c r="L209" i="5" s="1"/>
  <c r="L221" i="5" s="1"/>
  <c r="J158" i="5"/>
  <c r="J185" i="5" s="1"/>
  <c r="J195" i="5" s="1"/>
  <c r="J210" i="5" s="1"/>
  <c r="J222" i="5" s="1"/>
  <c r="L159" i="5"/>
  <c r="L186" i="5" s="1"/>
  <c r="L196" i="5" s="1"/>
  <c r="L211" i="5" s="1"/>
  <c r="L223" i="5" s="1"/>
  <c r="L140" i="5"/>
  <c r="L141" i="5"/>
  <c r="L143" i="5"/>
  <c r="L146" i="5"/>
  <c r="M157" i="5"/>
  <c r="M184" i="5" s="1"/>
  <c r="M194" i="5" s="1"/>
  <c r="M209" i="5" s="1"/>
  <c r="M221" i="5" s="1"/>
  <c r="M159" i="5"/>
  <c r="M186" i="5" s="1"/>
  <c r="M196" i="5" s="1"/>
  <c r="M211" i="5" s="1"/>
  <c r="M223" i="5" s="1"/>
  <c r="M160" i="5"/>
  <c r="M187" i="5" s="1"/>
  <c r="M197" i="5" s="1"/>
  <c r="M212" i="5" s="1"/>
  <c r="M224" i="5" s="1"/>
  <c r="J161" i="5"/>
  <c r="J188" i="5" s="1"/>
  <c r="J198" i="5" s="1"/>
  <c r="J213" i="5" s="1"/>
  <c r="J225" i="5" s="1"/>
  <c r="M162" i="5"/>
  <c r="M189" i="5" s="1"/>
  <c r="M199" i="5" s="1"/>
  <c r="M214" i="5" s="1"/>
  <c r="M226" i="5" s="1"/>
  <c r="M141" i="5"/>
  <c r="M143" i="5"/>
  <c r="J157" i="5"/>
  <c r="J184" i="5" s="1"/>
  <c r="J194" i="5" s="1"/>
  <c r="J209" i="5" s="1"/>
  <c r="J221" i="5" s="1"/>
  <c r="J159" i="5"/>
  <c r="J186" i="5" s="1"/>
  <c r="J196" i="5" s="1"/>
  <c r="J211" i="5" s="1"/>
  <c r="J223" i="5" s="1"/>
  <c r="J160" i="5"/>
  <c r="J187" i="5" s="1"/>
  <c r="J197" i="5" s="1"/>
  <c r="J212" i="5" s="1"/>
  <c r="J224" i="5" s="1"/>
  <c r="J140" i="5"/>
  <c r="J141" i="5"/>
  <c r="BH73" i="5" l="1"/>
  <c r="BD73" i="5"/>
  <c r="AZ73" i="5"/>
  <c r="BG73" i="5"/>
  <c r="BC73" i="5"/>
  <c r="AY73" i="5"/>
  <c r="BJ73" i="5"/>
  <c r="BF73" i="5"/>
  <c r="BB73" i="5"/>
  <c r="AX73" i="5"/>
  <c r="BI73" i="5"/>
  <c r="BE73" i="5"/>
  <c r="BA73" i="5"/>
  <c r="AW73" i="5"/>
  <c r="BI85" i="5"/>
  <c r="BE85" i="5"/>
  <c r="BA85" i="5"/>
  <c r="AW85" i="5"/>
  <c r="BH85" i="5"/>
  <c r="BD85" i="5"/>
  <c r="AZ85" i="5"/>
  <c r="BG85" i="5"/>
  <c r="BC85" i="5"/>
  <c r="AY85" i="5"/>
  <c r="BJ85" i="5"/>
  <c r="BF85" i="5"/>
  <c r="BB85" i="5"/>
  <c r="AX85" i="5"/>
  <c r="BB111" i="5"/>
  <c r="BP111" i="5"/>
  <c r="AD111" i="5"/>
  <c r="AF111" i="5"/>
  <c r="BJ111" i="5"/>
  <c r="BX111" i="5"/>
  <c r="BN112" i="5"/>
  <c r="AZ112" i="5"/>
  <c r="BV111" i="5"/>
  <c r="BH111" i="5"/>
  <c r="BA112" i="5"/>
  <c r="BO112" i="5"/>
  <c r="BO111" i="5"/>
  <c r="BA111" i="5"/>
  <c r="BE112" i="5"/>
  <c r="BS112" i="5"/>
  <c r="BU112" i="5"/>
  <c r="BG112" i="5"/>
  <c r="BJ107" i="5"/>
  <c r="BX107" i="5"/>
  <c r="AX107" i="5"/>
  <c r="BL107" i="5"/>
  <c r="BC108" i="5"/>
  <c r="BQ108" i="5"/>
  <c r="BC107" i="5"/>
  <c r="BQ107" i="5"/>
  <c r="BH108" i="5"/>
  <c r="BV108" i="5"/>
  <c r="BV107" i="5"/>
  <c r="BH107" i="5"/>
  <c r="BO108" i="5"/>
  <c r="BA108" i="5"/>
  <c r="BO107" i="5"/>
  <c r="BA107" i="5"/>
  <c r="BT108" i="5"/>
  <c r="BF108" i="5"/>
  <c r="AZ109" i="5"/>
  <c r="BN109" i="5"/>
  <c r="BH109" i="5"/>
  <c r="BV109" i="5"/>
  <c r="BI109" i="5"/>
  <c r="BW109" i="5"/>
  <c r="BP109" i="5"/>
  <c r="BB109" i="5"/>
  <c r="BM109" i="5"/>
  <c r="AY109" i="5"/>
  <c r="BA106" i="5"/>
  <c r="BO106" i="5"/>
  <c r="Y101" i="5"/>
  <c r="X101" i="5"/>
  <c r="P101" i="5"/>
  <c r="W101" i="5"/>
  <c r="Z101" i="5"/>
  <c r="BE101" i="5"/>
  <c r="BS101" i="5"/>
  <c r="AF101" i="5"/>
  <c r="AG101" i="5" s="1"/>
  <c r="AD101" i="5"/>
  <c r="BX101" i="5"/>
  <c r="BJ101" i="5"/>
  <c r="BU101" i="5"/>
  <c r="BG101" i="5"/>
  <c r="BF106" i="5"/>
  <c r="BT106" i="5"/>
  <c r="BN106" i="5"/>
  <c r="AZ106" i="5"/>
  <c r="BH84" i="5"/>
  <c r="BD84" i="5"/>
  <c r="AZ84" i="5"/>
  <c r="BG84" i="5"/>
  <c r="BC84" i="5"/>
  <c r="AY84" i="5"/>
  <c r="BJ84" i="5"/>
  <c r="BF84" i="5"/>
  <c r="BB84" i="5"/>
  <c r="AX84" i="5"/>
  <c r="BI84" i="5"/>
  <c r="BE84" i="5"/>
  <c r="BA84" i="5"/>
  <c r="AW84" i="5"/>
  <c r="BJ81" i="5"/>
  <c r="BF81" i="5"/>
  <c r="BB81" i="5"/>
  <c r="AX81" i="5"/>
  <c r="BI81" i="5"/>
  <c r="BE81" i="5"/>
  <c r="BA81" i="5"/>
  <c r="AW81" i="5"/>
  <c r="BH81" i="5"/>
  <c r="BD81" i="5"/>
  <c r="AZ81" i="5"/>
  <c r="BG81" i="5"/>
  <c r="BC81" i="5"/>
  <c r="AY81" i="5"/>
  <c r="BJ77" i="5"/>
  <c r="BF77" i="5"/>
  <c r="BB77" i="5"/>
  <c r="AX77" i="5"/>
  <c r="BI77" i="5"/>
  <c r="BE77" i="5"/>
  <c r="BA77" i="5"/>
  <c r="AW77" i="5"/>
  <c r="BH77" i="5"/>
  <c r="BD77" i="5"/>
  <c r="AZ77" i="5"/>
  <c r="BG77" i="5"/>
  <c r="BC77" i="5"/>
  <c r="AY77" i="5"/>
  <c r="BH72" i="5"/>
  <c r="BD72" i="5"/>
  <c r="AZ72" i="5"/>
  <c r="BG72" i="5"/>
  <c r="BC72" i="5"/>
  <c r="AY72" i="5"/>
  <c r="BJ72" i="5"/>
  <c r="BF72" i="5"/>
  <c r="BB72" i="5"/>
  <c r="AX72" i="5"/>
  <c r="BI72" i="5"/>
  <c r="BE72" i="5"/>
  <c r="BA72" i="5"/>
  <c r="AW72" i="5"/>
  <c r="AF86" i="5"/>
  <c r="W86" i="5"/>
  <c r="Z86" i="5"/>
  <c r="Y86" i="5"/>
  <c r="AG86" i="5"/>
  <c r="X86" i="5"/>
  <c r="P86" i="5"/>
  <c r="BI76" i="5"/>
  <c r="BE76" i="5"/>
  <c r="BA76" i="5"/>
  <c r="AW76" i="5"/>
  <c r="BH76" i="5"/>
  <c r="BD76" i="5"/>
  <c r="AZ76" i="5"/>
  <c r="BG76" i="5"/>
  <c r="BC76" i="5"/>
  <c r="AY76" i="5"/>
  <c r="BJ76" i="5"/>
  <c r="BF76" i="5"/>
  <c r="BB76" i="5"/>
  <c r="AX76" i="5"/>
  <c r="AD86" i="5"/>
  <c r="AE86" i="5" s="1"/>
  <c r="BH79" i="5"/>
  <c r="BD79" i="5"/>
  <c r="AZ79" i="5"/>
  <c r="BG79" i="5"/>
  <c r="BC79" i="5"/>
  <c r="AY79" i="5"/>
  <c r="BJ79" i="5"/>
  <c r="BF79" i="5"/>
  <c r="BB79" i="5"/>
  <c r="AX79" i="5"/>
  <c r="BI79" i="5"/>
  <c r="BE79" i="5"/>
  <c r="BA79" i="5"/>
  <c r="AW79" i="5"/>
  <c r="AD73" i="5"/>
  <c r="AE73" i="5" s="1"/>
  <c r="AF77" i="5"/>
  <c r="W77" i="5"/>
  <c r="Z77" i="5"/>
  <c r="Y77" i="5"/>
  <c r="AG77" i="5"/>
  <c r="X77" i="5"/>
  <c r="P77" i="5"/>
  <c r="AH100" i="5"/>
  <c r="BG69" i="5"/>
  <c r="BC69" i="5"/>
  <c r="AY69" i="5"/>
  <c r="BJ69" i="5"/>
  <c r="BF69" i="5"/>
  <c r="BB69" i="5"/>
  <c r="AX69" i="5"/>
  <c r="BI69" i="5"/>
  <c r="BE69" i="5"/>
  <c r="BA69" i="5"/>
  <c r="AW69" i="5"/>
  <c r="BH69" i="5"/>
  <c r="BD69" i="5"/>
  <c r="AZ69" i="5"/>
  <c r="BJ70" i="5"/>
  <c r="BF70" i="5"/>
  <c r="BB70" i="5"/>
  <c r="AX70" i="5"/>
  <c r="BI70" i="5"/>
  <c r="BE70" i="5"/>
  <c r="BA70" i="5"/>
  <c r="AW70" i="5"/>
  <c r="BG70" i="5"/>
  <c r="BC70" i="5"/>
  <c r="AY70" i="5"/>
  <c r="AZ70" i="5"/>
  <c r="BH70" i="5"/>
  <c r="BD70" i="5"/>
  <c r="BH67" i="5"/>
  <c r="BD67" i="5"/>
  <c r="AZ67" i="5"/>
  <c r="BG67" i="5"/>
  <c r="BC67" i="5"/>
  <c r="AY67" i="5"/>
  <c r="BJ67" i="5"/>
  <c r="BF67" i="5"/>
  <c r="BB67" i="5"/>
  <c r="AX67" i="5"/>
  <c r="BI67" i="5"/>
  <c r="BE67" i="5"/>
  <c r="BA67" i="5"/>
  <c r="AW67" i="5"/>
  <c r="AX111" i="5"/>
  <c r="BL111" i="5"/>
  <c r="AC104" i="5"/>
  <c r="BQ112" i="5"/>
  <c r="BC112" i="5"/>
  <c r="BF111" i="5"/>
  <c r="BT111" i="5"/>
  <c r="AY111" i="5"/>
  <c r="BM111" i="5"/>
  <c r="BR112" i="5"/>
  <c r="BD112" i="5"/>
  <c r="X112" i="5"/>
  <c r="W112" i="5"/>
  <c r="Z112" i="5"/>
  <c r="Y112" i="5"/>
  <c r="W111" i="5"/>
  <c r="Z111" i="5"/>
  <c r="Y111" i="5"/>
  <c r="X111" i="5"/>
  <c r="BS111" i="5"/>
  <c r="BE111" i="5"/>
  <c r="AF112" i="5"/>
  <c r="AD112" i="5"/>
  <c r="BI112" i="5"/>
  <c r="BW112" i="5"/>
  <c r="BV112" i="5"/>
  <c r="BH112" i="5"/>
  <c r="N159" i="5"/>
  <c r="P159" i="5" s="1"/>
  <c r="AA102" i="5"/>
  <c r="R159" i="5" s="1"/>
  <c r="AC102" i="5"/>
  <c r="W107" i="5"/>
  <c r="X107" i="5"/>
  <c r="Z107" i="5"/>
  <c r="Y107" i="5"/>
  <c r="BG108" i="5"/>
  <c r="BU108" i="5"/>
  <c r="BG107" i="5"/>
  <c r="BU107" i="5"/>
  <c r="X108" i="5"/>
  <c r="W108" i="5"/>
  <c r="Z108" i="5"/>
  <c r="Y108" i="5"/>
  <c r="BS108" i="5"/>
  <c r="BE108" i="5"/>
  <c r="BS107" i="5"/>
  <c r="BE107" i="5"/>
  <c r="AF108" i="5"/>
  <c r="AD108" i="5"/>
  <c r="BX108" i="5"/>
  <c r="BJ108" i="5"/>
  <c r="BD109" i="5"/>
  <c r="BR109" i="5"/>
  <c r="Z110" i="5"/>
  <c r="Y110" i="5"/>
  <c r="X110" i="5"/>
  <c r="W110" i="5"/>
  <c r="AW109" i="5"/>
  <c r="BK109" i="5"/>
  <c r="BT109" i="5"/>
  <c r="BF109" i="5"/>
  <c r="BQ109" i="5"/>
  <c r="BC109" i="5"/>
  <c r="AC101" i="5"/>
  <c r="AE101" i="5"/>
  <c r="AZ101" i="5"/>
  <c r="BN101" i="5"/>
  <c r="BI101" i="5"/>
  <c r="BW101" i="5"/>
  <c r="BL101" i="5"/>
  <c r="AX101" i="5"/>
  <c r="Z106" i="5"/>
  <c r="Y106" i="5"/>
  <c r="W106" i="5"/>
  <c r="AD106" i="5"/>
  <c r="AE106" i="5" s="1"/>
  <c r="AF106" i="5"/>
  <c r="AG106" i="5" s="1"/>
  <c r="BJ106" i="5"/>
  <c r="BX106" i="5"/>
  <c r="BM106" i="5"/>
  <c r="AY106" i="5"/>
  <c r="BR106" i="5"/>
  <c r="BD106" i="5"/>
  <c r="BL99" i="5"/>
  <c r="BG99" i="5"/>
  <c r="W99" i="5"/>
  <c r="Z99" i="5"/>
  <c r="Y99" i="5"/>
  <c r="P99" i="5"/>
  <c r="X99" i="5"/>
  <c r="BS99" i="5"/>
  <c r="BE99" i="5"/>
  <c r="BJ88" i="5"/>
  <c r="BF88" i="5"/>
  <c r="BB88" i="5"/>
  <c r="AX88" i="5"/>
  <c r="BI88" i="5"/>
  <c r="BE88" i="5"/>
  <c r="BA88" i="5"/>
  <c r="AW88" i="5"/>
  <c r="BH88" i="5"/>
  <c r="BD88" i="5"/>
  <c r="AZ88" i="5"/>
  <c r="BG88" i="5"/>
  <c r="BC88" i="5"/>
  <c r="AY88" i="5"/>
  <c r="BH74" i="5"/>
  <c r="BD74" i="5"/>
  <c r="AZ74" i="5"/>
  <c r="BG74" i="5"/>
  <c r="BC74" i="5"/>
  <c r="AY74" i="5"/>
  <c r="BJ74" i="5"/>
  <c r="BF74" i="5"/>
  <c r="BB74" i="5"/>
  <c r="AX74" i="5"/>
  <c r="BI74" i="5"/>
  <c r="BE74" i="5"/>
  <c r="BA74" i="5"/>
  <c r="AW74" i="5"/>
  <c r="BI80" i="5"/>
  <c r="BE80" i="5"/>
  <c r="BA80" i="5"/>
  <c r="AW80" i="5"/>
  <c r="BH80" i="5"/>
  <c r="BD80" i="5"/>
  <c r="AZ80" i="5"/>
  <c r="BG80" i="5"/>
  <c r="BC80" i="5"/>
  <c r="AY80" i="5"/>
  <c r="BJ80" i="5"/>
  <c r="BF80" i="5"/>
  <c r="BB80" i="5"/>
  <c r="AX80" i="5"/>
  <c r="AH86" i="5"/>
  <c r="BJ89" i="5"/>
  <c r="BI89" i="5"/>
  <c r="BH89" i="5"/>
  <c r="BD89" i="5"/>
  <c r="AZ89" i="5"/>
  <c r="BG89" i="5"/>
  <c r="BC89" i="5"/>
  <c r="AY89" i="5"/>
  <c r="BF89" i="5"/>
  <c r="BB89" i="5"/>
  <c r="AX89" i="5"/>
  <c r="BE89" i="5"/>
  <c r="BA89" i="5"/>
  <c r="AW89" i="5"/>
  <c r="BG82" i="5"/>
  <c r="BC82" i="5"/>
  <c r="AY82" i="5"/>
  <c r="BJ82" i="5"/>
  <c r="BF82" i="5"/>
  <c r="BB82" i="5"/>
  <c r="AX82" i="5"/>
  <c r="BI82" i="5"/>
  <c r="BE82" i="5"/>
  <c r="BA82" i="5"/>
  <c r="AW82" i="5"/>
  <c r="BH82" i="5"/>
  <c r="BD82" i="5"/>
  <c r="AZ82" i="5"/>
  <c r="BM112" i="5"/>
  <c r="AY112" i="5"/>
  <c r="BD104" i="5"/>
  <c r="W104" i="5"/>
  <c r="Z104" i="5"/>
  <c r="X104" i="5"/>
  <c r="P104" i="5"/>
  <c r="BU104" i="5" s="1"/>
  <c r="Y104" i="5"/>
  <c r="BS104" i="5"/>
  <c r="BE104" i="5"/>
  <c r="BX104" i="5"/>
  <c r="BJ104" i="5"/>
  <c r="BC111" i="5"/>
  <c r="BQ111" i="5"/>
  <c r="BN111" i="5"/>
  <c r="AZ111" i="5"/>
  <c r="BW111" i="5"/>
  <c r="BI111" i="5"/>
  <c r="AX112" i="5"/>
  <c r="BL112" i="5"/>
  <c r="BF112" i="5"/>
  <c r="BT112" i="5"/>
  <c r="Z102" i="5"/>
  <c r="Y102" i="5"/>
  <c r="X102" i="5"/>
  <c r="P102" i="5"/>
  <c r="BK102" i="5" s="1"/>
  <c r="W102" i="5"/>
  <c r="AD102" i="5"/>
  <c r="AE102" i="5" s="1"/>
  <c r="BD102" i="5"/>
  <c r="AY108" i="5"/>
  <c r="BM108" i="5"/>
  <c r="AD107" i="5"/>
  <c r="AF107" i="5"/>
  <c r="AZ108" i="5"/>
  <c r="BN108" i="5"/>
  <c r="BN107" i="5"/>
  <c r="AZ107" i="5"/>
  <c r="BW108" i="5"/>
  <c r="BI108" i="5"/>
  <c r="BW107" i="5"/>
  <c r="BI107" i="5"/>
  <c r="BL108" i="5"/>
  <c r="AX108" i="5"/>
  <c r="AC103" i="5"/>
  <c r="BA109" i="5"/>
  <c r="BO109" i="5"/>
  <c r="AF109" i="5"/>
  <c r="AD109" i="5"/>
  <c r="BX109" i="5"/>
  <c r="BJ109" i="5"/>
  <c r="BU109" i="5"/>
  <c r="BG109" i="5"/>
  <c r="BD101" i="5"/>
  <c r="BR101" i="5"/>
  <c r="AW101" i="5"/>
  <c r="BK101" i="5"/>
  <c r="BE106" i="5"/>
  <c r="BS106" i="5"/>
  <c r="BP101" i="5"/>
  <c r="BB101" i="5"/>
  <c r="BI106" i="5"/>
  <c r="BW106" i="5"/>
  <c r="BM101" i="5"/>
  <c r="AY101" i="5"/>
  <c r="AW106" i="5"/>
  <c r="BK106" i="5"/>
  <c r="AX106" i="5"/>
  <c r="BL106" i="5"/>
  <c r="BQ106" i="5"/>
  <c r="BC106" i="5"/>
  <c r="BV106" i="5"/>
  <c r="BH106" i="5"/>
  <c r="BB99" i="5"/>
  <c r="BP99" i="5"/>
  <c r="AE99" i="5"/>
  <c r="AC99" i="5"/>
  <c r="BN99" i="5"/>
  <c r="AZ99" i="5"/>
  <c r="BW99" i="5"/>
  <c r="BI99" i="5"/>
  <c r="AH105" i="5"/>
  <c r="BH87" i="5"/>
  <c r="BD87" i="5"/>
  <c r="AZ87" i="5"/>
  <c r="BG87" i="5"/>
  <c r="BC87" i="5"/>
  <c r="AY87" i="5"/>
  <c r="BJ87" i="5"/>
  <c r="BF87" i="5"/>
  <c r="BB87" i="5"/>
  <c r="AX87" i="5"/>
  <c r="BI87" i="5"/>
  <c r="BE87" i="5"/>
  <c r="BA87" i="5"/>
  <c r="AW87" i="5"/>
  <c r="BG83" i="5"/>
  <c r="BC83" i="5"/>
  <c r="AY83" i="5"/>
  <c r="BJ83" i="5"/>
  <c r="BF83" i="5"/>
  <c r="BB83" i="5"/>
  <c r="AX83" i="5"/>
  <c r="BI83" i="5"/>
  <c r="BE83" i="5"/>
  <c r="BA83" i="5"/>
  <c r="AW83" i="5"/>
  <c r="BH83" i="5"/>
  <c r="BD83" i="5"/>
  <c r="AZ83" i="5"/>
  <c r="Y73" i="5"/>
  <c r="AG73" i="5"/>
  <c r="X73" i="5"/>
  <c r="P73" i="5"/>
  <c r="AF73" i="5"/>
  <c r="AG92" i="5" s="1"/>
  <c r="W73" i="5"/>
  <c r="Z73" i="5"/>
  <c r="Q105" i="5"/>
  <c r="AC87" i="5"/>
  <c r="BG78" i="5"/>
  <c r="BC78" i="5"/>
  <c r="AY78" i="5"/>
  <c r="BJ78" i="5"/>
  <c r="BF78" i="5"/>
  <c r="BB78" i="5"/>
  <c r="AX78" i="5"/>
  <c r="BI78" i="5"/>
  <c r="BE78" i="5"/>
  <c r="BA78" i="5"/>
  <c r="AW78" i="5"/>
  <c r="BH78" i="5"/>
  <c r="BD78" i="5"/>
  <c r="AZ78" i="5"/>
  <c r="BI75" i="5"/>
  <c r="BE75" i="5"/>
  <c r="BA75" i="5"/>
  <c r="AW75" i="5"/>
  <c r="BH75" i="5"/>
  <c r="BD75" i="5"/>
  <c r="AZ75" i="5"/>
  <c r="BG75" i="5"/>
  <c r="BC75" i="5"/>
  <c r="AY75" i="5"/>
  <c r="BJ75" i="5"/>
  <c r="BF75" i="5"/>
  <c r="BB75" i="5"/>
  <c r="AX75" i="5"/>
  <c r="BG71" i="5"/>
  <c r="BC71" i="5"/>
  <c r="AY71" i="5"/>
  <c r="BJ71" i="5"/>
  <c r="BF71" i="5"/>
  <c r="BB71" i="5"/>
  <c r="AX71" i="5"/>
  <c r="BH71" i="5"/>
  <c r="BD71" i="5"/>
  <c r="AZ71" i="5"/>
  <c r="BI71" i="5"/>
  <c r="BE71" i="5"/>
  <c r="BA71" i="5"/>
  <c r="AW71" i="5"/>
  <c r="BI68" i="5"/>
  <c r="BE68" i="5"/>
  <c r="BA68" i="5"/>
  <c r="AW68" i="5"/>
  <c r="BH68" i="5"/>
  <c r="BD68" i="5"/>
  <c r="AZ68" i="5"/>
  <c r="BG68" i="5"/>
  <c r="BC68" i="5"/>
  <c r="AY68" i="5"/>
  <c r="BJ68" i="5"/>
  <c r="BF68" i="5"/>
  <c r="BB68" i="5"/>
  <c r="AX68" i="5"/>
  <c r="AY104" i="5"/>
  <c r="BM104" i="5"/>
  <c r="AF104" i="5"/>
  <c r="AG104" i="5" s="1"/>
  <c r="AD104" i="5"/>
  <c r="AE104" i="5" s="1"/>
  <c r="BH104" i="5"/>
  <c r="BV104" i="5"/>
  <c r="BW104" i="5"/>
  <c r="BI104" i="5"/>
  <c r="BL104" i="5"/>
  <c r="AX104" i="5"/>
  <c r="BG111" i="5"/>
  <c r="BU111" i="5"/>
  <c r="BR111" i="5"/>
  <c r="BD111" i="5"/>
  <c r="AW112" i="5"/>
  <c r="BK112" i="5"/>
  <c r="BK111" i="5"/>
  <c r="AW111" i="5"/>
  <c r="BB112" i="5"/>
  <c r="BP112" i="5"/>
  <c r="BJ112" i="5"/>
  <c r="BX112" i="5"/>
  <c r="BW102" i="5"/>
  <c r="BI102" i="5"/>
  <c r="BL102" i="5"/>
  <c r="AX102" i="5"/>
  <c r="BH102" i="5"/>
  <c r="BV102" i="5"/>
  <c r="BB107" i="5"/>
  <c r="BP107" i="5"/>
  <c r="BF107" i="5"/>
  <c r="BT107" i="5"/>
  <c r="AY107" i="5"/>
  <c r="BM107" i="5"/>
  <c r="BD108" i="5"/>
  <c r="BR108" i="5"/>
  <c r="BR107" i="5"/>
  <c r="BD107" i="5"/>
  <c r="BK108" i="5"/>
  <c r="AW108" i="5"/>
  <c r="BK107" i="5"/>
  <c r="AW107" i="5"/>
  <c r="BP108" i="5"/>
  <c r="BB108" i="5"/>
  <c r="Z103" i="5"/>
  <c r="Y103" i="5"/>
  <c r="W103" i="5"/>
  <c r="X103" i="5"/>
  <c r="P103" i="5"/>
  <c r="BS103" i="5" s="1"/>
  <c r="Y109" i="5"/>
  <c r="X109" i="5"/>
  <c r="W109" i="5"/>
  <c r="Z109" i="5"/>
  <c r="BE109" i="5"/>
  <c r="BS109" i="5"/>
  <c r="BX110" i="5"/>
  <c r="BL109" i="5"/>
  <c r="AX109" i="5"/>
  <c r="BC110" i="5"/>
  <c r="BH101" i="5"/>
  <c r="BV101" i="5"/>
  <c r="BA101" i="5"/>
  <c r="BO101" i="5"/>
  <c r="BT101" i="5"/>
  <c r="BF101" i="5"/>
  <c r="BQ101" i="5"/>
  <c r="BC101" i="5"/>
  <c r="BB106" i="5"/>
  <c r="BP106" i="5"/>
  <c r="BU106" i="5"/>
  <c r="BG106" i="5"/>
  <c r="AD99" i="5"/>
  <c r="AF99" i="5"/>
  <c r="BF99" i="5"/>
  <c r="BT99" i="5"/>
  <c r="AY99" i="5"/>
  <c r="BM99" i="5"/>
  <c r="BR99" i="5"/>
  <c r="BD99" i="5"/>
  <c r="BK99" i="5"/>
  <c r="AW99" i="5"/>
  <c r="AC105" i="5"/>
  <c r="Z85" i="5"/>
  <c r="Y85" i="5"/>
  <c r="AG85" i="5"/>
  <c r="X85" i="5"/>
  <c r="P85" i="5"/>
  <c r="AF85" i="5"/>
  <c r="W85" i="5"/>
  <c r="AD85" i="5"/>
  <c r="AE85" i="5" s="1"/>
  <c r="Y84" i="5"/>
  <c r="X84" i="5"/>
  <c r="P84" i="5"/>
  <c r="AF84" i="5"/>
  <c r="AG84" i="5" s="1"/>
  <c r="W84" i="5"/>
  <c r="Z84" i="5"/>
  <c r="AF81" i="5"/>
  <c r="W81" i="5"/>
  <c r="Z81" i="5"/>
  <c r="Y81" i="5"/>
  <c r="AG81" i="5"/>
  <c r="X81" i="5"/>
  <c r="P81" i="5"/>
  <c r="P110" i="5" s="1"/>
  <c r="BP110" i="5" s="1"/>
  <c r="Y105" i="5"/>
  <c r="X105" i="5"/>
  <c r="P105" i="5"/>
  <c r="W105" i="5"/>
  <c r="Z105" i="5"/>
  <c r="Q100" i="5"/>
  <c r="Z121" i="5" s="1" a="1"/>
  <c r="AC69" i="5"/>
  <c r="O100" i="5"/>
  <c r="AC100" i="5" s="1"/>
  <c r="Z126" i="5" l="1"/>
  <c r="Z122" i="5"/>
  <c r="Z125" i="5"/>
  <c r="Z121" i="5"/>
  <c r="Z124" i="5"/>
  <c r="Z127" i="5"/>
  <c r="Z123" i="5"/>
  <c r="AD110" i="5"/>
  <c r="AE110" i="5" s="1"/>
  <c r="BR103" i="5"/>
  <c r="BX103" i="5"/>
  <c r="AY110" i="5"/>
  <c r="BS110" i="5"/>
  <c r="BT103" i="5"/>
  <c r="BP103" i="5"/>
  <c r="BR102" i="5"/>
  <c r="AF102" i="5"/>
  <c r="AG102" i="5" s="1"/>
  <c r="BR104" i="5"/>
  <c r="AG91" i="5"/>
  <c r="BU99" i="5"/>
  <c r="AX99" i="5"/>
  <c r="BV110" i="5"/>
  <c r="BA110" i="5"/>
  <c r="BI103" i="5"/>
  <c r="BX102" i="5"/>
  <c r="BT102" i="5"/>
  <c r="BO102" i="5"/>
  <c r="BH99" i="5"/>
  <c r="BX99" i="5"/>
  <c r="BR110" i="5"/>
  <c r="BU110" i="5"/>
  <c r="AX110" i="5"/>
  <c r="BA103" i="5"/>
  <c r="BE103" i="5"/>
  <c r="BM102" i="5"/>
  <c r="AW102" i="5"/>
  <c r="BP104" i="5"/>
  <c r="BK104" i="5"/>
  <c r="BG104" i="5"/>
  <c r="BJ103" i="5"/>
  <c r="BM110" i="5"/>
  <c r="BE110" i="5"/>
  <c r="BF103" i="5"/>
  <c r="BB103" i="5"/>
  <c r="BC103" i="5"/>
  <c r="BL103" i="5"/>
  <c r="BN102" i="5"/>
  <c r="BC102" i="5"/>
  <c r="BF104" i="5"/>
  <c r="BA104" i="5"/>
  <c r="BN104" i="5"/>
  <c r="BV99" i="5"/>
  <c r="BJ99" i="5"/>
  <c r="BH103" i="5"/>
  <c r="AY103" i="5"/>
  <c r="AF103" i="5"/>
  <c r="AG103" i="5" s="1"/>
  <c r="BB102" i="5"/>
  <c r="BQ104" i="5"/>
  <c r="AG99" i="5"/>
  <c r="AZ110" i="5"/>
  <c r="BQ110" i="5"/>
  <c r="BJ110" i="5"/>
  <c r="BK103" i="5"/>
  <c r="BT110" i="5"/>
  <c r="BW110" i="5"/>
  <c r="AZ103" i="5"/>
  <c r="BG103" i="5"/>
  <c r="BK110" i="5"/>
  <c r="BG102" i="5"/>
  <c r="BS102" i="5"/>
  <c r="BJ86" i="5"/>
  <c r="BF86" i="5"/>
  <c r="BB86" i="5"/>
  <c r="AX86" i="5"/>
  <c r="BI86" i="5"/>
  <c r="BE86" i="5"/>
  <c r="BA86" i="5"/>
  <c r="AW86" i="5"/>
  <c r="BH86" i="5"/>
  <c r="BD86" i="5"/>
  <c r="AZ86" i="5"/>
  <c r="BG86" i="5"/>
  <c r="BC86" i="5"/>
  <c r="AY86" i="5"/>
  <c r="BB110" i="5"/>
  <c r="BQ103" i="5"/>
  <c r="AX103" i="5"/>
  <c r="AZ102" i="5"/>
  <c r="BQ102" i="5"/>
  <c r="BT104" i="5"/>
  <c r="BO104" i="5"/>
  <c r="AZ104" i="5"/>
  <c r="BA99" i="5"/>
  <c r="BQ99" i="5"/>
  <c r="BV103" i="5"/>
  <c r="BM103" i="5"/>
  <c r="AD103" i="5"/>
  <c r="AE103" i="5" s="1"/>
  <c r="BP102" i="5"/>
  <c r="BC104" i="5"/>
  <c r="X100" i="5"/>
  <c r="P100" i="5"/>
  <c r="Y121" i="5" s="1" a="1"/>
  <c r="W100" i="5"/>
  <c r="Z100" i="5"/>
  <c r="Y100" i="5"/>
  <c r="AX105" i="5"/>
  <c r="AD105" i="5"/>
  <c r="AE105" i="5" s="1"/>
  <c r="BJ105" i="5"/>
  <c r="BF105" i="5"/>
  <c r="BB105" i="5"/>
  <c r="BH105" i="5"/>
  <c r="BE105" i="5"/>
  <c r="BL105" i="5"/>
  <c r="BM105" i="5"/>
  <c r="AY105" i="5"/>
  <c r="BO105" i="5"/>
  <c r="BR105" i="5"/>
  <c r="BI105" i="5"/>
  <c r="BP105" i="5"/>
  <c r="BQ105" i="5"/>
  <c r="BC105" i="5"/>
  <c r="BS105" i="5"/>
  <c r="AZ105" i="5"/>
  <c r="AW105" i="5"/>
  <c r="BV105" i="5"/>
  <c r="BT105" i="5"/>
  <c r="BU105" i="5"/>
  <c r="BG105" i="5"/>
  <c r="BW105" i="5"/>
  <c r="BD105" i="5"/>
  <c r="BA105" i="5"/>
  <c r="AF105" i="5"/>
  <c r="AG105" i="5" s="1"/>
  <c r="BX105" i="5"/>
  <c r="BN105" i="5"/>
  <c r="BK105" i="5"/>
  <c r="BN110" i="5"/>
  <c r="AF110" i="5"/>
  <c r="AG110" i="5" s="1"/>
  <c r="BD103" i="5"/>
  <c r="AW103" i="5"/>
  <c r="BF110" i="5"/>
  <c r="BI110" i="5"/>
  <c r="BN103" i="5"/>
  <c r="BU103" i="5"/>
  <c r="AW110" i="5"/>
  <c r="BU102" i="5"/>
  <c r="BE102" i="5"/>
  <c r="BH110" i="5"/>
  <c r="BO110" i="5"/>
  <c r="BW103" i="5"/>
  <c r="BJ102" i="5"/>
  <c r="BF102" i="5"/>
  <c r="BA102" i="5"/>
  <c r="BO99" i="5"/>
  <c r="BC99" i="5"/>
  <c r="BD110" i="5"/>
  <c r="BG110" i="5"/>
  <c r="BL110" i="5"/>
  <c r="BO103" i="5"/>
  <c r="AY102" i="5"/>
  <c r="BB104" i="5"/>
  <c r="AW104" i="5"/>
  <c r="AH104" i="5"/>
  <c r="Y126" i="5" l="1"/>
  <c r="Y122" i="5"/>
  <c r="Y125" i="5"/>
  <c r="Y121" i="5"/>
  <c r="Y124" i="5"/>
  <c r="Y127" i="5"/>
  <c r="Y123" i="5"/>
  <c r="BO100" i="5"/>
  <c r="BO117" i="5" s="1"/>
  <c r="BO118" i="5" s="1"/>
  <c r="BW100" i="5"/>
  <c r="BW117" i="5" s="1"/>
  <c r="BW118" i="5" s="1"/>
  <c r="BX100" i="5"/>
  <c r="BG100" i="5"/>
  <c r="BG117" i="5" s="1"/>
  <c r="BG118" i="5" s="1"/>
  <c r="BA100" i="5"/>
  <c r="AZ100" i="5"/>
  <c r="AZ117" i="5" s="1"/>
  <c r="AZ118" i="5" s="1"/>
  <c r="BS100" i="5"/>
  <c r="BS117" i="5" s="1"/>
  <c r="BS118" i="5" s="1"/>
  <c r="BP100" i="5"/>
  <c r="BP117" i="5" s="1"/>
  <c r="BP118" i="5" s="1"/>
  <c r="BI100" i="5"/>
  <c r="BI117" i="5" s="1"/>
  <c r="BI118" i="5" s="1"/>
  <c r="BJ100" i="5"/>
  <c r="BJ117" i="5" s="1"/>
  <c r="BJ118" i="5" s="1"/>
  <c r="BK100" i="5"/>
  <c r="BK117" i="5" s="1"/>
  <c r="BK118" i="5" s="1"/>
  <c r="BU100" i="5"/>
  <c r="BU117" i="5" s="1"/>
  <c r="BU118" i="5" s="1"/>
  <c r="BL100" i="5"/>
  <c r="BL117" i="5" s="1"/>
  <c r="BL118" i="5" s="1"/>
  <c r="BN100" i="5"/>
  <c r="BN117" i="5" s="1"/>
  <c r="BN118" i="5" s="1"/>
  <c r="BE100" i="5"/>
  <c r="BE117" i="5" s="1"/>
  <c r="BE118" i="5" s="1"/>
  <c r="BB100" i="5"/>
  <c r="BB117" i="5" s="1"/>
  <c r="BB118" i="5" s="1"/>
  <c r="AY100" i="5"/>
  <c r="AY117" i="5" s="1"/>
  <c r="AY118" i="5" s="1"/>
  <c r="BD100" i="5"/>
  <c r="BD117" i="5" s="1"/>
  <c r="BD118" i="5" s="1"/>
  <c r="BT100" i="5"/>
  <c r="BT117" i="5" s="1"/>
  <c r="BT118" i="5" s="1"/>
  <c r="BC100" i="5"/>
  <c r="BC117" i="5" s="1"/>
  <c r="BC118" i="5" s="1"/>
  <c r="AF100" i="5"/>
  <c r="AX100" i="5"/>
  <c r="BM100" i="5"/>
  <c r="BM117" i="5" s="1"/>
  <c r="BM118" i="5" s="1"/>
  <c r="BR100" i="5"/>
  <c r="BR117" i="5" s="1"/>
  <c r="BR118" i="5" s="1"/>
  <c r="BF100" i="5"/>
  <c r="BF117" i="5" s="1"/>
  <c r="BF118" i="5" s="1"/>
  <c r="BQ100" i="5"/>
  <c r="BQ117" i="5" s="1"/>
  <c r="BQ118" i="5" s="1"/>
  <c r="BV100" i="5"/>
  <c r="BV117" i="5" s="1"/>
  <c r="BV118" i="5" s="1"/>
  <c r="AW100" i="5"/>
  <c r="AW117" i="5" s="1"/>
  <c r="AW118" i="5" s="1"/>
  <c r="AD100" i="5"/>
  <c r="AE100" i="5" s="1"/>
  <c r="BH100" i="5"/>
  <c r="BH117" i="5" s="1"/>
  <c r="BH118" i="5" s="1"/>
  <c r="BA117" i="5"/>
  <c r="BA118" i="5" s="1"/>
  <c r="BX117" i="5"/>
  <c r="BX118" i="5" s="1"/>
  <c r="AX117" i="5"/>
  <c r="AX118" i="5" s="1"/>
  <c r="AG100" i="5" l="1"/>
  <c r="AF117" i="5"/>
  <c r="AF118" i="5" s="1"/>
  <c r="O11" i="4" l="1"/>
  <c r="O10" i="4"/>
  <c r="O8" i="4"/>
  <c r="D8" i="4"/>
  <c r="D11" i="4"/>
  <c r="D10" i="4"/>
  <c r="D9" i="4"/>
  <c r="D14" i="4"/>
  <c r="D7" i="4"/>
  <c r="B51" i="3"/>
  <c r="B81" i="1"/>
  <c r="B40" i="1"/>
  <c r="O9" i="4" s="1"/>
  <c r="C40" i="1"/>
  <c r="D82" i="1"/>
  <c r="B48" i="1" l="1"/>
  <c r="B53" i="1" s="1"/>
  <c r="B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E46BC3F7-60C9-4DC4-B1DA-1F169C1FD341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23940878-2E12-4AAD-9D46-75C248D75C3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BBEEA3D1-F57A-46F6-8137-5D365D4C2684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EACFCAEE-2963-4EB5-917D-22A875E2A984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1D28DF96-AE66-40F0-BD89-F5F5F0ECD670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71FCA740-79D9-4E6B-9FAE-03E3CFCC02F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83B93228-0AF6-4046-B775-3BDB0DBEE87A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29AFAD3E-5C48-43D1-9228-249FA561A302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384917CC-1CBB-4B2D-960A-5B3A87FD351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E2067587-2002-4095-961B-7D558CB367A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109772AB-6D16-4D39-AEBB-39BBB9977F38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5C0E0156-116D-4CD1-8924-72756A79A7A6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F67AF056-A50E-4F4F-880A-0BA5FD5AE09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6FCDC7D-5845-41F0-928B-9A059669B056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BE08FA2D-E94F-4942-B7BD-1E8C4B9E3F6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9BF65B9-6CC9-4EF1-AC9D-916C038A3415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E4A1277-A01F-4DF7-8F05-08DA277DE079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060CD467-E4C6-4B65-8A90-B5B00110BC66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7000D4A3-01BC-4A47-B1C5-6B9524AD689D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ACF77C17-E97B-4E35-8870-1AC0E41A9F30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16065F2A-AE39-43CF-9058-97CBF6FE9CCC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71CD2A4-EA91-467F-A73B-572C9C5FD32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FD7D9C19-7F8B-456F-8324-AB71FAD4F26C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3A1B36FD-76C3-4522-A7AE-378C4307FA56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B790A0B9-B0A6-43D9-8835-213974FDABAF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1EE1502A-489B-4E10-8ABC-5C256296A0C8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8EB1C569-0149-40BF-91DC-92E0019E7F7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87908023-7489-4F86-ACB3-36D5DAE121D9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87E6079B-1F4E-46AE-9786-D97C3231A7AD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5AE69AA7-B736-47DC-A387-CBEC7EAA4B5E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B47C6CCB-B108-48E6-8989-D50B287EA7A3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9F7CDCF7-FBB9-417B-B3A3-9372BFFEB96A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33B4FCA8-DD84-4486-80CB-11B0481D08A7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CBB95EE1-11BD-410C-B8BA-8C7E9B812928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617519E1-17BD-4569-9F2C-B5687A5ED542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86CA4E10-12A1-45DF-BEDF-2FB67FDC1BEB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3F2DFB39-3D2F-4BA0-955A-B8D0CE480557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564860C0-106D-4EBE-87EB-03C4251AFDB7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51408FE0-2C58-4DF2-9704-E538F620DE36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D53" authorId="0" shapeId="0" xr:uid="{2FDA9FA1-3D51-4D8B-8A67-71E51D87FBDC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4BBBFEC-9BB4-4284-A038-7AC152A39217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5" authorId="0" shapeId="0" xr:uid="{D2867417-618C-4B8D-A2F0-A1E21A89B4A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5" authorId="0" shapeId="0" xr:uid="{CF72EF2B-DF67-4E00-B270-160C7A32C3A9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5" authorId="0" shapeId="0" xr:uid="{042C30F9-06A4-4FC9-BC8F-7C5D4EEF8C58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5" authorId="0" shapeId="0" xr:uid="{A76918AE-465E-444C-9938-C13422D1103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S5" authorId="0" shapeId="0" xr:uid="{034DB5D9-5EC5-49A9-9092-321E8D77E235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T5" authorId="0" shapeId="0" xr:uid="{EA497286-1988-41A1-A131-6E61D4924287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U5" authorId="0" shapeId="0" xr:uid="{20BD4327-E5CD-4E0D-A76F-E23E31B27185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M6" authorId="0" shapeId="0" xr:uid="{7ADCB6C5-B97C-416C-89D2-A344D200D99D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<sst xmlns="http://schemas.openxmlformats.org/spreadsheetml/2006/main" count="1712" uniqueCount="357">
  <si>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</si>
  <si>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</si>
  <si>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</si>
  <si>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</si>
  <si>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</si>
  <si>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</si>
  <si>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</si>
  <si>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</si>
  <si>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</si>
  <si>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Producción</t>
  </si>
  <si>
    <t>Producción máxima de fluidos</t>
  </si>
  <si>
    <t>Attribute</t>
  </si>
  <si>
    <t>Year</t>
  </si>
  <si>
    <t>ACT_BND</t>
  </si>
  <si>
    <t>Consumo de electricidad</t>
  </si>
  <si>
    <t>Comm-IN</t>
  </si>
  <si>
    <t>Share-I~UP</t>
  </si>
  <si>
    <t>Flaring</t>
  </si>
  <si>
    <t>ENV_ACT</t>
  </si>
  <si>
    <t>kt/PJ</t>
  </si>
  <si>
    <t>F.E. GAS</t>
  </si>
  <si>
    <t>Costos, MUSD2019/PJ</t>
  </si>
  <si>
    <t>Separacion de los fluidos</t>
  </si>
  <si>
    <t>Definicion del proceso</t>
  </si>
  <si>
    <t>Fluidos producidos, uso del "GOR", sin flaring</t>
  </si>
  <si>
    <t>Share-O~UP</t>
  </si>
  <si>
    <t>Compra de Electricidad</t>
  </si>
  <si>
    <t>Compra del SIN</t>
  </si>
  <si>
    <t>ELC-SIN</t>
  </si>
  <si>
    <t>ENV_ACT~2019</t>
  </si>
  <si>
    <t>ELC-SIN-TRA</t>
  </si>
  <si>
    <t>Colectores de Petróleo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</si>
  <si>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</si>
  <si>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Share-I~FX</t>
  </si>
  <si>
    <t>LOIL</t>
  </si>
  <si>
    <t>Costos</t>
  </si>
  <si>
    <t>Colectores de gas natural</t>
  </si>
  <si>
    <t>GAS</t>
  </si>
  <si>
    <t>~FI_Comm</t>
  </si>
  <si>
    <t>Csets</t>
  </si>
  <si>
    <t>Region</t>
  </si>
  <si>
    <t>CommName</t>
  </si>
  <si>
    <t>CommDesc</t>
  </si>
  <si>
    <t>Unit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</si>
  <si>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</si>
  <si>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</si>
  <si>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</si>
  <si>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</si>
  <si>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</si>
  <si>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</si>
  <si>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</si>
  <si>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</si>
  <si>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</si>
  <si>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</si>
  <si>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</si>
  <si>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</si>
  <si>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</si>
  <si>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</si>
  <si>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</si>
  <si>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</si>
  <si>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</si>
  <si>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</si>
  <si>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</si>
  <si>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</si>
  <si>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</si>
  <si>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</si>
  <si>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</si>
  <si>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</si>
  <si>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</si>
  <si>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</si>
  <si>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</si>
  <si>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</si>
  <si>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ELC-CAM8</t>
  </si>
  <si>
    <t>MIN-CAM8</t>
  </si>
  <si>
    <t>R-CAM8</t>
  </si>
  <si>
    <t>PROF-CAM8</t>
  </si>
  <si>
    <t>FLU-CAM8</t>
  </si>
  <si>
    <t>CO2e-CAM8</t>
  </si>
  <si>
    <t>SEP-CAM8</t>
  </si>
  <si>
    <t>GAS-CAM8</t>
  </si>
  <si>
    <t>HOIL-CAM8</t>
  </si>
  <si>
    <t>COMPRA-ELC-CAM8</t>
  </si>
  <si>
    <t>HOIL</t>
  </si>
  <si>
    <t>ELC-COL-CAM8</t>
  </si>
  <si>
    <t>GAS-plt-CAM8</t>
  </si>
  <si>
    <t>NRG</t>
  </si>
  <si>
    <t>MIN</t>
  </si>
  <si>
    <t>PRE</t>
  </si>
  <si>
    <t>ENV</t>
  </si>
  <si>
    <t>Reservas del campo 8</t>
  </si>
  <si>
    <t>Electricity del campo 8</t>
  </si>
  <si>
    <t>Fluidos del campo 8</t>
  </si>
  <si>
    <t>CO2 emisiones del campo 8</t>
  </si>
  <si>
    <t>Gas Natural del campo 8</t>
  </si>
  <si>
    <t>Petroleo pesado del campo 8</t>
  </si>
  <si>
    <t>Electricidad transporte crudo del campo 8</t>
  </si>
  <si>
    <t>Gas salido de planta del campo 8</t>
  </si>
  <si>
    <t>PJ</t>
  </si>
  <si>
    <t>Pja</t>
  </si>
  <si>
    <t>Mina del campo 8</t>
  </si>
  <si>
    <t>Produccion del campo 8</t>
  </si>
  <si>
    <t>Separador del campo 8</t>
  </si>
  <si>
    <t>Compra ELC produccion campo 8</t>
  </si>
  <si>
    <t>Compra ELC transporte Gas para campo 8</t>
  </si>
  <si>
    <t>Colector ELC de petróleo campo 8</t>
  </si>
  <si>
    <t>Colector ELC de GAS campo 8</t>
  </si>
  <si>
    <t>Mpcd</t>
  </si>
  <si>
    <t>Bpd</t>
  </si>
  <si>
    <t>PCI</t>
  </si>
  <si>
    <t>F.E. CO2eq</t>
  </si>
  <si>
    <t>Basin</t>
  </si>
  <si>
    <t>Oilfield</t>
  </si>
  <si>
    <t>API Gravity</t>
  </si>
  <si>
    <t>Type of Oil producing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</si>
  <si>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</si>
  <si>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</si>
  <si>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</si>
  <si>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</si>
  <si>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</si>
  <si>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</si>
  <si>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</si>
  <si>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</si>
  <si>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</si>
  <si>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</si>
  <si>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</si>
  <si>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</si>
  <si>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</si>
  <si>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</si>
  <si>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</si>
  <si>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</si>
  <si>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</si>
  <si>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</si>
  <si>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</si>
  <si>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</si>
  <si>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-</t>
  </si>
  <si>
    <t>Doesn't Apply</t>
  </si>
  <si>
    <t>Energético</t>
  </si>
  <si>
    <t>TJ/kbl*</t>
  </si>
  <si>
    <t>t/TJ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</si>
  <si>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</si>
  <si>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</si>
  <si>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</si>
  <si>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</si>
  <si>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</si>
  <si>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</si>
  <si>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Light Oil</t>
  </si>
  <si>
    <t>MOIL</t>
  </si>
  <si>
    <t>Petróleo mediano</t>
  </si>
  <si>
    <t>Cusiana (Cusiana + Norte)</t>
  </si>
  <si>
    <t>Petróleo pesado</t>
  </si>
  <si>
    <t>Pauto Sur (Sur + Recetor)</t>
  </si>
  <si>
    <t>GSL</t>
  </si>
  <si>
    <t>Gasolina antes de blending</t>
  </si>
  <si>
    <t>Floreña (Floreña + Mirador)</t>
  </si>
  <si>
    <t>DSL</t>
  </si>
  <si>
    <t>Diesel antes de blending</t>
  </si>
  <si>
    <t>Rubiales</t>
  </si>
  <si>
    <t>Heavy Oil</t>
  </si>
  <si>
    <t>KER</t>
  </si>
  <si>
    <t>Keroseno-Jet</t>
  </si>
  <si>
    <t>Castilla (c, e, n, n)</t>
  </si>
  <si>
    <t>LPG</t>
  </si>
  <si>
    <t>Gas licuado de Petróleo</t>
  </si>
  <si>
    <t>Chichimene</t>
  </si>
  <si>
    <t>HFO</t>
  </si>
  <si>
    <t>Fuel Oil (Combustoleo</t>
  </si>
  <si>
    <t>Akacias</t>
  </si>
  <si>
    <t>AVG</t>
  </si>
  <si>
    <t>Gasolina de aviación</t>
  </si>
  <si>
    <t>Apiay</t>
  </si>
  <si>
    <t>RFG</t>
  </si>
  <si>
    <t>Refinery Gas</t>
  </si>
  <si>
    <t>Putumayo</t>
  </si>
  <si>
    <t>Orito</t>
  </si>
  <si>
    <t>*Para todos, menos gas natural, las unidades son TJ/Mpc; PJ/kpc</t>
  </si>
  <si>
    <t>VMM</t>
  </si>
  <si>
    <t>Casabe</t>
  </si>
  <si>
    <t>Medium Oil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</si>
  <si>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</si>
  <si>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</si>
  <si>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</si>
  <si>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</si>
  <si>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</si>
  <si>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</si>
  <si>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</si>
  <si>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</si>
  <si>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</si>
  <si>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</si>
  <si>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</si>
  <si>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</si>
  <si>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</si>
  <si>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</si>
  <si>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</si>
  <si>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</si>
  <si>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</si>
  <si>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</si>
  <si>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</si>
  <si>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</si>
  <si>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</si>
  <si>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</si>
  <si>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</si>
  <si>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</si>
  <si>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</si>
  <si>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</si>
  <si>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</si>
  <si>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</si>
  <si>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</si>
  <si>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</si>
  <si>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</si>
  <si>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</si>
  <si>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</si>
  <si>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</si>
  <si>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</si>
  <si>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</si>
  <si>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MEDIUM SCENARIO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</si>
  <si>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</si>
  <si>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</si>
  <si>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</si>
  <si>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</si>
  <si>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</si>
  <si>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</si>
  <si>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</si>
  <si>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</si>
  <si>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</si>
  <si>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</si>
  <si>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</si>
  <si>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</si>
  <si>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</si>
  <si>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</si>
  <si>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</si>
  <si>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</si>
  <si>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</si>
  <si>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</si>
  <si>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</si>
  <si>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</si>
  <si>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</si>
  <si>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</si>
  <si>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</si>
  <si>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</si>
  <si>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</si>
  <si>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UO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</si>
  <si>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</si>
  <si>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</si>
  <si>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</si>
  <si>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</si>
  <si>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</si>
  <si>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</si>
  <si>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</si>
  <si>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</si>
  <si>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</si>
  <si>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Gwh</t>
  </si>
  <si>
    <t>Electricity consumption</t>
  </si>
  <si>
    <t xml:space="preserve">Production </t>
  </si>
  <si>
    <t>MJ/GJ</t>
  </si>
  <si>
    <t>Gras treatment</t>
  </si>
  <si>
    <t>PowerPlant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</si>
  <si>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</si>
  <si>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Emissions in P</t>
  </si>
  <si>
    <t>Emissions in Treat</t>
  </si>
  <si>
    <t>F.E. Edgar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</si>
  <si>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</si>
  <si>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</si>
  <si>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</si>
  <si>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</si>
  <si>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</si>
  <si>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</si>
  <si>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</si>
  <si>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</si>
  <si>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</si>
  <si>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</si>
  <si>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</si>
  <si>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</si>
  <si>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</si>
  <si>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</si>
  <si>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</si>
  <si>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</si>
  <si>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</si>
  <si>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</si>
  <si>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</si>
  <si>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</si>
  <si>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</si>
  <si>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</si>
  <si>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</si>
  <si>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</si>
  <si>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</si>
  <si>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</si>
  <si>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</si>
  <si>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</si>
  <si>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</si>
  <si>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</si>
  <si>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</si>
  <si>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</si>
  <si>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</si>
  <si>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</si>
  <si>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Diesel</t>
  </si>
  <si>
    <t>Oil</t>
  </si>
  <si>
    <t>Natural Gas</t>
  </si>
  <si>
    <t>SEC, ELECTRICIDAD</t>
  </si>
  <si>
    <t>KWh/b</t>
  </si>
  <si>
    <t>PJ/PJ</t>
  </si>
  <si>
    <t>COSTO SOLO PETRÓLEO</t>
  </si>
  <si>
    <t>MUSD/PJ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</si>
  <si>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</si>
  <si>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</si>
  <si>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</si>
  <si>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</si>
  <si>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</si>
  <si>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</si>
  <si>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</si>
  <si>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</si>
  <si>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</si>
  <si>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</si>
  <si>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</si>
  <si>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</si>
  <si>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</si>
  <si>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</si>
  <si>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</si>
  <si>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</si>
  <si>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</si>
  <si>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</si>
  <si>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</si>
  <si>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Cost of dilution</t>
  </si>
  <si>
    <t>Cost of transport</t>
  </si>
  <si>
    <t>Electricity consumption for GAS</t>
  </si>
  <si>
    <t>Electricity consumption for OIL</t>
  </si>
  <si>
    <t>TOTAL COST</t>
  </si>
  <si>
    <t>CAM8-L*</t>
  </si>
  <si>
    <t>CAM8-M*</t>
  </si>
  <si>
    <t>CAM8</t>
  </si>
  <si>
    <t>YTF</t>
  </si>
  <si>
    <t>PJ electricity/PJ Oil treatment</t>
  </si>
  <si>
    <t>Gcomm/(Of + Gcomm)</t>
  </si>
  <si>
    <t>SGE</t>
  </si>
  <si>
    <t>PJ electricity/PJ oil produced</t>
  </si>
  <si>
    <t>Gas flaring/Gas producing</t>
  </si>
  <si>
    <t>kt CO2eq/PJ produced</t>
  </si>
  <si>
    <t>Cost production</t>
  </si>
  <si>
    <t>Relation of flaring</t>
  </si>
  <si>
    <t>PRODUCCION</t>
  </si>
  <si>
    <t>TRATAMIENTO</t>
  </si>
  <si>
    <t>COMPRA-ELC-COL-CAM8</t>
  </si>
  <si>
    <t>COL-GAS-CAM8</t>
  </si>
  <si>
    <t>Compra del SIN para transporte</t>
  </si>
  <si>
    <t>START</t>
  </si>
  <si>
    <t>CO2e-C-CAM8</t>
  </si>
  <si>
    <t>CO2e-FV-CAM8</t>
  </si>
  <si>
    <t>CO2e-I-CAM8</t>
  </si>
  <si>
    <t>kt</t>
  </si>
  <si>
    <t>CO2 emisiones de combustion del campo 8</t>
  </si>
  <si>
    <t>CO2 emisiones indirectas del campo 8</t>
  </si>
  <si>
    <t>CO2 emisiones fugitivas y venteo del campo 8</t>
  </si>
  <si>
    <t>ELC</t>
  </si>
  <si>
    <t>CO2e-CAM8-prueba</t>
  </si>
  <si>
    <t>CO2 prueba cam8</t>
  </si>
  <si>
    <t>Prueba-CO2-CAM8</t>
  </si>
  <si>
    <t>Prueba cam8</t>
  </si>
  <si>
    <t>COL-OIL-CAM8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</si>
</sst>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000"/>
    <numFmt numFmtId="165" formatCode="0.0"/>
    <numFmt numFmtId="166" formatCode="_-* #,##0.00_-;\-* #,##0.00_-;_-* &quot;-&quot;??_-;_-@"/>
    <numFmt numFmtId="167" formatCode="0.0%"/>
    <numFmt numFmtId="168" formatCode="\Te\x\t"/>
    <numFmt numFmtId="169" formatCode="0.0E+00"/>
    <numFmt numFmtId="170" formatCode="0.000"/>
    <numFmt numFmtId="171" formatCode="_-* #,##0.000_-;\-* #,##0.000_-;_-* &quot;-&quot;??_-;_-@"/>
    <numFmt numFmtId="172" formatCode="_-* #,##0.0_-;\-* #,##0.0_-;_-* &quot;-&quot;??_-;_-@"/>
    <numFmt numFmtId="173" formatCode="0.000%"/>
    <numFmt numFmtId="174" formatCode="_-* #,##0.00_-;\-* #,##0.00_-;_-* &quot;-&quot;??_-;_-@_-"/>
    <numFmt numFmtId="175" formatCode="_-* #,##0.0000_-;\-* #,##0.0000_-;_-* &quot;-&quot;??_-;_-@_-"/>
    <numFmt numFmtId="176" formatCode="0.00000"/>
    <numFmt numFmtId="177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2"/>
      <color theme="1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ECECEC"/>
        <bgColor rgb="FFECECE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D9E2F3"/>
        <bgColor rgb="FFD9E2F3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DD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CECEC"/>
      </patternFill>
    </fill>
    <fill>
      <patternFill patternType="solid">
        <fgColor rgb="FF00B050"/>
        <bgColor rgb="FFFBE4D5"/>
      </patternFill>
    </fill>
    <fill>
      <patternFill patternType="solid">
        <fgColor rgb="FF00B050"/>
        <bgColor rgb="FFF2F2F2"/>
      </patternFill>
    </fill>
    <fill>
      <patternFill patternType="solid">
        <fgColor rgb="FF00B050"/>
        <bgColor rgb="FFFEF2CB"/>
      </patternFill>
    </fill>
    <fill>
      <patternFill patternType="solid">
        <fgColor rgb="FF00B050"/>
        <bgColor rgb="FFE2EFD9"/>
      </patternFill>
    </fill>
    <fill>
      <patternFill patternType="solid">
        <fgColor rgb="FF00B050"/>
        <bgColor rgb="FFD9E2F3"/>
      </patternFill>
    </fill>
    <fill>
      <patternFill patternType="solid">
        <fgColor rgb="FF00B05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64" fontId="5" fillId="4" borderId="0" xfId="0" applyNumberFormat="1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6" fillId="0" borderId="0" xfId="0" applyFont="1"/>
    <xf numFmtId="0" fontId="4" fillId="3" borderId="2" xfId="0" applyFont="1" applyFill="1" applyBorder="1" applyAlignment="1">
      <alignment horizontal="center" vertical="center"/>
    </xf>
    <xf numFmtId="0" fontId="1" fillId="0" borderId="0" xfId="0" applyFont="1"/>
    <xf numFmtId="10" fontId="5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 vertical="center"/>
    </xf>
    <xf numFmtId="10" fontId="5" fillId="6" borderId="0" xfId="0" applyNumberFormat="1" applyFont="1" applyFill="1"/>
    <xf numFmtId="166" fontId="5" fillId="6" borderId="0" xfId="0" applyNumberFormat="1" applyFont="1" applyFill="1"/>
    <xf numFmtId="0" fontId="7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/>
    </xf>
    <xf numFmtId="9" fontId="5" fillId="0" borderId="0" xfId="0" applyNumberFormat="1" applyFont="1"/>
    <xf numFmtId="0" fontId="7" fillId="2" borderId="2" xfId="0" applyFont="1" applyFill="1" applyBorder="1" applyAlignment="1">
      <alignment horizontal="center" vertical="center"/>
    </xf>
    <xf numFmtId="167" fontId="5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7" fillId="2" borderId="2" xfId="0" applyFont="1" applyFill="1" applyBorder="1" applyAlignment="1">
      <alignment horizontal="left"/>
    </xf>
    <xf numFmtId="9" fontId="5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5" fillId="0" borderId="0" xfId="0" applyNumberFormat="1" applyFont="1"/>
    <xf numFmtId="0" fontId="9" fillId="0" borderId="0" xfId="0" applyFont="1"/>
    <xf numFmtId="0" fontId="10" fillId="0" borderId="0" xfId="0" applyFont="1"/>
    <xf numFmtId="0" fontId="7" fillId="7" borderId="2" xfId="0" applyFont="1" applyFill="1" applyBorder="1" applyAlignment="1">
      <alignment horizontal="center" vertical="center"/>
    </xf>
    <xf numFmtId="10" fontId="5" fillId="6" borderId="0" xfId="0" applyNumberFormat="1" applyFont="1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4" fillId="2" borderId="3" xfId="0" applyFont="1" applyFill="1" applyBorder="1"/>
    <xf numFmtId="165" fontId="5" fillId="0" borderId="0" xfId="0" applyNumberFormat="1" applyFont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168" fontId="12" fillId="6" borderId="0" xfId="0" applyNumberFormat="1" applyFont="1" applyFill="1"/>
    <xf numFmtId="168" fontId="13" fillId="6" borderId="0" xfId="0" applyNumberFormat="1" applyFont="1" applyFill="1"/>
    <xf numFmtId="168" fontId="7" fillId="3" borderId="4" xfId="0" applyNumberFormat="1" applyFont="1" applyFill="1" applyBorder="1" applyAlignment="1">
      <alignment horizontal="left"/>
    </xf>
    <xf numFmtId="168" fontId="7" fillId="3" borderId="2" xfId="0" applyNumberFormat="1" applyFont="1" applyFill="1" applyBorder="1" applyAlignment="1">
      <alignment horizontal="left"/>
    </xf>
    <xf numFmtId="168" fontId="14" fillId="9" borderId="5" xfId="0" applyNumberFormat="1" applyFont="1" applyFill="1" applyBorder="1" applyAlignment="1">
      <alignment horizontal="left" wrapText="1"/>
    </xf>
    <xf numFmtId="168" fontId="12" fillId="0" borderId="0" xfId="0" applyNumberFormat="1" applyFont="1"/>
    <xf numFmtId="0" fontId="0" fillId="0" borderId="0" xfId="0" applyAlignment="1">
      <alignment horizontal="center"/>
    </xf>
    <xf numFmtId="0" fontId="15" fillId="6" borderId="0" xfId="0" applyFont="1" applyFill="1" applyAlignment="1">
      <alignment vertical="center"/>
    </xf>
    <xf numFmtId="0" fontId="15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vertical="center"/>
    </xf>
    <xf numFmtId="0" fontId="17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5" fontId="17" fillId="4" borderId="4" xfId="0" applyNumberFormat="1" applyFont="1" applyFill="1" applyBorder="1" applyAlignment="1">
      <alignment horizontal="center" vertical="center" wrapText="1"/>
    </xf>
    <xf numFmtId="165" fontId="17" fillId="6" borderId="4" xfId="0" applyNumberFormat="1" applyFont="1" applyFill="1" applyBorder="1" applyAlignment="1">
      <alignment horizontal="center" vertical="center" wrapText="1"/>
    </xf>
    <xf numFmtId="1" fontId="17" fillId="4" borderId="4" xfId="0" applyNumberFormat="1" applyFont="1" applyFill="1" applyBorder="1" applyAlignment="1">
      <alignment horizontal="center" vertical="center" wrapText="1"/>
    </xf>
    <xf numFmtId="1" fontId="5" fillId="6" borderId="0" xfId="0" applyNumberFormat="1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/>
    </xf>
    <xf numFmtId="9" fontId="5" fillId="6" borderId="0" xfId="0" applyNumberFormat="1" applyFont="1" applyFill="1" applyAlignment="1">
      <alignment horizontal="center" vertical="center"/>
    </xf>
    <xf numFmtId="1" fontId="5" fillId="6" borderId="0" xfId="0" applyNumberFormat="1" applyFont="1" applyFill="1"/>
    <xf numFmtId="0" fontId="5" fillId="0" borderId="6" xfId="0" applyFont="1" applyBorder="1"/>
    <xf numFmtId="2" fontId="5" fillId="0" borderId="4" xfId="0" applyNumberFormat="1" applyFont="1" applyBorder="1"/>
    <xf numFmtId="2" fontId="5" fillId="0" borderId="7" xfId="0" applyNumberFormat="1" applyFont="1" applyBorder="1"/>
    <xf numFmtId="9" fontId="18" fillId="6" borderId="0" xfId="0" applyNumberFormat="1" applyFont="1" applyFill="1" applyAlignment="1">
      <alignment horizontal="center" vertical="center"/>
    </xf>
    <xf numFmtId="0" fontId="5" fillId="0" borderId="8" xfId="0" applyFont="1" applyBorder="1"/>
    <xf numFmtId="2" fontId="5" fillId="0" borderId="9" xfId="0" applyNumberFormat="1" applyFont="1" applyBorder="1"/>
    <xf numFmtId="0" fontId="5" fillId="0" borderId="10" xfId="0" applyFont="1" applyBorder="1"/>
    <xf numFmtId="2" fontId="5" fillId="0" borderId="11" xfId="0" applyNumberFormat="1" applyFont="1" applyBorder="1"/>
    <xf numFmtId="2" fontId="5" fillId="0" borderId="12" xfId="0" applyNumberFormat="1" applyFont="1" applyBorder="1"/>
    <xf numFmtId="0" fontId="19" fillId="0" borderId="0" xfId="0" applyFont="1"/>
    <xf numFmtId="169" fontId="5" fillId="0" borderId="0" xfId="0" applyNumberFormat="1" applyFont="1"/>
    <xf numFmtId="0" fontId="5" fillId="11" borderId="4" xfId="0" applyFont="1" applyFill="1" applyBorder="1" applyAlignment="1">
      <alignment horizontal="center" vertical="center" wrapText="1"/>
    </xf>
    <xf numFmtId="165" fontId="0" fillId="0" borderId="0" xfId="0" applyNumberFormat="1"/>
    <xf numFmtId="1" fontId="5" fillId="0" borderId="0" xfId="0" applyNumberFormat="1" applyFont="1"/>
    <xf numFmtId="2" fontId="5" fillId="6" borderId="0" xfId="0" applyNumberFormat="1" applyFont="1" applyFill="1"/>
    <xf numFmtId="0" fontId="5" fillId="9" borderId="4" xfId="0" applyFont="1" applyFill="1" applyBorder="1" applyAlignment="1">
      <alignment horizontal="center" vertical="center" wrapText="1"/>
    </xf>
    <xf numFmtId="170" fontId="17" fillId="6" borderId="4" xfId="0" applyNumberFormat="1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5" fontId="17" fillId="6" borderId="0" xfId="0" applyNumberFormat="1" applyFont="1" applyFill="1" applyAlignment="1">
      <alignment horizontal="center" vertical="center" wrapText="1"/>
    </xf>
    <xf numFmtId="1" fontId="17" fillId="6" borderId="0" xfId="0" applyNumberFormat="1" applyFont="1" applyFill="1" applyAlignment="1">
      <alignment horizontal="center" vertical="center" wrapText="1"/>
    </xf>
    <xf numFmtId="0" fontId="5" fillId="12" borderId="0" xfId="0" applyFont="1" applyFill="1"/>
    <xf numFmtId="0" fontId="4" fillId="13" borderId="0" xfId="0" applyFont="1" applyFill="1"/>
    <xf numFmtId="0" fontId="5" fillId="1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0" fillId="6" borderId="0" xfId="0" applyFont="1" applyFill="1"/>
    <xf numFmtId="0" fontId="20" fillId="10" borderId="1" xfId="0" applyFont="1" applyFill="1" applyBorder="1"/>
    <xf numFmtId="0" fontId="20" fillId="10" borderId="2" xfId="0" applyFont="1" applyFill="1" applyBorder="1"/>
    <xf numFmtId="0" fontId="20" fillId="10" borderId="3" xfId="0" applyFont="1" applyFill="1" applyBorder="1"/>
    <xf numFmtId="0" fontId="5" fillId="0" borderId="0" xfId="0" applyFont="1" applyAlignment="1">
      <alignment wrapText="1"/>
    </xf>
    <xf numFmtId="0" fontId="15" fillId="14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1" fontId="17" fillId="6" borderId="4" xfId="0" applyNumberFormat="1" applyFont="1" applyFill="1" applyBorder="1" applyAlignment="1">
      <alignment horizontal="center" vertical="center" wrapText="1"/>
    </xf>
    <xf numFmtId="9" fontId="17" fillId="14" borderId="4" xfId="0" applyNumberFormat="1" applyFont="1" applyFill="1" applyBorder="1" applyAlignment="1">
      <alignment horizontal="center" vertical="center" wrapText="1"/>
    </xf>
    <xf numFmtId="165" fontId="17" fillId="14" borderId="4" xfId="0" applyNumberFormat="1" applyFont="1" applyFill="1" applyBorder="1" applyAlignment="1">
      <alignment horizontal="center" vertical="center" wrapText="1"/>
    </xf>
    <xf numFmtId="9" fontId="17" fillId="11" borderId="4" xfId="0" applyNumberFormat="1" applyFont="1" applyFill="1" applyBorder="1" applyAlignment="1">
      <alignment horizontal="center" vertical="center" wrapText="1"/>
    </xf>
    <xf numFmtId="9" fontId="17" fillId="13" borderId="4" xfId="0" applyNumberFormat="1" applyFont="1" applyFill="1" applyBorder="1" applyAlignment="1">
      <alignment horizontal="center" vertical="center" wrapText="1"/>
    </xf>
    <xf numFmtId="1" fontId="5" fillId="9" borderId="2" xfId="0" applyNumberFormat="1" applyFont="1" applyFill="1" applyBorder="1" applyAlignment="1">
      <alignment horizontal="center" vertical="center"/>
    </xf>
    <xf numFmtId="165" fontId="5" fillId="9" borderId="2" xfId="0" applyNumberFormat="1" applyFont="1" applyFill="1" applyBorder="1"/>
    <xf numFmtId="1" fontId="5" fillId="14" borderId="2" xfId="0" applyNumberFormat="1" applyFont="1" applyFill="1" applyBorder="1"/>
    <xf numFmtId="0" fontId="5" fillId="14" borderId="2" xfId="0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>
      <alignment horizontal="center"/>
    </xf>
    <xf numFmtId="9" fontId="5" fillId="10" borderId="8" xfId="0" applyNumberFormat="1" applyFont="1" applyFill="1" applyBorder="1" applyAlignment="1">
      <alignment horizontal="center"/>
    </xf>
    <xf numFmtId="9" fontId="5" fillId="10" borderId="0" xfId="0" applyNumberFormat="1" applyFont="1" applyFill="1" applyAlignment="1">
      <alignment horizontal="center"/>
    </xf>
    <xf numFmtId="9" fontId="5" fillId="10" borderId="9" xfId="0" applyNumberFormat="1" applyFont="1" applyFill="1" applyBorder="1" applyAlignment="1">
      <alignment horizontal="center"/>
    </xf>
    <xf numFmtId="2" fontId="5" fillId="10" borderId="8" xfId="0" applyNumberFormat="1" applyFont="1" applyFill="1" applyBorder="1" applyAlignment="1">
      <alignment horizontal="center"/>
    </xf>
    <xf numFmtId="2" fontId="5" fillId="10" borderId="0" xfId="0" applyNumberFormat="1" applyFont="1" applyFill="1" applyAlignment="1">
      <alignment horizontal="center"/>
    </xf>
    <xf numFmtId="2" fontId="5" fillId="10" borderId="9" xfId="0" applyNumberFormat="1" applyFont="1" applyFill="1" applyBorder="1" applyAlignment="1">
      <alignment horizontal="center"/>
    </xf>
    <xf numFmtId="2" fontId="5" fillId="12" borderId="0" xfId="0" applyNumberFormat="1" applyFont="1" applyFill="1" applyAlignment="1">
      <alignment horizontal="center"/>
    </xf>
    <xf numFmtId="2" fontId="5" fillId="6" borderId="0" xfId="0" applyNumberFormat="1" applyFont="1" applyFill="1" applyAlignment="1">
      <alignment horizontal="center"/>
    </xf>
    <xf numFmtId="2" fontId="5" fillId="6" borderId="9" xfId="0" applyNumberFormat="1" applyFont="1" applyFill="1" applyBorder="1" applyAlignment="1">
      <alignment horizontal="center"/>
    </xf>
    <xf numFmtId="9" fontId="5" fillId="6" borderId="0" xfId="0" applyNumberFormat="1" applyFont="1" applyFill="1" applyAlignment="1">
      <alignment horizontal="center"/>
    </xf>
    <xf numFmtId="165" fontId="17" fillId="6" borderId="4" xfId="0" applyNumberFormat="1" applyFont="1" applyFill="1" applyBorder="1" applyAlignment="1">
      <alignment horizontal="center" vertical="center"/>
    </xf>
    <xf numFmtId="1" fontId="17" fillId="6" borderId="4" xfId="0" applyNumberFormat="1" applyFont="1" applyFill="1" applyBorder="1" applyAlignment="1">
      <alignment horizontal="center" vertical="center"/>
    </xf>
    <xf numFmtId="9" fontId="17" fillId="14" borderId="4" xfId="0" applyNumberFormat="1" applyFont="1" applyFill="1" applyBorder="1" applyAlignment="1">
      <alignment horizontal="center" vertical="center"/>
    </xf>
    <xf numFmtId="165" fontId="17" fillId="14" borderId="4" xfId="0" applyNumberFormat="1" applyFont="1" applyFill="1" applyBorder="1" applyAlignment="1">
      <alignment horizontal="center" vertical="center"/>
    </xf>
    <xf numFmtId="165" fontId="17" fillId="4" borderId="4" xfId="0" applyNumberFormat="1" applyFont="1" applyFill="1" applyBorder="1" applyAlignment="1">
      <alignment horizontal="center" vertical="center"/>
    </xf>
    <xf numFmtId="9" fontId="17" fillId="11" borderId="4" xfId="0" applyNumberFormat="1" applyFont="1" applyFill="1" applyBorder="1" applyAlignment="1">
      <alignment horizontal="center" vertical="center"/>
    </xf>
    <xf numFmtId="9" fontId="17" fillId="13" borderId="4" xfId="0" applyNumberFormat="1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>
      <alignment horizontal="center" vertical="center"/>
    </xf>
    <xf numFmtId="2" fontId="17" fillId="6" borderId="4" xfId="0" applyNumberFormat="1" applyFont="1" applyFill="1" applyBorder="1" applyAlignment="1">
      <alignment horizontal="center" vertical="center"/>
    </xf>
    <xf numFmtId="170" fontId="17" fillId="4" borderId="4" xfId="0" applyNumberFormat="1" applyFont="1" applyFill="1" applyBorder="1" applyAlignment="1">
      <alignment horizontal="center" vertical="center"/>
    </xf>
    <xf numFmtId="171" fontId="17" fillId="6" borderId="0" xfId="0" applyNumberFormat="1" applyFont="1" applyFill="1" applyAlignment="1">
      <alignment horizontal="center"/>
    </xf>
    <xf numFmtId="172" fontId="17" fillId="6" borderId="0" xfId="0" applyNumberFormat="1" applyFont="1" applyFill="1" applyAlignment="1">
      <alignment horizontal="center"/>
    </xf>
    <xf numFmtId="9" fontId="5" fillId="10" borderId="10" xfId="0" applyNumberFormat="1" applyFont="1" applyFill="1" applyBorder="1" applyAlignment="1">
      <alignment horizontal="center"/>
    </xf>
    <xf numFmtId="9" fontId="5" fillId="10" borderId="11" xfId="0" applyNumberFormat="1" applyFont="1" applyFill="1" applyBorder="1" applyAlignment="1">
      <alignment horizontal="center"/>
    </xf>
    <xf numFmtId="9" fontId="5" fillId="10" borderId="12" xfId="0" applyNumberFormat="1" applyFont="1" applyFill="1" applyBorder="1" applyAlignment="1">
      <alignment horizontal="center"/>
    </xf>
    <xf numFmtId="2" fontId="5" fillId="10" borderId="10" xfId="0" applyNumberFormat="1" applyFont="1" applyFill="1" applyBorder="1" applyAlignment="1">
      <alignment horizontal="center"/>
    </xf>
    <xf numFmtId="2" fontId="5" fillId="10" borderId="11" xfId="0" applyNumberFormat="1" applyFont="1" applyFill="1" applyBorder="1" applyAlignment="1">
      <alignment horizontal="center"/>
    </xf>
    <xf numFmtId="2" fontId="5" fillId="10" borderId="12" xfId="0" applyNumberFormat="1" applyFont="1" applyFill="1" applyBorder="1" applyAlignment="1">
      <alignment horizontal="center"/>
    </xf>
    <xf numFmtId="165" fontId="5" fillId="9" borderId="2" xfId="0" applyNumberFormat="1" applyFont="1" applyFill="1" applyBorder="1" applyAlignment="1">
      <alignment horizontal="center"/>
    </xf>
    <xf numFmtId="2" fontId="5" fillId="10" borderId="6" xfId="0" applyNumberFormat="1" applyFont="1" applyFill="1" applyBorder="1" applyAlignment="1">
      <alignment horizontal="center"/>
    </xf>
    <xf numFmtId="2" fontId="5" fillId="10" borderId="4" xfId="0" applyNumberFormat="1" applyFont="1" applyFill="1" applyBorder="1" applyAlignment="1">
      <alignment horizontal="center"/>
    </xf>
    <xf numFmtId="2" fontId="5" fillId="12" borderId="4" xfId="0" applyNumberFormat="1" applyFont="1" applyFill="1" applyBorder="1" applyAlignment="1">
      <alignment horizontal="center"/>
    </xf>
    <xf numFmtId="2" fontId="5" fillId="10" borderId="7" xfId="0" applyNumberFormat="1" applyFont="1" applyFill="1" applyBorder="1" applyAlignment="1">
      <alignment horizontal="center"/>
    </xf>
    <xf numFmtId="165" fontId="5" fillId="14" borderId="2" xfId="0" applyNumberFormat="1" applyFont="1" applyFill="1" applyBorder="1"/>
    <xf numFmtId="2" fontId="5" fillId="6" borderId="11" xfId="0" applyNumberFormat="1" applyFont="1" applyFill="1" applyBorder="1" applyAlignment="1">
      <alignment horizontal="center"/>
    </xf>
    <xf numFmtId="2" fontId="5" fillId="6" borderId="12" xfId="0" applyNumberFormat="1" applyFont="1" applyFill="1" applyBorder="1" applyAlignment="1">
      <alignment horizontal="center"/>
    </xf>
    <xf numFmtId="165" fontId="17" fillId="14" borderId="0" xfId="0" applyNumberFormat="1" applyFont="1" applyFill="1" applyAlignment="1">
      <alignment horizontal="center" vertical="center" wrapText="1"/>
    </xf>
    <xf numFmtId="165" fontId="17" fillId="4" borderId="0" xfId="0" applyNumberFormat="1" applyFont="1" applyFill="1" applyAlignment="1">
      <alignment horizontal="center" vertical="center" wrapText="1"/>
    </xf>
    <xf numFmtId="9" fontId="17" fillId="11" borderId="0" xfId="0" applyNumberFormat="1" applyFont="1" applyFill="1" applyAlignment="1">
      <alignment horizontal="center" vertical="center" wrapText="1"/>
    </xf>
    <xf numFmtId="9" fontId="17" fillId="13" borderId="0" xfId="0" applyNumberFormat="1" applyFont="1" applyFill="1" applyAlignment="1">
      <alignment horizontal="center" vertical="center" wrapText="1"/>
    </xf>
    <xf numFmtId="9" fontId="4" fillId="6" borderId="0" xfId="0" applyNumberFormat="1" applyFont="1" applyFill="1" applyAlignment="1">
      <alignment horizontal="center"/>
    </xf>
    <xf numFmtId="165" fontId="5" fillId="14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23" fillId="0" borderId="0" xfId="0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20" fillId="6" borderId="11" xfId="0" applyFont="1" applyFill="1" applyBorder="1" applyAlignment="1">
      <alignment horizontal="center" vertical="center" wrapText="1"/>
    </xf>
    <xf numFmtId="0" fontId="15" fillId="14" borderId="11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15" fillId="13" borderId="11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 wrapText="1"/>
    </xf>
    <xf numFmtId="0" fontId="5" fillId="0" borderId="2" xfId="0" applyFont="1" applyBorder="1"/>
    <xf numFmtId="0" fontId="5" fillId="4" borderId="2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 wrapText="1"/>
    </xf>
    <xf numFmtId="1" fontId="24" fillId="0" borderId="2" xfId="0" applyNumberFormat="1" applyFont="1" applyBorder="1" applyAlignment="1">
      <alignment horizontal="center"/>
    </xf>
    <xf numFmtId="9" fontId="24" fillId="14" borderId="2" xfId="0" applyNumberFormat="1" applyFont="1" applyFill="1" applyBorder="1" applyAlignment="1">
      <alignment horizontal="center"/>
    </xf>
    <xf numFmtId="1" fontId="24" fillId="14" borderId="2" xfId="0" applyNumberFormat="1" applyFont="1" applyFill="1" applyBorder="1" applyAlignment="1">
      <alignment horizontal="center"/>
    </xf>
    <xf numFmtId="1" fontId="24" fillId="17" borderId="2" xfId="0" applyNumberFormat="1" applyFont="1" applyFill="1" applyBorder="1" applyAlignment="1">
      <alignment horizontal="center"/>
    </xf>
    <xf numFmtId="2" fontId="24" fillId="17" borderId="2" xfId="0" applyNumberFormat="1" applyFont="1" applyFill="1" applyBorder="1" applyAlignment="1">
      <alignment horizontal="center"/>
    </xf>
    <xf numFmtId="173" fontId="17" fillId="11" borderId="4" xfId="0" applyNumberFormat="1" applyFont="1" applyFill="1" applyBorder="1" applyAlignment="1">
      <alignment horizontal="center" vertical="center" wrapText="1"/>
    </xf>
    <xf numFmtId="1" fontId="24" fillId="9" borderId="2" xfId="0" applyNumberFormat="1" applyFont="1" applyFill="1" applyBorder="1" applyAlignment="1">
      <alignment horizontal="center"/>
    </xf>
    <xf numFmtId="165" fontId="24" fillId="9" borderId="2" xfId="0" applyNumberFormat="1" applyFont="1" applyFill="1" applyBorder="1" applyAlignment="1">
      <alignment horizontal="center"/>
    </xf>
    <xf numFmtId="1" fontId="5" fillId="14" borderId="2" xfId="0" applyNumberFormat="1" applyFont="1" applyFill="1" applyBorder="1" applyAlignment="1">
      <alignment horizontal="center" vertical="center"/>
    </xf>
    <xf numFmtId="1" fontId="24" fillId="0" borderId="0" xfId="0" applyNumberFormat="1" applyFont="1" applyAlignment="1">
      <alignment horizontal="center"/>
    </xf>
    <xf numFmtId="1" fontId="24" fillId="16" borderId="2" xfId="0" applyNumberFormat="1" applyFont="1" applyFill="1" applyBorder="1" applyAlignment="1">
      <alignment horizontal="center"/>
    </xf>
    <xf numFmtId="0" fontId="24" fillId="0" borderId="2" xfId="0" applyFont="1" applyBorder="1" applyAlignment="1">
      <alignment horizontal="center"/>
    </xf>
    <xf numFmtId="1" fontId="5" fillId="14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9" fontId="17" fillId="11" borderId="2" xfId="0" applyNumberFormat="1" applyFont="1" applyFill="1" applyBorder="1" applyAlignment="1">
      <alignment horizontal="center" vertical="center" wrapText="1"/>
    </xf>
    <xf numFmtId="9" fontId="17" fillId="13" borderId="2" xfId="0" applyNumberFormat="1" applyFont="1" applyFill="1" applyBorder="1" applyAlignment="1">
      <alignment horizontal="center" vertical="center" wrapText="1"/>
    </xf>
    <xf numFmtId="1" fontId="5" fillId="0" borderId="16" xfId="0" applyNumberFormat="1" applyFont="1" applyBorder="1"/>
    <xf numFmtId="1" fontId="5" fillId="0" borderId="4" xfId="0" applyNumberFormat="1" applyFont="1" applyBorder="1"/>
    <xf numFmtId="1" fontId="5" fillId="0" borderId="6" xfId="0" applyNumberFormat="1" applyFont="1" applyBorder="1"/>
    <xf numFmtId="1" fontId="5" fillId="0" borderId="7" xfId="0" applyNumberFormat="1" applyFont="1" applyBorder="1"/>
    <xf numFmtId="0" fontId="5" fillId="0" borderId="17" xfId="0" applyFont="1" applyBorder="1"/>
    <xf numFmtId="1" fontId="5" fillId="0" borderId="11" xfId="0" applyNumberFormat="1" applyFont="1" applyBorder="1"/>
    <xf numFmtId="1" fontId="5" fillId="0" borderId="10" xfId="0" applyNumberFormat="1" applyFont="1" applyBorder="1"/>
    <xf numFmtId="1" fontId="5" fillId="0" borderId="12" xfId="0" applyNumberFormat="1" applyFont="1" applyBorder="1"/>
    <xf numFmtId="0" fontId="20" fillId="6" borderId="11" xfId="0" applyFont="1" applyFill="1" applyBorder="1" applyAlignment="1">
      <alignment horizontal="left" vertical="center"/>
    </xf>
    <xf numFmtId="0" fontId="15" fillId="6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8" fillId="0" borderId="0" xfId="0" applyFont="1"/>
    <xf numFmtId="1" fontId="24" fillId="6" borderId="0" xfId="0" applyNumberFormat="1" applyFont="1" applyFill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/>
    <xf numFmtId="0" fontId="21" fillId="0" borderId="0" xfId="0" applyFont="1" applyAlignment="1">
      <alignment horizontal="center" wrapText="1"/>
    </xf>
    <xf numFmtId="1" fontId="26" fillId="0" borderId="0" xfId="0" applyNumberFormat="1" applyFont="1"/>
    <xf numFmtId="0" fontId="26" fillId="0" borderId="0" xfId="0" applyFont="1"/>
    <xf numFmtId="2" fontId="27" fillId="0" borderId="0" xfId="0" applyNumberFormat="1" applyFont="1"/>
    <xf numFmtId="0" fontId="5" fillId="0" borderId="4" xfId="0" applyFont="1" applyBorder="1"/>
    <xf numFmtId="0" fontId="5" fillId="4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11" borderId="0" xfId="0" applyFont="1" applyFill="1"/>
    <xf numFmtId="1" fontId="5" fillId="13" borderId="0" xfId="0" applyNumberFormat="1" applyFont="1" applyFill="1"/>
    <xf numFmtId="170" fontId="5" fillId="0" borderId="0" xfId="0" applyNumberFormat="1" applyFont="1"/>
    <xf numFmtId="0" fontId="4" fillId="2" borderId="0" xfId="0" applyFont="1" applyFill="1" applyAlignment="1">
      <alignment horizontal="center" vertical="center"/>
    </xf>
    <xf numFmtId="175" fontId="5" fillId="2" borderId="0" xfId="2" applyNumberFormat="1" applyFont="1" applyFill="1" applyBorder="1"/>
    <xf numFmtId="176" fontId="0" fillId="0" borderId="0" xfId="0" applyNumberFormat="1"/>
    <xf numFmtId="177" fontId="5" fillId="0" borderId="0" xfId="0" applyNumberFormat="1" applyFont="1"/>
    <xf numFmtId="0" fontId="5" fillId="4" borderId="0" xfId="0" applyFont="1" applyFill="1"/>
    <xf numFmtId="9" fontId="5" fillId="4" borderId="0" xfId="0" applyNumberFormat="1" applyFont="1" applyFill="1"/>
    <xf numFmtId="0" fontId="4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5" fontId="5" fillId="8" borderId="0" xfId="0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65" fontId="0" fillId="16" borderId="0" xfId="0" applyNumberFormat="1" applyFill="1" applyAlignment="1">
      <alignment horizontal="center"/>
    </xf>
    <xf numFmtId="165" fontId="5" fillId="18" borderId="0" xfId="0" applyNumberFormat="1" applyFont="1" applyFill="1" applyAlignment="1">
      <alignment horizontal="center" vertical="center"/>
    </xf>
    <xf numFmtId="165" fontId="5" fillId="16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2" fontId="5" fillId="8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2" fontId="5" fillId="19" borderId="0" xfId="0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/>
    <xf numFmtId="2" fontId="0" fillId="0" borderId="24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20" borderId="2" xfId="0" applyFont="1" applyFill="1" applyBorder="1"/>
    <xf numFmtId="0" fontId="5" fillId="21" borderId="2" xfId="0" applyFont="1" applyFill="1" applyBorder="1" applyAlignment="1">
      <alignment horizontal="center" vertical="center"/>
    </xf>
    <xf numFmtId="1" fontId="24" fillId="20" borderId="2" xfId="0" applyNumberFormat="1" applyFont="1" applyFill="1" applyBorder="1" applyAlignment="1">
      <alignment horizontal="center"/>
    </xf>
    <xf numFmtId="1" fontId="24" fillId="22" borderId="2" xfId="0" applyNumberFormat="1" applyFont="1" applyFill="1" applyBorder="1" applyAlignment="1">
      <alignment horizontal="center"/>
    </xf>
    <xf numFmtId="1" fontId="24" fillId="23" borderId="2" xfId="0" applyNumberFormat="1" applyFont="1" applyFill="1" applyBorder="1" applyAlignment="1">
      <alignment horizontal="center"/>
    </xf>
    <xf numFmtId="9" fontId="17" fillId="24" borderId="4" xfId="0" applyNumberFormat="1" applyFont="1" applyFill="1" applyBorder="1" applyAlignment="1">
      <alignment horizontal="center" vertical="center" wrapText="1"/>
    </xf>
    <xf numFmtId="9" fontId="17" fillId="25" borderId="4" xfId="0" applyNumberFormat="1" applyFont="1" applyFill="1" applyBorder="1" applyAlignment="1">
      <alignment horizontal="center" vertical="center" wrapText="1"/>
    </xf>
    <xf numFmtId="1" fontId="24" fillId="26" borderId="2" xfId="0" applyNumberFormat="1" applyFont="1" applyFill="1" applyBorder="1" applyAlignment="1">
      <alignment horizontal="center"/>
    </xf>
    <xf numFmtId="1" fontId="5" fillId="22" borderId="2" xfId="0" applyNumberFormat="1" applyFont="1" applyFill="1" applyBorder="1" applyAlignment="1">
      <alignment horizontal="center"/>
    </xf>
    <xf numFmtId="0" fontId="5" fillId="22" borderId="2" xfId="0" applyFont="1" applyFill="1" applyBorder="1" applyAlignment="1">
      <alignment horizontal="center"/>
    </xf>
    <xf numFmtId="1" fontId="24" fillId="20" borderId="0" xfId="0" applyNumberFormat="1" applyFont="1" applyFill="1" applyAlignment="1">
      <alignment horizontal="center"/>
    </xf>
    <xf numFmtId="0" fontId="0" fillId="20" borderId="0" xfId="0" applyFill="1"/>
    <xf numFmtId="0" fontId="5" fillId="27" borderId="0" xfId="0" applyFont="1" applyFill="1" applyAlignment="1">
      <alignment horizontal="center" vertical="center"/>
    </xf>
    <xf numFmtId="164" fontId="13" fillId="27" borderId="0" xfId="0" applyNumberFormat="1" applyFont="1" applyFill="1" applyAlignment="1">
      <alignment horizontal="center"/>
    </xf>
    <xf numFmtId="9" fontId="5" fillId="27" borderId="0" xfId="0" applyNumberFormat="1" applyFont="1" applyFill="1" applyAlignment="1">
      <alignment horizontal="center"/>
    </xf>
    <xf numFmtId="0" fontId="5" fillId="27" borderId="0" xfId="0" applyFont="1" applyFill="1"/>
    <xf numFmtId="0" fontId="1" fillId="20" borderId="0" xfId="0" applyFont="1" applyFill="1"/>
    <xf numFmtId="9" fontId="24" fillId="22" borderId="2" xfId="1" applyFont="1" applyFill="1" applyBorder="1" applyAlignment="1">
      <alignment horizontal="center"/>
    </xf>
    <xf numFmtId="0" fontId="0" fillId="0" borderId="0" xfId="0" applyAlignment="1">
      <alignment wrapText="1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wrapText="1"/>
    </xf>
    <xf numFmtId="2" fontId="0" fillId="0" borderId="0" xfId="3" applyNumberFormat="1" applyFont="1" applyAlignment="1">
      <alignment horizontal="center" vertical="center"/>
    </xf>
    <xf numFmtId="2" fontId="30" fillId="0" borderId="0" xfId="0" applyNumberFormat="1" applyFont="1" applyAlignment="1">
      <alignment horizontal="center"/>
    </xf>
    <xf numFmtId="2" fontId="0" fillId="16" borderId="0" xfId="3" applyNumberFormat="1" applyFont="1" applyFill="1" applyAlignment="1">
      <alignment horizontal="center" vertical="center"/>
    </xf>
    <xf numFmtId="2" fontId="5" fillId="27" borderId="0" xfId="0" applyNumberFormat="1" applyFont="1" applyFill="1"/>
    <xf numFmtId="175" fontId="5" fillId="27" borderId="0" xfId="0" applyNumberFormat="1" applyFont="1" applyFill="1"/>
    <xf numFmtId="9" fontId="0" fillId="20" borderId="0" xfId="1" applyFont="1" applyFill="1" applyAlignment="1">
      <alignment horizontal="center" vertical="center"/>
    </xf>
    <xf numFmtId="166" fontId="5" fillId="6" borderId="0" xfId="0" applyNumberFormat="1" applyFont="1" applyFill="1" applyAlignment="1">
      <alignment horizontal="center" vertical="center"/>
    </xf>
    <xf numFmtId="10" fontId="5" fillId="6" borderId="0" xfId="0" applyNumberFormat="1" applyFont="1" applyFill="1" applyAlignment="1">
      <alignment horizontal="center" vertical="center"/>
    </xf>
    <xf numFmtId="0" fontId="30" fillId="0" borderId="0" xfId="0" applyFont="1"/>
    <xf numFmtId="0" fontId="7" fillId="8" borderId="2" xfId="0" applyFont="1" applyFill="1" applyBorder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0" fontId="7" fillId="7" borderId="2" xfId="0" applyFont="1" applyFill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167" fontId="5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left"/>
    </xf>
    <xf numFmtId="9" fontId="1" fillId="0" borderId="0" xfId="0" applyNumberFormat="1" applyFont="1"/>
    <xf numFmtId="0" fontId="15" fillId="6" borderId="0" xfId="0" applyFont="1" applyFill="1" applyAlignment="1">
      <alignment horizontal="center" vertical="center"/>
    </xf>
    <xf numFmtId="0" fontId="8" fillId="0" borderId="0" xfId="0" applyFont="1"/>
    <xf numFmtId="0" fontId="4" fillId="4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20" fillId="10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8" fillId="16" borderId="2" xfId="0" applyFont="1" applyFill="1" applyBorder="1"/>
    <xf numFmtId="0" fontId="8" fillId="16" borderId="3" xfId="0" applyFont="1" applyFill="1" applyBorder="1"/>
    <xf numFmtId="0" fontId="25" fillId="2" borderId="13" xfId="0" applyFont="1" applyFill="1" applyBorder="1" applyAlignment="1">
      <alignment horizontal="center"/>
    </xf>
    <xf numFmtId="0" fontId="8" fillId="0" borderId="14" xfId="0" applyFont="1" applyBorder="1"/>
    <xf numFmtId="0" fontId="8" fillId="0" borderId="15" xfId="0" applyFont="1" applyBorder="1"/>
    <xf numFmtId="0" fontId="25" fillId="2" borderId="13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9" fillId="1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8" fillId="0" borderId="0" xfId="0" applyFont="1" applyAlignment="1">
      <alignment horizontal="left" indent="2"/>
    </xf>
    <xf numFmtId="0" fontId="6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4">
    <cellStyle name="Millares" xfId="3" builtinId="3"/>
    <cellStyle name="Millares 2" xfId="2" xr:uid="{1AA22FB1-D81B-473A-A4F0-5E0DFE47C36F}"/>
    <cellStyle name="Normal" xfId="0" builtinId="0"/>
    <cellStyle name="Porcentaje" xfId="1" builtinId="5"/>
  </cellStyles>
  <dxfs count="34"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CF28192B-4864-4AE6-927C-9F81B403FC97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45E37079-C30C-4B02-843F-2DCC3F1F000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A552A208-F9E1-443A-8B3C-F65CD9FA9EDD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8BF2-1413-4E0F-94A9-053E7A36D438}">
  <sheetPr>
    <tabColor theme="1"/>
  </sheetPr>
  <dimension ref="A1:DQ289"/>
  <sheetViews>
    <sheetView showGridLines="0" tabSelected="1" topLeftCell="I239" zoomScale="85" zoomScaleNormal="85" workbookViewId="0">
      <selection activeCell="O248" sqref="O248:P256"/>
    </sheetView>
  </sheetViews>
  <sheetFormatPr baseColWidth="10" defaultColWidth="14.44140625" defaultRowHeight="15" customHeight="1" x14ac:dyDescent="0.3"/>
  <cols>
    <col min="1" max="2" width="10.6640625" customWidth="1"/>
    <col min="3" max="3" width="26.5546875" customWidth="1"/>
    <col min="4" max="4" width="12" customWidth="1"/>
    <col min="5" max="8" width="10.6640625" customWidth="1"/>
    <col min="9" max="9" width="27.33203125" customWidth="1"/>
    <col min="10" max="10" width="30.5546875" customWidth="1"/>
    <col min="11" max="11" width="10.6640625" customWidth="1"/>
    <col min="12" max="12" width="7.109375" customWidth="1"/>
    <col min="13" max="13" width="20" customWidth="1"/>
    <col min="14" max="14" width="13.44140625" customWidth="1"/>
    <col min="15" max="15" width="10.6640625" customWidth="1"/>
    <col min="16" max="16" width="14.44140625" customWidth="1"/>
    <col min="17" max="17" width="10.6640625" customWidth="1"/>
    <col min="18" max="18" width="15.5546875" customWidth="1"/>
    <col min="19" max="19" width="13.6640625" customWidth="1"/>
    <col min="20" max="20" width="11.44140625" customWidth="1"/>
    <col min="21" max="24" width="10.6640625" customWidth="1"/>
    <col min="25" max="26" width="13.44140625" customWidth="1"/>
    <col min="27" max="27" width="10.6640625" customWidth="1"/>
    <col min="28" max="28" width="12.6640625" customWidth="1"/>
    <col min="29" max="29" width="11.88671875" customWidth="1"/>
    <col min="30" max="33" width="10.6640625" customWidth="1"/>
    <col min="34" max="35" width="7.6640625" customWidth="1"/>
    <col min="36" max="36" width="8.88671875" customWidth="1"/>
    <col min="37" max="47" width="7.6640625" customWidth="1"/>
    <col min="48" max="79" width="8.6640625" customWidth="1"/>
    <col min="80" max="80" width="7.6640625" customWidth="1"/>
    <col min="81" max="81" width="8.88671875" customWidth="1"/>
    <col min="82" max="92" width="7.6640625" customWidth="1"/>
    <col min="93" max="121" width="8.6640625" customWidth="1"/>
  </cols>
  <sheetData>
    <row r="1" spans="2:106" ht="14.4" x14ac:dyDescent="0.3">
      <c r="CV1" s="20"/>
      <c r="CW1" s="20"/>
      <c r="CX1" s="20"/>
      <c r="CY1" s="20"/>
      <c r="CZ1" s="20"/>
      <c r="DA1" s="20"/>
      <c r="DB1" s="20"/>
    </row>
    <row r="2" spans="2:106" ht="14.4" x14ac:dyDescent="0.3">
      <c r="CV2" s="20"/>
      <c r="CW2" s="20"/>
      <c r="CX2" s="20"/>
      <c r="CY2" s="20"/>
      <c r="CZ2" s="20"/>
      <c r="DA2" s="20"/>
      <c r="DB2" s="20"/>
    </row>
    <row r="3" spans="2:106" ht="18" x14ac:dyDescent="0.3">
      <c r="N3" s="4" t="s">
        <v>106</v>
      </c>
      <c r="O3" s="4" t="s">
        <v>106</v>
      </c>
      <c r="P3" s="4" t="s">
        <v>106</v>
      </c>
      <c r="Q3" s="4" t="s">
        <v>106</v>
      </c>
      <c r="R3" s="4" t="s">
        <v>106</v>
      </c>
      <c r="S3" s="4" t="s">
        <v>106</v>
      </c>
      <c r="T3" s="4" t="s">
        <v>106</v>
      </c>
      <c r="U3" s="4" t="s">
        <v>106</v>
      </c>
      <c r="V3" s="4" t="s">
        <v>106</v>
      </c>
      <c r="W3" s="4" t="s">
        <v>106</v>
      </c>
      <c r="X3" s="4" t="s">
        <v>106</v>
      </c>
      <c r="Y3" s="4" t="s">
        <v>107</v>
      </c>
      <c r="Z3" s="4" t="s">
        <v>106</v>
      </c>
      <c r="AA3" s="20"/>
      <c r="AB3" s="305">
        <v>2019</v>
      </c>
      <c r="AC3" s="306"/>
      <c r="AD3" s="306"/>
      <c r="AE3" s="306"/>
      <c r="AF3" s="306"/>
      <c r="AG3" s="53"/>
      <c r="AH3" s="53"/>
      <c r="AI3" s="53"/>
      <c r="AJ3" s="53"/>
      <c r="AK3" s="53"/>
      <c r="AL3" s="53"/>
      <c r="AM3" s="53"/>
      <c r="AN3" s="53"/>
      <c r="CV3" s="20"/>
      <c r="CW3" s="20"/>
      <c r="CX3" s="20"/>
      <c r="CY3" s="20"/>
      <c r="CZ3" s="20"/>
      <c r="DA3" s="20"/>
      <c r="DB3" s="20"/>
    </row>
    <row r="4" spans="2:106" ht="36" x14ac:dyDescent="0.3">
      <c r="D4" s="4" t="s">
        <v>108</v>
      </c>
      <c r="E4" s="4" t="s">
        <v>109</v>
      </c>
      <c r="I4" s="54" t="s">
        <v>110</v>
      </c>
      <c r="J4" s="54" t="s">
        <v>111</v>
      </c>
      <c r="K4" s="54" t="s">
        <v>112</v>
      </c>
      <c r="L4" s="55"/>
      <c r="M4" s="54" t="s">
        <v>113</v>
      </c>
      <c r="N4" s="56" t="s">
        <v>114</v>
      </c>
      <c r="O4" s="56" t="s">
        <v>115</v>
      </c>
      <c r="P4" s="56" t="s">
        <v>116</v>
      </c>
      <c r="Q4" s="54" t="s">
        <v>117</v>
      </c>
      <c r="R4" s="54" t="s">
        <v>118</v>
      </c>
      <c r="S4" s="54" t="s">
        <v>119</v>
      </c>
      <c r="T4" s="54" t="s">
        <v>120</v>
      </c>
      <c r="U4" s="54" t="s">
        <v>121</v>
      </c>
      <c r="V4" s="54" t="s">
        <v>122</v>
      </c>
      <c r="W4" s="54" t="s">
        <v>123</v>
      </c>
      <c r="X4" s="54" t="s">
        <v>124</v>
      </c>
      <c r="Y4" s="54" t="s">
        <v>125</v>
      </c>
      <c r="Z4" s="56" t="s">
        <v>126</v>
      </c>
      <c r="AA4" s="20"/>
      <c r="AB4" s="21" t="s">
        <v>127</v>
      </c>
      <c r="AC4" s="5" t="s">
        <v>128</v>
      </c>
      <c r="AD4" s="21" t="s">
        <v>129</v>
      </c>
      <c r="AE4" s="21" t="s">
        <v>130</v>
      </c>
      <c r="AF4" s="21" t="s">
        <v>131</v>
      </c>
      <c r="AI4" s="21"/>
      <c r="AJ4" s="21"/>
      <c r="AK4" s="21"/>
      <c r="AL4" s="57"/>
      <c r="AM4" s="57"/>
      <c r="AN4" s="57"/>
      <c r="CV4" s="20"/>
      <c r="CW4" s="20"/>
      <c r="CX4" s="20"/>
      <c r="CY4" s="20"/>
      <c r="CZ4" s="20"/>
      <c r="DA4" s="20"/>
      <c r="DB4" s="20"/>
    </row>
    <row r="5" spans="2:106" ht="14.4" x14ac:dyDescent="0.3">
      <c r="D5" s="4"/>
      <c r="E5" s="4" t="s">
        <v>19</v>
      </c>
      <c r="I5" s="58" t="s">
        <v>132</v>
      </c>
      <c r="J5" s="59" t="s">
        <v>133</v>
      </c>
      <c r="K5" s="60" t="s">
        <v>134</v>
      </c>
      <c r="L5" s="61" t="s">
        <v>37</v>
      </c>
      <c r="M5" s="61" t="s">
        <v>135</v>
      </c>
      <c r="N5" s="62">
        <f t="shared" ref="N5:N24" si="0">+SUM(R5:X5)-W5</f>
        <v>162.95282191780822</v>
      </c>
      <c r="O5" s="62">
        <f t="shared" ref="O5:O24" si="1">+S5+R5+U5+T5</f>
        <v>6.7568767123287659</v>
      </c>
      <c r="P5" s="62">
        <f t="shared" ref="P5:P24" si="2">+V5-W5+X5</f>
        <v>156.19594520547946</v>
      </c>
      <c r="Q5" s="63">
        <v>162.95279452054797</v>
      </c>
      <c r="R5" s="63">
        <v>0</v>
      </c>
      <c r="S5" s="63">
        <v>0</v>
      </c>
      <c r="T5" s="63">
        <v>6.5319452054794507</v>
      </c>
      <c r="U5" s="63">
        <v>0.22493150684931507</v>
      </c>
      <c r="V5" s="63">
        <v>13.287095890410958</v>
      </c>
      <c r="W5" s="63">
        <v>0</v>
      </c>
      <c r="X5" s="63">
        <v>142.90884931506849</v>
      </c>
      <c r="Y5" s="63">
        <v>0</v>
      </c>
      <c r="Z5" s="64">
        <f t="shared" ref="Z5:Z27" si="3">+N5-S5</f>
        <v>162.95282191780822</v>
      </c>
      <c r="AA5" s="65"/>
      <c r="AB5" s="65">
        <f t="shared" ref="AB5:AB27" si="4">+Y5+(P5*1000000/$D$22)</f>
        <v>26930.335380255081</v>
      </c>
      <c r="AC5" s="66">
        <f t="shared" ref="AC5:AC27" si="5">+Y5+(Z5*1000000/$D$22)</f>
        <v>28095.314123760039</v>
      </c>
      <c r="AD5" s="67">
        <v>26000</v>
      </c>
      <c r="AE5" s="68">
        <f t="shared" ref="AE5:AE27" si="6">+(AD5-AB5)/AB5</f>
        <v>-3.4546000527612773E-2</v>
      </c>
      <c r="AF5" s="68">
        <f t="shared" ref="AF5:AF27" si="7">+(AD5-AC5)/AC5</f>
        <v>-7.4578775468754938E-2</v>
      </c>
      <c r="AI5" s="65"/>
      <c r="AJ5" s="65"/>
      <c r="AK5" s="65"/>
      <c r="AL5" s="69"/>
      <c r="AM5" s="69"/>
      <c r="AN5" s="69"/>
      <c r="CV5" s="20"/>
      <c r="CW5" s="20"/>
      <c r="CX5" s="20"/>
      <c r="CY5" s="20"/>
      <c r="CZ5" s="20"/>
      <c r="DA5" s="20"/>
      <c r="DB5" s="20"/>
    </row>
    <row r="6" spans="2:106" ht="14.4" x14ac:dyDescent="0.3">
      <c r="C6" s="16" t="s">
        <v>136</v>
      </c>
      <c r="D6" s="4" t="s">
        <v>137</v>
      </c>
      <c r="E6" s="4" t="s">
        <v>138</v>
      </c>
      <c r="I6" s="58" t="s">
        <v>132</v>
      </c>
      <c r="J6" s="59" t="s">
        <v>139</v>
      </c>
      <c r="K6" s="60" t="s">
        <v>134</v>
      </c>
      <c r="L6" s="61" t="s">
        <v>37</v>
      </c>
      <c r="M6" s="61" t="s">
        <v>135</v>
      </c>
      <c r="N6" s="62">
        <f t="shared" si="0"/>
        <v>23.174410958904112</v>
      </c>
      <c r="O6" s="62">
        <f t="shared" si="1"/>
        <v>0.14397260273972604</v>
      </c>
      <c r="P6" s="62">
        <f t="shared" si="2"/>
        <v>23.030438356164385</v>
      </c>
      <c r="Q6" s="63">
        <v>23.174301369863016</v>
      </c>
      <c r="R6" s="63">
        <v>0</v>
      </c>
      <c r="S6" s="63">
        <v>0</v>
      </c>
      <c r="T6" s="63">
        <v>0.11695890410958903</v>
      </c>
      <c r="U6" s="63">
        <v>2.701369863013699E-2</v>
      </c>
      <c r="V6" s="63">
        <v>1.9608219178082194</v>
      </c>
      <c r="W6" s="63">
        <v>0</v>
      </c>
      <c r="X6" s="63">
        <v>21.069616438356167</v>
      </c>
      <c r="Y6" s="63">
        <v>0</v>
      </c>
      <c r="Z6" s="64">
        <f t="shared" si="3"/>
        <v>23.174410958904112</v>
      </c>
      <c r="AA6" s="20"/>
      <c r="AB6" s="65">
        <f t="shared" si="4"/>
        <v>3970.7652338214457</v>
      </c>
      <c r="AC6" s="42">
        <f t="shared" si="5"/>
        <v>3995.5880963627774</v>
      </c>
      <c r="AD6" s="67">
        <v>3750</v>
      </c>
      <c r="AE6" s="68">
        <f t="shared" si="6"/>
        <v>-5.5597654563168994E-2</v>
      </c>
      <c r="AF6" s="68">
        <f t="shared" si="7"/>
        <v>-6.1464818304554115E-2</v>
      </c>
      <c r="AI6" s="65"/>
      <c r="AJ6" s="65"/>
      <c r="AK6" s="65"/>
      <c r="AL6" s="69"/>
      <c r="AM6" s="69"/>
      <c r="AN6" s="69"/>
      <c r="CV6" s="20"/>
      <c r="CW6" s="20"/>
      <c r="CX6" s="20"/>
      <c r="CY6" s="20"/>
      <c r="CZ6" s="20"/>
      <c r="DA6" s="20"/>
      <c r="DB6" s="20"/>
    </row>
    <row r="7" spans="2:106" ht="14.4" x14ac:dyDescent="0.3">
      <c r="B7" s="4" t="s">
        <v>37</v>
      </c>
      <c r="C7" s="70" t="s">
        <v>140</v>
      </c>
      <c r="D7" s="71">
        <v>1.0095573442026637</v>
      </c>
      <c r="E7" s="72">
        <v>55.539114956987063</v>
      </c>
      <c r="I7" s="58" t="s">
        <v>141</v>
      </c>
      <c r="J7" s="59" t="s">
        <v>142</v>
      </c>
      <c r="K7" s="60" t="s">
        <v>134</v>
      </c>
      <c r="L7" s="61" t="s">
        <v>37</v>
      </c>
      <c r="M7" s="61" t="s">
        <v>135</v>
      </c>
      <c r="N7" s="62">
        <f t="shared" si="0"/>
        <v>35.569315068493154</v>
      </c>
      <c r="O7" s="62">
        <f t="shared" si="1"/>
        <v>0</v>
      </c>
      <c r="P7" s="62">
        <f t="shared" si="2"/>
        <v>31.996931506849318</v>
      </c>
      <c r="Q7" s="63">
        <v>35.569315068493154</v>
      </c>
      <c r="R7" s="63">
        <v>0</v>
      </c>
      <c r="S7" s="63">
        <v>0</v>
      </c>
      <c r="T7" s="63">
        <v>0</v>
      </c>
      <c r="U7" s="63">
        <v>0</v>
      </c>
      <c r="V7" s="63">
        <v>35.569315068493154</v>
      </c>
      <c r="W7" s="63">
        <v>3.5723835616438366</v>
      </c>
      <c r="X7" s="63">
        <v>0</v>
      </c>
      <c r="Y7" s="63">
        <v>0</v>
      </c>
      <c r="Z7" s="64">
        <f t="shared" si="3"/>
        <v>35.569315068493154</v>
      </c>
      <c r="AA7" s="20"/>
      <c r="AB7" s="65">
        <f t="shared" si="4"/>
        <v>5516.7123287671238</v>
      </c>
      <c r="AC7" s="42">
        <f t="shared" si="5"/>
        <v>6132.6405290505427</v>
      </c>
      <c r="AD7" s="67">
        <v>5700</v>
      </c>
      <c r="AE7" s="68">
        <f t="shared" si="6"/>
        <v>3.3224076281287145E-2</v>
      </c>
      <c r="AF7" s="68">
        <f t="shared" si="7"/>
        <v>-7.0547185506978388E-2</v>
      </c>
      <c r="AI7" s="65"/>
      <c r="AJ7" s="65"/>
      <c r="AK7" s="65"/>
      <c r="AL7" s="69"/>
      <c r="AM7" s="69"/>
      <c r="AN7" s="69"/>
      <c r="CV7" s="20"/>
      <c r="CW7" s="20"/>
      <c r="CX7" s="20"/>
      <c r="CY7" s="20"/>
      <c r="CZ7" s="20"/>
      <c r="DA7" s="20"/>
      <c r="DB7" s="20"/>
    </row>
    <row r="8" spans="2:106" ht="14.4" x14ac:dyDescent="0.3">
      <c r="B8" s="4" t="s">
        <v>34</v>
      </c>
      <c r="C8" s="70" t="s">
        <v>143</v>
      </c>
      <c r="D8" s="71">
        <v>6.0871741676095334</v>
      </c>
      <c r="E8" s="72">
        <v>77.841777688967127</v>
      </c>
      <c r="I8" s="58" t="s">
        <v>141</v>
      </c>
      <c r="J8" s="59" t="s">
        <v>144</v>
      </c>
      <c r="K8" s="60">
        <v>48</v>
      </c>
      <c r="L8" s="61"/>
      <c r="M8" s="61" t="s">
        <v>145</v>
      </c>
      <c r="N8" s="62">
        <f t="shared" si="0"/>
        <v>649.48632876712327</v>
      </c>
      <c r="O8" s="62">
        <f t="shared" si="1"/>
        <v>436.89753424657533</v>
      </c>
      <c r="P8" s="62">
        <f t="shared" si="2"/>
        <v>204.32512328767126</v>
      </c>
      <c r="Q8" s="63">
        <v>649.4862739726027</v>
      </c>
      <c r="R8" s="63">
        <v>0</v>
      </c>
      <c r="S8" s="63">
        <v>396.38389041095888</v>
      </c>
      <c r="T8" s="63">
        <v>38.275260273972606</v>
      </c>
      <c r="U8" s="63">
        <v>2.2383835616438361</v>
      </c>
      <c r="V8" s="63">
        <v>16.510794520547947</v>
      </c>
      <c r="W8" s="63">
        <v>8.2636712328767121</v>
      </c>
      <c r="X8" s="63">
        <v>196.07800000000003</v>
      </c>
      <c r="Y8" s="63">
        <v>10231.853999999999</v>
      </c>
      <c r="Z8" s="64">
        <f t="shared" si="3"/>
        <v>253.10243835616438</v>
      </c>
      <c r="AA8" s="20"/>
      <c r="AB8" s="65">
        <f t="shared" si="4"/>
        <v>45460.323532357113</v>
      </c>
      <c r="AC8" s="42">
        <f t="shared" si="5"/>
        <v>53870.205440717997</v>
      </c>
      <c r="AD8" s="67">
        <v>50400</v>
      </c>
      <c r="AE8" s="73">
        <f t="shared" si="6"/>
        <v>0.1086590697958186</v>
      </c>
      <c r="AF8" s="68">
        <f t="shared" si="7"/>
        <v>-6.4417898768491216E-2</v>
      </c>
      <c r="AI8" s="65"/>
      <c r="AJ8" s="65"/>
      <c r="AK8" s="65"/>
      <c r="AL8" s="69"/>
      <c r="AM8" s="69"/>
      <c r="AN8" s="69"/>
      <c r="CV8" s="20"/>
      <c r="CW8" s="20"/>
      <c r="CX8" s="20"/>
      <c r="CY8" s="20"/>
      <c r="CZ8" s="20"/>
      <c r="DA8" s="20"/>
      <c r="DB8" s="20"/>
    </row>
    <row r="9" spans="2:106" ht="14.4" x14ac:dyDescent="0.3">
      <c r="B9" s="4" t="s">
        <v>146</v>
      </c>
      <c r="C9" s="74" t="s">
        <v>147</v>
      </c>
      <c r="D9" s="34">
        <v>6.0871741676095334</v>
      </c>
      <c r="E9" s="75">
        <v>77.841777688967127</v>
      </c>
      <c r="I9" s="58" t="s">
        <v>141</v>
      </c>
      <c r="J9" s="59" t="s">
        <v>148</v>
      </c>
      <c r="K9" s="60">
        <v>52</v>
      </c>
      <c r="L9" s="61"/>
      <c r="M9" s="61" t="s">
        <v>145</v>
      </c>
      <c r="N9" s="62">
        <f t="shared" si="0"/>
        <v>277.3735890410959</v>
      </c>
      <c r="O9" s="62">
        <f t="shared" si="1"/>
        <v>82.001808219178074</v>
      </c>
      <c r="P9" s="62">
        <f t="shared" si="2"/>
        <v>165.01969863013699</v>
      </c>
      <c r="Q9" s="63">
        <v>277.37400000000002</v>
      </c>
      <c r="R9" s="63">
        <v>0</v>
      </c>
      <c r="S9" s="63">
        <v>50.500383561643829</v>
      </c>
      <c r="T9" s="63">
        <v>30.359369863013697</v>
      </c>
      <c r="U9" s="63">
        <v>1.1420547945205479</v>
      </c>
      <c r="V9" s="63">
        <v>30.377342465753429</v>
      </c>
      <c r="W9" s="63">
        <v>30.352082191780823</v>
      </c>
      <c r="X9" s="63">
        <v>164.99443835616438</v>
      </c>
      <c r="Y9" s="63">
        <v>3182.6220821917809</v>
      </c>
      <c r="Z9" s="64">
        <f t="shared" si="3"/>
        <v>226.87320547945205</v>
      </c>
      <c r="AA9" s="20"/>
      <c r="AB9" s="65">
        <f t="shared" si="4"/>
        <v>31634.294259801609</v>
      </c>
      <c r="AC9" s="42">
        <f t="shared" si="5"/>
        <v>42298.691992442131</v>
      </c>
      <c r="AD9" s="67">
        <v>33000</v>
      </c>
      <c r="AE9" s="68">
        <f t="shared" si="6"/>
        <v>4.3171683521127997E-2</v>
      </c>
      <c r="AF9" s="73">
        <f t="shared" si="7"/>
        <v>-0.21983403160796575</v>
      </c>
      <c r="AI9" s="65"/>
      <c r="AJ9" s="65"/>
      <c r="AK9" s="65"/>
      <c r="AL9" s="69"/>
      <c r="AM9" s="69"/>
      <c r="AN9" s="69"/>
      <c r="CV9" s="20"/>
      <c r="CW9" s="20"/>
      <c r="CX9" s="20"/>
      <c r="CY9" s="20"/>
      <c r="CZ9" s="20"/>
      <c r="DA9" s="20"/>
      <c r="DB9" s="20"/>
    </row>
    <row r="10" spans="2:106" ht="14.4" x14ac:dyDescent="0.3">
      <c r="B10" s="4" t="s">
        <v>82</v>
      </c>
      <c r="C10" s="76" t="s">
        <v>149</v>
      </c>
      <c r="D10" s="77">
        <v>6.0871741676095334</v>
      </c>
      <c r="E10" s="78">
        <v>77.841777688967127</v>
      </c>
      <c r="I10" s="58" t="s">
        <v>141</v>
      </c>
      <c r="J10" s="59" t="s">
        <v>150</v>
      </c>
      <c r="K10" s="60">
        <v>46</v>
      </c>
      <c r="L10" s="61"/>
      <c r="M10" s="61" t="s">
        <v>145</v>
      </c>
      <c r="N10" s="62">
        <f t="shared" si="0"/>
        <v>435.40112328767128</v>
      </c>
      <c r="O10" s="62">
        <f t="shared" si="1"/>
        <v>235.53923287671233</v>
      </c>
      <c r="P10" s="62">
        <f t="shared" si="2"/>
        <v>199.86189041095895</v>
      </c>
      <c r="Q10" s="63">
        <v>435.4008767123288</v>
      </c>
      <c r="R10" s="63">
        <v>0</v>
      </c>
      <c r="S10" s="63">
        <v>225.24104109589044</v>
      </c>
      <c r="T10" s="63">
        <v>9.0779452054794518</v>
      </c>
      <c r="U10" s="63">
        <v>1.2202465753424658</v>
      </c>
      <c r="V10" s="63">
        <v>142.09446575342469</v>
      </c>
      <c r="W10" s="63">
        <v>0</v>
      </c>
      <c r="X10" s="63">
        <v>57.767424657534249</v>
      </c>
      <c r="Y10" s="63">
        <v>27008.407917808221</v>
      </c>
      <c r="Z10" s="64">
        <f t="shared" si="3"/>
        <v>210.16008219178084</v>
      </c>
      <c r="AA10" s="20"/>
      <c r="AB10" s="65">
        <f t="shared" si="4"/>
        <v>61467.354540387343</v>
      </c>
      <c r="AC10" s="42">
        <f t="shared" si="5"/>
        <v>63242.904847425612</v>
      </c>
      <c r="AD10" s="67">
        <v>59550</v>
      </c>
      <c r="AE10" s="68">
        <f t="shared" si="6"/>
        <v>-3.1193054503875526E-2</v>
      </c>
      <c r="AF10" s="68">
        <f t="shared" si="7"/>
        <v>-5.8392397634719602E-2</v>
      </c>
      <c r="AI10" s="65"/>
      <c r="AJ10" s="65"/>
      <c r="AK10" s="65"/>
      <c r="AL10" s="69"/>
      <c r="AM10" s="69"/>
      <c r="AN10" s="69"/>
      <c r="CV10" s="20"/>
      <c r="CW10" s="20"/>
      <c r="CX10" s="20"/>
      <c r="CY10" s="20"/>
      <c r="CZ10" s="20"/>
      <c r="DA10" s="20"/>
      <c r="DB10" s="20"/>
    </row>
    <row r="11" spans="2:106" ht="14.4" x14ac:dyDescent="0.3">
      <c r="B11" s="4" t="s">
        <v>151</v>
      </c>
      <c r="C11" s="70" t="s">
        <v>152</v>
      </c>
      <c r="D11" s="71">
        <v>5.3308987344700309</v>
      </c>
      <c r="E11" s="72">
        <v>69.193827140333724</v>
      </c>
      <c r="I11" s="58" t="s">
        <v>141</v>
      </c>
      <c r="J11" s="59" t="s">
        <v>153</v>
      </c>
      <c r="K11" s="60">
        <f>44+((47-44)/2)</f>
        <v>45.5</v>
      </c>
      <c r="L11" s="61"/>
      <c r="M11" s="61" t="s">
        <v>145</v>
      </c>
      <c r="N11" s="62">
        <f t="shared" si="0"/>
        <v>166.60876712328769</v>
      </c>
      <c r="O11" s="62">
        <f t="shared" si="1"/>
        <v>166.60876712328769</v>
      </c>
      <c r="P11" s="62">
        <f t="shared" si="2"/>
        <v>0</v>
      </c>
      <c r="Q11" s="63">
        <v>166.60868493150684</v>
      </c>
      <c r="R11" s="63">
        <v>0</v>
      </c>
      <c r="S11" s="63">
        <v>161.80676712328767</v>
      </c>
      <c r="T11" s="63">
        <v>0.54767123287671238</v>
      </c>
      <c r="U11" s="63">
        <v>4.2543287671232868</v>
      </c>
      <c r="V11" s="63">
        <v>0</v>
      </c>
      <c r="W11" s="63">
        <v>0</v>
      </c>
      <c r="X11" s="63">
        <v>0</v>
      </c>
      <c r="Y11" s="63">
        <v>8010.0189863013702</v>
      </c>
      <c r="Z11" s="64">
        <f t="shared" si="3"/>
        <v>4.8020000000000209</v>
      </c>
      <c r="AA11" s="20"/>
      <c r="AB11" s="65">
        <f t="shared" si="4"/>
        <v>8010.0189863013702</v>
      </c>
      <c r="AC11" s="42">
        <f t="shared" si="5"/>
        <v>8837.950020784132</v>
      </c>
      <c r="AD11" s="67">
        <v>8450</v>
      </c>
      <c r="AE11" s="68">
        <f t="shared" si="6"/>
        <v>5.4928835306268256E-2</v>
      </c>
      <c r="AF11" s="68">
        <f t="shared" si="7"/>
        <v>-4.389592833991969E-2</v>
      </c>
      <c r="AI11" s="65"/>
      <c r="AJ11" s="65"/>
      <c r="AK11" s="65"/>
      <c r="AL11" s="69"/>
      <c r="AM11" s="69"/>
      <c r="AN11" s="69"/>
      <c r="CV11" s="20"/>
      <c r="CW11" s="20"/>
      <c r="CX11" s="20"/>
      <c r="CY11" s="20"/>
      <c r="CZ11" s="20"/>
      <c r="DA11" s="20"/>
      <c r="DB11" s="20"/>
    </row>
    <row r="12" spans="2:106" ht="14.4" x14ac:dyDescent="0.3">
      <c r="B12" s="4" t="s">
        <v>154</v>
      </c>
      <c r="C12" s="74" t="s">
        <v>155</v>
      </c>
      <c r="D12" s="34">
        <v>5.6708498400612823</v>
      </c>
      <c r="E12" s="75">
        <v>75.166375708662926</v>
      </c>
      <c r="I12" s="58" t="s">
        <v>141</v>
      </c>
      <c r="J12" s="59" t="s">
        <v>156</v>
      </c>
      <c r="K12" s="60">
        <f>11.3+(14.4-11.3)/2</f>
        <v>12.850000000000001</v>
      </c>
      <c r="L12" s="61"/>
      <c r="M12" s="61" t="s">
        <v>157</v>
      </c>
      <c r="N12" s="62">
        <f t="shared" si="0"/>
        <v>0</v>
      </c>
      <c r="O12" s="62">
        <f t="shared" si="1"/>
        <v>0</v>
      </c>
      <c r="P12" s="62">
        <f t="shared" si="2"/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119308.68268493151</v>
      </c>
      <c r="Z12" s="64">
        <f t="shared" si="3"/>
        <v>0</v>
      </c>
      <c r="AA12" s="20"/>
      <c r="AB12" s="65">
        <f t="shared" si="4"/>
        <v>119308.68268493151</v>
      </c>
      <c r="AC12" s="42">
        <f t="shared" si="5"/>
        <v>119308.68268493151</v>
      </c>
      <c r="AD12" s="67">
        <v>112500</v>
      </c>
      <c r="AE12" s="68">
        <f t="shared" si="6"/>
        <v>-5.706778862785513E-2</v>
      </c>
      <c r="AF12" s="68">
        <f t="shared" si="7"/>
        <v>-5.706778862785513E-2</v>
      </c>
      <c r="AI12" s="65"/>
      <c r="AJ12" s="65"/>
      <c r="AK12" s="65"/>
      <c r="AL12" s="69"/>
      <c r="AM12" s="69"/>
      <c r="AN12" s="69"/>
      <c r="CV12" s="20"/>
      <c r="CW12" s="20"/>
      <c r="CX12" s="20"/>
      <c r="CY12" s="20"/>
      <c r="CZ12" s="20"/>
      <c r="DA12" s="20"/>
      <c r="DB12" s="20"/>
    </row>
    <row r="13" spans="2:106" ht="14.4" x14ac:dyDescent="0.3">
      <c r="B13" s="4" t="s">
        <v>158</v>
      </c>
      <c r="C13" s="76" t="s">
        <v>159</v>
      </c>
      <c r="D13" s="77">
        <v>4.7117947967516214</v>
      </c>
      <c r="E13" s="78">
        <v>87.735056011523966</v>
      </c>
      <c r="I13" s="58" t="s">
        <v>141</v>
      </c>
      <c r="J13" s="59" t="s">
        <v>160</v>
      </c>
      <c r="K13" s="60">
        <v>13.7</v>
      </c>
      <c r="L13" s="61"/>
      <c r="M13" s="61" t="s">
        <v>157</v>
      </c>
      <c r="N13" s="62">
        <f t="shared" si="0"/>
        <v>0</v>
      </c>
      <c r="O13" s="62">
        <f t="shared" si="1"/>
        <v>0</v>
      </c>
      <c r="P13" s="62">
        <f t="shared" si="2"/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114056.06200000001</v>
      </c>
      <c r="Z13" s="64">
        <f t="shared" si="3"/>
        <v>0</v>
      </c>
      <c r="AA13" s="20"/>
      <c r="AB13" s="65">
        <f t="shared" si="4"/>
        <v>114056.06200000001</v>
      </c>
      <c r="AC13" s="42">
        <f t="shared" si="5"/>
        <v>114056.06200000001</v>
      </c>
      <c r="AD13" s="67">
        <v>112200</v>
      </c>
      <c r="AE13" s="68">
        <f t="shared" si="6"/>
        <v>-1.6273242889974629E-2</v>
      </c>
      <c r="AF13" s="68">
        <f t="shared" si="7"/>
        <v>-1.6273242889974629E-2</v>
      </c>
      <c r="AI13" s="65"/>
      <c r="AJ13" s="65"/>
      <c r="AK13" s="65"/>
      <c r="AL13" s="69"/>
      <c r="AM13" s="69"/>
      <c r="AN13" s="69"/>
      <c r="CV13" s="20"/>
      <c r="CW13" s="20"/>
      <c r="CX13" s="20"/>
      <c r="CY13" s="20"/>
      <c r="CZ13" s="20"/>
      <c r="DA13" s="20"/>
      <c r="DB13" s="20"/>
    </row>
    <row r="14" spans="2:106" ht="14.4" x14ac:dyDescent="0.3">
      <c r="B14" s="4" t="s">
        <v>161</v>
      </c>
      <c r="C14" s="70" t="s">
        <v>162</v>
      </c>
      <c r="D14" s="71">
        <v>4.0562660463586173</v>
      </c>
      <c r="E14" s="72">
        <v>47.28933824683137</v>
      </c>
      <c r="I14" s="58" t="s">
        <v>141</v>
      </c>
      <c r="J14" s="59" t="s">
        <v>163</v>
      </c>
      <c r="K14" s="60">
        <f>7+(20-7)/2</f>
        <v>13.5</v>
      </c>
      <c r="L14" s="61"/>
      <c r="M14" s="61" t="s">
        <v>157</v>
      </c>
      <c r="N14" s="62">
        <f t="shared" si="0"/>
        <v>3.793589041095891</v>
      </c>
      <c r="O14" s="62">
        <f t="shared" si="1"/>
        <v>3.793589041095891</v>
      </c>
      <c r="P14" s="62">
        <f t="shared" si="2"/>
        <v>0</v>
      </c>
      <c r="Q14" s="63">
        <v>3.7935616438356163</v>
      </c>
      <c r="R14" s="63">
        <v>0</v>
      </c>
      <c r="S14" s="63">
        <v>0</v>
      </c>
      <c r="T14" s="63">
        <v>0.87139726027397268</v>
      </c>
      <c r="U14" s="63">
        <v>2.9221917808219184</v>
      </c>
      <c r="V14" s="63">
        <v>0</v>
      </c>
      <c r="W14" s="63">
        <v>0</v>
      </c>
      <c r="X14" s="63">
        <v>0</v>
      </c>
      <c r="Y14" s="63">
        <v>69090.784575342463</v>
      </c>
      <c r="Z14" s="64">
        <f t="shared" si="3"/>
        <v>3.793589041095891</v>
      </c>
      <c r="AA14" s="20"/>
      <c r="AB14" s="65">
        <f t="shared" si="4"/>
        <v>69090.784575342463</v>
      </c>
      <c r="AC14" s="42">
        <f t="shared" si="5"/>
        <v>69744.851651393474</v>
      </c>
      <c r="AD14" s="67">
        <v>69000</v>
      </c>
      <c r="AE14" s="68">
        <f t="shared" si="6"/>
        <v>-1.3139896427643461E-3</v>
      </c>
      <c r="AF14" s="68">
        <f t="shared" si="7"/>
        <v>-1.06796650040418E-2</v>
      </c>
      <c r="AI14" s="65"/>
      <c r="AJ14" s="65"/>
      <c r="AK14" s="65"/>
      <c r="AL14" s="69"/>
      <c r="AM14" s="69"/>
      <c r="AN14" s="69"/>
      <c r="CV14" s="20"/>
      <c r="CW14" s="20"/>
      <c r="CX14" s="20"/>
      <c r="CY14" s="20"/>
      <c r="CZ14" s="20"/>
      <c r="DA14" s="20"/>
      <c r="DB14" s="20"/>
    </row>
    <row r="15" spans="2:106" ht="14.4" x14ac:dyDescent="0.3">
      <c r="B15" s="4" t="s">
        <v>164</v>
      </c>
      <c r="C15" s="74" t="s">
        <v>165</v>
      </c>
      <c r="D15" s="34">
        <v>5.4608206169323079</v>
      </c>
      <c r="E15" s="75">
        <v>78.281203343664757</v>
      </c>
      <c r="I15" s="58" t="s">
        <v>141</v>
      </c>
      <c r="J15" s="59" t="s">
        <v>166</v>
      </c>
      <c r="K15" s="60">
        <v>8</v>
      </c>
      <c r="L15" s="61"/>
      <c r="M15" s="61" t="s">
        <v>157</v>
      </c>
      <c r="N15" s="62">
        <f t="shared" si="0"/>
        <v>0.58205479452054798</v>
      </c>
      <c r="O15" s="62">
        <f t="shared" si="1"/>
        <v>0.58205479452054798</v>
      </c>
      <c r="P15" s="62">
        <f t="shared" si="2"/>
        <v>0</v>
      </c>
      <c r="Q15" s="63">
        <v>0.58205479452054798</v>
      </c>
      <c r="R15" s="63">
        <v>0</v>
      </c>
      <c r="S15" s="63">
        <v>0</v>
      </c>
      <c r="T15" s="63">
        <v>0</v>
      </c>
      <c r="U15" s="63">
        <v>0.58205479452054798</v>
      </c>
      <c r="V15" s="63">
        <v>0</v>
      </c>
      <c r="W15" s="63">
        <v>0</v>
      </c>
      <c r="X15" s="63">
        <v>0</v>
      </c>
      <c r="Y15" s="63">
        <v>19756.607616438356</v>
      </c>
      <c r="Z15" s="64">
        <f t="shared" si="3"/>
        <v>0.58205479452054798</v>
      </c>
      <c r="AA15" s="20"/>
      <c r="AB15" s="65">
        <f t="shared" si="4"/>
        <v>19756.607616438356</v>
      </c>
      <c r="AC15" s="42">
        <f t="shared" si="5"/>
        <v>19856.961891355691</v>
      </c>
      <c r="AD15" s="67">
        <v>19000</v>
      </c>
      <c r="AE15" s="68">
        <f t="shared" si="6"/>
        <v>-3.8296433837600001E-2</v>
      </c>
      <c r="AF15" s="68">
        <f t="shared" si="7"/>
        <v>-4.3156747544988328E-2</v>
      </c>
      <c r="AI15" s="65"/>
      <c r="AJ15" s="65"/>
      <c r="AK15" s="65"/>
      <c r="AL15" s="69"/>
      <c r="AM15" s="69"/>
      <c r="AN15" s="69"/>
      <c r="CV15" s="20"/>
      <c r="CW15" s="20"/>
      <c r="CX15" s="20"/>
      <c r="CY15" s="20"/>
      <c r="CZ15" s="20"/>
      <c r="DA15" s="20"/>
      <c r="DB15" s="20"/>
    </row>
    <row r="16" spans="2:106" ht="14.4" x14ac:dyDescent="0.3">
      <c r="B16" s="4" t="s">
        <v>167</v>
      </c>
      <c r="C16" s="74" t="s">
        <v>168</v>
      </c>
      <c r="D16" s="34">
        <v>4.7615165047769556</v>
      </c>
      <c r="E16" s="75">
        <v>56.337812381502502</v>
      </c>
      <c r="I16" s="58" t="s">
        <v>141</v>
      </c>
      <c r="J16" s="59" t="s">
        <v>169</v>
      </c>
      <c r="K16" s="60">
        <v>13.5</v>
      </c>
      <c r="L16" s="61"/>
      <c r="M16" s="61" t="s">
        <v>157</v>
      </c>
      <c r="N16" s="62">
        <f t="shared" si="0"/>
        <v>1.1906575342465753</v>
      </c>
      <c r="O16" s="62">
        <f t="shared" si="1"/>
        <v>1.5506849315068495E-2</v>
      </c>
      <c r="P16" s="62">
        <f t="shared" si="2"/>
        <v>0.64550684931506841</v>
      </c>
      <c r="Q16" s="63">
        <v>1.1908493150684931</v>
      </c>
      <c r="R16" s="63">
        <v>0</v>
      </c>
      <c r="S16" s="63">
        <v>0</v>
      </c>
      <c r="T16" s="63">
        <v>1.5506849315068495E-2</v>
      </c>
      <c r="U16" s="63">
        <v>0</v>
      </c>
      <c r="V16" s="63">
        <v>1.1751506849315068</v>
      </c>
      <c r="W16" s="63">
        <v>0.52964383561643835</v>
      </c>
      <c r="X16" s="63">
        <v>0</v>
      </c>
      <c r="Y16" s="63">
        <v>3941.1335068493149</v>
      </c>
      <c r="Z16" s="64">
        <f t="shared" si="3"/>
        <v>1.1906575342465753</v>
      </c>
      <c r="AA16" s="20"/>
      <c r="AB16" s="65">
        <f t="shared" si="4"/>
        <v>4052.4277912139819</v>
      </c>
      <c r="AC16" s="42">
        <f t="shared" si="5"/>
        <v>4146.4192886159663</v>
      </c>
      <c r="AD16" s="67">
        <v>4210</v>
      </c>
      <c r="AE16" s="68">
        <f t="shared" si="6"/>
        <v>3.8883409379347471E-2</v>
      </c>
      <c r="AF16" s="68">
        <f t="shared" si="7"/>
        <v>1.5333883758112741E-2</v>
      </c>
      <c r="AI16" s="65"/>
      <c r="AJ16" s="65"/>
      <c r="AK16" s="65"/>
      <c r="AL16" s="69"/>
      <c r="AM16" s="69"/>
      <c r="AN16" s="69"/>
      <c r="CV16" s="20"/>
      <c r="CW16" s="20"/>
      <c r="CX16" s="20"/>
      <c r="CY16" s="20"/>
      <c r="CZ16" s="20"/>
      <c r="DA16" s="20"/>
      <c r="DB16" s="20"/>
    </row>
    <row r="17" spans="2:106" ht="14.4" x14ac:dyDescent="0.3">
      <c r="B17" s="4" t="s">
        <v>170</v>
      </c>
      <c r="C17" s="76" t="s">
        <v>171</v>
      </c>
      <c r="D17" s="77">
        <v>4.1867999999999999</v>
      </c>
      <c r="E17" s="78">
        <v>40.784041574326501</v>
      </c>
      <c r="I17" s="58" t="s">
        <v>172</v>
      </c>
      <c r="J17" s="59" t="s">
        <v>173</v>
      </c>
      <c r="K17" s="60">
        <v>35</v>
      </c>
      <c r="L17" s="61"/>
      <c r="M17" s="61" t="s">
        <v>145</v>
      </c>
      <c r="N17" s="62">
        <f t="shared" si="0"/>
        <v>3.4626301369863017</v>
      </c>
      <c r="O17" s="62">
        <f t="shared" si="1"/>
        <v>3.4626301369863017</v>
      </c>
      <c r="P17" s="62">
        <f t="shared" si="2"/>
        <v>0</v>
      </c>
      <c r="Q17" s="63">
        <v>3.4626301369863017</v>
      </c>
      <c r="R17" s="63">
        <v>0</v>
      </c>
      <c r="S17" s="63">
        <v>0</v>
      </c>
      <c r="T17" s="63">
        <v>0</v>
      </c>
      <c r="U17" s="63">
        <v>3.4626301369863017</v>
      </c>
      <c r="V17" s="63">
        <v>0</v>
      </c>
      <c r="W17" s="63">
        <v>0</v>
      </c>
      <c r="X17" s="63">
        <v>0</v>
      </c>
      <c r="Y17" s="63">
        <v>1962.0646849315069</v>
      </c>
      <c r="Z17" s="64">
        <f t="shared" si="3"/>
        <v>3.4626301369863017</v>
      </c>
      <c r="AA17" s="20"/>
      <c r="AB17" s="65">
        <f t="shared" si="4"/>
        <v>1962.0646849315069</v>
      </c>
      <c r="AC17" s="42">
        <f t="shared" si="5"/>
        <v>2559.0698809636278</v>
      </c>
      <c r="AD17" s="67">
        <v>2100</v>
      </c>
      <c r="AE17" s="68">
        <f t="shared" si="6"/>
        <v>7.030110481464999E-2</v>
      </c>
      <c r="AF17" s="73">
        <f t="shared" si="7"/>
        <v>-0.17938934937984705</v>
      </c>
      <c r="AI17" s="65"/>
      <c r="AJ17" s="65"/>
      <c r="AK17" s="65"/>
      <c r="AL17" s="69"/>
      <c r="AM17" s="69"/>
      <c r="AN17" s="69"/>
      <c r="CV17" s="20"/>
      <c r="CW17" s="20"/>
      <c r="CX17" s="20"/>
      <c r="CY17" s="20"/>
      <c r="CZ17" s="20"/>
      <c r="DA17" s="20"/>
      <c r="DB17" s="20"/>
    </row>
    <row r="18" spans="2:106" ht="14.4" x14ac:dyDescent="0.3">
      <c r="B18" s="79" t="s">
        <v>174</v>
      </c>
      <c r="I18" s="58" t="s">
        <v>175</v>
      </c>
      <c r="J18" s="59" t="s">
        <v>176</v>
      </c>
      <c r="K18" s="60">
        <v>21</v>
      </c>
      <c r="L18" s="61"/>
      <c r="M18" s="61" t="s">
        <v>177</v>
      </c>
      <c r="N18" s="62">
        <f t="shared" si="0"/>
        <v>1.1893972602739726</v>
      </c>
      <c r="O18" s="62">
        <f t="shared" si="1"/>
        <v>1.1893972602739726</v>
      </c>
      <c r="P18" s="62">
        <f t="shared" si="2"/>
        <v>0</v>
      </c>
      <c r="Q18" s="63">
        <v>1.1894794520547947</v>
      </c>
      <c r="R18" s="63">
        <v>0</v>
      </c>
      <c r="S18" s="63">
        <v>0</v>
      </c>
      <c r="T18" s="63">
        <v>0.95542465753424666</v>
      </c>
      <c r="U18" s="63">
        <v>0.23397260273972598</v>
      </c>
      <c r="V18" s="63">
        <v>0</v>
      </c>
      <c r="W18" s="63">
        <v>0</v>
      </c>
      <c r="X18" s="63">
        <v>0</v>
      </c>
      <c r="Y18" s="63">
        <v>12119.3965753425</v>
      </c>
      <c r="Z18" s="64">
        <f t="shared" si="3"/>
        <v>1.1893972602739726</v>
      </c>
      <c r="AA18" s="20"/>
      <c r="AB18" s="65">
        <f t="shared" si="4"/>
        <v>12119.3965753425</v>
      </c>
      <c r="AC18" s="42">
        <f t="shared" si="5"/>
        <v>12324.465068493186</v>
      </c>
      <c r="AD18" s="67">
        <v>11750</v>
      </c>
      <c r="AE18" s="68">
        <f t="shared" si="6"/>
        <v>-3.0479782804867961E-2</v>
      </c>
      <c r="AF18" s="68">
        <f t="shared" si="7"/>
        <v>-4.6611764916416047E-2</v>
      </c>
      <c r="AI18" s="65"/>
      <c r="AJ18" s="65"/>
      <c r="AK18" s="65"/>
      <c r="AL18" s="69"/>
      <c r="AM18" s="69"/>
      <c r="AN18" s="69"/>
      <c r="CV18" s="20"/>
      <c r="CW18" s="20"/>
      <c r="CX18" s="20"/>
      <c r="CY18" s="20"/>
      <c r="CZ18" s="20"/>
      <c r="DA18" s="20"/>
      <c r="DB18" s="20"/>
    </row>
    <row r="19" spans="2:106" ht="14.4" x14ac:dyDescent="0.3">
      <c r="I19" s="58" t="s">
        <v>175</v>
      </c>
      <c r="J19" s="59" t="s">
        <v>178</v>
      </c>
      <c r="K19" s="60">
        <v>12.5</v>
      </c>
      <c r="L19" s="61"/>
      <c r="M19" s="61" t="s">
        <v>157</v>
      </c>
      <c r="N19" s="62">
        <f t="shared" si="0"/>
        <v>0.23824657534246574</v>
      </c>
      <c r="O19" s="62">
        <f t="shared" si="1"/>
        <v>0.23824657534246574</v>
      </c>
      <c r="P19" s="62">
        <f t="shared" si="2"/>
        <v>0</v>
      </c>
      <c r="Q19" s="63">
        <v>0.23827397260273972</v>
      </c>
      <c r="R19" s="63">
        <v>0</v>
      </c>
      <c r="S19" s="63">
        <v>0</v>
      </c>
      <c r="T19" s="63">
        <v>0.10038356164383562</v>
      </c>
      <c r="U19" s="63">
        <v>0.1378630136986301</v>
      </c>
      <c r="V19" s="63">
        <v>0</v>
      </c>
      <c r="W19" s="63">
        <v>0</v>
      </c>
      <c r="X19" s="63">
        <v>0</v>
      </c>
      <c r="Y19" s="63">
        <v>1476.5236986301368</v>
      </c>
      <c r="Z19" s="64">
        <f t="shared" si="3"/>
        <v>0.23824657534246574</v>
      </c>
      <c r="AA19" s="20"/>
      <c r="AB19" s="65">
        <f t="shared" si="4"/>
        <v>1476.5236986301368</v>
      </c>
      <c r="AC19" s="42">
        <f t="shared" si="5"/>
        <v>1517.6006943788377</v>
      </c>
      <c r="AD19" s="67">
        <v>1500</v>
      </c>
      <c r="AE19" s="68">
        <f t="shared" si="6"/>
        <v>1.5899711864864514E-2</v>
      </c>
      <c r="AF19" s="68">
        <f t="shared" si="7"/>
        <v>-1.1597711073822205E-2</v>
      </c>
      <c r="AI19" s="65"/>
      <c r="AJ19" s="65"/>
      <c r="AK19" s="65"/>
      <c r="AL19" s="69"/>
      <c r="AM19" s="69"/>
      <c r="AN19" s="69"/>
      <c r="CV19" s="20"/>
      <c r="CW19" s="20"/>
      <c r="CX19" s="20"/>
      <c r="CY19" s="20"/>
      <c r="CZ19" s="20"/>
      <c r="DA19" s="20"/>
      <c r="DB19" s="20"/>
    </row>
    <row r="20" spans="2:106" ht="14.4" x14ac:dyDescent="0.3">
      <c r="C20" s="16" t="s">
        <v>179</v>
      </c>
      <c r="D20" s="80">
        <v>6117863200</v>
      </c>
      <c r="E20" s="16" t="s">
        <v>180</v>
      </c>
      <c r="I20" s="58" t="s">
        <v>175</v>
      </c>
      <c r="J20" s="59" t="s">
        <v>181</v>
      </c>
      <c r="K20" s="60">
        <v>21</v>
      </c>
      <c r="L20" s="61"/>
      <c r="M20" s="61" t="s">
        <v>177</v>
      </c>
      <c r="N20" s="62">
        <f t="shared" si="0"/>
        <v>5.057041095890412</v>
      </c>
      <c r="O20" s="62">
        <f t="shared" si="1"/>
        <v>2.6139452054794523</v>
      </c>
      <c r="P20" s="62">
        <f t="shared" si="2"/>
        <v>2.4430958904109596</v>
      </c>
      <c r="Q20" s="63">
        <v>5.0572054794520547</v>
      </c>
      <c r="R20" s="63">
        <v>0</v>
      </c>
      <c r="S20" s="63">
        <v>0</v>
      </c>
      <c r="T20" s="63">
        <v>2.4027123287671235</v>
      </c>
      <c r="U20" s="63">
        <v>0.21123287671232879</v>
      </c>
      <c r="V20" s="63">
        <v>0</v>
      </c>
      <c r="W20" s="63">
        <v>0</v>
      </c>
      <c r="X20" s="63">
        <v>2.4430958904109596</v>
      </c>
      <c r="Y20" s="63">
        <v>17849.99879452055</v>
      </c>
      <c r="Z20" s="64">
        <f t="shared" si="3"/>
        <v>5.057041095890412</v>
      </c>
      <c r="AA20" s="20"/>
      <c r="AB20" s="65">
        <f t="shared" si="4"/>
        <v>18271.22222390175</v>
      </c>
      <c r="AC20" s="42">
        <f t="shared" si="5"/>
        <v>18721.902431743034</v>
      </c>
      <c r="AD20" s="67">
        <v>18000</v>
      </c>
      <c r="AE20" s="68">
        <f t="shared" si="6"/>
        <v>-1.484422993591239E-2</v>
      </c>
      <c r="AF20" s="68">
        <f t="shared" si="7"/>
        <v>-3.8559245481327074E-2</v>
      </c>
      <c r="AI20" s="65"/>
      <c r="AJ20" s="65"/>
      <c r="AK20" s="65"/>
      <c r="AL20" s="69"/>
      <c r="AM20" s="69"/>
      <c r="AN20" s="69"/>
      <c r="CV20" s="20"/>
      <c r="CW20" s="20"/>
      <c r="CX20" s="20"/>
      <c r="CY20" s="20"/>
      <c r="CZ20" s="20"/>
      <c r="DA20" s="20"/>
      <c r="DB20" s="20"/>
    </row>
    <row r="21" spans="2:106" ht="15.75" customHeight="1" x14ac:dyDescent="0.3">
      <c r="C21" s="16" t="s">
        <v>179</v>
      </c>
      <c r="D21" s="80">
        <f>+D20*1000/(1000000000000)</f>
        <v>6.1178632000000004</v>
      </c>
      <c r="E21" s="16" t="s">
        <v>182</v>
      </c>
      <c r="I21" s="58" t="s">
        <v>175</v>
      </c>
      <c r="J21" s="59" t="s">
        <v>183</v>
      </c>
      <c r="K21" s="60">
        <f>20+(25-20)/2</f>
        <v>22.5</v>
      </c>
      <c r="L21" s="61"/>
      <c r="M21" s="61" t="s">
        <v>177</v>
      </c>
      <c r="N21" s="62">
        <f t="shared" si="0"/>
        <v>6.7767123287671236</v>
      </c>
      <c r="O21" s="62">
        <f t="shared" si="1"/>
        <v>3.0408493150684928</v>
      </c>
      <c r="P21" s="62">
        <f t="shared" si="2"/>
        <v>3.7358630136986304</v>
      </c>
      <c r="Q21" s="63">
        <v>6.7767123287671236</v>
      </c>
      <c r="R21" s="63">
        <v>0</v>
      </c>
      <c r="S21" s="63">
        <v>0</v>
      </c>
      <c r="T21" s="63">
        <v>1.396739726027397</v>
      </c>
      <c r="U21" s="63">
        <v>1.6441095890410957</v>
      </c>
      <c r="V21" s="63">
        <v>3.7358630136986304</v>
      </c>
      <c r="W21" s="63">
        <v>0</v>
      </c>
      <c r="X21" s="63">
        <v>0</v>
      </c>
      <c r="Y21" s="63">
        <v>42334.39687671233</v>
      </c>
      <c r="Z21" s="64">
        <f t="shared" si="3"/>
        <v>6.7767123287671236</v>
      </c>
      <c r="AA21" s="20"/>
      <c r="AB21" s="65">
        <f t="shared" si="4"/>
        <v>42978.51118941899</v>
      </c>
      <c r="AC21" s="42">
        <f t="shared" si="5"/>
        <v>43502.795554085969</v>
      </c>
      <c r="AD21" s="67">
        <v>42100</v>
      </c>
      <c r="AE21" s="68">
        <f t="shared" si="6"/>
        <v>-2.0440707812030345E-2</v>
      </c>
      <c r="AF21" s="68">
        <f t="shared" si="7"/>
        <v>-3.2246101341738088E-2</v>
      </c>
      <c r="AI21" s="65"/>
      <c r="AJ21" s="65"/>
      <c r="AK21" s="65"/>
      <c r="AL21" s="69"/>
      <c r="AM21" s="69"/>
      <c r="AN21" s="69"/>
      <c r="CV21" s="20"/>
      <c r="CW21" s="20"/>
      <c r="CX21" s="20"/>
      <c r="CY21" s="20"/>
      <c r="CZ21" s="20"/>
      <c r="DA21" s="20"/>
      <c r="DB21" s="20"/>
    </row>
    <row r="22" spans="2:106" ht="15.75" customHeight="1" x14ac:dyDescent="0.3">
      <c r="D22" s="16">
        <v>5800</v>
      </c>
      <c r="E22" s="16" t="s">
        <v>184</v>
      </c>
      <c r="I22" s="58" t="s">
        <v>185</v>
      </c>
      <c r="J22" s="59" t="s">
        <v>186</v>
      </c>
      <c r="K22" s="60">
        <v>23</v>
      </c>
      <c r="L22" s="61"/>
      <c r="M22" s="61" t="s">
        <v>177</v>
      </c>
      <c r="N22" s="62">
        <f t="shared" si="0"/>
        <v>1.9274794520547947</v>
      </c>
      <c r="O22" s="62">
        <f t="shared" si="1"/>
        <v>0.33145205479452056</v>
      </c>
      <c r="P22" s="62">
        <f t="shared" si="2"/>
        <v>1.0367123287671232</v>
      </c>
      <c r="Q22" s="63">
        <v>1.9275342465753424</v>
      </c>
      <c r="R22" s="63">
        <v>0</v>
      </c>
      <c r="S22" s="63">
        <v>0</v>
      </c>
      <c r="T22" s="63">
        <v>0.10339726027397263</v>
      </c>
      <c r="U22" s="63">
        <v>0.22805479452054794</v>
      </c>
      <c r="V22" s="63">
        <v>1.5925479452054794</v>
      </c>
      <c r="W22" s="63">
        <v>0.55931506849315071</v>
      </c>
      <c r="X22" s="63">
        <v>3.4794520547945205E-3</v>
      </c>
      <c r="Y22" s="63">
        <v>4684.6815890410962</v>
      </c>
      <c r="Z22" s="64">
        <f t="shared" si="3"/>
        <v>1.9274794520547947</v>
      </c>
      <c r="AA22" s="20"/>
      <c r="AB22" s="65">
        <f t="shared" si="4"/>
        <v>4863.4250940009451</v>
      </c>
      <c r="AC22" s="42">
        <f t="shared" si="5"/>
        <v>5017.0056324988191</v>
      </c>
      <c r="AD22" s="67">
        <v>4850</v>
      </c>
      <c r="AE22" s="68">
        <f t="shared" si="6"/>
        <v>-2.7604196099380754E-3</v>
      </c>
      <c r="AF22" s="68">
        <f t="shared" si="7"/>
        <v>-3.3287910106578576E-2</v>
      </c>
      <c r="AI22" s="65"/>
      <c r="AJ22" s="65"/>
      <c r="AK22" s="65"/>
      <c r="AL22" s="69"/>
      <c r="AM22" s="69"/>
      <c r="AN22" s="69"/>
      <c r="CV22" s="20"/>
      <c r="CW22" s="20"/>
      <c r="CX22" s="20"/>
      <c r="CY22" s="20"/>
      <c r="CZ22" s="20"/>
      <c r="DA22" s="20"/>
      <c r="DB22" s="20"/>
    </row>
    <row r="23" spans="2:106" ht="15.75" customHeight="1" x14ac:dyDescent="0.3">
      <c r="I23" s="58" t="s">
        <v>185</v>
      </c>
      <c r="J23" s="59" t="s">
        <v>187</v>
      </c>
      <c r="K23" s="60">
        <v>25.5</v>
      </c>
      <c r="L23" s="61"/>
      <c r="M23" s="61" t="s">
        <v>177</v>
      </c>
      <c r="N23" s="62">
        <f t="shared" si="0"/>
        <v>0.8670410958904109</v>
      </c>
      <c r="O23" s="62">
        <f t="shared" si="1"/>
        <v>0.8670410958904109</v>
      </c>
      <c r="P23" s="62">
        <f t="shared" si="2"/>
        <v>0</v>
      </c>
      <c r="Q23" s="63">
        <v>0.86709589041095891</v>
      </c>
      <c r="R23" s="63">
        <v>0</v>
      </c>
      <c r="S23" s="63">
        <v>0</v>
      </c>
      <c r="T23" s="63">
        <v>0.45498630136986301</v>
      </c>
      <c r="U23" s="63">
        <v>0.41205479452054788</v>
      </c>
      <c r="V23" s="63">
        <v>0</v>
      </c>
      <c r="W23" s="63">
        <v>0</v>
      </c>
      <c r="X23" s="63">
        <v>0</v>
      </c>
      <c r="Y23" s="63">
        <v>4154.1152328767121</v>
      </c>
      <c r="Z23" s="64">
        <f t="shared" si="3"/>
        <v>0.8670410958904109</v>
      </c>
      <c r="AA23" s="20"/>
      <c r="AB23" s="65">
        <f t="shared" si="4"/>
        <v>4154.1152328767121</v>
      </c>
      <c r="AC23" s="42">
        <f t="shared" si="5"/>
        <v>4303.6050769957483</v>
      </c>
      <c r="AD23" s="67">
        <v>4000</v>
      </c>
      <c r="AE23" s="68">
        <f t="shared" si="6"/>
        <v>-3.7099412085877005E-2</v>
      </c>
      <c r="AF23" s="68">
        <f t="shared" si="7"/>
        <v>-7.0546686223283361E-2</v>
      </c>
      <c r="AI23" s="65"/>
      <c r="AJ23" s="65"/>
      <c r="AK23" s="65"/>
      <c r="AL23" s="69"/>
      <c r="AM23" s="69"/>
      <c r="AN23" s="69"/>
      <c r="CV23" s="20"/>
      <c r="CW23" s="20"/>
      <c r="CX23" s="20"/>
      <c r="CY23" s="20"/>
      <c r="CZ23" s="20"/>
      <c r="DA23" s="20"/>
      <c r="DB23" s="20"/>
    </row>
    <row r="24" spans="2:106" ht="15.75" customHeight="1" x14ac:dyDescent="0.3">
      <c r="I24" s="58" t="s">
        <v>185</v>
      </c>
      <c r="J24" s="81" t="s">
        <v>188</v>
      </c>
      <c r="K24" s="60">
        <v>21</v>
      </c>
      <c r="L24" s="61"/>
      <c r="M24" s="61" t="s">
        <v>177</v>
      </c>
      <c r="N24" s="62">
        <f t="shared" si="0"/>
        <v>1.1906575342465753</v>
      </c>
      <c r="O24" s="62">
        <f t="shared" si="1"/>
        <v>1.5506849315068495E-2</v>
      </c>
      <c r="P24" s="62">
        <f t="shared" si="2"/>
        <v>0.64550684931506841</v>
      </c>
      <c r="Q24" s="63">
        <v>1.1908493150684931</v>
      </c>
      <c r="R24" s="63">
        <v>0</v>
      </c>
      <c r="S24" s="63">
        <v>0</v>
      </c>
      <c r="T24" s="63">
        <v>0</v>
      </c>
      <c r="U24" s="63">
        <v>1.5506849315068495E-2</v>
      </c>
      <c r="V24" s="63">
        <v>1.1751506849315068</v>
      </c>
      <c r="W24" s="63">
        <v>0.52964383561643835</v>
      </c>
      <c r="X24" s="63">
        <v>0</v>
      </c>
      <c r="Y24" s="63">
        <v>3941.1335068493149</v>
      </c>
      <c r="Z24" s="64">
        <f t="shared" si="3"/>
        <v>1.1906575342465753</v>
      </c>
      <c r="AA24" s="20"/>
      <c r="AB24" s="65">
        <f t="shared" si="4"/>
        <v>4052.4277912139819</v>
      </c>
      <c r="AC24" s="42">
        <f t="shared" si="5"/>
        <v>4146.4192886159663</v>
      </c>
      <c r="AD24" s="67">
        <v>4000</v>
      </c>
      <c r="AE24" s="68">
        <f t="shared" si="6"/>
        <v>-1.2937378261902638E-2</v>
      </c>
      <c r="AF24" s="68">
        <f t="shared" si="7"/>
        <v>-3.5312224457850129E-2</v>
      </c>
      <c r="AI24" s="65"/>
      <c r="AJ24" s="65"/>
      <c r="AK24" s="65"/>
      <c r="AL24" s="69"/>
      <c r="AM24" s="69"/>
      <c r="AN24" s="69"/>
      <c r="CV24" s="20"/>
      <c r="CW24" s="20"/>
      <c r="CX24" s="20"/>
      <c r="CY24" s="20"/>
      <c r="CZ24" s="20"/>
      <c r="DA24" s="20"/>
      <c r="DB24" s="20"/>
    </row>
    <row r="25" spans="2:106" ht="15.75" customHeight="1" x14ac:dyDescent="0.3">
      <c r="I25" s="58" t="s">
        <v>189</v>
      </c>
      <c r="J25" s="81" t="s">
        <v>190</v>
      </c>
      <c r="K25" s="60" t="s">
        <v>134</v>
      </c>
      <c r="L25" s="61" t="s">
        <v>37</v>
      </c>
      <c r="M25" s="61" t="s">
        <v>135</v>
      </c>
      <c r="N25" s="62">
        <v>2.9418904109589041</v>
      </c>
      <c r="O25" s="62">
        <v>0</v>
      </c>
      <c r="P25" s="62">
        <v>2.9418904109589041</v>
      </c>
      <c r="Q25" s="63">
        <v>2.9418904109589041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2.9418904109589041</v>
      </c>
      <c r="Y25" s="63">
        <v>0</v>
      </c>
      <c r="Z25" s="64">
        <f t="shared" si="3"/>
        <v>2.9418904109589041</v>
      </c>
      <c r="AA25" s="20"/>
      <c r="AB25" s="65">
        <f t="shared" si="4"/>
        <v>507.22248464808695</v>
      </c>
      <c r="AC25" s="42">
        <f t="shared" si="5"/>
        <v>507.22248464808695</v>
      </c>
      <c r="AD25" s="67">
        <v>468</v>
      </c>
      <c r="AE25" s="68">
        <f t="shared" si="6"/>
        <v>-7.7327969155980281E-2</v>
      </c>
      <c r="AF25" s="68">
        <f t="shared" si="7"/>
        <v>-7.7327969155980281E-2</v>
      </c>
      <c r="AI25" s="65"/>
      <c r="AJ25" s="65"/>
      <c r="AK25" s="65"/>
      <c r="AL25" s="69"/>
      <c r="AM25" s="69"/>
      <c r="AN25" s="69"/>
      <c r="CV25" s="20"/>
      <c r="CW25" s="20"/>
      <c r="CX25" s="20"/>
      <c r="CY25" s="20"/>
      <c r="CZ25" s="20"/>
      <c r="DA25" s="20"/>
      <c r="DB25" s="20"/>
    </row>
    <row r="26" spans="2:106" ht="15.75" customHeight="1" x14ac:dyDescent="0.3">
      <c r="I26" s="58" t="s">
        <v>189</v>
      </c>
      <c r="J26" s="81" t="s">
        <v>191</v>
      </c>
      <c r="K26" s="60" t="s">
        <v>134</v>
      </c>
      <c r="L26" s="61" t="s">
        <v>37</v>
      </c>
      <c r="M26" s="61" t="s">
        <v>135</v>
      </c>
      <c r="N26" s="62">
        <v>6.2215616438356163</v>
      </c>
      <c r="O26" s="62">
        <v>0.13172602739726028</v>
      </c>
      <c r="P26" s="62">
        <v>6.0898356164383562</v>
      </c>
      <c r="Q26" s="63">
        <v>6.2215890410958909</v>
      </c>
      <c r="R26" s="63">
        <v>0</v>
      </c>
      <c r="S26" s="63">
        <v>0</v>
      </c>
      <c r="T26" s="63">
        <v>1.1643835616438357E-2</v>
      </c>
      <c r="U26" s="63">
        <v>0.12008219178082191</v>
      </c>
      <c r="V26" s="63">
        <v>0</v>
      </c>
      <c r="W26" s="63">
        <v>0</v>
      </c>
      <c r="X26" s="63">
        <v>6.0898356164383562</v>
      </c>
      <c r="Y26" s="63">
        <v>6.111890410958905</v>
      </c>
      <c r="Z26" s="64">
        <f t="shared" si="3"/>
        <v>6.2215616438356163</v>
      </c>
      <c r="AA26" s="20"/>
      <c r="AB26" s="65">
        <f t="shared" si="4"/>
        <v>1056.083548417572</v>
      </c>
      <c r="AC26" s="42">
        <f t="shared" si="5"/>
        <v>1078.7949324515826</v>
      </c>
      <c r="AD26" s="67">
        <v>1017</v>
      </c>
      <c r="AE26" s="68">
        <f t="shared" si="6"/>
        <v>-3.700800800858469E-2</v>
      </c>
      <c r="AF26" s="68">
        <f t="shared" si="7"/>
        <v>-5.7281444872152268E-2</v>
      </c>
      <c r="AI26" s="65"/>
      <c r="AJ26" s="65"/>
      <c r="AK26" s="65"/>
      <c r="AL26" s="69"/>
      <c r="AM26" s="69"/>
      <c r="AN26" s="69"/>
      <c r="CV26" s="20"/>
      <c r="CW26" s="20"/>
      <c r="CX26" s="20"/>
      <c r="CY26" s="20"/>
      <c r="CZ26" s="20"/>
      <c r="DA26" s="20"/>
      <c r="DB26" s="20"/>
    </row>
    <row r="27" spans="2:106" ht="15.75" customHeight="1" x14ac:dyDescent="0.3">
      <c r="I27" s="58" t="s">
        <v>189</v>
      </c>
      <c r="J27" s="81" t="s">
        <v>192</v>
      </c>
      <c r="K27" s="60" t="s">
        <v>134</v>
      </c>
      <c r="L27" s="61" t="s">
        <v>37</v>
      </c>
      <c r="M27" s="61" t="s">
        <v>135</v>
      </c>
      <c r="N27" s="62">
        <v>28.099424657534254</v>
      </c>
      <c r="O27" s="62">
        <v>0.58819178082191781</v>
      </c>
      <c r="P27" s="62">
        <v>27.511232876712334</v>
      </c>
      <c r="Q27" s="63">
        <v>28.099315068493151</v>
      </c>
      <c r="R27" s="63">
        <v>0</v>
      </c>
      <c r="S27" s="63">
        <v>0</v>
      </c>
      <c r="T27" s="63">
        <v>5.0520547945205482E-2</v>
      </c>
      <c r="U27" s="63">
        <v>0.53767123287671237</v>
      </c>
      <c r="V27" s="63">
        <v>0</v>
      </c>
      <c r="W27" s="63">
        <v>0</v>
      </c>
      <c r="X27" s="63">
        <v>27.511232876712334</v>
      </c>
      <c r="Y27" s="63">
        <v>27.609561643835615</v>
      </c>
      <c r="Z27" s="64">
        <f t="shared" si="3"/>
        <v>28.099424657534254</v>
      </c>
      <c r="AA27" s="20"/>
      <c r="AB27" s="65">
        <f t="shared" si="4"/>
        <v>4770.9255748701007</v>
      </c>
      <c r="AC27" s="42">
        <f t="shared" si="5"/>
        <v>4872.3379508738799</v>
      </c>
      <c r="AD27" s="67">
        <v>4600</v>
      </c>
      <c r="AE27" s="68">
        <f t="shared" si="6"/>
        <v>-3.5826502046147422E-2</v>
      </c>
      <c r="AF27" s="68">
        <f t="shared" si="7"/>
        <v>-5.5894716996187553E-2</v>
      </c>
      <c r="AI27" s="65"/>
      <c r="AJ27" s="65"/>
      <c r="AK27" s="65"/>
      <c r="AL27" s="69"/>
      <c r="AM27" s="69"/>
      <c r="AN27" s="69"/>
      <c r="CV27" s="20"/>
      <c r="CW27" s="20"/>
      <c r="CX27" s="20"/>
      <c r="CY27" s="20"/>
      <c r="CZ27" s="20"/>
      <c r="DA27" s="20"/>
      <c r="DB27" s="20"/>
    </row>
    <row r="28" spans="2:106" ht="15.75" customHeight="1" x14ac:dyDescent="0.3">
      <c r="N28" s="82">
        <f>+SUM(N5:N27)</f>
        <v>1814.1047397260272</v>
      </c>
      <c r="O28" s="82">
        <f t="shared" ref="O28:P28" si="8">+SUM(O5:O27)</f>
        <v>944.81832876712326</v>
      </c>
      <c r="P28" s="82">
        <f t="shared" si="8"/>
        <v>825.47967123287674</v>
      </c>
      <c r="Y28" s="82">
        <f>+SUM(Y5:Y27)</f>
        <v>463142.20578082197</v>
      </c>
      <c r="AA28" s="20"/>
      <c r="AB28" s="20"/>
      <c r="AC28" s="65"/>
      <c r="AD28" s="20"/>
      <c r="AE28" s="20"/>
      <c r="AF28" s="20"/>
      <c r="AH28" s="20"/>
      <c r="AI28" s="20"/>
      <c r="AJ28" s="20"/>
      <c r="AK28" s="20"/>
      <c r="AL28" s="20"/>
      <c r="AM28" s="20"/>
      <c r="AN28" s="20"/>
      <c r="CV28" s="20"/>
      <c r="CW28" s="20"/>
      <c r="CX28" s="20"/>
      <c r="CY28" s="20"/>
      <c r="CZ28" s="20"/>
      <c r="DA28" s="20"/>
      <c r="DB28" s="20"/>
    </row>
    <row r="29" spans="2:106" ht="15.75" customHeight="1" x14ac:dyDescent="0.3">
      <c r="AA29" s="69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CV29" s="20"/>
      <c r="CW29" s="20"/>
      <c r="CX29" s="20"/>
      <c r="CY29" s="20"/>
      <c r="CZ29" s="20"/>
      <c r="DA29" s="20"/>
      <c r="DB29" s="20"/>
    </row>
    <row r="30" spans="2:106" ht="15.75" customHeight="1" x14ac:dyDescent="0.3">
      <c r="Y30" s="42"/>
      <c r="Z30" s="83"/>
      <c r="AA30" s="69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CV30" s="20"/>
      <c r="CW30" s="20"/>
      <c r="CX30" s="20"/>
      <c r="CY30" s="20"/>
      <c r="CZ30" s="20"/>
      <c r="DA30" s="20"/>
      <c r="DB30" s="20"/>
    </row>
    <row r="31" spans="2:106" ht="49.5" customHeight="1" x14ac:dyDescent="0.3"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CV31" s="20"/>
      <c r="CW31" s="20"/>
      <c r="CX31" s="20"/>
      <c r="CY31" s="20"/>
      <c r="CZ31" s="20"/>
      <c r="DA31" s="20"/>
      <c r="DB31" s="20"/>
    </row>
    <row r="32" spans="2:106" ht="15.75" customHeight="1" x14ac:dyDescent="0.3">
      <c r="N32" s="83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CV32" s="20"/>
      <c r="CW32" s="20"/>
      <c r="CX32" s="20"/>
      <c r="CY32" s="20"/>
      <c r="CZ32" s="20"/>
      <c r="DA32" s="20"/>
      <c r="DB32" s="20"/>
    </row>
    <row r="33" spans="9:106" ht="15.75" customHeight="1" x14ac:dyDescent="0.3">
      <c r="N33" s="4" t="s">
        <v>97</v>
      </c>
      <c r="O33" s="4" t="s">
        <v>97</v>
      </c>
      <c r="P33" s="4" t="s">
        <v>97</v>
      </c>
      <c r="Q33" s="4" t="s">
        <v>97</v>
      </c>
      <c r="R33" s="4" t="s">
        <v>97</v>
      </c>
      <c r="S33" s="4" t="s">
        <v>97</v>
      </c>
      <c r="T33" s="4" t="s">
        <v>97</v>
      </c>
      <c r="U33" s="4" t="s">
        <v>97</v>
      </c>
      <c r="V33" s="4" t="s">
        <v>97</v>
      </c>
      <c r="W33" s="4" t="s">
        <v>97</v>
      </c>
      <c r="X33" s="4" t="s">
        <v>97</v>
      </c>
      <c r="Y33" s="4" t="s">
        <v>97</v>
      </c>
      <c r="Z33" s="4" t="s">
        <v>97</v>
      </c>
      <c r="AA33" s="305"/>
      <c r="AB33" s="306"/>
      <c r="AC33" s="306"/>
      <c r="AD33" s="306"/>
      <c r="AE33" s="306"/>
      <c r="AF33" s="306"/>
      <c r="AG33" s="306"/>
      <c r="AH33" s="306"/>
      <c r="AI33" s="306"/>
      <c r="AJ33" s="306"/>
      <c r="AK33" s="306"/>
      <c r="AL33" s="306"/>
      <c r="AM33" s="306"/>
      <c r="AN33" s="20"/>
      <c r="CV33" s="20"/>
      <c r="CW33" s="20"/>
      <c r="CX33" s="20"/>
      <c r="CY33" s="20"/>
      <c r="CZ33" s="20"/>
      <c r="DA33" s="20"/>
      <c r="DB33" s="20"/>
    </row>
    <row r="34" spans="9:106" ht="15.75" customHeight="1" x14ac:dyDescent="0.3">
      <c r="I34" s="54" t="s">
        <v>110</v>
      </c>
      <c r="J34" s="54" t="s">
        <v>111</v>
      </c>
      <c r="K34" s="54" t="s">
        <v>112</v>
      </c>
      <c r="L34" s="55"/>
      <c r="M34" s="54" t="s">
        <v>113</v>
      </c>
      <c r="N34" s="56" t="s">
        <v>114</v>
      </c>
      <c r="O34" s="56" t="s">
        <v>115</v>
      </c>
      <c r="P34" s="56" t="s">
        <v>116</v>
      </c>
      <c r="Q34" s="54" t="s">
        <v>117</v>
      </c>
      <c r="R34" s="54" t="s">
        <v>118</v>
      </c>
      <c r="S34" s="54" t="s">
        <v>119</v>
      </c>
      <c r="T34" s="54" t="s">
        <v>120</v>
      </c>
      <c r="U34" s="54" t="s">
        <v>121</v>
      </c>
      <c r="V34" s="54" t="s">
        <v>122</v>
      </c>
      <c r="W34" s="54" t="s">
        <v>123</v>
      </c>
      <c r="X34" s="54" t="s">
        <v>124</v>
      </c>
      <c r="Y34" s="54" t="s">
        <v>125</v>
      </c>
      <c r="Z34" s="56" t="s">
        <v>126</v>
      </c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57"/>
      <c r="AL34" s="57"/>
      <c r="AM34" s="57"/>
      <c r="AN34" s="20"/>
      <c r="CV34" s="20"/>
      <c r="CW34" s="20"/>
      <c r="CX34" s="20"/>
      <c r="CY34" s="20"/>
      <c r="CZ34" s="20"/>
      <c r="DA34" s="20"/>
      <c r="DB34" s="20"/>
    </row>
    <row r="35" spans="9:106" ht="15.75" customHeight="1" x14ac:dyDescent="0.3">
      <c r="I35" s="58" t="s">
        <v>132</v>
      </c>
      <c r="J35" s="59" t="s">
        <v>133</v>
      </c>
      <c r="K35" s="60" t="s">
        <v>134</v>
      </c>
      <c r="L35" s="61" t="s">
        <v>37</v>
      </c>
      <c r="M35" s="61" t="s">
        <v>135</v>
      </c>
      <c r="N35" s="62">
        <f t="shared" ref="N35:X50" si="9">+N5*365*$D$7/1000</f>
        <v>60.04622961587031</v>
      </c>
      <c r="O35" s="62">
        <f t="shared" si="9"/>
        <v>2.4898308957132613</v>
      </c>
      <c r="P35" s="62">
        <f t="shared" si="9"/>
        <v>57.556398720157048</v>
      </c>
      <c r="Q35" s="63">
        <f t="shared" si="9"/>
        <v>60.04621952029688</v>
      </c>
      <c r="R35" s="63">
        <f t="shared" si="9"/>
        <v>0</v>
      </c>
      <c r="S35" s="63">
        <f t="shared" si="9"/>
        <v>0</v>
      </c>
      <c r="T35" s="63">
        <f t="shared" si="9"/>
        <v>2.4069462377542221</v>
      </c>
      <c r="U35" s="63">
        <f t="shared" si="9"/>
        <v>8.2884657959038696E-2</v>
      </c>
      <c r="V35" s="63">
        <f t="shared" si="9"/>
        <v>4.8961411123406373</v>
      </c>
      <c r="W35" s="63">
        <f t="shared" si="9"/>
        <v>0</v>
      </c>
      <c r="X35" s="63">
        <f t="shared" si="9"/>
        <v>52.660257607816412</v>
      </c>
      <c r="Y35" s="63">
        <f t="shared" ref="Y35:Y57" si="10">+Y5*365*(0.001)*$D$8/1000</f>
        <v>0</v>
      </c>
      <c r="Z35" s="64">
        <f t="shared" ref="Z35:Z57" si="11">+N35-S35</f>
        <v>60.04622961587031</v>
      </c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20"/>
      <c r="CV35" s="20"/>
      <c r="CW35" s="20"/>
      <c r="CX35" s="20"/>
      <c r="CY35" s="20"/>
      <c r="CZ35" s="20"/>
      <c r="DA35" s="20"/>
      <c r="DB35" s="20"/>
    </row>
    <row r="36" spans="9:106" ht="15.75" customHeight="1" x14ac:dyDescent="0.3">
      <c r="I36" s="58" t="s">
        <v>132</v>
      </c>
      <c r="J36" s="59" t="s">
        <v>139</v>
      </c>
      <c r="K36" s="60" t="s">
        <v>134</v>
      </c>
      <c r="L36" s="61" t="s">
        <v>37</v>
      </c>
      <c r="M36" s="61" t="s">
        <v>135</v>
      </c>
      <c r="N36" s="62">
        <f t="shared" si="9"/>
        <v>8.539502325113304</v>
      </c>
      <c r="O36" s="62">
        <f t="shared" si="9"/>
        <v>5.3052238437849987E-2</v>
      </c>
      <c r="P36" s="62">
        <f t="shared" si="9"/>
        <v>8.4864500866754558</v>
      </c>
      <c r="Q36" s="63">
        <f t="shared" si="9"/>
        <v>8.5394619428195373</v>
      </c>
      <c r="R36" s="63">
        <f t="shared" si="9"/>
        <v>0</v>
      </c>
      <c r="S36" s="63">
        <f t="shared" si="9"/>
        <v>0</v>
      </c>
      <c r="T36" s="63">
        <f t="shared" si="9"/>
        <v>4.3098003024011712E-2</v>
      </c>
      <c r="U36" s="63">
        <f t="shared" si="9"/>
        <v>9.9542354138382663E-3</v>
      </c>
      <c r="V36" s="63">
        <f t="shared" si="9"/>
        <v>0.72254019124584645</v>
      </c>
      <c r="W36" s="63">
        <f t="shared" si="9"/>
        <v>0</v>
      </c>
      <c r="X36" s="63">
        <f t="shared" si="9"/>
        <v>7.7639098954296077</v>
      </c>
      <c r="Y36" s="63">
        <f t="shared" si="10"/>
        <v>0</v>
      </c>
      <c r="Z36" s="64">
        <f t="shared" si="11"/>
        <v>8.539502325113304</v>
      </c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20"/>
      <c r="CV36" s="20"/>
      <c r="CW36" s="20"/>
      <c r="CX36" s="20"/>
      <c r="CY36" s="20"/>
      <c r="CZ36" s="20"/>
      <c r="DA36" s="20"/>
      <c r="DB36" s="20"/>
    </row>
    <row r="37" spans="9:106" ht="15.75" customHeight="1" x14ac:dyDescent="0.3">
      <c r="I37" s="58" t="s">
        <v>141</v>
      </c>
      <c r="J37" s="59" t="s">
        <v>142</v>
      </c>
      <c r="K37" s="60" t="s">
        <v>134</v>
      </c>
      <c r="L37" s="61" t="s">
        <v>37</v>
      </c>
      <c r="M37" s="61" t="s">
        <v>135</v>
      </c>
      <c r="N37" s="62">
        <f t="shared" si="9"/>
        <v>13.106881088314344</v>
      </c>
      <c r="O37" s="62">
        <f t="shared" si="9"/>
        <v>0</v>
      </c>
      <c r="P37" s="62">
        <f t="shared" si="9"/>
        <v>11.790499076061607</v>
      </c>
      <c r="Q37" s="63">
        <f t="shared" si="9"/>
        <v>13.106881088314344</v>
      </c>
      <c r="R37" s="63">
        <f t="shared" si="9"/>
        <v>0</v>
      </c>
      <c r="S37" s="63">
        <f t="shared" si="9"/>
        <v>0</v>
      </c>
      <c r="T37" s="63">
        <f t="shared" si="9"/>
        <v>0</v>
      </c>
      <c r="U37" s="63">
        <f t="shared" si="9"/>
        <v>0</v>
      </c>
      <c r="V37" s="63">
        <f t="shared" si="9"/>
        <v>13.106881088314344</v>
      </c>
      <c r="W37" s="63">
        <f t="shared" si="9"/>
        <v>1.3163820122527377</v>
      </c>
      <c r="X37" s="63">
        <f t="shared" si="9"/>
        <v>0</v>
      </c>
      <c r="Y37" s="63">
        <f t="shared" si="10"/>
        <v>0</v>
      </c>
      <c r="Z37" s="64">
        <f t="shared" si="11"/>
        <v>13.106881088314344</v>
      </c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20"/>
      <c r="CV37" s="20"/>
      <c r="CW37" s="20"/>
      <c r="CX37" s="20"/>
      <c r="CY37" s="20"/>
      <c r="CZ37" s="20"/>
      <c r="DA37" s="20"/>
      <c r="DB37" s="20"/>
    </row>
    <row r="38" spans="9:106" ht="15.75" customHeight="1" x14ac:dyDescent="0.3">
      <c r="I38" s="58" t="s">
        <v>141</v>
      </c>
      <c r="J38" s="59" t="s">
        <v>144</v>
      </c>
      <c r="K38" s="60">
        <v>48</v>
      </c>
      <c r="L38" s="61"/>
      <c r="M38" s="61" t="s">
        <v>145</v>
      </c>
      <c r="N38" s="62">
        <f t="shared" si="9"/>
        <v>239.32819800561739</v>
      </c>
      <c r="O38" s="62">
        <f t="shared" si="9"/>
        <v>160.99168674237271</v>
      </c>
      <c r="P38" s="62">
        <f t="shared" si="9"/>
        <v>75.291444019366878</v>
      </c>
      <c r="Q38" s="63">
        <f t="shared" si="9"/>
        <v>239.32817781447051</v>
      </c>
      <c r="R38" s="63">
        <f t="shared" si="9"/>
        <v>0</v>
      </c>
      <c r="S38" s="63">
        <f t="shared" si="9"/>
        <v>146.06287770612269</v>
      </c>
      <c r="T38" s="63">
        <f t="shared" si="9"/>
        <v>14.103990590462988</v>
      </c>
      <c r="U38" s="63">
        <f t="shared" si="9"/>
        <v>0.82481844578701846</v>
      </c>
      <c r="V38" s="63">
        <f t="shared" si="9"/>
        <v>6.0840367613967006</v>
      </c>
      <c r="W38" s="63">
        <f t="shared" si="9"/>
        <v>3.0450672438778423</v>
      </c>
      <c r="X38" s="63">
        <f t="shared" si="9"/>
        <v>72.252474501848027</v>
      </c>
      <c r="Y38" s="63">
        <f t="shared" si="10"/>
        <v>22.733323234776581</v>
      </c>
      <c r="Z38" s="64">
        <f t="shared" si="11"/>
        <v>93.265320299494704</v>
      </c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20"/>
      <c r="CV38" s="20"/>
      <c r="CW38" s="20"/>
      <c r="CX38" s="20"/>
      <c r="CY38" s="20"/>
      <c r="CZ38" s="20"/>
      <c r="DA38" s="20"/>
      <c r="DB38" s="20"/>
    </row>
    <row r="39" spans="9:106" ht="15.75" customHeight="1" x14ac:dyDescent="0.3">
      <c r="I39" s="58" t="s">
        <v>141</v>
      </c>
      <c r="J39" s="59" t="s">
        <v>148</v>
      </c>
      <c r="K39" s="60">
        <v>52</v>
      </c>
      <c r="L39" s="61"/>
      <c r="M39" s="61" t="s">
        <v>145</v>
      </c>
      <c r="N39" s="62">
        <f t="shared" si="9"/>
        <v>102.2089585250658</v>
      </c>
      <c r="O39" s="62">
        <f t="shared" si="9"/>
        <v>30.216717619832895</v>
      </c>
      <c r="P39" s="62">
        <f t="shared" si="9"/>
        <v>60.807849771910249</v>
      </c>
      <c r="Q39" s="63">
        <f t="shared" si="9"/>
        <v>102.20910995866744</v>
      </c>
      <c r="R39" s="63">
        <f t="shared" si="9"/>
        <v>0</v>
      </c>
      <c r="S39" s="63">
        <f t="shared" si="9"/>
        <v>18.608807085043786</v>
      </c>
      <c r="T39" s="63">
        <f t="shared" si="9"/>
        <v>11.187076555858232</v>
      </c>
      <c r="U39" s="63">
        <f t="shared" si="9"/>
        <v>0.42083397893088031</v>
      </c>
      <c r="V39" s="63">
        <f t="shared" si="9"/>
        <v>11.193699252036202</v>
      </c>
      <c r="W39" s="63">
        <f t="shared" si="9"/>
        <v>11.184391133322654</v>
      </c>
      <c r="X39" s="63">
        <f t="shared" si="9"/>
        <v>60.798541653196693</v>
      </c>
      <c r="Y39" s="63">
        <f t="shared" si="10"/>
        <v>7.0712088472532377</v>
      </c>
      <c r="Z39" s="64">
        <f t="shared" si="11"/>
        <v>83.600151440022017</v>
      </c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20"/>
      <c r="CV39" s="20"/>
      <c r="CW39" s="20"/>
      <c r="CX39" s="20"/>
      <c r="CY39" s="20"/>
      <c r="CZ39" s="20"/>
      <c r="DA39" s="20"/>
      <c r="DB39" s="20"/>
    </row>
    <row r="40" spans="9:106" ht="15.75" customHeight="1" x14ac:dyDescent="0.3">
      <c r="I40" s="58" t="s">
        <v>141</v>
      </c>
      <c r="J40" s="59" t="s">
        <v>150</v>
      </c>
      <c r="K40" s="60">
        <v>46</v>
      </c>
      <c r="L40" s="61"/>
      <c r="M40" s="61" t="s">
        <v>145</v>
      </c>
      <c r="N40" s="62">
        <f t="shared" si="9"/>
        <v>160.44027661654269</v>
      </c>
      <c r="O40" s="62">
        <f t="shared" si="9"/>
        <v>86.793482275469458</v>
      </c>
      <c r="P40" s="62">
        <f t="shared" si="9"/>
        <v>73.646794341073218</v>
      </c>
      <c r="Q40" s="63">
        <f t="shared" si="9"/>
        <v>160.44018575638168</v>
      </c>
      <c r="R40" s="63">
        <f t="shared" si="9"/>
        <v>0</v>
      </c>
      <c r="S40" s="63">
        <f t="shared" si="9"/>
        <v>82.998717747786728</v>
      </c>
      <c r="T40" s="63">
        <f t="shared" si="9"/>
        <v>3.345117782148316</v>
      </c>
      <c r="U40" s="63">
        <f t="shared" si="9"/>
        <v>0.44964674553442446</v>
      </c>
      <c r="V40" s="63">
        <f t="shared" si="9"/>
        <v>52.360166687252182</v>
      </c>
      <c r="W40" s="63">
        <f t="shared" si="9"/>
        <v>0</v>
      </c>
      <c r="X40" s="63">
        <f t="shared" si="9"/>
        <v>21.286627653821029</v>
      </c>
      <c r="Y40" s="63">
        <f t="shared" si="10"/>
        <v>60.007782289723188</v>
      </c>
      <c r="Z40" s="64">
        <f t="shared" si="11"/>
        <v>77.441558868755962</v>
      </c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20"/>
      <c r="CV40" s="20"/>
      <c r="CW40" s="20"/>
      <c r="CX40" s="20"/>
      <c r="CY40" s="20"/>
      <c r="CZ40" s="20"/>
      <c r="DA40" s="20"/>
      <c r="DB40" s="20"/>
    </row>
    <row r="41" spans="9:106" ht="15.75" customHeight="1" x14ac:dyDescent="0.3">
      <c r="I41" s="58" t="s">
        <v>141</v>
      </c>
      <c r="J41" s="59" t="s">
        <v>153</v>
      </c>
      <c r="K41" s="60">
        <f>44+((47-44)/2)</f>
        <v>45.5</v>
      </c>
      <c r="L41" s="61"/>
      <c r="M41" s="61" t="s">
        <v>145</v>
      </c>
      <c r="N41" s="62">
        <f t="shared" si="9"/>
        <v>61.393403127121232</v>
      </c>
      <c r="O41" s="62">
        <f t="shared" si="9"/>
        <v>61.393403127121232</v>
      </c>
      <c r="P41" s="62">
        <f t="shared" si="9"/>
        <v>0</v>
      </c>
      <c r="Q41" s="63">
        <f t="shared" si="9"/>
        <v>61.3933728404009</v>
      </c>
      <c r="R41" s="63">
        <f t="shared" si="9"/>
        <v>0</v>
      </c>
      <c r="S41" s="63">
        <f t="shared" si="9"/>
        <v>59.623921683216899</v>
      </c>
      <c r="T41" s="63">
        <f t="shared" si="9"/>
        <v>0.2018105131061125</v>
      </c>
      <c r="U41" s="63">
        <f t="shared" si="9"/>
        <v>1.5676709307982222</v>
      </c>
      <c r="V41" s="63">
        <f t="shared" si="9"/>
        <v>0</v>
      </c>
      <c r="W41" s="63">
        <f t="shared" si="9"/>
        <v>0</v>
      </c>
      <c r="X41" s="63">
        <f t="shared" si="9"/>
        <v>0</v>
      </c>
      <c r="Y41" s="63">
        <f t="shared" si="10"/>
        <v>17.796808939248596</v>
      </c>
      <c r="Z41" s="64">
        <f t="shared" si="11"/>
        <v>1.7694814439043327</v>
      </c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20"/>
      <c r="CV41" s="20"/>
      <c r="CW41" s="20"/>
      <c r="CX41" s="20"/>
      <c r="CY41" s="20"/>
      <c r="CZ41" s="20"/>
      <c r="DA41" s="20"/>
      <c r="DB41" s="20"/>
    </row>
    <row r="42" spans="9:106" ht="15.75" customHeight="1" x14ac:dyDescent="0.3">
      <c r="I42" s="58" t="s">
        <v>141</v>
      </c>
      <c r="J42" s="59" t="s">
        <v>156</v>
      </c>
      <c r="K42" s="60">
        <f>11.3+(14.4-11.3)/2</f>
        <v>12.850000000000001</v>
      </c>
      <c r="L42" s="61"/>
      <c r="M42" s="61" t="s">
        <v>157</v>
      </c>
      <c r="N42" s="62">
        <f t="shared" si="9"/>
        <v>0</v>
      </c>
      <c r="O42" s="62">
        <f t="shared" si="9"/>
        <v>0</v>
      </c>
      <c r="P42" s="62">
        <f t="shared" si="9"/>
        <v>0</v>
      </c>
      <c r="Q42" s="63">
        <f t="shared" si="9"/>
        <v>0</v>
      </c>
      <c r="R42" s="63">
        <f t="shared" si="9"/>
        <v>0</v>
      </c>
      <c r="S42" s="63">
        <f t="shared" si="9"/>
        <v>0</v>
      </c>
      <c r="T42" s="63">
        <f t="shared" si="9"/>
        <v>0</v>
      </c>
      <c r="U42" s="63">
        <f t="shared" si="9"/>
        <v>0</v>
      </c>
      <c r="V42" s="63">
        <f t="shared" si="9"/>
        <v>0</v>
      </c>
      <c r="W42" s="63">
        <f t="shared" si="9"/>
        <v>0</v>
      </c>
      <c r="X42" s="63">
        <f t="shared" si="9"/>
        <v>0</v>
      </c>
      <c r="Y42" s="63">
        <f t="shared" si="10"/>
        <v>265.08224689210181</v>
      </c>
      <c r="Z42" s="64">
        <f t="shared" si="11"/>
        <v>0</v>
      </c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20"/>
      <c r="CV42" s="20"/>
      <c r="CW42" s="20"/>
      <c r="CX42" s="20"/>
      <c r="CY42" s="20"/>
      <c r="CZ42" s="20"/>
      <c r="DA42" s="20"/>
      <c r="DB42" s="20"/>
    </row>
    <row r="43" spans="9:106" ht="15.75" customHeight="1" x14ac:dyDescent="0.3">
      <c r="I43" s="58" t="s">
        <v>141</v>
      </c>
      <c r="J43" s="59" t="s">
        <v>160</v>
      </c>
      <c r="K43" s="60">
        <v>13.7</v>
      </c>
      <c r="L43" s="61"/>
      <c r="M43" s="61" t="s">
        <v>157</v>
      </c>
      <c r="N43" s="62">
        <f t="shared" si="9"/>
        <v>0</v>
      </c>
      <c r="O43" s="62">
        <f t="shared" si="9"/>
        <v>0</v>
      </c>
      <c r="P43" s="62">
        <f t="shared" si="9"/>
        <v>0</v>
      </c>
      <c r="Q43" s="63">
        <f t="shared" si="9"/>
        <v>0</v>
      </c>
      <c r="R43" s="63">
        <f t="shared" si="9"/>
        <v>0</v>
      </c>
      <c r="S43" s="63">
        <f t="shared" si="9"/>
        <v>0</v>
      </c>
      <c r="T43" s="63">
        <f t="shared" si="9"/>
        <v>0</v>
      </c>
      <c r="U43" s="63">
        <f t="shared" si="9"/>
        <v>0</v>
      </c>
      <c r="V43" s="63">
        <f t="shared" si="9"/>
        <v>0</v>
      </c>
      <c r="W43" s="63">
        <f t="shared" si="9"/>
        <v>0</v>
      </c>
      <c r="X43" s="63">
        <f t="shared" si="9"/>
        <v>0</v>
      </c>
      <c r="Y43" s="63">
        <f t="shared" si="10"/>
        <v>253.41187670697005</v>
      </c>
      <c r="Z43" s="64">
        <f t="shared" si="11"/>
        <v>0</v>
      </c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20"/>
      <c r="CV43" s="20"/>
      <c r="CW43" s="20"/>
      <c r="CX43" s="20"/>
      <c r="CY43" s="20"/>
      <c r="CZ43" s="20"/>
      <c r="DA43" s="20"/>
      <c r="DB43" s="20"/>
    </row>
    <row r="44" spans="9:106" ht="15.75" customHeight="1" x14ac:dyDescent="0.3">
      <c r="I44" s="58" t="s">
        <v>141</v>
      </c>
      <c r="J44" s="59" t="s">
        <v>163</v>
      </c>
      <c r="K44" s="60">
        <f>7+(20-7)/2</f>
        <v>13.5</v>
      </c>
      <c r="L44" s="61"/>
      <c r="M44" s="61" t="s">
        <v>157</v>
      </c>
      <c r="N44" s="62">
        <f t="shared" si="9"/>
        <v>1.3978936722236606</v>
      </c>
      <c r="O44" s="62">
        <f t="shared" si="9"/>
        <v>1.3978936722236606</v>
      </c>
      <c r="P44" s="62">
        <f t="shared" si="9"/>
        <v>0</v>
      </c>
      <c r="Q44" s="63">
        <f t="shared" si="9"/>
        <v>1.3978835766502182</v>
      </c>
      <c r="R44" s="63">
        <f t="shared" si="9"/>
        <v>0</v>
      </c>
      <c r="S44" s="63">
        <f t="shared" si="9"/>
        <v>0</v>
      </c>
      <c r="T44" s="63">
        <f t="shared" si="9"/>
        <v>0.32109980889709927</v>
      </c>
      <c r="U44" s="63">
        <f t="shared" si="9"/>
        <v>1.0767938633265612</v>
      </c>
      <c r="V44" s="63">
        <f t="shared" si="9"/>
        <v>0</v>
      </c>
      <c r="W44" s="63">
        <f t="shared" si="9"/>
        <v>0</v>
      </c>
      <c r="X44" s="63">
        <f t="shared" si="9"/>
        <v>0</v>
      </c>
      <c r="Y44" s="63">
        <f t="shared" si="10"/>
        <v>153.50718826671843</v>
      </c>
      <c r="Z44" s="64">
        <f t="shared" si="11"/>
        <v>1.3978936722236606</v>
      </c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20"/>
      <c r="CV44" s="20"/>
      <c r="CW44" s="20"/>
      <c r="CX44" s="20"/>
      <c r="CY44" s="20"/>
      <c r="CZ44" s="20"/>
      <c r="DA44" s="20"/>
      <c r="DB44" s="20"/>
    </row>
    <row r="45" spans="9:106" ht="15.75" customHeight="1" x14ac:dyDescent="0.3">
      <c r="I45" s="58" t="s">
        <v>141</v>
      </c>
      <c r="J45" s="59" t="s">
        <v>166</v>
      </c>
      <c r="K45" s="60">
        <v>8</v>
      </c>
      <c r="L45" s="61"/>
      <c r="M45" s="61" t="s">
        <v>157</v>
      </c>
      <c r="N45" s="62">
        <f t="shared" si="9"/>
        <v>0.21448045777585595</v>
      </c>
      <c r="O45" s="62">
        <f t="shared" si="9"/>
        <v>0.21448045777585595</v>
      </c>
      <c r="P45" s="62">
        <f t="shared" si="9"/>
        <v>0</v>
      </c>
      <c r="Q45" s="63">
        <f t="shared" si="9"/>
        <v>0.21448045777585595</v>
      </c>
      <c r="R45" s="63">
        <f t="shared" si="9"/>
        <v>0</v>
      </c>
      <c r="S45" s="63">
        <f t="shared" si="9"/>
        <v>0</v>
      </c>
      <c r="T45" s="63">
        <f t="shared" si="9"/>
        <v>0</v>
      </c>
      <c r="U45" s="63">
        <f t="shared" si="9"/>
        <v>0.21448045777585595</v>
      </c>
      <c r="V45" s="63">
        <f t="shared" si="9"/>
        <v>0</v>
      </c>
      <c r="W45" s="63">
        <f t="shared" si="9"/>
        <v>0</v>
      </c>
      <c r="X45" s="63">
        <f t="shared" si="9"/>
        <v>0</v>
      </c>
      <c r="Y45" s="63">
        <f t="shared" si="10"/>
        <v>43.895597705669182</v>
      </c>
      <c r="Z45" s="64">
        <f t="shared" si="11"/>
        <v>0.21448045777585595</v>
      </c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20"/>
      <c r="CV45" s="20"/>
      <c r="CW45" s="20"/>
      <c r="CX45" s="20"/>
      <c r="CY45" s="20"/>
      <c r="CZ45" s="20"/>
      <c r="DA45" s="20"/>
      <c r="DB45" s="20"/>
    </row>
    <row r="46" spans="9:106" ht="15.75" customHeight="1" x14ac:dyDescent="0.3">
      <c r="I46" s="58" t="s">
        <v>141</v>
      </c>
      <c r="J46" s="59" t="s">
        <v>169</v>
      </c>
      <c r="K46" s="60">
        <v>13.5</v>
      </c>
      <c r="L46" s="61"/>
      <c r="M46" s="61" t="s">
        <v>157</v>
      </c>
      <c r="N46" s="62">
        <f t="shared" si="9"/>
        <v>0.43874352621703561</v>
      </c>
      <c r="O46" s="62">
        <f t="shared" si="9"/>
        <v>5.7140945681870784E-3</v>
      </c>
      <c r="P46" s="62">
        <f t="shared" si="9"/>
        <v>0.23786180586758957</v>
      </c>
      <c r="Q46" s="63">
        <f t="shared" si="9"/>
        <v>0.4388141952311298</v>
      </c>
      <c r="R46" s="63">
        <f t="shared" si="9"/>
        <v>0</v>
      </c>
      <c r="S46" s="63">
        <f t="shared" si="9"/>
        <v>0</v>
      </c>
      <c r="T46" s="63">
        <f t="shared" si="9"/>
        <v>5.7140945681870784E-3</v>
      </c>
      <c r="U46" s="63">
        <f t="shared" si="9"/>
        <v>0</v>
      </c>
      <c r="V46" s="63">
        <f t="shared" si="9"/>
        <v>0.4330294316488485</v>
      </c>
      <c r="W46" s="63">
        <f t="shared" si="9"/>
        <v>0.19516762578125896</v>
      </c>
      <c r="X46" s="63">
        <f t="shared" si="9"/>
        <v>0</v>
      </c>
      <c r="Y46" s="63">
        <f t="shared" si="10"/>
        <v>8.7564836170076354</v>
      </c>
      <c r="Z46" s="64">
        <f t="shared" si="11"/>
        <v>0.43874352621703561</v>
      </c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20"/>
      <c r="CV46" s="20"/>
      <c r="CW46" s="20"/>
      <c r="CX46" s="20"/>
      <c r="CY46" s="20"/>
      <c r="CZ46" s="20"/>
      <c r="DA46" s="20"/>
      <c r="DB46" s="20"/>
    </row>
    <row r="47" spans="9:106" ht="15.75" customHeight="1" x14ac:dyDescent="0.3">
      <c r="I47" s="58" t="s">
        <v>172</v>
      </c>
      <c r="J47" s="59" t="s">
        <v>173</v>
      </c>
      <c r="K47" s="60">
        <v>35</v>
      </c>
      <c r="L47" s="61"/>
      <c r="M47" s="61" t="s">
        <v>145</v>
      </c>
      <c r="N47" s="62">
        <f t="shared" si="9"/>
        <v>1.2759391450439788</v>
      </c>
      <c r="O47" s="62">
        <f t="shared" si="9"/>
        <v>1.2759391450439788</v>
      </c>
      <c r="P47" s="62">
        <f t="shared" si="9"/>
        <v>0</v>
      </c>
      <c r="Q47" s="63">
        <f t="shared" si="9"/>
        <v>1.2759391450439788</v>
      </c>
      <c r="R47" s="63">
        <f t="shared" si="9"/>
        <v>0</v>
      </c>
      <c r="S47" s="63">
        <f t="shared" si="9"/>
        <v>0</v>
      </c>
      <c r="T47" s="63">
        <f t="shared" si="9"/>
        <v>0</v>
      </c>
      <c r="U47" s="63">
        <f t="shared" si="9"/>
        <v>1.2759391450439788</v>
      </c>
      <c r="V47" s="63">
        <f t="shared" si="9"/>
        <v>0</v>
      </c>
      <c r="W47" s="63">
        <f t="shared" si="9"/>
        <v>0</v>
      </c>
      <c r="X47" s="63">
        <f t="shared" si="9"/>
        <v>0</v>
      </c>
      <c r="Y47" s="63">
        <f t="shared" si="10"/>
        <v>4.3593517548323124</v>
      </c>
      <c r="Z47" s="64">
        <f t="shared" si="11"/>
        <v>1.2759391450439788</v>
      </c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20"/>
      <c r="CV47" s="20"/>
      <c r="CW47" s="20"/>
      <c r="CX47" s="20"/>
      <c r="CY47" s="20"/>
      <c r="CZ47" s="20"/>
      <c r="DA47" s="20"/>
      <c r="DB47" s="20"/>
    </row>
    <row r="48" spans="9:106" ht="15.75" customHeight="1" x14ac:dyDescent="0.3">
      <c r="I48" s="58" t="s">
        <v>175</v>
      </c>
      <c r="J48" s="59" t="s">
        <v>176</v>
      </c>
      <c r="K48" s="60">
        <v>21</v>
      </c>
      <c r="L48" s="61"/>
      <c r="M48" s="61" t="s">
        <v>177</v>
      </c>
      <c r="N48" s="62">
        <f t="shared" si="9"/>
        <v>0.43827912983870243</v>
      </c>
      <c r="O48" s="62">
        <f t="shared" si="9"/>
        <v>0.43827912983870243</v>
      </c>
      <c r="P48" s="62">
        <f t="shared" si="9"/>
        <v>0</v>
      </c>
      <c r="Q48" s="63">
        <f t="shared" si="9"/>
        <v>0.43830941655902855</v>
      </c>
      <c r="R48" s="63">
        <f t="shared" si="9"/>
        <v>0</v>
      </c>
      <c r="S48" s="63">
        <f t="shared" si="9"/>
        <v>0</v>
      </c>
      <c r="T48" s="63">
        <f t="shared" si="9"/>
        <v>0.35206293264379496</v>
      </c>
      <c r="U48" s="63">
        <f t="shared" si="9"/>
        <v>8.621619719490746E-2</v>
      </c>
      <c r="V48" s="63">
        <f t="shared" si="9"/>
        <v>0</v>
      </c>
      <c r="W48" s="63">
        <f t="shared" si="9"/>
        <v>0</v>
      </c>
      <c r="X48" s="63">
        <f t="shared" si="9"/>
        <v>0</v>
      </c>
      <c r="Y48" s="63">
        <f t="shared" si="10"/>
        <v>26.927100382560717</v>
      </c>
      <c r="Z48" s="64">
        <f t="shared" si="11"/>
        <v>0.43827912983870243</v>
      </c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20"/>
      <c r="CV48" s="20"/>
      <c r="CW48" s="20"/>
      <c r="CX48" s="20"/>
      <c r="CY48" s="20"/>
      <c r="CZ48" s="20"/>
      <c r="DA48" s="20"/>
      <c r="DB48" s="20"/>
    </row>
    <row r="49" spans="1:121" ht="15.75" customHeight="1" x14ac:dyDescent="0.3">
      <c r="I49" s="58" t="s">
        <v>175</v>
      </c>
      <c r="J49" s="59" t="s">
        <v>178</v>
      </c>
      <c r="K49" s="60">
        <v>12.5</v>
      </c>
      <c r="L49" s="61"/>
      <c r="M49" s="61" t="s">
        <v>157</v>
      </c>
      <c r="N49" s="62">
        <f t="shared" si="9"/>
        <v>8.7791106651863626E-2</v>
      </c>
      <c r="O49" s="62">
        <f t="shared" si="9"/>
        <v>8.7791106651863626E-2</v>
      </c>
      <c r="P49" s="62">
        <f t="shared" si="9"/>
        <v>0</v>
      </c>
      <c r="Q49" s="63">
        <f t="shared" si="9"/>
        <v>8.7801202225305658E-2</v>
      </c>
      <c r="R49" s="63">
        <f t="shared" si="9"/>
        <v>0</v>
      </c>
      <c r="S49" s="63">
        <f t="shared" si="9"/>
        <v>0</v>
      </c>
      <c r="T49" s="63">
        <f t="shared" si="9"/>
        <v>3.6990181091585597E-2</v>
      </c>
      <c r="U49" s="63">
        <f t="shared" si="9"/>
        <v>5.0800925560278022E-2</v>
      </c>
      <c r="V49" s="63">
        <f t="shared" si="9"/>
        <v>0</v>
      </c>
      <c r="W49" s="63">
        <f t="shared" si="9"/>
        <v>0</v>
      </c>
      <c r="X49" s="63">
        <f t="shared" si="9"/>
        <v>0</v>
      </c>
      <c r="Y49" s="63">
        <f t="shared" si="10"/>
        <v>3.2805677744000978</v>
      </c>
      <c r="Z49" s="64">
        <f t="shared" si="11"/>
        <v>8.7791106651863626E-2</v>
      </c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20"/>
      <c r="CV49" s="20"/>
      <c r="CW49" s="20"/>
      <c r="CX49" s="20"/>
      <c r="CY49" s="20"/>
      <c r="CZ49" s="20"/>
      <c r="DA49" s="20"/>
      <c r="DB49" s="20"/>
    </row>
    <row r="50" spans="1:121" ht="15.75" customHeight="1" x14ac:dyDescent="0.3">
      <c r="I50" s="58" t="s">
        <v>175</v>
      </c>
      <c r="J50" s="59" t="s">
        <v>181</v>
      </c>
      <c r="K50" s="60">
        <v>21</v>
      </c>
      <c r="L50" s="61"/>
      <c r="M50" s="61" t="s">
        <v>177</v>
      </c>
      <c r="N50" s="62">
        <f t="shared" si="9"/>
        <v>1.8634611370761611</v>
      </c>
      <c r="O50" s="62">
        <f t="shared" si="9"/>
        <v>0.96320856653031961</v>
      </c>
      <c r="P50" s="62">
        <f t="shared" si="9"/>
        <v>0.90025257054584151</v>
      </c>
      <c r="Q50" s="63">
        <f t="shared" si="9"/>
        <v>1.8635217105168129</v>
      </c>
      <c r="R50" s="63">
        <f t="shared" si="9"/>
        <v>0</v>
      </c>
      <c r="S50" s="63">
        <f t="shared" si="9"/>
        <v>0</v>
      </c>
      <c r="T50" s="63">
        <f t="shared" si="9"/>
        <v>0.8853716952922942</v>
      </c>
      <c r="U50" s="63">
        <f t="shared" si="9"/>
        <v>7.7836871238025379E-2</v>
      </c>
      <c r="V50" s="63">
        <f t="shared" si="9"/>
        <v>0</v>
      </c>
      <c r="W50" s="63">
        <f t="shared" si="9"/>
        <v>0</v>
      </c>
      <c r="X50" s="63">
        <f t="shared" si="9"/>
        <v>0.90025257054584151</v>
      </c>
      <c r="Y50" s="63">
        <f t="shared" si="10"/>
        <v>39.659458817161386</v>
      </c>
      <c r="Z50" s="64">
        <f t="shared" si="11"/>
        <v>1.8634611370761611</v>
      </c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20"/>
      <c r="CV50" s="20"/>
      <c r="CW50" s="20"/>
      <c r="CX50" s="20"/>
      <c r="CY50" s="20"/>
      <c r="CZ50" s="20"/>
      <c r="DA50" s="20"/>
      <c r="DB50" s="20"/>
    </row>
    <row r="51" spans="1:121" ht="15.75" customHeight="1" x14ac:dyDescent="0.3">
      <c r="I51" s="58" t="s">
        <v>175</v>
      </c>
      <c r="J51" s="59" t="s">
        <v>183</v>
      </c>
      <c r="K51" s="60">
        <f>20+(25-20)/2</f>
        <v>22.5</v>
      </c>
      <c r="L51" s="61"/>
      <c r="M51" s="61" t="s">
        <v>177</v>
      </c>
      <c r="N51" s="62">
        <f t="shared" ref="N51:X57" si="12">+N21*365*$D$7/1000</f>
        <v>2.497140090885289</v>
      </c>
      <c r="O51" s="62">
        <f t="shared" si="12"/>
        <v>1.1205177919039784</v>
      </c>
      <c r="P51" s="62">
        <f t="shared" si="12"/>
        <v>1.3766222989813104</v>
      </c>
      <c r="Q51" s="63">
        <f t="shared" si="12"/>
        <v>2.497140090885289</v>
      </c>
      <c r="R51" s="63">
        <f t="shared" si="12"/>
        <v>0</v>
      </c>
      <c r="S51" s="63">
        <f t="shared" si="12"/>
        <v>0</v>
      </c>
      <c r="T51" s="63">
        <f t="shared" si="12"/>
        <v>0.51468242964795996</v>
      </c>
      <c r="U51" s="63">
        <f t="shared" si="12"/>
        <v>0.60583536225601842</v>
      </c>
      <c r="V51" s="63">
        <f t="shared" si="12"/>
        <v>1.3766222989813104</v>
      </c>
      <c r="W51" s="63">
        <f t="shared" si="12"/>
        <v>0</v>
      </c>
      <c r="X51" s="63">
        <f t="shared" si="12"/>
        <v>0</v>
      </c>
      <c r="Y51" s="63">
        <f t="shared" si="10"/>
        <v>94.059349180277351</v>
      </c>
      <c r="Z51" s="64">
        <f t="shared" si="11"/>
        <v>2.497140090885289</v>
      </c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20"/>
      <c r="CV51" s="20"/>
      <c r="CW51" s="20"/>
      <c r="CX51" s="20"/>
      <c r="CY51" s="20"/>
      <c r="CZ51" s="20"/>
      <c r="DA51" s="20"/>
      <c r="DB51" s="20"/>
    </row>
    <row r="52" spans="1:121" ht="15.75" customHeight="1" x14ac:dyDescent="0.3">
      <c r="I52" s="58" t="s">
        <v>185</v>
      </c>
      <c r="J52" s="59" t="s">
        <v>186</v>
      </c>
      <c r="K52" s="60">
        <v>23</v>
      </c>
      <c r="L52" s="61"/>
      <c r="M52" s="61" t="s">
        <v>177</v>
      </c>
      <c r="N52" s="62">
        <f t="shared" si="12"/>
        <v>0.71025387836690013</v>
      </c>
      <c r="O52" s="62">
        <f t="shared" si="12"/>
        <v>0.12213624750163826</v>
      </c>
      <c r="P52" s="62">
        <f t="shared" si="12"/>
        <v>0.38201649904628793</v>
      </c>
      <c r="Q52" s="63">
        <f t="shared" si="12"/>
        <v>0.71027406951378402</v>
      </c>
      <c r="R52" s="63">
        <f t="shared" si="12"/>
        <v>0</v>
      </c>
      <c r="S52" s="63">
        <f t="shared" si="12"/>
        <v>0</v>
      </c>
      <c r="T52" s="63">
        <f t="shared" si="12"/>
        <v>3.8100694170208539E-2</v>
      </c>
      <c r="U52" s="63">
        <f t="shared" si="12"/>
        <v>8.403555333142973E-2</v>
      </c>
      <c r="V52" s="63">
        <f t="shared" si="12"/>
        <v>0.58683549303812432</v>
      </c>
      <c r="W52" s="63">
        <f t="shared" si="12"/>
        <v>0.2061011318189738</v>
      </c>
      <c r="X52" s="63">
        <f t="shared" si="12"/>
        <v>1.2821378271373829E-3</v>
      </c>
      <c r="Y52" s="63">
        <f t="shared" si="10"/>
        <v>10.408512554584734</v>
      </c>
      <c r="Z52" s="64">
        <f t="shared" si="11"/>
        <v>0.71025387836690013</v>
      </c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20"/>
      <c r="CV52" s="20"/>
      <c r="CW52" s="20"/>
      <c r="CX52" s="20"/>
      <c r="CY52" s="20"/>
      <c r="CZ52" s="20"/>
      <c r="DA52" s="20"/>
      <c r="DB52" s="20"/>
    </row>
    <row r="53" spans="1:121" ht="15.75" customHeight="1" x14ac:dyDescent="0.3">
      <c r="I53" s="58" t="s">
        <v>185</v>
      </c>
      <c r="J53" s="59" t="s">
        <v>187</v>
      </c>
      <c r="K53" s="60">
        <v>25.5</v>
      </c>
      <c r="L53" s="61"/>
      <c r="M53" s="61" t="s">
        <v>177</v>
      </c>
      <c r="N53" s="62">
        <f t="shared" si="12"/>
        <v>0.31949461271981699</v>
      </c>
      <c r="O53" s="62">
        <f t="shared" si="12"/>
        <v>0.31949461271981699</v>
      </c>
      <c r="P53" s="62">
        <f t="shared" si="12"/>
        <v>0</v>
      </c>
      <c r="Q53" s="63">
        <f t="shared" si="12"/>
        <v>0.31951480386670106</v>
      </c>
      <c r="R53" s="63">
        <f t="shared" si="12"/>
        <v>0</v>
      </c>
      <c r="S53" s="63">
        <f t="shared" si="12"/>
        <v>0</v>
      </c>
      <c r="T53" s="63">
        <f t="shared" si="12"/>
        <v>0.16765718815173636</v>
      </c>
      <c r="U53" s="63">
        <f t="shared" si="12"/>
        <v>0.15183742456808058</v>
      </c>
      <c r="V53" s="63">
        <f t="shared" si="12"/>
        <v>0</v>
      </c>
      <c r="W53" s="63">
        <f t="shared" si="12"/>
        <v>0</v>
      </c>
      <c r="X53" s="63">
        <f t="shared" si="12"/>
        <v>0</v>
      </c>
      <c r="Y53" s="63">
        <f t="shared" si="10"/>
        <v>9.2296903712167389</v>
      </c>
      <c r="Z53" s="64">
        <f t="shared" si="11"/>
        <v>0.31949461271981699</v>
      </c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20"/>
      <c r="CV53" s="20"/>
      <c r="CW53" s="20"/>
      <c r="CX53" s="20"/>
      <c r="CY53" s="20"/>
      <c r="CZ53" s="20"/>
      <c r="DA53" s="20"/>
      <c r="DB53" s="20"/>
    </row>
    <row r="54" spans="1:121" ht="15.75" customHeight="1" x14ac:dyDescent="0.3">
      <c r="I54" s="58" t="s">
        <v>185</v>
      </c>
      <c r="J54" s="81" t="s">
        <v>188</v>
      </c>
      <c r="K54" s="60">
        <v>21</v>
      </c>
      <c r="L54" s="61"/>
      <c r="M54" s="61" t="s">
        <v>177</v>
      </c>
      <c r="N54" s="62">
        <f t="shared" si="12"/>
        <v>0.43874352621703561</v>
      </c>
      <c r="O54" s="62">
        <f t="shared" si="12"/>
        <v>5.7140945681870784E-3</v>
      </c>
      <c r="P54" s="62">
        <f t="shared" si="12"/>
        <v>0.23786180586758957</v>
      </c>
      <c r="Q54" s="63">
        <f t="shared" si="12"/>
        <v>0.4388141952311298</v>
      </c>
      <c r="R54" s="63">
        <f t="shared" si="12"/>
        <v>0</v>
      </c>
      <c r="S54" s="63">
        <f t="shared" si="12"/>
        <v>0</v>
      </c>
      <c r="T54" s="63">
        <f t="shared" si="12"/>
        <v>0</v>
      </c>
      <c r="U54" s="63">
        <f t="shared" si="12"/>
        <v>5.7140945681870784E-3</v>
      </c>
      <c r="V54" s="63">
        <f t="shared" si="12"/>
        <v>0.4330294316488485</v>
      </c>
      <c r="W54" s="63">
        <f t="shared" si="12"/>
        <v>0.19516762578125896</v>
      </c>
      <c r="X54" s="63">
        <f t="shared" si="12"/>
        <v>0</v>
      </c>
      <c r="Y54" s="63">
        <f t="shared" si="10"/>
        <v>8.7564836170076354</v>
      </c>
      <c r="Z54" s="64">
        <f t="shared" si="11"/>
        <v>0.43874352621703561</v>
      </c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20"/>
      <c r="CV54" s="20"/>
      <c r="CW54" s="20"/>
      <c r="CX54" s="20"/>
      <c r="CY54" s="20"/>
      <c r="CZ54" s="20"/>
      <c r="DA54" s="20"/>
      <c r="DB54" s="20"/>
    </row>
    <row r="55" spans="1:121" ht="15.75" customHeight="1" x14ac:dyDescent="0.3">
      <c r="I55" s="58" t="s">
        <v>189</v>
      </c>
      <c r="J55" s="85" t="s">
        <v>190</v>
      </c>
      <c r="K55" s="60" t="s">
        <v>134</v>
      </c>
      <c r="L55" s="61" t="s">
        <v>37</v>
      </c>
      <c r="M55" s="61" t="s">
        <v>135</v>
      </c>
      <c r="N55" s="62">
        <f t="shared" si="12"/>
        <v>1.0840525806313783</v>
      </c>
      <c r="O55" s="62">
        <f t="shared" si="12"/>
        <v>0</v>
      </c>
      <c r="P55" s="62">
        <f t="shared" si="12"/>
        <v>1.0840525806313783</v>
      </c>
      <c r="Q55" s="63">
        <f t="shared" si="12"/>
        <v>1.0840525806313783</v>
      </c>
      <c r="R55" s="63">
        <f t="shared" si="12"/>
        <v>0</v>
      </c>
      <c r="S55" s="63">
        <f t="shared" si="12"/>
        <v>0</v>
      </c>
      <c r="T55" s="63">
        <f t="shared" si="12"/>
        <v>0</v>
      </c>
      <c r="U55" s="63">
        <f t="shared" si="12"/>
        <v>0</v>
      </c>
      <c r="V55" s="63">
        <f t="shared" si="12"/>
        <v>0</v>
      </c>
      <c r="W55" s="63">
        <f t="shared" si="12"/>
        <v>0</v>
      </c>
      <c r="X55" s="63">
        <f t="shared" si="12"/>
        <v>1.0840525806313783</v>
      </c>
      <c r="Y55" s="63">
        <f t="shared" si="10"/>
        <v>0</v>
      </c>
      <c r="Z55" s="64">
        <f t="shared" si="11"/>
        <v>1.0840525806313783</v>
      </c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20"/>
      <c r="CV55" s="20"/>
      <c r="CW55" s="20"/>
      <c r="CX55" s="20"/>
      <c r="CY55" s="20"/>
      <c r="CZ55" s="20"/>
      <c r="DA55" s="20"/>
      <c r="DB55" s="20"/>
    </row>
    <row r="56" spans="1:121" ht="15.75" customHeight="1" x14ac:dyDescent="0.3">
      <c r="I56" s="58" t="s">
        <v>189</v>
      </c>
      <c r="J56" s="85" t="s">
        <v>191</v>
      </c>
      <c r="K56" s="60" t="s">
        <v>134</v>
      </c>
      <c r="L56" s="61" t="s">
        <v>37</v>
      </c>
      <c r="M56" s="61" t="s">
        <v>135</v>
      </c>
      <c r="N56" s="62">
        <f t="shared" si="12"/>
        <v>2.2925734862295029</v>
      </c>
      <c r="O56" s="62">
        <f t="shared" si="12"/>
        <v>4.8539517109264067E-2</v>
      </c>
      <c r="P56" s="62">
        <f t="shared" si="12"/>
        <v>2.2440339691202391</v>
      </c>
      <c r="Q56" s="63">
        <f t="shared" si="12"/>
        <v>2.292583581802945</v>
      </c>
      <c r="R56" s="63">
        <f t="shared" si="12"/>
        <v>0</v>
      </c>
      <c r="S56" s="63">
        <f t="shared" si="12"/>
        <v>0</v>
      </c>
      <c r="T56" s="63">
        <f t="shared" si="12"/>
        <v>4.2906187128613207E-3</v>
      </c>
      <c r="U56" s="63">
        <f t="shared" si="12"/>
        <v>4.4248898396402753E-2</v>
      </c>
      <c r="V56" s="63">
        <f t="shared" si="12"/>
        <v>0</v>
      </c>
      <c r="W56" s="63">
        <f t="shared" si="12"/>
        <v>0</v>
      </c>
      <c r="X56" s="63">
        <f t="shared" si="12"/>
        <v>2.2440339691202391</v>
      </c>
      <c r="Y56" s="86">
        <f t="shared" si="10"/>
        <v>1.3579511620070052E-2</v>
      </c>
      <c r="Z56" s="64">
        <f t="shared" si="11"/>
        <v>2.2925734862295029</v>
      </c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20"/>
      <c r="CV56" s="20"/>
      <c r="CW56" s="20"/>
      <c r="CX56" s="20"/>
      <c r="CY56" s="20"/>
      <c r="CZ56" s="20"/>
      <c r="DA56" s="20"/>
      <c r="DB56" s="20"/>
    </row>
    <row r="57" spans="1:121" ht="15.75" customHeight="1" x14ac:dyDescent="0.3">
      <c r="I57" s="58" t="s">
        <v>189</v>
      </c>
      <c r="J57" s="85" t="s">
        <v>192</v>
      </c>
      <c r="K57" s="60" t="s">
        <v>134</v>
      </c>
      <c r="L57" s="61" t="s">
        <v>37</v>
      </c>
      <c r="M57" s="61" t="s">
        <v>135</v>
      </c>
      <c r="N57" s="62">
        <f t="shared" si="12"/>
        <v>10.354312893772342</v>
      </c>
      <c r="O57" s="62">
        <f t="shared" si="12"/>
        <v>0.21674186622686989</v>
      </c>
      <c r="P57" s="62">
        <f t="shared" si="12"/>
        <v>10.137571027545471</v>
      </c>
      <c r="Q57" s="63">
        <f t="shared" si="12"/>
        <v>10.35427251147857</v>
      </c>
      <c r="R57" s="63">
        <f t="shared" si="12"/>
        <v>0</v>
      </c>
      <c r="S57" s="63">
        <f t="shared" si="12"/>
        <v>0</v>
      </c>
      <c r="T57" s="63">
        <f t="shared" si="12"/>
        <v>1.8616237427097122E-2</v>
      </c>
      <c r="U57" s="63">
        <f t="shared" si="12"/>
        <v>0.19812562879977277</v>
      </c>
      <c r="V57" s="63">
        <f t="shared" si="12"/>
        <v>0</v>
      </c>
      <c r="W57" s="63">
        <f t="shared" si="12"/>
        <v>0</v>
      </c>
      <c r="X57" s="63">
        <f t="shared" si="12"/>
        <v>10.137571027545471</v>
      </c>
      <c r="Y57" s="86">
        <f t="shared" si="10"/>
        <v>6.1343436802343387E-2</v>
      </c>
      <c r="Z57" s="64">
        <f t="shared" si="11"/>
        <v>10.354312893772342</v>
      </c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20"/>
      <c r="CV57" s="20"/>
      <c r="CW57" s="20"/>
      <c r="CX57" s="20"/>
      <c r="CY57" s="20"/>
      <c r="CZ57" s="20"/>
      <c r="DA57" s="20"/>
      <c r="DB57" s="20"/>
    </row>
    <row r="58" spans="1:121" ht="15.75" customHeight="1" x14ac:dyDescent="0.3">
      <c r="A58" s="20"/>
      <c r="B58" s="20"/>
      <c r="C58" s="20"/>
      <c r="D58" s="20"/>
      <c r="E58" s="20"/>
      <c r="F58" s="20"/>
      <c r="G58" s="20"/>
      <c r="H58" s="20"/>
      <c r="I58" s="87"/>
      <c r="J58" s="88"/>
      <c r="K58" s="89"/>
      <c r="L58" s="90"/>
      <c r="M58" s="90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2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</row>
    <row r="59" spans="1:121" ht="15.75" customHeight="1" x14ac:dyDescent="0.3">
      <c r="A59" s="20"/>
      <c r="B59" s="20"/>
      <c r="C59" s="20"/>
      <c r="D59" s="20"/>
      <c r="E59" s="20"/>
      <c r="F59" s="20"/>
      <c r="G59" s="20"/>
      <c r="H59" s="20"/>
      <c r="I59" s="87"/>
      <c r="J59" s="88"/>
      <c r="K59" s="89"/>
      <c r="L59" s="90"/>
      <c r="M59" s="90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2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</row>
    <row r="60" spans="1:121" ht="15.75" customHeight="1" x14ac:dyDescent="0.3">
      <c r="A60" s="20"/>
      <c r="B60" s="20"/>
      <c r="C60" s="20"/>
      <c r="D60" s="20"/>
      <c r="E60" s="20"/>
      <c r="F60" s="20"/>
      <c r="G60" s="20"/>
      <c r="H60" s="20"/>
      <c r="I60" s="87"/>
      <c r="J60" s="88"/>
      <c r="K60" s="89"/>
      <c r="L60" s="90"/>
      <c r="M60" s="90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2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</row>
    <row r="61" spans="1:121" ht="15.75" customHeight="1" x14ac:dyDescent="0.3">
      <c r="B61" s="20"/>
      <c r="C61" s="20"/>
      <c r="D61" s="20"/>
      <c r="E61" s="20"/>
      <c r="F61" s="20"/>
      <c r="G61" s="20"/>
      <c r="H61" s="20"/>
      <c r="I61" s="20"/>
      <c r="T61" s="42">
        <f>+SUM(T35:T57)</f>
        <v>33.632625562956704</v>
      </c>
      <c r="CV61" s="20"/>
      <c r="CW61" s="20"/>
      <c r="CX61" s="20"/>
      <c r="CY61" s="20"/>
      <c r="CZ61" s="20"/>
      <c r="DA61" s="20"/>
      <c r="DB61" s="20"/>
    </row>
    <row r="62" spans="1:121" ht="15.75" customHeight="1" x14ac:dyDescent="0.3">
      <c r="B62" s="20"/>
      <c r="C62" s="20"/>
      <c r="D62" s="20"/>
      <c r="E62" s="20"/>
      <c r="F62" s="20"/>
      <c r="G62" s="20"/>
      <c r="H62" s="20"/>
      <c r="I62" s="20"/>
      <c r="CV62" s="20"/>
      <c r="CW62" s="20"/>
      <c r="CX62" s="20"/>
      <c r="CY62" s="20"/>
      <c r="CZ62" s="20"/>
      <c r="DA62" s="20"/>
      <c r="DB62" s="20"/>
    </row>
    <row r="63" spans="1:121" ht="15.75" customHeight="1" x14ac:dyDescent="0.3">
      <c r="B63" s="20"/>
      <c r="C63" s="20"/>
      <c r="D63" s="20"/>
      <c r="E63" s="20"/>
      <c r="F63" s="20"/>
      <c r="G63" s="20"/>
      <c r="H63" s="20"/>
      <c r="I63" s="20"/>
      <c r="Y63" s="42"/>
      <c r="BL63" s="93"/>
      <c r="BM63" s="16" t="s">
        <v>193</v>
      </c>
      <c r="CV63" s="20"/>
      <c r="CW63" s="20"/>
      <c r="CX63" s="20"/>
      <c r="CY63" s="20"/>
      <c r="CZ63" s="20"/>
      <c r="DA63" s="20"/>
      <c r="DB63" s="20"/>
    </row>
    <row r="64" spans="1:121" ht="15.75" customHeight="1" x14ac:dyDescent="0.3">
      <c r="N64" s="42"/>
      <c r="R64" s="307" t="s">
        <v>194</v>
      </c>
      <c r="S64" s="306"/>
      <c r="T64" s="306"/>
      <c r="U64" s="306"/>
      <c r="V64" s="306"/>
      <c r="W64" s="308" t="s">
        <v>195</v>
      </c>
      <c r="X64" s="306"/>
      <c r="Y64" s="306"/>
      <c r="Z64" s="306"/>
      <c r="AA64" s="94" t="s">
        <v>196</v>
      </c>
      <c r="AB64" s="16" t="s">
        <v>197</v>
      </c>
      <c r="CV64" s="20"/>
      <c r="CW64" s="20"/>
      <c r="CX64" s="20"/>
      <c r="CY64" s="20"/>
      <c r="CZ64" s="20"/>
      <c r="DA64" s="20"/>
      <c r="DB64" s="20"/>
    </row>
    <row r="65" spans="1:121" ht="15.75" customHeight="1" x14ac:dyDescent="0.3">
      <c r="N65" s="4" t="str">
        <f t="shared" ref="N65:O65" si="13">Y33</f>
        <v>PJ</v>
      </c>
      <c r="O65" s="4" t="str">
        <f t="shared" si="13"/>
        <v>PJ</v>
      </c>
      <c r="P65" s="95" t="s">
        <v>198</v>
      </c>
      <c r="Q65" s="95" t="s">
        <v>97</v>
      </c>
      <c r="R65" s="96" t="str">
        <f t="shared" ref="R65:V65" si="14">T33</f>
        <v>PJ</v>
      </c>
      <c r="S65" s="96" t="str">
        <f t="shared" si="14"/>
        <v>PJ</v>
      </c>
      <c r="T65" s="96" t="str">
        <f t="shared" si="14"/>
        <v>PJ</v>
      </c>
      <c r="U65" s="96" t="str">
        <f t="shared" si="14"/>
        <v>PJ</v>
      </c>
      <c r="V65" s="96" t="str">
        <f t="shared" si="14"/>
        <v>PJ</v>
      </c>
      <c r="W65" s="97" t="s">
        <v>198</v>
      </c>
      <c r="X65" s="97" t="s">
        <v>198</v>
      </c>
      <c r="Y65" s="97" t="s">
        <v>198</v>
      </c>
      <c r="Z65" s="97" t="s">
        <v>198</v>
      </c>
      <c r="AA65" s="98" t="s">
        <v>198</v>
      </c>
      <c r="AB65" s="99" t="s">
        <v>97</v>
      </c>
      <c r="AC65" s="99" t="s">
        <v>199</v>
      </c>
      <c r="AD65" s="95" t="s">
        <v>97</v>
      </c>
      <c r="AE65" s="95" t="s">
        <v>199</v>
      </c>
      <c r="AF65" s="95" t="s">
        <v>97</v>
      </c>
      <c r="AG65" s="95" t="s">
        <v>199</v>
      </c>
      <c r="AH65" s="4" t="s">
        <v>97</v>
      </c>
      <c r="AI65" s="309" t="s">
        <v>200</v>
      </c>
      <c r="AJ65" s="310"/>
      <c r="AK65" s="310"/>
      <c r="AL65" s="310"/>
      <c r="AM65" s="310"/>
      <c r="AN65" s="310"/>
      <c r="AO65" s="310"/>
      <c r="AP65" s="310"/>
      <c r="AQ65" s="310"/>
      <c r="AR65" s="310"/>
      <c r="AS65" s="310"/>
      <c r="AT65" s="310"/>
      <c r="AU65" s="310"/>
      <c r="AV65" s="311"/>
      <c r="AW65" s="309" t="s">
        <v>201</v>
      </c>
      <c r="AX65" s="310"/>
      <c r="AY65" s="310"/>
      <c r="AZ65" s="310"/>
      <c r="BA65" s="310"/>
      <c r="BB65" s="310"/>
      <c r="BC65" s="310"/>
      <c r="BD65" s="310"/>
      <c r="BE65" s="310"/>
      <c r="BF65" s="310"/>
      <c r="BG65" s="310"/>
      <c r="BH65" s="310"/>
      <c r="BI65" s="310"/>
      <c r="BJ65" s="311"/>
      <c r="BK65" s="309" t="s">
        <v>202</v>
      </c>
      <c r="BL65" s="310"/>
      <c r="BM65" s="310"/>
      <c r="BN65" s="310"/>
      <c r="BO65" s="310"/>
      <c r="BP65" s="310"/>
      <c r="BQ65" s="310"/>
      <c r="BR65" s="310"/>
      <c r="BS65" s="310"/>
      <c r="BT65" s="310"/>
      <c r="BU65" s="310"/>
      <c r="BV65" s="310"/>
      <c r="BW65" s="310"/>
      <c r="BX65" s="311"/>
      <c r="BY65" s="100"/>
      <c r="BZ65" s="100"/>
      <c r="CA65" s="100"/>
      <c r="CB65" s="101" t="s">
        <v>200</v>
      </c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3"/>
      <c r="CP65" s="101" t="s">
        <v>201</v>
      </c>
      <c r="CQ65" s="102"/>
      <c r="CR65" s="102"/>
      <c r="CS65" s="102"/>
      <c r="CT65" s="102"/>
      <c r="CU65" s="102"/>
      <c r="CV65" s="102"/>
      <c r="CW65" s="102"/>
      <c r="CX65" s="102"/>
      <c r="CY65" s="102"/>
      <c r="CZ65" s="102"/>
      <c r="DA65" s="102"/>
      <c r="DB65" s="102"/>
      <c r="DC65" s="103"/>
      <c r="DD65" s="101" t="s">
        <v>202</v>
      </c>
      <c r="DE65" s="102"/>
      <c r="DF65" s="102"/>
      <c r="DG65" s="102"/>
      <c r="DH65" s="102"/>
      <c r="DI65" s="102"/>
      <c r="DJ65" s="102"/>
      <c r="DK65" s="102"/>
      <c r="DL65" s="102"/>
      <c r="DM65" s="102"/>
      <c r="DN65" s="102"/>
      <c r="DO65" s="102"/>
      <c r="DP65" s="102"/>
      <c r="DQ65" s="103"/>
    </row>
    <row r="66" spans="1:121" ht="15.75" customHeight="1" x14ac:dyDescent="0.3">
      <c r="A66" s="104"/>
      <c r="B66" s="104"/>
      <c r="C66" s="104"/>
      <c r="D66" s="104"/>
      <c r="E66" s="104"/>
      <c r="F66" s="104"/>
      <c r="G66" s="104"/>
      <c r="H66" s="104"/>
      <c r="I66" s="54" t="s">
        <v>110</v>
      </c>
      <c r="J66" s="54" t="s">
        <v>111</v>
      </c>
      <c r="K66" s="54" t="s">
        <v>112</v>
      </c>
      <c r="L66" s="55"/>
      <c r="M66" s="54" t="str">
        <f t="shared" ref="M66:M86" si="15">M34</f>
        <v>Type of Oil producing</v>
      </c>
      <c r="N66" s="54" t="s">
        <v>125</v>
      </c>
      <c r="O66" s="54" t="s">
        <v>126</v>
      </c>
      <c r="P66" s="105" t="s">
        <v>203</v>
      </c>
      <c r="Q66" s="105" t="s">
        <v>116</v>
      </c>
      <c r="R66" s="56" t="s">
        <v>120</v>
      </c>
      <c r="S66" s="56" t="s">
        <v>121</v>
      </c>
      <c r="T66" s="56" t="s">
        <v>122</v>
      </c>
      <c r="U66" s="56" t="s">
        <v>123</v>
      </c>
      <c r="V66" s="56" t="s">
        <v>124</v>
      </c>
      <c r="W66" s="106" t="s">
        <v>120</v>
      </c>
      <c r="X66" s="106" t="s">
        <v>121</v>
      </c>
      <c r="Y66" s="106" t="s">
        <v>122</v>
      </c>
      <c r="Z66" s="106" t="s">
        <v>124</v>
      </c>
      <c r="AA66" s="107" t="s">
        <v>123</v>
      </c>
      <c r="AB66" s="108" t="s">
        <v>204</v>
      </c>
      <c r="AC66" s="108" t="s">
        <v>205</v>
      </c>
      <c r="AD66" s="105" t="s">
        <v>206</v>
      </c>
      <c r="AE66" s="105" t="s">
        <v>207</v>
      </c>
      <c r="AF66" s="105" t="s">
        <v>208</v>
      </c>
      <c r="AG66" s="105" t="s">
        <v>209</v>
      </c>
      <c r="AH66" s="109" t="s">
        <v>210</v>
      </c>
      <c r="AI66" s="110">
        <v>2019</v>
      </c>
      <c r="AJ66" s="111">
        <v>2020</v>
      </c>
      <c r="AK66" s="111">
        <v>2023</v>
      </c>
      <c r="AL66" s="111">
        <v>2025</v>
      </c>
      <c r="AM66" s="111">
        <v>2027</v>
      </c>
      <c r="AN66" s="111">
        <v>2030</v>
      </c>
      <c r="AO66" s="111">
        <v>2033</v>
      </c>
      <c r="AP66" s="111">
        <v>2035</v>
      </c>
      <c r="AQ66" s="111">
        <v>2037</v>
      </c>
      <c r="AR66" s="111">
        <v>2040</v>
      </c>
      <c r="AS66" s="111">
        <v>2043</v>
      </c>
      <c r="AT66" s="111">
        <v>2045</v>
      </c>
      <c r="AU66" s="111">
        <v>2047</v>
      </c>
      <c r="AV66" s="112">
        <v>2050</v>
      </c>
      <c r="AW66" s="110">
        <v>2019</v>
      </c>
      <c r="AX66" s="111">
        <v>2020</v>
      </c>
      <c r="AY66" s="111">
        <v>2023</v>
      </c>
      <c r="AZ66" s="111">
        <v>2025</v>
      </c>
      <c r="BA66" s="111">
        <v>2027</v>
      </c>
      <c r="BB66" s="111">
        <v>2030</v>
      </c>
      <c r="BC66" s="111">
        <v>2033</v>
      </c>
      <c r="BD66" s="111">
        <v>2035</v>
      </c>
      <c r="BE66" s="111">
        <v>2037</v>
      </c>
      <c r="BF66" s="111">
        <v>2040</v>
      </c>
      <c r="BG66" s="111">
        <v>2043</v>
      </c>
      <c r="BH66" s="111">
        <v>2045</v>
      </c>
      <c r="BI66" s="111">
        <v>2047</v>
      </c>
      <c r="BJ66" s="112">
        <v>2050</v>
      </c>
      <c r="BK66" s="110">
        <v>2019</v>
      </c>
      <c r="BL66" s="111">
        <v>2020</v>
      </c>
      <c r="BM66" s="111">
        <v>2023</v>
      </c>
      <c r="BN66" s="111">
        <v>2025</v>
      </c>
      <c r="BO66" s="111">
        <v>2027</v>
      </c>
      <c r="BP66" s="111">
        <v>2030</v>
      </c>
      <c r="BQ66" s="111">
        <v>2033</v>
      </c>
      <c r="BR66" s="111">
        <v>2035</v>
      </c>
      <c r="BS66" s="111">
        <v>2037</v>
      </c>
      <c r="BT66" s="111">
        <v>2040</v>
      </c>
      <c r="BU66" s="111">
        <v>2043</v>
      </c>
      <c r="BV66" s="111">
        <v>2045</v>
      </c>
      <c r="BW66" s="111">
        <v>2047</v>
      </c>
      <c r="BX66" s="112">
        <v>2050</v>
      </c>
      <c r="BY66" s="21"/>
      <c r="BZ66" s="21"/>
      <c r="CA66" s="21"/>
      <c r="CB66" s="110">
        <v>2019</v>
      </c>
      <c r="CC66" s="111">
        <v>2020</v>
      </c>
      <c r="CD66" s="111">
        <v>2023</v>
      </c>
      <c r="CE66" s="111">
        <v>2025</v>
      </c>
      <c r="CF66" s="111">
        <v>2027</v>
      </c>
      <c r="CG66" s="111">
        <v>2030</v>
      </c>
      <c r="CH66" s="111">
        <v>2033</v>
      </c>
      <c r="CI66" s="111">
        <v>2035</v>
      </c>
      <c r="CJ66" s="111">
        <v>2037</v>
      </c>
      <c r="CK66" s="111">
        <v>2040</v>
      </c>
      <c r="CL66" s="111">
        <v>2043</v>
      </c>
      <c r="CM66" s="111">
        <v>2045</v>
      </c>
      <c r="CN66" s="111">
        <v>2047</v>
      </c>
      <c r="CO66" s="112">
        <v>2050</v>
      </c>
      <c r="CP66" s="110">
        <v>2019</v>
      </c>
      <c r="CQ66" s="111">
        <v>2020</v>
      </c>
      <c r="CR66" s="111">
        <v>2023</v>
      </c>
      <c r="CS66" s="111">
        <v>2025</v>
      </c>
      <c r="CT66" s="111">
        <v>2027</v>
      </c>
      <c r="CU66" s="111">
        <v>2030</v>
      </c>
      <c r="CV66" s="111">
        <v>2033</v>
      </c>
      <c r="CW66" s="111">
        <v>2035</v>
      </c>
      <c r="CX66" s="111">
        <v>2037</v>
      </c>
      <c r="CY66" s="111">
        <v>2040</v>
      </c>
      <c r="CZ66" s="111">
        <v>2043</v>
      </c>
      <c r="DA66" s="111">
        <v>2045</v>
      </c>
      <c r="DB66" s="111">
        <v>2047</v>
      </c>
      <c r="DC66" s="112">
        <v>2050</v>
      </c>
      <c r="DD66" s="110">
        <v>2019</v>
      </c>
      <c r="DE66" s="111">
        <v>2020</v>
      </c>
      <c r="DF66" s="111">
        <v>2023</v>
      </c>
      <c r="DG66" s="111">
        <v>2025</v>
      </c>
      <c r="DH66" s="111">
        <v>2027</v>
      </c>
      <c r="DI66" s="111">
        <v>2030</v>
      </c>
      <c r="DJ66" s="111">
        <v>2033</v>
      </c>
      <c r="DK66" s="111">
        <v>2035</v>
      </c>
      <c r="DL66" s="111">
        <v>2037</v>
      </c>
      <c r="DM66" s="111">
        <v>2040</v>
      </c>
      <c r="DN66" s="111">
        <v>2043</v>
      </c>
      <c r="DO66" s="111">
        <v>2045</v>
      </c>
      <c r="DP66" s="111">
        <v>2047</v>
      </c>
      <c r="DQ66" s="112">
        <v>2050</v>
      </c>
    </row>
    <row r="67" spans="1:121" ht="15.75" customHeight="1" x14ac:dyDescent="0.3">
      <c r="I67" s="58" t="s">
        <v>132</v>
      </c>
      <c r="J67" s="59" t="s">
        <v>133</v>
      </c>
      <c r="K67" s="60" t="s">
        <v>134</v>
      </c>
      <c r="L67" s="61" t="s">
        <v>37</v>
      </c>
      <c r="M67" s="61" t="str">
        <f t="shared" si="15"/>
        <v>Doesn't Apply</v>
      </c>
      <c r="N67" s="63">
        <f t="shared" ref="N67:O82" si="16">Y35</f>
        <v>0</v>
      </c>
      <c r="O67" s="113">
        <f t="shared" si="16"/>
        <v>60.04622961587031</v>
      </c>
      <c r="P67" s="114">
        <f>+O67/(N67+O67)</f>
        <v>1</v>
      </c>
      <c r="Q67" s="115">
        <f t="shared" ref="Q67:Q89" si="17">+V67+T67-U67</f>
        <v>57.556398720157048</v>
      </c>
      <c r="R67" s="62">
        <f t="shared" ref="R67:V82" si="18">T35</f>
        <v>2.4069462377542221</v>
      </c>
      <c r="S67" s="62">
        <f t="shared" si="18"/>
        <v>8.2884657959038696E-2</v>
      </c>
      <c r="T67" s="62">
        <f t="shared" si="18"/>
        <v>4.8961411123406373</v>
      </c>
      <c r="U67" s="62">
        <f t="shared" si="18"/>
        <v>0</v>
      </c>
      <c r="V67" s="62">
        <f t="shared" si="18"/>
        <v>52.660257607816412</v>
      </c>
      <c r="W67" s="116">
        <f t="shared" ref="W67:Y82" si="19">+IF($O67=0,"-",R67/$O67)</f>
        <v>4.0084885481603369E-2</v>
      </c>
      <c r="X67" s="116">
        <f t="shared" si="19"/>
        <v>1.3803474171362818E-3</v>
      </c>
      <c r="Y67" s="116">
        <f t="shared" si="19"/>
        <v>8.1539526189444198E-2</v>
      </c>
      <c r="Z67" s="116">
        <f t="shared" ref="Z67:Z89" si="20">+IF($O67=0,"-",V67/$O67)</f>
        <v>0.87699524091181613</v>
      </c>
      <c r="AA67" s="117">
        <f t="shared" ref="AA67:AA89" si="21">+IF($T67=0,"-",U67/$T67)</f>
        <v>0</v>
      </c>
      <c r="AB67" s="118">
        <v>175.46031657600003</v>
      </c>
      <c r="AC67" s="119">
        <f t="shared" ref="AC67:AC89" si="22">+AB67/(Q67+N67)</f>
        <v>3.0484936597423249</v>
      </c>
      <c r="AD67" s="120">
        <f t="shared" ref="AD67:AD89" si="23">+AB67*(N67/(N67+O67))</f>
        <v>0</v>
      </c>
      <c r="AE67" s="121" t="str">
        <f t="shared" ref="AE67:AE89" si="24">+IF(N67=0,"-",AD67/N67)</f>
        <v>-</v>
      </c>
      <c r="AF67" s="120">
        <f t="shared" ref="AF67:AF89" si="25">+AB67*(O67/(O67+N67))</f>
        <v>175.46031657600003</v>
      </c>
      <c r="AG67" s="122">
        <f t="shared" ref="AG67:AG89" si="26">+IF(O67=0,"-",AF67/O67)</f>
        <v>2.9220871601507783</v>
      </c>
      <c r="AH67" s="6">
        <f t="shared" ref="AH67:AH89" si="27">+N67+O67</f>
        <v>60.04622961587031</v>
      </c>
      <c r="AI67" s="123">
        <v>1</v>
      </c>
      <c r="AJ67" s="124">
        <v>0.82105610703186049</v>
      </c>
      <c r="AK67" s="124">
        <v>0.65141290382779549</v>
      </c>
      <c r="AL67" s="124">
        <v>0.53831743502508556</v>
      </c>
      <c r="AM67" s="124">
        <v>0.42181118695405573</v>
      </c>
      <c r="AN67" s="124">
        <v>0.24705181484752231</v>
      </c>
      <c r="AO67" s="124">
        <v>7.2292442740975987E-2</v>
      </c>
      <c r="AP67" s="124">
        <v>0</v>
      </c>
      <c r="AQ67" s="124">
        <v>0</v>
      </c>
      <c r="AR67" s="124">
        <v>0</v>
      </c>
      <c r="AS67" s="124">
        <v>0</v>
      </c>
      <c r="AT67" s="124">
        <v>0</v>
      </c>
      <c r="AU67" s="124">
        <v>0</v>
      </c>
      <c r="AV67" s="125">
        <v>0</v>
      </c>
      <c r="AW67" s="126">
        <f t="shared" ref="AW67:BJ82" si="28">+IF(AI67="","",AI67*$AH67)</f>
        <v>60.04622961587031</v>
      </c>
      <c r="AX67" s="127">
        <f t="shared" si="28"/>
        <v>49.301323530347688</v>
      </c>
      <c r="AY67" s="127">
        <f t="shared" si="28"/>
        <v>39.114888797984648</v>
      </c>
      <c r="AZ67" s="127">
        <f t="shared" si="28"/>
        <v>32.323932309742631</v>
      </c>
      <c r="BA67" s="127">
        <f t="shared" si="28"/>
        <v>25.328171386386028</v>
      </c>
      <c r="BB67" s="127">
        <f t="shared" si="28"/>
        <v>14.834530001351803</v>
      </c>
      <c r="BC67" s="127">
        <f t="shared" si="28"/>
        <v>4.3408886163168008</v>
      </c>
      <c r="BD67" s="127">
        <f t="shared" si="28"/>
        <v>0</v>
      </c>
      <c r="BE67" s="127">
        <f t="shared" si="28"/>
        <v>0</v>
      </c>
      <c r="BF67" s="127">
        <f t="shared" si="28"/>
        <v>0</v>
      </c>
      <c r="BG67" s="127">
        <f t="shared" si="28"/>
        <v>0</v>
      </c>
      <c r="BH67" s="127">
        <f t="shared" si="28"/>
        <v>0</v>
      </c>
      <c r="BI67" s="127">
        <f t="shared" si="28"/>
        <v>0</v>
      </c>
      <c r="BJ67" s="128">
        <f t="shared" si="28"/>
        <v>0</v>
      </c>
      <c r="BK67" s="126">
        <v>60.04622961587031</v>
      </c>
      <c r="BL67" s="127">
        <v>49.301323530347688</v>
      </c>
      <c r="BM67" s="129">
        <v>39.114888797984648</v>
      </c>
      <c r="BN67" s="127">
        <v>32.323932309742631</v>
      </c>
      <c r="BO67" s="127">
        <v>25.328171386386028</v>
      </c>
      <c r="BP67" s="130">
        <v>14.834530001351803</v>
      </c>
      <c r="BQ67" s="130">
        <v>4.3408886163168008</v>
      </c>
      <c r="BR67" s="130">
        <v>0</v>
      </c>
      <c r="BS67" s="130">
        <v>0</v>
      </c>
      <c r="BT67" s="130">
        <v>0</v>
      </c>
      <c r="BU67" s="130">
        <v>0</v>
      </c>
      <c r="BV67" s="130">
        <v>0</v>
      </c>
      <c r="BW67" s="130">
        <v>0</v>
      </c>
      <c r="BX67" s="131">
        <v>0</v>
      </c>
      <c r="BY67" s="132"/>
      <c r="BZ67" s="132"/>
      <c r="CA67" s="132"/>
      <c r="CB67" s="123" t="s">
        <v>211</v>
      </c>
      <c r="CC67" s="124" t="s">
        <v>211</v>
      </c>
      <c r="CD67" s="124" t="s">
        <v>211</v>
      </c>
      <c r="CE67" s="124" t="s">
        <v>211</v>
      </c>
      <c r="CF67" s="124" t="s">
        <v>211</v>
      </c>
      <c r="CG67" s="124" t="s">
        <v>211</v>
      </c>
      <c r="CH67" s="124" t="s">
        <v>211</v>
      </c>
      <c r="CI67" s="124" t="s">
        <v>211</v>
      </c>
      <c r="CJ67" s="124" t="s">
        <v>211</v>
      </c>
      <c r="CK67" s="124" t="s">
        <v>211</v>
      </c>
      <c r="CL67" s="124" t="s">
        <v>211</v>
      </c>
      <c r="CM67" s="124" t="s">
        <v>211</v>
      </c>
      <c r="CN67" s="124" t="s">
        <v>211</v>
      </c>
      <c r="CO67" s="125" t="s">
        <v>211</v>
      </c>
      <c r="CP67" s="126" t="s">
        <v>211</v>
      </c>
      <c r="CQ67" s="127" t="s">
        <v>211</v>
      </c>
      <c r="CR67" s="127" t="s">
        <v>211</v>
      </c>
      <c r="CS67" s="127" t="s">
        <v>211</v>
      </c>
      <c r="CT67" s="127" t="s">
        <v>211</v>
      </c>
      <c r="CU67" s="127" t="s">
        <v>211</v>
      </c>
      <c r="CV67" s="127" t="s">
        <v>211</v>
      </c>
      <c r="CW67" s="127" t="s">
        <v>211</v>
      </c>
      <c r="CX67" s="127" t="s">
        <v>211</v>
      </c>
      <c r="CY67" s="127" t="s">
        <v>211</v>
      </c>
      <c r="CZ67" s="127" t="s">
        <v>211</v>
      </c>
      <c r="DA67" s="127" t="s">
        <v>211</v>
      </c>
      <c r="DB67" s="127" t="s">
        <v>211</v>
      </c>
      <c r="DC67" s="128" t="s">
        <v>211</v>
      </c>
      <c r="DD67" s="126">
        <v>60.04622961587031</v>
      </c>
      <c r="DE67" s="127">
        <v>42.664606901262424</v>
      </c>
      <c r="DF67" s="129">
        <v>33.849422998255946</v>
      </c>
      <c r="DG67" s="127">
        <v>27.972633729584967</v>
      </c>
      <c r="DH67" s="127">
        <v>21.918609853603293</v>
      </c>
      <c r="DI67" s="130" t="s">
        <v>211</v>
      </c>
      <c r="DJ67" s="130" t="s">
        <v>211</v>
      </c>
      <c r="DK67" s="130" t="s">
        <v>211</v>
      </c>
      <c r="DL67" s="130" t="s">
        <v>211</v>
      </c>
      <c r="DM67" s="130" t="s">
        <v>211</v>
      </c>
      <c r="DN67" s="130" t="s">
        <v>211</v>
      </c>
      <c r="DO67" s="130" t="s">
        <v>211</v>
      </c>
      <c r="DP67" s="130" t="s">
        <v>211</v>
      </c>
      <c r="DQ67" s="131" t="s">
        <v>211</v>
      </c>
    </row>
    <row r="68" spans="1:121" ht="15.75" customHeight="1" x14ac:dyDescent="0.3">
      <c r="I68" s="58" t="s">
        <v>132</v>
      </c>
      <c r="J68" s="59" t="s">
        <v>139</v>
      </c>
      <c r="K68" s="60" t="s">
        <v>134</v>
      </c>
      <c r="L68" s="61" t="s">
        <v>37</v>
      </c>
      <c r="M68" s="61" t="str">
        <f t="shared" si="15"/>
        <v>Doesn't Apply</v>
      </c>
      <c r="N68" s="63">
        <f t="shared" si="16"/>
        <v>0</v>
      </c>
      <c r="O68" s="113">
        <f t="shared" si="16"/>
        <v>8.539502325113304</v>
      </c>
      <c r="P68" s="114">
        <f t="shared" ref="P68:P89" si="29">+O68/(N68+O68)</f>
        <v>1</v>
      </c>
      <c r="Q68" s="115">
        <f t="shared" si="17"/>
        <v>8.486450086675454</v>
      </c>
      <c r="R68" s="62">
        <f t="shared" si="18"/>
        <v>4.3098003024011712E-2</v>
      </c>
      <c r="S68" s="62">
        <f t="shared" si="18"/>
        <v>9.9542354138382663E-3</v>
      </c>
      <c r="T68" s="62">
        <f t="shared" si="18"/>
        <v>0.72254019124584645</v>
      </c>
      <c r="U68" s="62">
        <f t="shared" si="18"/>
        <v>0</v>
      </c>
      <c r="V68" s="62">
        <f t="shared" si="18"/>
        <v>7.7639098954296077</v>
      </c>
      <c r="W68" s="116">
        <f t="shared" si="19"/>
        <v>5.046898681351419E-3</v>
      </c>
      <c r="X68" s="116">
        <f t="shared" si="19"/>
        <v>1.1656692667632936E-3</v>
      </c>
      <c r="Y68" s="116">
        <f t="shared" si="19"/>
        <v>8.4611510570232168E-2</v>
      </c>
      <c r="Z68" s="116">
        <f t="shared" si="20"/>
        <v>0.90917592148165316</v>
      </c>
      <c r="AA68" s="117">
        <f t="shared" si="21"/>
        <v>0</v>
      </c>
      <c r="AB68" s="118">
        <v>91.278518944000012</v>
      </c>
      <c r="AC68" s="119">
        <f t="shared" si="22"/>
        <v>10.755795180757158</v>
      </c>
      <c r="AD68" s="120">
        <f t="shared" si="23"/>
        <v>0</v>
      </c>
      <c r="AE68" s="121" t="str">
        <f t="shared" si="24"/>
        <v>-</v>
      </c>
      <c r="AF68" s="120">
        <f t="shared" si="25"/>
        <v>91.278518944000012</v>
      </c>
      <c r="AG68" s="122">
        <f t="shared" si="26"/>
        <v>10.688974072360699</v>
      </c>
      <c r="AH68" s="6">
        <f t="shared" si="27"/>
        <v>8.539502325113304</v>
      </c>
      <c r="AI68" s="123">
        <v>1</v>
      </c>
      <c r="AJ68" s="124">
        <v>0.71685328526162295</v>
      </c>
      <c r="AK68" s="124">
        <v>1.0757259540778876</v>
      </c>
      <c r="AL68" s="124">
        <v>0.77263629352239904</v>
      </c>
      <c r="AM68" s="124">
        <v>0.67891132441900459</v>
      </c>
      <c r="AN68" s="124">
        <v>0.61682447940381147</v>
      </c>
      <c r="AO68" s="124">
        <v>0.42940427627605338</v>
      </c>
      <c r="AP68" s="124">
        <v>0.33576851240974936</v>
      </c>
      <c r="AQ68" s="124">
        <v>0.27368166739455629</v>
      </c>
      <c r="AR68" s="124">
        <v>0.1805513998717613</v>
      </c>
      <c r="AS68" s="124">
        <v>8.7421132348974542E-2</v>
      </c>
      <c r="AT68" s="124">
        <v>2.5334287333775622E-2</v>
      </c>
      <c r="AU68" s="124">
        <v>0</v>
      </c>
      <c r="AV68" s="125">
        <v>0</v>
      </c>
      <c r="AW68" s="126">
        <f t="shared" si="28"/>
        <v>8.539502325113304</v>
      </c>
      <c r="AX68" s="127">
        <f t="shared" si="28"/>
        <v>6.1215702962567402</v>
      </c>
      <c r="AY68" s="127">
        <f t="shared" si="28"/>
        <v>9.1861642860328487</v>
      </c>
      <c r="AZ68" s="127">
        <f t="shared" si="28"/>
        <v>6.5979294250014515</v>
      </c>
      <c r="BA68" s="127">
        <f t="shared" si="28"/>
        <v>5.7975648334218421</v>
      </c>
      <c r="BB68" s="127">
        <f t="shared" si="28"/>
        <v>5.2673740760556509</v>
      </c>
      <c r="BC68" s="127">
        <f t="shared" si="28"/>
        <v>3.6668988156729534</v>
      </c>
      <c r="BD68" s="127">
        <f t="shared" si="28"/>
        <v>2.86729599242289</v>
      </c>
      <c r="BE68" s="127">
        <f t="shared" si="28"/>
        <v>2.3371052350566992</v>
      </c>
      <c r="BF68" s="127">
        <f t="shared" si="28"/>
        <v>1.5418190990073675</v>
      </c>
      <c r="BG68" s="127">
        <f t="shared" si="28"/>
        <v>0.74653296295810601</v>
      </c>
      <c r="BH68" s="127">
        <f t="shared" si="28"/>
        <v>0.21634220559186546</v>
      </c>
      <c r="BI68" s="127">
        <f t="shared" si="28"/>
        <v>0</v>
      </c>
      <c r="BJ68" s="128">
        <f t="shared" si="28"/>
        <v>0</v>
      </c>
      <c r="BK68" s="126">
        <v>8.539502325113304</v>
      </c>
      <c r="BL68" s="127">
        <v>6.1215702962567402</v>
      </c>
      <c r="BM68" s="127">
        <v>9.1861642860328487</v>
      </c>
      <c r="BN68" s="127">
        <v>6.5979294250014515</v>
      </c>
      <c r="BO68" s="127">
        <v>5.7975648334218421</v>
      </c>
      <c r="BP68" s="127">
        <v>5.2673740760556509</v>
      </c>
      <c r="BQ68" s="127">
        <v>3.6668988156729534</v>
      </c>
      <c r="BR68" s="127">
        <v>2.86729599242289</v>
      </c>
      <c r="BS68" s="127">
        <v>2.3371052350566992</v>
      </c>
      <c r="BT68" s="130">
        <v>1.5418190990073675</v>
      </c>
      <c r="BU68" s="130">
        <v>0.74653296295810601</v>
      </c>
      <c r="BV68" s="130">
        <v>0.21634220559186546</v>
      </c>
      <c r="BW68" s="130">
        <v>0</v>
      </c>
      <c r="BX68" s="131">
        <v>0</v>
      </c>
      <c r="BY68" s="132"/>
      <c r="BZ68" s="132"/>
      <c r="CA68" s="132"/>
      <c r="CB68" s="123" t="s">
        <v>211</v>
      </c>
      <c r="CC68" s="124" t="s">
        <v>211</v>
      </c>
      <c r="CD68" s="124" t="s">
        <v>211</v>
      </c>
      <c r="CE68" s="124" t="s">
        <v>211</v>
      </c>
      <c r="CF68" s="124" t="s">
        <v>211</v>
      </c>
      <c r="CG68" s="124" t="s">
        <v>211</v>
      </c>
      <c r="CH68" s="124" t="s">
        <v>211</v>
      </c>
      <c r="CI68" s="124" t="s">
        <v>211</v>
      </c>
      <c r="CJ68" s="124" t="s">
        <v>211</v>
      </c>
      <c r="CK68" s="124" t="s">
        <v>211</v>
      </c>
      <c r="CL68" s="124" t="s">
        <v>211</v>
      </c>
      <c r="CM68" s="124" t="s">
        <v>211</v>
      </c>
      <c r="CN68" s="124" t="s">
        <v>211</v>
      </c>
      <c r="CO68" s="125" t="s">
        <v>211</v>
      </c>
      <c r="CP68" s="126" t="s">
        <v>211</v>
      </c>
      <c r="CQ68" s="127" t="s">
        <v>211</v>
      </c>
      <c r="CR68" s="127" t="s">
        <v>211</v>
      </c>
      <c r="CS68" s="127" t="s">
        <v>211</v>
      </c>
      <c r="CT68" s="127" t="s">
        <v>211</v>
      </c>
      <c r="CU68" s="127" t="s">
        <v>211</v>
      </c>
      <c r="CV68" s="127" t="s">
        <v>211</v>
      </c>
      <c r="CW68" s="127" t="s">
        <v>211</v>
      </c>
      <c r="CX68" s="127" t="s">
        <v>211</v>
      </c>
      <c r="CY68" s="127" t="s">
        <v>211</v>
      </c>
      <c r="CZ68" s="127" t="s">
        <v>211</v>
      </c>
      <c r="DA68" s="127" t="s">
        <v>211</v>
      </c>
      <c r="DB68" s="127" t="s">
        <v>211</v>
      </c>
      <c r="DC68" s="128" t="s">
        <v>211</v>
      </c>
      <c r="DD68" s="126">
        <v>8.539502325113304</v>
      </c>
      <c r="DE68" s="127">
        <v>6.1215702962567402</v>
      </c>
      <c r="DF68" s="127">
        <v>9.1861642860328487</v>
      </c>
      <c r="DG68" s="127">
        <v>6.5979294250014515</v>
      </c>
      <c r="DH68" s="127">
        <v>5.7975648334218421</v>
      </c>
      <c r="DI68" s="127">
        <v>5.2673740760556509</v>
      </c>
      <c r="DJ68" s="127">
        <v>3.6668988156729534</v>
      </c>
      <c r="DK68" s="127">
        <v>2.86729599242289</v>
      </c>
      <c r="DL68" s="127">
        <v>2.3371052350566992</v>
      </c>
      <c r="DM68" s="130" t="s">
        <v>211</v>
      </c>
      <c r="DN68" s="130" t="s">
        <v>211</v>
      </c>
      <c r="DO68" s="130" t="s">
        <v>211</v>
      </c>
      <c r="DP68" s="130" t="s">
        <v>211</v>
      </c>
      <c r="DQ68" s="131" t="s">
        <v>211</v>
      </c>
    </row>
    <row r="69" spans="1:121" ht="15.75" customHeight="1" x14ac:dyDescent="0.3">
      <c r="I69" s="58" t="s">
        <v>141</v>
      </c>
      <c r="J69" s="59" t="s">
        <v>142</v>
      </c>
      <c r="K69" s="60" t="s">
        <v>134</v>
      </c>
      <c r="L69" s="61" t="s">
        <v>37</v>
      </c>
      <c r="M69" s="61" t="s">
        <v>145</v>
      </c>
      <c r="N69" s="63">
        <f t="shared" si="16"/>
        <v>0</v>
      </c>
      <c r="O69" s="113">
        <f t="shared" si="16"/>
        <v>13.106881088314344</v>
      </c>
      <c r="P69" s="114">
        <f t="shared" si="29"/>
        <v>1</v>
      </c>
      <c r="Q69" s="115">
        <f t="shared" si="17"/>
        <v>11.790499076061606</v>
      </c>
      <c r="R69" s="62">
        <f t="shared" si="18"/>
        <v>0</v>
      </c>
      <c r="S69" s="62">
        <f t="shared" si="18"/>
        <v>0</v>
      </c>
      <c r="T69" s="62">
        <f t="shared" si="18"/>
        <v>13.106881088314344</v>
      </c>
      <c r="U69" s="62">
        <f t="shared" si="18"/>
        <v>1.3163820122527377</v>
      </c>
      <c r="V69" s="62">
        <f t="shared" si="18"/>
        <v>0</v>
      </c>
      <c r="W69" s="116">
        <f t="shared" si="19"/>
        <v>0</v>
      </c>
      <c r="X69" s="116">
        <f t="shared" si="19"/>
        <v>0</v>
      </c>
      <c r="Y69" s="116">
        <f t="shared" si="19"/>
        <v>1</v>
      </c>
      <c r="Z69" s="116">
        <f t="shared" si="20"/>
        <v>0</v>
      </c>
      <c r="AA69" s="117">
        <f t="shared" si="21"/>
        <v>0.10043442092614846</v>
      </c>
      <c r="AB69" s="118">
        <v>23.492594688000001</v>
      </c>
      <c r="AC69" s="119">
        <f t="shared" si="22"/>
        <v>1.9925021440099429</v>
      </c>
      <c r="AD69" s="120">
        <f t="shared" si="23"/>
        <v>0</v>
      </c>
      <c r="AE69" s="121" t="str">
        <f t="shared" si="24"/>
        <v>-</v>
      </c>
      <c r="AF69" s="120">
        <f t="shared" si="25"/>
        <v>23.492594688000001</v>
      </c>
      <c r="AG69" s="122">
        <f t="shared" si="26"/>
        <v>1.7923863449821951</v>
      </c>
      <c r="AH69" s="6">
        <f t="shared" si="27"/>
        <v>13.106881088314344</v>
      </c>
      <c r="AI69" s="123">
        <v>1</v>
      </c>
      <c r="AJ69" s="124">
        <v>0.95820762096323608</v>
      </c>
      <c r="AK69" s="124">
        <v>0.30506201810258143</v>
      </c>
      <c r="AL69" s="124">
        <v>0.16426416359369764</v>
      </c>
      <c r="AM69" s="124">
        <v>8.2132081796848902E-2</v>
      </c>
      <c r="AN69" s="124">
        <v>0</v>
      </c>
      <c r="AO69" s="124">
        <v>0</v>
      </c>
      <c r="AP69" s="124">
        <v>0</v>
      </c>
      <c r="AQ69" s="124">
        <v>0</v>
      </c>
      <c r="AR69" s="124">
        <v>0</v>
      </c>
      <c r="AS69" s="124">
        <v>0</v>
      </c>
      <c r="AT69" s="124">
        <v>0</v>
      </c>
      <c r="AU69" s="124">
        <v>0</v>
      </c>
      <c r="AV69" s="125">
        <v>0</v>
      </c>
      <c r="AW69" s="126">
        <f t="shared" si="28"/>
        <v>13.106881088314344</v>
      </c>
      <c r="AX69" s="127">
        <f t="shared" si="28"/>
        <v>12.559113345881718</v>
      </c>
      <c r="AY69" s="127">
        <f t="shared" si="28"/>
        <v>3.9984115958317328</v>
      </c>
      <c r="AZ69" s="127">
        <f t="shared" si="28"/>
        <v>2.1529908592940092</v>
      </c>
      <c r="BA69" s="127">
        <f t="shared" si="28"/>
        <v>1.0764954296470057</v>
      </c>
      <c r="BB69" s="127">
        <f t="shared" si="28"/>
        <v>0</v>
      </c>
      <c r="BC69" s="127">
        <f t="shared" si="28"/>
        <v>0</v>
      </c>
      <c r="BD69" s="127">
        <f t="shared" si="28"/>
        <v>0</v>
      </c>
      <c r="BE69" s="127">
        <f t="shared" si="28"/>
        <v>0</v>
      </c>
      <c r="BF69" s="127">
        <f t="shared" si="28"/>
        <v>0</v>
      </c>
      <c r="BG69" s="127">
        <f t="shared" si="28"/>
        <v>0</v>
      </c>
      <c r="BH69" s="127">
        <f t="shared" si="28"/>
        <v>0</v>
      </c>
      <c r="BI69" s="127">
        <f t="shared" si="28"/>
        <v>0</v>
      </c>
      <c r="BJ69" s="128">
        <f t="shared" si="28"/>
        <v>0</v>
      </c>
      <c r="BK69" s="126">
        <v>13.106881088314344</v>
      </c>
      <c r="BL69" s="127">
        <v>12.559113345881718</v>
      </c>
      <c r="BM69" s="127">
        <v>3.9984115958317328</v>
      </c>
      <c r="BN69" s="127">
        <v>2.1529908592940092</v>
      </c>
      <c r="BO69" s="127">
        <v>1.0764954296470057</v>
      </c>
      <c r="BP69" s="130">
        <v>0</v>
      </c>
      <c r="BQ69" s="130">
        <v>0</v>
      </c>
      <c r="BR69" s="130">
        <v>0</v>
      </c>
      <c r="BS69" s="130">
        <v>0</v>
      </c>
      <c r="BT69" s="130">
        <v>0</v>
      </c>
      <c r="BU69" s="130">
        <v>0</v>
      </c>
      <c r="BV69" s="130">
        <v>0</v>
      </c>
      <c r="BW69" s="130">
        <v>0</v>
      </c>
      <c r="BX69" s="131">
        <v>0</v>
      </c>
      <c r="BY69" s="132"/>
      <c r="BZ69" s="132"/>
      <c r="CA69" s="132"/>
      <c r="CB69" s="123" t="s">
        <v>211</v>
      </c>
      <c r="CC69" s="124" t="s">
        <v>211</v>
      </c>
      <c r="CD69" s="124" t="s">
        <v>211</v>
      </c>
      <c r="CE69" s="124" t="s">
        <v>211</v>
      </c>
      <c r="CF69" s="124" t="s">
        <v>211</v>
      </c>
      <c r="CG69" s="124" t="s">
        <v>211</v>
      </c>
      <c r="CH69" s="124" t="s">
        <v>211</v>
      </c>
      <c r="CI69" s="124" t="s">
        <v>211</v>
      </c>
      <c r="CJ69" s="124" t="s">
        <v>211</v>
      </c>
      <c r="CK69" s="124" t="s">
        <v>211</v>
      </c>
      <c r="CL69" s="124" t="s">
        <v>211</v>
      </c>
      <c r="CM69" s="124" t="s">
        <v>211</v>
      </c>
      <c r="CN69" s="124" t="s">
        <v>211</v>
      </c>
      <c r="CO69" s="125" t="s">
        <v>211</v>
      </c>
      <c r="CP69" s="126" t="s">
        <v>211</v>
      </c>
      <c r="CQ69" s="127" t="s">
        <v>211</v>
      </c>
      <c r="CR69" s="127" t="s">
        <v>211</v>
      </c>
      <c r="CS69" s="127" t="s">
        <v>211</v>
      </c>
      <c r="CT69" s="127" t="s">
        <v>211</v>
      </c>
      <c r="CU69" s="127" t="s">
        <v>211</v>
      </c>
      <c r="CV69" s="127" t="s">
        <v>211</v>
      </c>
      <c r="CW69" s="127" t="s">
        <v>211</v>
      </c>
      <c r="CX69" s="127" t="s">
        <v>211</v>
      </c>
      <c r="CY69" s="127" t="s">
        <v>211</v>
      </c>
      <c r="CZ69" s="127" t="s">
        <v>211</v>
      </c>
      <c r="DA69" s="127" t="s">
        <v>211</v>
      </c>
      <c r="DB69" s="127" t="s">
        <v>211</v>
      </c>
      <c r="DC69" s="128" t="s">
        <v>211</v>
      </c>
      <c r="DD69" s="126">
        <v>13.106881088314344</v>
      </c>
      <c r="DE69" s="127">
        <v>12.559113345881718</v>
      </c>
      <c r="DF69" s="127">
        <v>3.9984115958317328</v>
      </c>
      <c r="DG69" s="127">
        <v>2.1529908592940092</v>
      </c>
      <c r="DH69" s="127">
        <v>1.0764954296470057</v>
      </c>
      <c r="DI69" s="130" t="s">
        <v>211</v>
      </c>
      <c r="DJ69" s="130" t="s">
        <v>211</v>
      </c>
      <c r="DK69" s="130" t="s">
        <v>211</v>
      </c>
      <c r="DL69" s="130" t="s">
        <v>211</v>
      </c>
      <c r="DM69" s="130" t="s">
        <v>211</v>
      </c>
      <c r="DN69" s="130" t="s">
        <v>211</v>
      </c>
      <c r="DO69" s="130" t="s">
        <v>211</v>
      </c>
      <c r="DP69" s="130" t="s">
        <v>211</v>
      </c>
      <c r="DQ69" s="131" t="s">
        <v>211</v>
      </c>
    </row>
    <row r="70" spans="1:121" ht="15.75" customHeight="1" x14ac:dyDescent="0.3">
      <c r="I70" s="60" t="s">
        <v>141</v>
      </c>
      <c r="J70" s="61" t="s">
        <v>144</v>
      </c>
      <c r="K70" s="60">
        <v>48</v>
      </c>
      <c r="L70" s="61"/>
      <c r="M70" s="61" t="str">
        <f t="shared" si="15"/>
        <v>Light Oil</v>
      </c>
      <c r="N70" s="133">
        <f t="shared" si="16"/>
        <v>22.733323234776581</v>
      </c>
      <c r="O70" s="134">
        <f t="shared" si="16"/>
        <v>93.265320299494704</v>
      </c>
      <c r="P70" s="135">
        <f t="shared" si="29"/>
        <v>0.80402078384597564</v>
      </c>
      <c r="Q70" s="136">
        <f t="shared" si="17"/>
        <v>75.291444019366892</v>
      </c>
      <c r="R70" s="137">
        <f t="shared" si="18"/>
        <v>14.103990590462988</v>
      </c>
      <c r="S70" s="137">
        <f t="shared" si="18"/>
        <v>0.82481844578701846</v>
      </c>
      <c r="T70" s="137">
        <f t="shared" si="18"/>
        <v>6.0840367613967006</v>
      </c>
      <c r="U70" s="137">
        <f t="shared" si="18"/>
        <v>3.0450672438778423</v>
      </c>
      <c r="V70" s="137">
        <f t="shared" si="18"/>
        <v>72.252474501848027</v>
      </c>
      <c r="W70" s="138">
        <f t="shared" si="19"/>
        <v>0.15122438378136788</v>
      </c>
      <c r="X70" s="138">
        <f t="shared" si="19"/>
        <v>8.8437850547057762E-3</v>
      </c>
      <c r="Y70" s="138">
        <f t="shared" si="19"/>
        <v>6.5233644637251759E-2</v>
      </c>
      <c r="Z70" s="138">
        <f t="shared" si="20"/>
        <v>0.77469818652667488</v>
      </c>
      <c r="AA70" s="139">
        <f t="shared" si="21"/>
        <v>0.50050112504231359</v>
      </c>
      <c r="AB70" s="118">
        <v>1074.662101981407</v>
      </c>
      <c r="AC70" s="119">
        <f t="shared" si="22"/>
        <v>10.963169126382001</v>
      </c>
      <c r="AD70" s="120">
        <f t="shared" si="23"/>
        <v>210.61143637675241</v>
      </c>
      <c r="AE70" s="140">
        <f t="shared" si="24"/>
        <v>9.2644368006243347</v>
      </c>
      <c r="AF70" s="120">
        <f t="shared" si="25"/>
        <v>864.05066560465468</v>
      </c>
      <c r="AG70" s="122">
        <f t="shared" si="26"/>
        <v>9.2644368006243365</v>
      </c>
      <c r="AH70" s="6">
        <f t="shared" si="27"/>
        <v>115.99864353427128</v>
      </c>
      <c r="AI70" s="123">
        <v>1</v>
      </c>
      <c r="AJ70" s="124">
        <v>1.1460583239097806</v>
      </c>
      <c r="AK70" s="124">
        <v>1.0267765189182025</v>
      </c>
      <c r="AL70" s="124">
        <v>0.79637254256474788</v>
      </c>
      <c r="AM70" s="124">
        <v>0.6671995559556464</v>
      </c>
      <c r="AN70" s="124">
        <v>0.47344007604199378</v>
      </c>
      <c r="AO70" s="124">
        <v>0.35327754723604365</v>
      </c>
      <c r="AP70" s="124">
        <v>0.27316919469874357</v>
      </c>
      <c r="AQ70" s="124">
        <v>0.20255695994008427</v>
      </c>
      <c r="AR70" s="124">
        <v>0.10260539330343703</v>
      </c>
      <c r="AS70" s="124">
        <v>8.2721426420613448E-2</v>
      </c>
      <c r="AT70" s="124">
        <v>6.9465448498731056E-2</v>
      </c>
      <c r="AU70" s="124">
        <v>6.2248018561534842E-2</v>
      </c>
      <c r="AV70" s="125">
        <v>5.1421873655740524E-2</v>
      </c>
      <c r="AW70" s="126">
        <f t="shared" si="28"/>
        <v>115.99864353427128</v>
      </c>
      <c r="AX70" s="127">
        <f t="shared" si="28"/>
        <v>132.94121098469506</v>
      </c>
      <c r="AY70" s="127">
        <f t="shared" si="28"/>
        <v>119.10468340735252</v>
      </c>
      <c r="AZ70" s="127">
        <f t="shared" si="28"/>
        <v>92.378134685449467</v>
      </c>
      <c r="BA70" s="127">
        <f t="shared" si="28"/>
        <v>77.394243457523118</v>
      </c>
      <c r="BB70" s="127">
        <f t="shared" si="28"/>
        <v>54.918406615633529</v>
      </c>
      <c r="BC70" s="127">
        <f t="shared" si="28"/>
        <v>40.979716270495516</v>
      </c>
      <c r="BD70" s="127">
        <f t="shared" si="28"/>
        <v>31.687256040403504</v>
      </c>
      <c r="BE70" s="127">
        <f t="shared" si="28"/>
        <v>23.496332591475504</v>
      </c>
      <c r="BF70" s="127">
        <f t="shared" si="28"/>
        <v>11.902086442499098</v>
      </c>
      <c r="BG70" s="127">
        <f t="shared" si="28"/>
        <v>9.595573256011189</v>
      </c>
      <c r="BH70" s="127">
        <f t="shared" si="28"/>
        <v>8.0578977983525846</v>
      </c>
      <c r="BI70" s="127">
        <f t="shared" si="28"/>
        <v>7.2206857158341826</v>
      </c>
      <c r="BJ70" s="128">
        <f t="shared" si="28"/>
        <v>5.9648675920565806</v>
      </c>
      <c r="BK70" s="126">
        <v>115.99864353427128</v>
      </c>
      <c r="BL70" s="127">
        <v>132.94121098469506</v>
      </c>
      <c r="BM70" s="127">
        <v>119.10468340735252</v>
      </c>
      <c r="BN70" s="127">
        <v>92.378134685449467</v>
      </c>
      <c r="BO70" s="129">
        <v>77.394243457523118</v>
      </c>
      <c r="BP70" s="127">
        <v>54.918406615633529</v>
      </c>
      <c r="BQ70" s="129">
        <v>40.979716270495516</v>
      </c>
      <c r="BR70" s="127">
        <v>31.687256040403504</v>
      </c>
      <c r="BS70" s="129">
        <v>23.496332591475504</v>
      </c>
      <c r="BT70" s="127">
        <v>11.902086442499098</v>
      </c>
      <c r="BU70" s="129">
        <v>9.595573256011189</v>
      </c>
      <c r="BV70" s="127">
        <v>8.0578977983525846</v>
      </c>
      <c r="BW70" s="129">
        <v>7.2206857158341826</v>
      </c>
      <c r="BX70" s="128">
        <v>5.9648675920565806</v>
      </c>
      <c r="BY70" s="132"/>
      <c r="BZ70" s="132"/>
      <c r="CA70" s="132"/>
      <c r="CB70" s="123" t="s">
        <v>211</v>
      </c>
      <c r="CC70" s="124" t="s">
        <v>211</v>
      </c>
      <c r="CD70" s="124" t="s">
        <v>211</v>
      </c>
      <c r="CE70" s="124" t="s">
        <v>211</v>
      </c>
      <c r="CF70" s="124" t="s">
        <v>211</v>
      </c>
      <c r="CG70" s="124" t="s">
        <v>211</v>
      </c>
      <c r="CH70" s="124" t="s">
        <v>211</v>
      </c>
      <c r="CI70" s="124" t="s">
        <v>211</v>
      </c>
      <c r="CJ70" s="124" t="s">
        <v>211</v>
      </c>
      <c r="CK70" s="124" t="s">
        <v>211</v>
      </c>
      <c r="CL70" s="124" t="s">
        <v>211</v>
      </c>
      <c r="CM70" s="124" t="s">
        <v>211</v>
      </c>
      <c r="CN70" s="124" t="s">
        <v>211</v>
      </c>
      <c r="CO70" s="125" t="s">
        <v>211</v>
      </c>
      <c r="CP70" s="126" t="s">
        <v>211</v>
      </c>
      <c r="CQ70" s="127" t="s">
        <v>211</v>
      </c>
      <c r="CR70" s="127" t="s">
        <v>211</v>
      </c>
      <c r="CS70" s="127" t="s">
        <v>211</v>
      </c>
      <c r="CT70" s="127" t="s">
        <v>211</v>
      </c>
      <c r="CU70" s="127" t="s">
        <v>211</v>
      </c>
      <c r="CV70" s="127" t="s">
        <v>211</v>
      </c>
      <c r="CW70" s="127" t="s">
        <v>211</v>
      </c>
      <c r="CX70" s="127" t="s">
        <v>211</v>
      </c>
      <c r="CY70" s="127" t="s">
        <v>211</v>
      </c>
      <c r="CZ70" s="127" t="s">
        <v>211</v>
      </c>
      <c r="DA70" s="127" t="s">
        <v>211</v>
      </c>
      <c r="DB70" s="127" t="s">
        <v>211</v>
      </c>
      <c r="DC70" s="128" t="s">
        <v>211</v>
      </c>
      <c r="DD70" s="126">
        <v>115.99864353427128</v>
      </c>
      <c r="DE70" s="127">
        <v>132.94121098469506</v>
      </c>
      <c r="DF70" s="127">
        <v>119.10468340735252</v>
      </c>
      <c r="DG70" s="127">
        <v>92.378134685449467</v>
      </c>
      <c r="DH70" s="129">
        <v>77.394243457523089</v>
      </c>
      <c r="DI70" s="127">
        <v>54.918406615633529</v>
      </c>
      <c r="DJ70" s="129">
        <v>40.979716270495516</v>
      </c>
      <c r="DK70" s="127">
        <v>31.687256040403504</v>
      </c>
      <c r="DL70" s="129">
        <v>23.773188201241741</v>
      </c>
      <c r="DM70" s="127">
        <v>11.902086442499098</v>
      </c>
      <c r="DN70" s="129">
        <v>9.595573256011189</v>
      </c>
      <c r="DO70" s="127">
        <v>8.0578977983525846</v>
      </c>
      <c r="DP70" s="129">
        <v>7.2206857158341826</v>
      </c>
      <c r="DQ70" s="128">
        <v>5.9648675920565806</v>
      </c>
    </row>
    <row r="71" spans="1:121" ht="15.75" customHeight="1" x14ac:dyDescent="0.3">
      <c r="I71" s="60" t="s">
        <v>141</v>
      </c>
      <c r="J71" s="61" t="s">
        <v>148</v>
      </c>
      <c r="K71" s="60">
        <v>52</v>
      </c>
      <c r="L71" s="61"/>
      <c r="M71" s="61" t="str">
        <f t="shared" si="15"/>
        <v>Light Oil</v>
      </c>
      <c r="N71" s="133">
        <f t="shared" si="16"/>
        <v>7.0712088472532377</v>
      </c>
      <c r="O71" s="134">
        <f t="shared" si="16"/>
        <v>83.600151440022017</v>
      </c>
      <c r="P71" s="135">
        <f t="shared" si="29"/>
        <v>0.92201276318289005</v>
      </c>
      <c r="Q71" s="136">
        <f t="shared" si="17"/>
        <v>60.807849771910234</v>
      </c>
      <c r="R71" s="137">
        <f t="shared" si="18"/>
        <v>11.187076555858232</v>
      </c>
      <c r="S71" s="137">
        <f t="shared" si="18"/>
        <v>0.42083397893088031</v>
      </c>
      <c r="T71" s="137">
        <f t="shared" si="18"/>
        <v>11.193699252036202</v>
      </c>
      <c r="U71" s="137">
        <f t="shared" si="18"/>
        <v>11.184391133322654</v>
      </c>
      <c r="V71" s="137">
        <f t="shared" si="18"/>
        <v>60.798541653196693</v>
      </c>
      <c r="W71" s="138">
        <f t="shared" si="19"/>
        <v>0.13381646280729853</v>
      </c>
      <c r="X71" s="138">
        <f t="shared" si="19"/>
        <v>5.0338901506991034E-3</v>
      </c>
      <c r="Y71" s="138">
        <f t="shared" si="19"/>
        <v>0.13389568151759862</v>
      </c>
      <c r="Z71" s="138">
        <f t="shared" si="20"/>
        <v>0.72725396552440358</v>
      </c>
      <c r="AA71" s="139">
        <f t="shared" si="21"/>
        <v>0.99916845016969213</v>
      </c>
      <c r="AB71" s="118">
        <v>170.99427644000002</v>
      </c>
      <c r="AC71" s="119">
        <f t="shared" si="22"/>
        <v>2.519102060612922</v>
      </c>
      <c r="AD71" s="120">
        <f t="shared" si="23"/>
        <v>13.335371131096654</v>
      </c>
      <c r="AE71" s="140">
        <f t="shared" si="24"/>
        <v>1.8858686568530199</v>
      </c>
      <c r="AF71" s="120">
        <f t="shared" si="25"/>
        <v>157.65890530890337</v>
      </c>
      <c r="AG71" s="122">
        <f t="shared" si="26"/>
        <v>1.8858686568530199</v>
      </c>
      <c r="AH71" s="6">
        <f t="shared" si="27"/>
        <v>90.671360287275249</v>
      </c>
      <c r="AI71" s="123">
        <v>1</v>
      </c>
      <c r="AJ71" s="124">
        <v>0.86406008870132311</v>
      </c>
      <c r="AK71" s="124">
        <v>0.61897237008422135</v>
      </c>
      <c r="AL71" s="124">
        <v>0.45558055767282019</v>
      </c>
      <c r="AM71" s="124">
        <v>0.44541727468556247</v>
      </c>
      <c r="AN71" s="124">
        <v>0.19955654101995188</v>
      </c>
      <c r="AO71" s="124">
        <v>4.4345898004418072E-2</v>
      </c>
      <c r="AP71" s="124">
        <v>0</v>
      </c>
      <c r="AQ71" s="124">
        <v>0</v>
      </c>
      <c r="AR71" s="124">
        <v>0</v>
      </c>
      <c r="AS71" s="124">
        <v>0</v>
      </c>
      <c r="AT71" s="124">
        <v>0</v>
      </c>
      <c r="AU71" s="124">
        <v>0</v>
      </c>
      <c r="AV71" s="125">
        <v>0</v>
      </c>
      <c r="AW71" s="126">
        <f t="shared" si="28"/>
        <v>90.671360287275249</v>
      </c>
      <c r="AX71" s="127">
        <f t="shared" si="28"/>
        <v>78.345503612492678</v>
      </c>
      <c r="AY71" s="127">
        <f t="shared" si="28"/>
        <v>56.123066775775108</v>
      </c>
      <c r="AZ71" s="127">
        <f t="shared" si="28"/>
        <v>41.308108884630059</v>
      </c>
      <c r="BA71" s="127">
        <f t="shared" si="28"/>
        <v>40.386590191190876</v>
      </c>
      <c r="BB71" s="127">
        <f t="shared" si="28"/>
        <v>18.094063028502479</v>
      </c>
      <c r="BC71" s="127">
        <f t="shared" si="28"/>
        <v>4.0209028952213517</v>
      </c>
      <c r="BD71" s="127">
        <f t="shared" si="28"/>
        <v>0</v>
      </c>
      <c r="BE71" s="127">
        <f t="shared" si="28"/>
        <v>0</v>
      </c>
      <c r="BF71" s="127">
        <f t="shared" si="28"/>
        <v>0</v>
      </c>
      <c r="BG71" s="127">
        <f t="shared" si="28"/>
        <v>0</v>
      </c>
      <c r="BH71" s="127">
        <f t="shared" si="28"/>
        <v>0</v>
      </c>
      <c r="BI71" s="127">
        <f t="shared" si="28"/>
        <v>0</v>
      </c>
      <c r="BJ71" s="128">
        <f t="shared" si="28"/>
        <v>0</v>
      </c>
      <c r="BK71" s="126">
        <v>90.671360287275249</v>
      </c>
      <c r="BL71" s="127">
        <v>78.345503612492678</v>
      </c>
      <c r="BM71" s="129">
        <v>56.123066775775108</v>
      </c>
      <c r="BN71" s="127">
        <v>41.308108884630059</v>
      </c>
      <c r="BO71" s="130">
        <v>40.386590191190876</v>
      </c>
      <c r="BP71" s="130">
        <v>18.094063028502479</v>
      </c>
      <c r="BQ71" s="130">
        <v>4.0209028952213517</v>
      </c>
      <c r="BR71" s="130">
        <v>0</v>
      </c>
      <c r="BS71" s="130">
        <v>0</v>
      </c>
      <c r="BT71" s="130">
        <v>0</v>
      </c>
      <c r="BU71" s="130">
        <v>0</v>
      </c>
      <c r="BV71" s="130">
        <v>0</v>
      </c>
      <c r="BW71" s="130">
        <v>0</v>
      </c>
      <c r="BX71" s="131">
        <v>0</v>
      </c>
      <c r="BY71" s="132"/>
      <c r="BZ71" s="132"/>
      <c r="CA71" s="132"/>
      <c r="CB71" s="123" t="s">
        <v>211</v>
      </c>
      <c r="CC71" s="124" t="s">
        <v>211</v>
      </c>
      <c r="CD71" s="124" t="s">
        <v>211</v>
      </c>
      <c r="CE71" s="124" t="s">
        <v>211</v>
      </c>
      <c r="CF71" s="124" t="s">
        <v>211</v>
      </c>
      <c r="CG71" s="124" t="s">
        <v>211</v>
      </c>
      <c r="CH71" s="124" t="s">
        <v>211</v>
      </c>
      <c r="CI71" s="124" t="s">
        <v>211</v>
      </c>
      <c r="CJ71" s="124" t="s">
        <v>211</v>
      </c>
      <c r="CK71" s="124" t="s">
        <v>211</v>
      </c>
      <c r="CL71" s="124" t="s">
        <v>211</v>
      </c>
      <c r="CM71" s="124" t="s">
        <v>211</v>
      </c>
      <c r="CN71" s="124" t="s">
        <v>211</v>
      </c>
      <c r="CO71" s="125" t="s">
        <v>211</v>
      </c>
      <c r="CP71" s="126" t="s">
        <v>211</v>
      </c>
      <c r="CQ71" s="127" t="s">
        <v>211</v>
      </c>
      <c r="CR71" s="127" t="s">
        <v>211</v>
      </c>
      <c r="CS71" s="127" t="s">
        <v>211</v>
      </c>
      <c r="CT71" s="127" t="s">
        <v>211</v>
      </c>
      <c r="CU71" s="127" t="s">
        <v>211</v>
      </c>
      <c r="CV71" s="127" t="s">
        <v>211</v>
      </c>
      <c r="CW71" s="127" t="s">
        <v>211</v>
      </c>
      <c r="CX71" s="127" t="s">
        <v>211</v>
      </c>
      <c r="CY71" s="127" t="s">
        <v>211</v>
      </c>
      <c r="CZ71" s="127" t="s">
        <v>211</v>
      </c>
      <c r="DA71" s="127" t="s">
        <v>211</v>
      </c>
      <c r="DB71" s="127" t="s">
        <v>211</v>
      </c>
      <c r="DC71" s="128" t="s">
        <v>211</v>
      </c>
      <c r="DD71" s="126">
        <v>90.671360287275249</v>
      </c>
      <c r="DE71" s="127">
        <v>78.345503612492678</v>
      </c>
      <c r="DF71" s="129">
        <v>56.123066775775108</v>
      </c>
      <c r="DG71" s="127">
        <v>41.308108884630059</v>
      </c>
      <c r="DH71" s="130" t="s">
        <v>211</v>
      </c>
      <c r="DI71" s="130" t="s">
        <v>211</v>
      </c>
      <c r="DJ71" s="130" t="s">
        <v>211</v>
      </c>
      <c r="DK71" s="130" t="s">
        <v>211</v>
      </c>
      <c r="DL71" s="130" t="s">
        <v>211</v>
      </c>
      <c r="DM71" s="130" t="s">
        <v>211</v>
      </c>
      <c r="DN71" s="130" t="s">
        <v>211</v>
      </c>
      <c r="DO71" s="130" t="s">
        <v>211</v>
      </c>
      <c r="DP71" s="130" t="s">
        <v>211</v>
      </c>
      <c r="DQ71" s="131" t="s">
        <v>211</v>
      </c>
    </row>
    <row r="72" spans="1:121" ht="15.75" customHeight="1" x14ac:dyDescent="0.3">
      <c r="I72" s="60" t="s">
        <v>141</v>
      </c>
      <c r="J72" s="61" t="s">
        <v>150</v>
      </c>
      <c r="K72" s="60">
        <v>46</v>
      </c>
      <c r="L72" s="61"/>
      <c r="M72" s="61" t="str">
        <f t="shared" si="15"/>
        <v>Light Oil</v>
      </c>
      <c r="N72" s="133">
        <f t="shared" si="16"/>
        <v>60.007782289723188</v>
      </c>
      <c r="O72" s="134">
        <f t="shared" si="16"/>
        <v>77.441558868755962</v>
      </c>
      <c r="P72" s="135">
        <f t="shared" si="29"/>
        <v>0.56341891649713927</v>
      </c>
      <c r="Q72" s="136">
        <f t="shared" si="17"/>
        <v>73.646794341073218</v>
      </c>
      <c r="R72" s="137">
        <f t="shared" si="18"/>
        <v>3.345117782148316</v>
      </c>
      <c r="S72" s="137">
        <f t="shared" si="18"/>
        <v>0.44964674553442446</v>
      </c>
      <c r="T72" s="137">
        <f t="shared" si="18"/>
        <v>52.360166687252182</v>
      </c>
      <c r="U72" s="137">
        <f t="shared" si="18"/>
        <v>0</v>
      </c>
      <c r="V72" s="137">
        <f t="shared" si="18"/>
        <v>21.286627653821029</v>
      </c>
      <c r="W72" s="138">
        <f t="shared" si="19"/>
        <v>4.3195382828197612E-2</v>
      </c>
      <c r="X72" s="138">
        <f t="shared" si="19"/>
        <v>5.8062718791141981E-3</v>
      </c>
      <c r="Y72" s="138">
        <f t="shared" si="19"/>
        <v>0.67612490569810901</v>
      </c>
      <c r="Z72" s="138">
        <f t="shared" si="20"/>
        <v>0.27487343959457905</v>
      </c>
      <c r="AA72" s="139">
        <f t="shared" si="21"/>
        <v>0</v>
      </c>
      <c r="AB72" s="118">
        <v>800.21650656000008</v>
      </c>
      <c r="AC72" s="119">
        <f t="shared" si="22"/>
        <v>5.9871986933189376</v>
      </c>
      <c r="AD72" s="120">
        <f t="shared" si="23"/>
        <v>349.35938947083901</v>
      </c>
      <c r="AE72" s="140">
        <f t="shared" si="24"/>
        <v>5.8219013624616087</v>
      </c>
      <c r="AF72" s="120">
        <f t="shared" si="25"/>
        <v>450.85711708916119</v>
      </c>
      <c r="AG72" s="122">
        <f t="shared" si="26"/>
        <v>5.8219013624616087</v>
      </c>
      <c r="AH72" s="6">
        <f t="shared" si="27"/>
        <v>137.44934115847914</v>
      </c>
      <c r="AI72" s="123">
        <v>1</v>
      </c>
      <c r="AJ72" s="124">
        <v>0.96044449526690401</v>
      </c>
      <c r="AK72" s="124">
        <v>0.76403745377837917</v>
      </c>
      <c r="AL72" s="124">
        <v>0.56021621253703868</v>
      </c>
      <c r="AM72" s="124">
        <v>0.34268343632583909</v>
      </c>
      <c r="AN72" s="124">
        <v>0.2529654007733238</v>
      </c>
      <c r="AO72" s="124">
        <v>0.1759897260617134</v>
      </c>
      <c r="AP72" s="124">
        <v>0.13104379000775873</v>
      </c>
      <c r="AQ72" s="124">
        <v>9.8840214794708919E-2</v>
      </c>
      <c r="AR72" s="124">
        <v>7.3268574835202507E-2</v>
      </c>
      <c r="AS72" s="124">
        <v>4.7783853153392786E-2</v>
      </c>
      <c r="AT72" s="124">
        <v>3.0794038698853304E-2</v>
      </c>
      <c r="AU72" s="124">
        <v>1.380422424431382E-2</v>
      </c>
      <c r="AV72" s="125">
        <v>0</v>
      </c>
      <c r="AW72" s="126">
        <f t="shared" si="28"/>
        <v>137.44934115847914</v>
      </c>
      <c r="AX72" s="127">
        <f t="shared" si="28"/>
        <v>132.01246309372399</v>
      </c>
      <c r="AY72" s="127">
        <f t="shared" si="28"/>
        <v>105.01644464224017</v>
      </c>
      <c r="AZ72" s="127">
        <f t="shared" si="28"/>
        <v>77.001349319514489</v>
      </c>
      <c r="BA72" s="127">
        <f t="shared" si="28"/>
        <v>47.101612548910218</v>
      </c>
      <c r="BB72" s="127">
        <f t="shared" si="28"/>
        <v>34.769927672183989</v>
      </c>
      <c r="BC72" s="127">
        <f t="shared" si="28"/>
        <v>24.189671897843734</v>
      </c>
      <c r="BD72" s="127">
        <f t="shared" si="28"/>
        <v>18.011882599476529</v>
      </c>
      <c r="BE72" s="127">
        <f t="shared" si="28"/>
        <v>13.585522403495304</v>
      </c>
      <c r="BF72" s="127">
        <f t="shared" si="28"/>
        <v>10.070717338719309</v>
      </c>
      <c r="BG72" s="127">
        <f t="shared" si="28"/>
        <v>6.567859133947354</v>
      </c>
      <c r="BH72" s="127">
        <f t="shared" si="28"/>
        <v>4.232620330766097</v>
      </c>
      <c r="BI72" s="127">
        <f t="shared" si="28"/>
        <v>1.8973815275848391</v>
      </c>
      <c r="BJ72" s="128">
        <f t="shared" si="28"/>
        <v>0</v>
      </c>
      <c r="BK72" s="126">
        <v>137.44934115847914</v>
      </c>
      <c r="BL72" s="127">
        <v>132.01246309372399</v>
      </c>
      <c r="BM72" s="127">
        <v>105.01644464224017</v>
      </c>
      <c r="BN72" s="127">
        <v>77.001349319514489</v>
      </c>
      <c r="BO72" s="127">
        <v>47.101612548910218</v>
      </c>
      <c r="BP72" s="127">
        <v>34.769927672183989</v>
      </c>
      <c r="BQ72" s="127">
        <v>24.189671897843734</v>
      </c>
      <c r="BR72" s="127">
        <v>18.011882599476529</v>
      </c>
      <c r="BS72" s="127">
        <v>13.585522403495304</v>
      </c>
      <c r="BT72" s="127">
        <v>10.070717338719309</v>
      </c>
      <c r="BU72" s="130">
        <v>6.567859133947354</v>
      </c>
      <c r="BV72" s="130">
        <v>4.232620330766097</v>
      </c>
      <c r="BW72" s="130">
        <v>1.8973815275848391</v>
      </c>
      <c r="BX72" s="131">
        <v>0</v>
      </c>
      <c r="BY72" s="132"/>
      <c r="BZ72" s="132"/>
      <c r="CA72" s="132"/>
      <c r="CB72" s="123" t="s">
        <v>211</v>
      </c>
      <c r="CC72" s="124" t="s">
        <v>211</v>
      </c>
      <c r="CD72" s="124" t="s">
        <v>211</v>
      </c>
      <c r="CE72" s="124" t="s">
        <v>211</v>
      </c>
      <c r="CF72" s="124" t="s">
        <v>211</v>
      </c>
      <c r="CG72" s="124" t="s">
        <v>211</v>
      </c>
      <c r="CH72" s="124" t="s">
        <v>211</v>
      </c>
      <c r="CI72" s="124" t="s">
        <v>211</v>
      </c>
      <c r="CJ72" s="124" t="s">
        <v>211</v>
      </c>
      <c r="CK72" s="124" t="s">
        <v>211</v>
      </c>
      <c r="CL72" s="124" t="s">
        <v>211</v>
      </c>
      <c r="CM72" s="124" t="s">
        <v>211</v>
      </c>
      <c r="CN72" s="124" t="s">
        <v>211</v>
      </c>
      <c r="CO72" s="125" t="s">
        <v>211</v>
      </c>
      <c r="CP72" s="126" t="s">
        <v>211</v>
      </c>
      <c r="CQ72" s="127" t="s">
        <v>211</v>
      </c>
      <c r="CR72" s="127" t="s">
        <v>211</v>
      </c>
      <c r="CS72" s="127" t="s">
        <v>211</v>
      </c>
      <c r="CT72" s="127" t="s">
        <v>211</v>
      </c>
      <c r="CU72" s="127" t="s">
        <v>211</v>
      </c>
      <c r="CV72" s="127" t="s">
        <v>211</v>
      </c>
      <c r="CW72" s="127" t="s">
        <v>211</v>
      </c>
      <c r="CX72" s="127" t="s">
        <v>211</v>
      </c>
      <c r="CY72" s="127" t="s">
        <v>211</v>
      </c>
      <c r="CZ72" s="127" t="s">
        <v>211</v>
      </c>
      <c r="DA72" s="127" t="s">
        <v>211</v>
      </c>
      <c r="DB72" s="127" t="s">
        <v>211</v>
      </c>
      <c r="DC72" s="128" t="s">
        <v>211</v>
      </c>
      <c r="DD72" s="126">
        <v>137.44934115847914</v>
      </c>
      <c r="DE72" s="127">
        <v>132.01246309372399</v>
      </c>
      <c r="DF72" s="127">
        <v>105.01644464224017</v>
      </c>
      <c r="DG72" s="127">
        <v>77.001349319514489</v>
      </c>
      <c r="DH72" s="127">
        <v>47.101612548910218</v>
      </c>
      <c r="DI72" s="127">
        <v>34.769927672183989</v>
      </c>
      <c r="DJ72" s="127">
        <v>24.082150157807057</v>
      </c>
      <c r="DK72" s="127">
        <v>17.952148299456155</v>
      </c>
      <c r="DL72" s="127">
        <v>13.573575543491229</v>
      </c>
      <c r="DM72" s="127">
        <v>10.070717338719309</v>
      </c>
      <c r="DN72" s="130" t="s">
        <v>211</v>
      </c>
      <c r="DO72" s="130" t="s">
        <v>211</v>
      </c>
      <c r="DP72" s="130" t="s">
        <v>211</v>
      </c>
      <c r="DQ72" s="131" t="s">
        <v>211</v>
      </c>
    </row>
    <row r="73" spans="1:121" ht="15.75" customHeight="1" x14ac:dyDescent="0.3">
      <c r="I73" s="60" t="s">
        <v>141</v>
      </c>
      <c r="J73" s="61" t="s">
        <v>153</v>
      </c>
      <c r="K73" s="60">
        <f>44+((47-44)/2)</f>
        <v>45.5</v>
      </c>
      <c r="L73" s="61"/>
      <c r="M73" s="61" t="str">
        <f t="shared" si="15"/>
        <v>Light Oil</v>
      </c>
      <c r="N73" s="133">
        <f t="shared" si="16"/>
        <v>17.796808939248596</v>
      </c>
      <c r="O73" s="141">
        <f t="shared" si="16"/>
        <v>1.7694814439043327</v>
      </c>
      <c r="P73" s="135">
        <f t="shared" si="29"/>
        <v>9.0435203058618671E-2</v>
      </c>
      <c r="Q73" s="136">
        <f t="shared" si="17"/>
        <v>0</v>
      </c>
      <c r="R73" s="142">
        <f t="shared" si="18"/>
        <v>0.2018105131061125</v>
      </c>
      <c r="S73" s="142">
        <f t="shared" si="18"/>
        <v>1.5676709307982222</v>
      </c>
      <c r="T73" s="137">
        <f t="shared" si="18"/>
        <v>0</v>
      </c>
      <c r="U73" s="137">
        <f t="shared" si="18"/>
        <v>0</v>
      </c>
      <c r="V73" s="137">
        <f t="shared" si="18"/>
        <v>0</v>
      </c>
      <c r="W73" s="138">
        <f t="shared" si="19"/>
        <v>0.11405065241081071</v>
      </c>
      <c r="X73" s="138">
        <f t="shared" si="19"/>
        <v>0.88594934758919042</v>
      </c>
      <c r="Y73" s="138">
        <f t="shared" si="19"/>
        <v>0</v>
      </c>
      <c r="Z73" s="138">
        <f t="shared" si="20"/>
        <v>0</v>
      </c>
      <c r="AA73" s="139" t="str">
        <f t="shared" si="21"/>
        <v>-</v>
      </c>
      <c r="AB73" s="118">
        <v>89.866756597045551</v>
      </c>
      <c r="AC73" s="119">
        <f t="shared" si="22"/>
        <v>5.0495994480704836</v>
      </c>
      <c r="AD73" s="120">
        <f t="shared" si="23"/>
        <v>81.739638215972278</v>
      </c>
      <c r="AE73" s="140">
        <f t="shared" si="24"/>
        <v>4.5929378966195404</v>
      </c>
      <c r="AF73" s="120">
        <f t="shared" si="25"/>
        <v>8.1271183810732737</v>
      </c>
      <c r="AG73" s="122">
        <f t="shared" si="26"/>
        <v>4.5929378966195404</v>
      </c>
      <c r="AH73" s="6">
        <f t="shared" si="27"/>
        <v>19.566290383152928</v>
      </c>
      <c r="AI73" s="123">
        <v>1</v>
      </c>
      <c r="AJ73" s="124">
        <v>0.7022515504416712</v>
      </c>
      <c r="AK73" s="124">
        <v>0.58616858919918358</v>
      </c>
      <c r="AL73" s="124">
        <v>0.42817637636521416</v>
      </c>
      <c r="AM73" s="124">
        <v>0.27357007256918159</v>
      </c>
      <c r="AN73" s="124">
        <v>0.21313263520085107</v>
      </c>
      <c r="AO73" s="124">
        <v>0.16301714425670513</v>
      </c>
      <c r="AP73" s="124">
        <v>0.12960681696060614</v>
      </c>
      <c r="AQ73" s="124">
        <v>0.10201912610891797</v>
      </c>
      <c r="AR73" s="124">
        <v>7.2782955555135476E-2</v>
      </c>
      <c r="AS73" s="124">
        <v>6.0873017373386004E-2</v>
      </c>
      <c r="AT73" s="124">
        <v>5.2933058585553035E-2</v>
      </c>
      <c r="AU73" s="124">
        <v>4.6581091555286676E-2</v>
      </c>
      <c r="AV73" s="125">
        <v>3.7053141009887144E-2</v>
      </c>
      <c r="AW73" s="126">
        <f t="shared" si="28"/>
        <v>19.566290383152928</v>
      </c>
      <c r="AX73" s="127">
        <f t="shared" si="28"/>
        <v>13.740457757961105</v>
      </c>
      <c r="AY73" s="127">
        <f t="shared" si="28"/>
        <v>11.469144829754304</v>
      </c>
      <c r="AZ73" s="127">
        <f t="shared" si="28"/>
        <v>8.3778233151679586</v>
      </c>
      <c r="BA73" s="127">
        <f t="shared" si="28"/>
        <v>5.3527514800288261</v>
      </c>
      <c r="BB73" s="127">
        <f t="shared" si="28"/>
        <v>4.170215030466454</v>
      </c>
      <c r="BC73" s="127">
        <f t="shared" si="28"/>
        <v>3.1896407819590231</v>
      </c>
      <c r="BD73" s="127">
        <f t="shared" si="28"/>
        <v>2.5359246162873696</v>
      </c>
      <c r="BE73" s="127">
        <f t="shared" si="28"/>
        <v>1.9961358460825875</v>
      </c>
      <c r="BF73" s="127">
        <f t="shared" si="28"/>
        <v>1.4240924433358944</v>
      </c>
      <c r="BG73" s="127">
        <f t="shared" si="28"/>
        <v>1.1910591344263837</v>
      </c>
      <c r="BH73" s="127">
        <f t="shared" si="28"/>
        <v>1.0357035951533768</v>
      </c>
      <c r="BI73" s="127">
        <f t="shared" si="28"/>
        <v>0.91141916373497178</v>
      </c>
      <c r="BJ73" s="128">
        <f t="shared" si="28"/>
        <v>0.72499251660736419</v>
      </c>
      <c r="BK73" s="126">
        <v>19.566290383152928</v>
      </c>
      <c r="BL73" s="127">
        <v>13.740457757961105</v>
      </c>
      <c r="BM73" s="127">
        <v>11.469144829754304</v>
      </c>
      <c r="BN73" s="127">
        <v>8.3778233151679586</v>
      </c>
      <c r="BO73" s="127">
        <v>5.3527514800288261</v>
      </c>
      <c r="BP73" s="127">
        <v>4.170215030466454</v>
      </c>
      <c r="BQ73" s="129">
        <v>3.1896407819590231</v>
      </c>
      <c r="BR73" s="127">
        <v>2.5359246162873696</v>
      </c>
      <c r="BS73" s="129">
        <v>1.9961358460825875</v>
      </c>
      <c r="BT73" s="127">
        <v>1.4240924433358944</v>
      </c>
      <c r="BU73" s="129">
        <v>1.1910591344263837</v>
      </c>
      <c r="BV73" s="127">
        <v>1.0357035951533768</v>
      </c>
      <c r="BW73" s="129">
        <v>0.91141916373497178</v>
      </c>
      <c r="BX73" s="128">
        <v>0.72499251660736419</v>
      </c>
      <c r="BY73" s="132"/>
      <c r="BZ73" s="132"/>
      <c r="CA73" s="132"/>
      <c r="CB73" s="123" t="s">
        <v>211</v>
      </c>
      <c r="CC73" s="124" t="s">
        <v>211</v>
      </c>
      <c r="CD73" s="124" t="s">
        <v>211</v>
      </c>
      <c r="CE73" s="124" t="s">
        <v>211</v>
      </c>
      <c r="CF73" s="124" t="s">
        <v>211</v>
      </c>
      <c r="CG73" s="124" t="s">
        <v>211</v>
      </c>
      <c r="CH73" s="124" t="s">
        <v>211</v>
      </c>
      <c r="CI73" s="124" t="s">
        <v>211</v>
      </c>
      <c r="CJ73" s="124" t="s">
        <v>211</v>
      </c>
      <c r="CK73" s="124" t="s">
        <v>211</v>
      </c>
      <c r="CL73" s="124" t="s">
        <v>211</v>
      </c>
      <c r="CM73" s="124" t="s">
        <v>211</v>
      </c>
      <c r="CN73" s="124" t="s">
        <v>211</v>
      </c>
      <c r="CO73" s="125" t="s">
        <v>211</v>
      </c>
      <c r="CP73" s="126" t="s">
        <v>211</v>
      </c>
      <c r="CQ73" s="127" t="s">
        <v>211</v>
      </c>
      <c r="CR73" s="127" t="s">
        <v>211</v>
      </c>
      <c r="CS73" s="127" t="s">
        <v>211</v>
      </c>
      <c r="CT73" s="127" t="s">
        <v>211</v>
      </c>
      <c r="CU73" s="127" t="s">
        <v>211</v>
      </c>
      <c r="CV73" s="127" t="s">
        <v>211</v>
      </c>
      <c r="CW73" s="127" t="s">
        <v>211</v>
      </c>
      <c r="CX73" s="127" t="s">
        <v>211</v>
      </c>
      <c r="CY73" s="127" t="s">
        <v>211</v>
      </c>
      <c r="CZ73" s="127" t="s">
        <v>211</v>
      </c>
      <c r="DA73" s="127" t="s">
        <v>211</v>
      </c>
      <c r="DB73" s="127" t="s">
        <v>211</v>
      </c>
      <c r="DC73" s="128" t="s">
        <v>211</v>
      </c>
      <c r="DD73" s="126">
        <v>19.566290383152928</v>
      </c>
      <c r="DE73" s="127">
        <v>13.740457757961105</v>
      </c>
      <c r="DF73" s="127">
        <v>11.469144829754304</v>
      </c>
      <c r="DG73" s="127">
        <v>8.3778233151679586</v>
      </c>
      <c r="DH73" s="127">
        <v>1.7899311127012081</v>
      </c>
      <c r="DI73" s="127">
        <v>4.170215030466454</v>
      </c>
      <c r="DJ73" s="129">
        <v>2.8643236645887322</v>
      </c>
      <c r="DK73" s="127">
        <v>1.9937294206702509</v>
      </c>
      <c r="DL73" s="129">
        <v>1.7658746297365082</v>
      </c>
      <c r="DM73" s="127">
        <v>1.4240924433358944</v>
      </c>
      <c r="DN73" s="129">
        <v>1.1910591344263839</v>
      </c>
      <c r="DO73" s="127">
        <v>1.0357035951533768</v>
      </c>
      <c r="DP73" s="129">
        <v>0.91141916373497178</v>
      </c>
      <c r="DQ73" s="128">
        <v>0.72499251660736419</v>
      </c>
    </row>
    <row r="74" spans="1:121" ht="15.75" customHeight="1" x14ac:dyDescent="0.3">
      <c r="I74" s="60" t="s">
        <v>141</v>
      </c>
      <c r="J74" s="61" t="s">
        <v>156</v>
      </c>
      <c r="K74" s="60">
        <f>11.3+(14.4-11.3)/2</f>
        <v>12.850000000000001</v>
      </c>
      <c r="L74" s="61"/>
      <c r="M74" s="61" t="str">
        <f t="shared" si="15"/>
        <v>Heavy Oil</v>
      </c>
      <c r="N74" s="133">
        <f t="shared" si="16"/>
        <v>265.08224689210181</v>
      </c>
      <c r="O74" s="134">
        <f t="shared" si="16"/>
        <v>0</v>
      </c>
      <c r="P74" s="135">
        <f t="shared" si="29"/>
        <v>0</v>
      </c>
      <c r="Q74" s="136">
        <f t="shared" si="17"/>
        <v>0</v>
      </c>
      <c r="R74" s="137">
        <f t="shared" si="18"/>
        <v>0</v>
      </c>
      <c r="S74" s="137">
        <f t="shared" si="18"/>
        <v>0</v>
      </c>
      <c r="T74" s="137">
        <f t="shared" si="18"/>
        <v>0</v>
      </c>
      <c r="U74" s="137">
        <f t="shared" si="18"/>
        <v>0</v>
      </c>
      <c r="V74" s="137">
        <f t="shared" si="18"/>
        <v>0</v>
      </c>
      <c r="W74" s="138" t="str">
        <f t="shared" si="19"/>
        <v>-</v>
      </c>
      <c r="X74" s="138" t="str">
        <f t="shared" si="19"/>
        <v>-</v>
      </c>
      <c r="Y74" s="138" t="str">
        <f t="shared" si="19"/>
        <v>-</v>
      </c>
      <c r="Z74" s="138" t="str">
        <f t="shared" si="20"/>
        <v>-</v>
      </c>
      <c r="AA74" s="139" t="str">
        <f t="shared" si="21"/>
        <v>-</v>
      </c>
      <c r="AB74" s="118">
        <v>1669.56486728</v>
      </c>
      <c r="AC74" s="119">
        <f t="shared" si="22"/>
        <v>6.2982900094383689</v>
      </c>
      <c r="AD74" s="120">
        <f t="shared" si="23"/>
        <v>1669.56486728</v>
      </c>
      <c r="AE74" s="140">
        <f t="shared" si="24"/>
        <v>6.2982900094383689</v>
      </c>
      <c r="AF74" s="120">
        <f t="shared" si="25"/>
        <v>0</v>
      </c>
      <c r="AG74" s="122" t="str">
        <f t="shared" si="26"/>
        <v>-</v>
      </c>
      <c r="AH74" s="6">
        <f t="shared" si="27"/>
        <v>265.08224689210181</v>
      </c>
      <c r="AI74" s="123">
        <v>1</v>
      </c>
      <c r="AJ74" s="124">
        <v>0.94294294294294301</v>
      </c>
      <c r="AK74" s="124">
        <v>0.75555555555555554</v>
      </c>
      <c r="AL74" s="124">
        <v>0.63063063063063063</v>
      </c>
      <c r="AM74" s="124">
        <v>0.51051051051051055</v>
      </c>
      <c r="AN74" s="124">
        <v>0.33033033033033032</v>
      </c>
      <c r="AO74" s="124">
        <v>0.25825825825825821</v>
      </c>
      <c r="AP74" s="124">
        <v>0.21021021021021014</v>
      </c>
      <c r="AQ74" s="124">
        <v>0.16216216216216484</v>
      </c>
      <c r="AR74" s="124">
        <v>9.0090090090094346E-2</v>
      </c>
      <c r="AS74" s="124">
        <v>1.8018018018023836E-2</v>
      </c>
      <c r="AT74" s="124">
        <v>0</v>
      </c>
      <c r="AU74" s="124">
        <v>0</v>
      </c>
      <c r="AV74" s="125">
        <v>0</v>
      </c>
      <c r="AW74" s="126">
        <f t="shared" si="28"/>
        <v>265.08224689210181</v>
      </c>
      <c r="AX74" s="127">
        <f t="shared" si="28"/>
        <v>249.9574340063663</v>
      </c>
      <c r="AY74" s="127">
        <f t="shared" si="28"/>
        <v>200.28436431847692</v>
      </c>
      <c r="AZ74" s="127">
        <f t="shared" si="28"/>
        <v>167.1689845265507</v>
      </c>
      <c r="BA74" s="127">
        <f t="shared" si="28"/>
        <v>135.32727318816009</v>
      </c>
      <c r="BB74" s="127">
        <f t="shared" si="28"/>
        <v>87.564706180574163</v>
      </c>
      <c r="BC74" s="127">
        <f t="shared" si="28"/>
        <v>68.4596793775398</v>
      </c>
      <c r="BD74" s="127">
        <f t="shared" si="28"/>
        <v>55.722994842183546</v>
      </c>
      <c r="BE74" s="127">
        <f t="shared" si="28"/>
        <v>42.986310306828031</v>
      </c>
      <c r="BF74" s="127">
        <f t="shared" si="28"/>
        <v>23.881283503794084</v>
      </c>
      <c r="BG74" s="127">
        <f t="shared" si="28"/>
        <v>4.7762567007601335</v>
      </c>
      <c r="BH74" s="127">
        <f t="shared" si="28"/>
        <v>0</v>
      </c>
      <c r="BI74" s="127">
        <f t="shared" si="28"/>
        <v>0</v>
      </c>
      <c r="BJ74" s="128">
        <f t="shared" si="28"/>
        <v>0</v>
      </c>
      <c r="BK74" s="126">
        <v>265.08224689210181</v>
      </c>
      <c r="BL74" s="127">
        <v>249.9574340063663</v>
      </c>
      <c r="BM74" s="129">
        <v>200.28436431847692</v>
      </c>
      <c r="BN74" s="127">
        <v>167.1689845265507</v>
      </c>
      <c r="BO74" s="129">
        <v>135.32727318816009</v>
      </c>
      <c r="BP74" s="127">
        <v>87.564706180574163</v>
      </c>
      <c r="BQ74" s="129">
        <v>68.4596793775398</v>
      </c>
      <c r="BR74" s="127">
        <v>55.722994842183546</v>
      </c>
      <c r="BS74" s="130">
        <v>42.986310306828031</v>
      </c>
      <c r="BT74" s="130">
        <v>23.881283503794084</v>
      </c>
      <c r="BU74" s="130">
        <v>4.7762567007601335</v>
      </c>
      <c r="BV74" s="130">
        <v>0</v>
      </c>
      <c r="BW74" s="130">
        <v>0</v>
      </c>
      <c r="BX74" s="131">
        <v>0</v>
      </c>
      <c r="BY74" s="132"/>
      <c r="BZ74" s="132"/>
      <c r="CA74" s="132"/>
      <c r="CB74" s="123" t="s">
        <v>211</v>
      </c>
      <c r="CC74" s="124" t="s">
        <v>211</v>
      </c>
      <c r="CD74" s="124" t="s">
        <v>211</v>
      </c>
      <c r="CE74" s="124" t="s">
        <v>211</v>
      </c>
      <c r="CF74" s="124" t="s">
        <v>211</v>
      </c>
      <c r="CG74" s="124" t="s">
        <v>211</v>
      </c>
      <c r="CH74" s="124" t="s">
        <v>211</v>
      </c>
      <c r="CI74" s="124" t="s">
        <v>211</v>
      </c>
      <c r="CJ74" s="124" t="s">
        <v>211</v>
      </c>
      <c r="CK74" s="124" t="s">
        <v>211</v>
      </c>
      <c r="CL74" s="124" t="s">
        <v>211</v>
      </c>
      <c r="CM74" s="124" t="s">
        <v>211</v>
      </c>
      <c r="CN74" s="124" t="s">
        <v>211</v>
      </c>
      <c r="CO74" s="125" t="s">
        <v>211</v>
      </c>
      <c r="CP74" s="126" t="s">
        <v>211</v>
      </c>
      <c r="CQ74" s="127" t="s">
        <v>211</v>
      </c>
      <c r="CR74" s="127" t="s">
        <v>211</v>
      </c>
      <c r="CS74" s="127" t="s">
        <v>211</v>
      </c>
      <c r="CT74" s="127" t="s">
        <v>211</v>
      </c>
      <c r="CU74" s="127" t="s">
        <v>211</v>
      </c>
      <c r="CV74" s="127" t="s">
        <v>211</v>
      </c>
      <c r="CW74" s="127" t="s">
        <v>211</v>
      </c>
      <c r="CX74" s="127" t="s">
        <v>211</v>
      </c>
      <c r="CY74" s="127" t="s">
        <v>211</v>
      </c>
      <c r="CZ74" s="127" t="s">
        <v>211</v>
      </c>
      <c r="DA74" s="127" t="s">
        <v>211</v>
      </c>
      <c r="DB74" s="127" t="s">
        <v>211</v>
      </c>
      <c r="DC74" s="128" t="s">
        <v>211</v>
      </c>
      <c r="DD74" s="126">
        <v>265.08224689210181</v>
      </c>
      <c r="DE74" s="127">
        <v>249.9574340063663</v>
      </c>
      <c r="DF74" s="129">
        <v>200.28436431847695</v>
      </c>
      <c r="DG74" s="127">
        <v>167.1689845265507</v>
      </c>
      <c r="DH74" s="129">
        <v>135.32727318816009</v>
      </c>
      <c r="DI74" s="127">
        <v>87.564706180574163</v>
      </c>
      <c r="DJ74" s="129">
        <v>68.4596793775398</v>
      </c>
      <c r="DK74" s="127">
        <v>55.722994842183546</v>
      </c>
      <c r="DL74" s="130" t="s">
        <v>211</v>
      </c>
      <c r="DM74" s="130" t="s">
        <v>211</v>
      </c>
      <c r="DN74" s="130" t="s">
        <v>211</v>
      </c>
      <c r="DO74" s="130" t="s">
        <v>211</v>
      </c>
      <c r="DP74" s="130" t="s">
        <v>211</v>
      </c>
      <c r="DQ74" s="131" t="s">
        <v>211</v>
      </c>
    </row>
    <row r="75" spans="1:121" ht="15.75" customHeight="1" x14ac:dyDescent="0.3">
      <c r="I75" s="60" t="s">
        <v>141</v>
      </c>
      <c r="J75" s="61" t="s">
        <v>160</v>
      </c>
      <c r="K75" s="60">
        <v>13.7</v>
      </c>
      <c r="L75" s="61"/>
      <c r="M75" s="61" t="str">
        <f t="shared" si="15"/>
        <v>Heavy Oil</v>
      </c>
      <c r="N75" s="133">
        <f t="shared" si="16"/>
        <v>253.41187670697005</v>
      </c>
      <c r="O75" s="134">
        <f t="shared" si="16"/>
        <v>0</v>
      </c>
      <c r="P75" s="135">
        <f t="shared" si="29"/>
        <v>0</v>
      </c>
      <c r="Q75" s="136">
        <f t="shared" si="17"/>
        <v>0</v>
      </c>
      <c r="R75" s="137">
        <f t="shared" si="18"/>
        <v>0</v>
      </c>
      <c r="S75" s="137">
        <f t="shared" si="18"/>
        <v>0</v>
      </c>
      <c r="T75" s="137">
        <f t="shared" si="18"/>
        <v>0</v>
      </c>
      <c r="U75" s="137">
        <f t="shared" si="18"/>
        <v>0</v>
      </c>
      <c r="V75" s="137">
        <f t="shared" si="18"/>
        <v>0</v>
      </c>
      <c r="W75" s="138" t="str">
        <f t="shared" si="19"/>
        <v>-</v>
      </c>
      <c r="X75" s="138" t="str">
        <f t="shared" si="19"/>
        <v>-</v>
      </c>
      <c r="Y75" s="138" t="str">
        <f t="shared" si="19"/>
        <v>-</v>
      </c>
      <c r="Z75" s="138" t="str">
        <f t="shared" si="20"/>
        <v>-</v>
      </c>
      <c r="AA75" s="139" t="str">
        <f t="shared" si="21"/>
        <v>-</v>
      </c>
      <c r="AB75" s="118">
        <v>2808.3748323555819</v>
      </c>
      <c r="AC75" s="119">
        <f t="shared" si="22"/>
        <v>11.082254189700091</v>
      </c>
      <c r="AD75" s="120">
        <f t="shared" si="23"/>
        <v>2808.3748323555819</v>
      </c>
      <c r="AE75" s="140">
        <f t="shared" si="24"/>
        <v>11.082254189700091</v>
      </c>
      <c r="AF75" s="120">
        <f t="shared" si="25"/>
        <v>0</v>
      </c>
      <c r="AG75" s="122" t="str">
        <f t="shared" si="26"/>
        <v>-</v>
      </c>
      <c r="AH75" s="6">
        <f t="shared" si="27"/>
        <v>253.41187670697005</v>
      </c>
      <c r="AI75" s="123">
        <v>1</v>
      </c>
      <c r="AJ75" s="124">
        <v>1.0012894214427195</v>
      </c>
      <c r="AK75" s="124">
        <v>0.7935476187759164</v>
      </c>
      <c r="AL75" s="124">
        <v>0.67445980594142352</v>
      </c>
      <c r="AM75" s="124">
        <v>0.60372304158111922</v>
      </c>
      <c r="AN75" s="124">
        <v>0.49761789504066278</v>
      </c>
      <c r="AO75" s="124">
        <v>0.43328874761505221</v>
      </c>
      <c r="AP75" s="124">
        <v>0.3904026493313118</v>
      </c>
      <c r="AQ75" s="124">
        <v>0.34756686162508232</v>
      </c>
      <c r="AR75" s="124">
        <v>0.28338216625732354</v>
      </c>
      <c r="AS75" s="124">
        <v>0.22317028021362426</v>
      </c>
      <c r="AT75" s="124">
        <v>0.21201326991288166</v>
      </c>
      <c r="AU75" s="124">
        <v>0.2027885427495851</v>
      </c>
      <c r="AV75" s="125">
        <v>0.18895145200464025</v>
      </c>
      <c r="AW75" s="126">
        <f t="shared" si="28"/>
        <v>253.41187670697005</v>
      </c>
      <c r="AX75" s="127">
        <f t="shared" si="28"/>
        <v>253.73863141463579</v>
      </c>
      <c r="AY75" s="127">
        <f t="shared" si="28"/>
        <v>201.09439133035221</v>
      </c>
      <c r="AZ75" s="127">
        <f t="shared" si="28"/>
        <v>170.91612518703496</v>
      </c>
      <c r="BA75" s="127">
        <f t="shared" si="28"/>
        <v>152.99058897831154</v>
      </c>
      <c r="BB75" s="127">
        <f t="shared" si="28"/>
        <v>126.10228466522641</v>
      </c>
      <c r="BC75" s="127">
        <f t="shared" si="28"/>
        <v>109.80051468914307</v>
      </c>
      <c r="BD75" s="127">
        <f t="shared" si="28"/>
        <v>98.932668038420843</v>
      </c>
      <c r="BE75" s="127">
        <f t="shared" si="28"/>
        <v>88.077570685563884</v>
      </c>
      <c r="BF75" s="127">
        <f t="shared" si="28"/>
        <v>71.812406576554963</v>
      </c>
      <c r="BG75" s="127">
        <f t="shared" si="28"/>
        <v>56.553999534154904</v>
      </c>
      <c r="BH75" s="127">
        <f t="shared" si="28"/>
        <v>53.726680615404732</v>
      </c>
      <c r="BI75" s="127">
        <f t="shared" si="28"/>
        <v>51.389025192843988</v>
      </c>
      <c r="BJ75" s="128">
        <f t="shared" si="28"/>
        <v>47.882542059002866</v>
      </c>
      <c r="BK75" s="126">
        <v>253.41187670697005</v>
      </c>
      <c r="BL75" s="127">
        <v>253.73863141463579</v>
      </c>
      <c r="BM75" s="127">
        <v>201.09439133035221</v>
      </c>
      <c r="BN75" s="127">
        <v>170.91612518703496</v>
      </c>
      <c r="BO75" s="129">
        <v>152.99058897831154</v>
      </c>
      <c r="BP75" s="127">
        <v>126.10228466522641</v>
      </c>
      <c r="BQ75" s="129">
        <v>109.80051468914307</v>
      </c>
      <c r="BR75" s="127">
        <v>98.932668038420843</v>
      </c>
      <c r="BS75" s="129">
        <v>88.077570685563884</v>
      </c>
      <c r="BT75" s="127">
        <v>71.812406576554963</v>
      </c>
      <c r="BU75" s="129">
        <v>56.553999534154904</v>
      </c>
      <c r="BV75" s="129">
        <v>53.726680615404732</v>
      </c>
      <c r="BW75" s="129">
        <v>51.389025192843988</v>
      </c>
      <c r="BX75" s="128">
        <v>47.882542059002866</v>
      </c>
      <c r="BY75" s="132"/>
      <c r="BZ75" s="143"/>
      <c r="CA75" s="144"/>
      <c r="CB75" s="123" t="s">
        <v>211</v>
      </c>
      <c r="CC75" s="124" t="s">
        <v>211</v>
      </c>
      <c r="CD75" s="124" t="s">
        <v>211</v>
      </c>
      <c r="CE75" s="124" t="s">
        <v>211</v>
      </c>
      <c r="CF75" s="124" t="s">
        <v>211</v>
      </c>
      <c r="CG75" s="124" t="s">
        <v>211</v>
      </c>
      <c r="CH75" s="124" t="s">
        <v>211</v>
      </c>
      <c r="CI75" s="124" t="s">
        <v>211</v>
      </c>
      <c r="CJ75" s="124" t="s">
        <v>211</v>
      </c>
      <c r="CK75" s="124" t="s">
        <v>211</v>
      </c>
      <c r="CL75" s="124" t="s">
        <v>211</v>
      </c>
      <c r="CM75" s="124" t="s">
        <v>211</v>
      </c>
      <c r="CN75" s="124" t="s">
        <v>211</v>
      </c>
      <c r="CO75" s="125" t="s">
        <v>211</v>
      </c>
      <c r="CP75" s="126" t="s">
        <v>211</v>
      </c>
      <c r="CQ75" s="127" t="s">
        <v>211</v>
      </c>
      <c r="CR75" s="127" t="s">
        <v>211</v>
      </c>
      <c r="CS75" s="127" t="s">
        <v>211</v>
      </c>
      <c r="CT75" s="127" t="s">
        <v>211</v>
      </c>
      <c r="CU75" s="127" t="s">
        <v>211</v>
      </c>
      <c r="CV75" s="127" t="s">
        <v>211</v>
      </c>
      <c r="CW75" s="127" t="s">
        <v>211</v>
      </c>
      <c r="CX75" s="127" t="s">
        <v>211</v>
      </c>
      <c r="CY75" s="127" t="s">
        <v>211</v>
      </c>
      <c r="CZ75" s="127" t="s">
        <v>211</v>
      </c>
      <c r="DA75" s="127" t="s">
        <v>211</v>
      </c>
      <c r="DB75" s="127" t="s">
        <v>211</v>
      </c>
      <c r="DC75" s="128" t="s">
        <v>211</v>
      </c>
      <c r="DD75" s="126">
        <v>253.41187670697005</v>
      </c>
      <c r="DE75" s="127">
        <v>253.73863141463579</v>
      </c>
      <c r="DF75" s="127">
        <v>90.234575792944611</v>
      </c>
      <c r="DG75" s="127">
        <v>85.560429307289255</v>
      </c>
      <c r="DH75" s="129">
        <v>101.77717145046412</v>
      </c>
      <c r="DI75" s="127">
        <v>126.10228466522641</v>
      </c>
      <c r="DJ75" s="129">
        <v>69.643672617237414</v>
      </c>
      <c r="DK75" s="127">
        <v>32.004597918578092</v>
      </c>
      <c r="DL75" s="129">
        <v>43.031086419869496</v>
      </c>
      <c r="DM75" s="127">
        <v>59.570819171806598</v>
      </c>
      <c r="DN75" s="129">
        <v>56.035487330657105</v>
      </c>
      <c r="DO75" s="129">
        <v>53.678599436557441</v>
      </c>
      <c r="DP75" s="129">
        <v>51.321711542457777</v>
      </c>
      <c r="DQ75" s="128">
        <v>47.786379701308284</v>
      </c>
    </row>
    <row r="76" spans="1:121" ht="15.75" customHeight="1" x14ac:dyDescent="0.3">
      <c r="I76" s="60" t="s">
        <v>141</v>
      </c>
      <c r="J76" s="61" t="s">
        <v>163</v>
      </c>
      <c r="K76" s="60">
        <f>7+(20-7)/2</f>
        <v>13.5</v>
      </c>
      <c r="L76" s="61"/>
      <c r="M76" s="61" t="str">
        <f t="shared" si="15"/>
        <v>Heavy Oil</v>
      </c>
      <c r="N76" s="133">
        <f t="shared" si="16"/>
        <v>153.50718826671843</v>
      </c>
      <c r="O76" s="134">
        <f t="shared" si="16"/>
        <v>1.3978936722236606</v>
      </c>
      <c r="P76" s="135">
        <f t="shared" si="29"/>
        <v>9.0241950407712185E-3</v>
      </c>
      <c r="Q76" s="136">
        <f t="shared" si="17"/>
        <v>0</v>
      </c>
      <c r="R76" s="137">
        <f t="shared" si="18"/>
        <v>0.32109980889709927</v>
      </c>
      <c r="S76" s="137">
        <f t="shared" si="18"/>
        <v>1.0767938633265612</v>
      </c>
      <c r="T76" s="137">
        <f t="shared" si="18"/>
        <v>0</v>
      </c>
      <c r="U76" s="137">
        <f t="shared" si="18"/>
        <v>0</v>
      </c>
      <c r="V76" s="137">
        <f t="shared" si="18"/>
        <v>0</v>
      </c>
      <c r="W76" s="138">
        <f t="shared" si="19"/>
        <v>0.22970259847182703</v>
      </c>
      <c r="X76" s="138">
        <f t="shared" si="19"/>
        <v>0.77029740152817294</v>
      </c>
      <c r="Y76" s="138">
        <f t="shared" si="19"/>
        <v>0</v>
      </c>
      <c r="Z76" s="138">
        <f t="shared" si="20"/>
        <v>0</v>
      </c>
      <c r="AA76" s="139" t="str">
        <f t="shared" si="21"/>
        <v>-</v>
      </c>
      <c r="AB76" s="118">
        <v>1445.2840023680001</v>
      </c>
      <c r="AC76" s="119">
        <f t="shared" si="22"/>
        <v>9.4150900598662659</v>
      </c>
      <c r="AD76" s="120">
        <f t="shared" si="23"/>
        <v>1432.2414776413248</v>
      </c>
      <c r="AE76" s="140">
        <f t="shared" si="24"/>
        <v>9.3301264508396056</v>
      </c>
      <c r="AF76" s="120">
        <f t="shared" si="25"/>
        <v>13.042524726675284</v>
      </c>
      <c r="AG76" s="122">
        <f t="shared" si="26"/>
        <v>9.3301264508396038</v>
      </c>
      <c r="AH76" s="6">
        <f t="shared" si="27"/>
        <v>154.90508193894209</v>
      </c>
      <c r="AI76" s="123">
        <v>1</v>
      </c>
      <c r="AJ76" s="124">
        <v>0.99883325263017586</v>
      </c>
      <c r="AK76" s="124">
        <v>0.89646071146204309</v>
      </c>
      <c r="AL76" s="124">
        <v>0.75559988665176769</v>
      </c>
      <c r="AM76" s="124">
        <v>0.63273626526514493</v>
      </c>
      <c r="AN76" s="124">
        <v>0.44844083318521072</v>
      </c>
      <c r="AO76" s="124">
        <v>0.37502366342996168</v>
      </c>
      <c r="AP76" s="124">
        <v>0.29475321316119518</v>
      </c>
      <c r="AQ76" s="124">
        <v>0.22595125656718268</v>
      </c>
      <c r="AR76" s="124">
        <v>0.12274832167616051</v>
      </c>
      <c r="AS76" s="124">
        <v>6.2815527422288242E-2</v>
      </c>
      <c r="AT76" s="124">
        <v>4.9560348662181647E-2</v>
      </c>
      <c r="AU76" s="124">
        <v>3.6305169902077161E-2</v>
      </c>
      <c r="AV76" s="125">
        <v>1.6422401761917896E-2</v>
      </c>
      <c r="AW76" s="126">
        <f t="shared" si="28"/>
        <v>154.90508193894209</v>
      </c>
      <c r="AX76" s="127">
        <f t="shared" si="28"/>
        <v>154.72434684201744</v>
      </c>
      <c r="AY76" s="127">
        <f t="shared" si="28"/>
        <v>138.8663199640701</v>
      </c>
      <c r="AZ76" s="127">
        <f t="shared" si="28"/>
        <v>117.04626235484743</v>
      </c>
      <c r="BA76" s="127">
        <f t="shared" si="28"/>
        <v>98.014063016637479</v>
      </c>
      <c r="BB76" s="127">
        <f t="shared" si="28"/>
        <v>69.465764009322527</v>
      </c>
      <c r="BC76" s="127">
        <f t="shared" si="28"/>
        <v>58.093071312660456</v>
      </c>
      <c r="BD76" s="127">
        <f t="shared" si="28"/>
        <v>45.658770636501401</v>
      </c>
      <c r="BE76" s="127">
        <f t="shared" si="28"/>
        <v>35.000997912746357</v>
      </c>
      <c r="BF76" s="127">
        <f t="shared" si="28"/>
        <v>19.014338827113264</v>
      </c>
      <c r="BG76" s="127">
        <f t="shared" si="28"/>
        <v>9.7304444223874231</v>
      </c>
      <c r="BH76" s="127">
        <f t="shared" si="28"/>
        <v>7.6771498704377867</v>
      </c>
      <c r="BI76" s="127">
        <f t="shared" si="28"/>
        <v>5.6238553184884772</v>
      </c>
      <c r="BJ76" s="128">
        <f t="shared" si="28"/>
        <v>2.5439134905641185</v>
      </c>
      <c r="BK76" s="126">
        <v>154.90508193894209</v>
      </c>
      <c r="BL76" s="127">
        <v>154.72434684201744</v>
      </c>
      <c r="BM76" s="127">
        <v>138.8663199640701</v>
      </c>
      <c r="BN76" s="127">
        <v>117.04626235484743</v>
      </c>
      <c r="BO76" s="129">
        <v>98.014063016637479</v>
      </c>
      <c r="BP76" s="127">
        <v>69.465764009322527</v>
      </c>
      <c r="BQ76" s="127">
        <v>58.093071312660456</v>
      </c>
      <c r="BR76" s="127">
        <v>45.658770636501401</v>
      </c>
      <c r="BS76" s="127">
        <v>35.000997912746357</v>
      </c>
      <c r="BT76" s="127">
        <v>19.014338827113264</v>
      </c>
      <c r="BU76" s="127">
        <v>9.7304444223874231</v>
      </c>
      <c r="BV76" s="130">
        <v>7.6771498704377867</v>
      </c>
      <c r="BW76" s="130">
        <v>5.6238553184884772</v>
      </c>
      <c r="BX76" s="131">
        <v>2.5439134905641185</v>
      </c>
      <c r="BY76" s="132"/>
      <c r="BZ76" s="132"/>
      <c r="CA76" s="132"/>
      <c r="CB76" s="123" t="s">
        <v>211</v>
      </c>
      <c r="CC76" s="124" t="s">
        <v>211</v>
      </c>
      <c r="CD76" s="124" t="s">
        <v>211</v>
      </c>
      <c r="CE76" s="124" t="s">
        <v>211</v>
      </c>
      <c r="CF76" s="124" t="s">
        <v>211</v>
      </c>
      <c r="CG76" s="124" t="s">
        <v>211</v>
      </c>
      <c r="CH76" s="124" t="s">
        <v>211</v>
      </c>
      <c r="CI76" s="124" t="s">
        <v>211</v>
      </c>
      <c r="CJ76" s="124" t="s">
        <v>211</v>
      </c>
      <c r="CK76" s="124" t="s">
        <v>211</v>
      </c>
      <c r="CL76" s="124" t="s">
        <v>211</v>
      </c>
      <c r="CM76" s="124" t="s">
        <v>211</v>
      </c>
      <c r="CN76" s="124" t="s">
        <v>211</v>
      </c>
      <c r="CO76" s="125" t="s">
        <v>211</v>
      </c>
      <c r="CP76" s="126" t="s">
        <v>211</v>
      </c>
      <c r="CQ76" s="127" t="s">
        <v>211</v>
      </c>
      <c r="CR76" s="127" t="s">
        <v>211</v>
      </c>
      <c r="CS76" s="127" t="s">
        <v>211</v>
      </c>
      <c r="CT76" s="127" t="s">
        <v>211</v>
      </c>
      <c r="CU76" s="127" t="s">
        <v>211</v>
      </c>
      <c r="CV76" s="127" t="s">
        <v>211</v>
      </c>
      <c r="CW76" s="127" t="s">
        <v>211</v>
      </c>
      <c r="CX76" s="127" t="s">
        <v>211</v>
      </c>
      <c r="CY76" s="127" t="s">
        <v>211</v>
      </c>
      <c r="CZ76" s="127" t="s">
        <v>211</v>
      </c>
      <c r="DA76" s="127" t="s">
        <v>211</v>
      </c>
      <c r="DB76" s="127" t="s">
        <v>211</v>
      </c>
      <c r="DC76" s="128" t="s">
        <v>211</v>
      </c>
      <c r="DD76" s="126">
        <v>154.90508193894209</v>
      </c>
      <c r="DE76" s="127">
        <v>154.72434684201744</v>
      </c>
      <c r="DF76" s="127">
        <v>48.027349298771789</v>
      </c>
      <c r="DG76" s="127">
        <v>117.04626235484743</v>
      </c>
      <c r="DH76" s="129">
        <v>98.014063016637465</v>
      </c>
      <c r="DI76" s="127">
        <v>69.465764009322527</v>
      </c>
      <c r="DJ76" s="127">
        <v>36.504949568849092</v>
      </c>
      <c r="DK76" s="127">
        <v>45.658770636501401</v>
      </c>
      <c r="DL76" s="127">
        <v>18.873455084109839</v>
      </c>
      <c r="DM76" s="127">
        <v>12.81038625031162</v>
      </c>
      <c r="DN76" s="127">
        <v>9.7304444223874231</v>
      </c>
      <c r="DO76" s="130" t="s">
        <v>211</v>
      </c>
      <c r="DP76" s="130" t="s">
        <v>211</v>
      </c>
      <c r="DQ76" s="131" t="s">
        <v>211</v>
      </c>
    </row>
    <row r="77" spans="1:121" ht="15.75" customHeight="1" x14ac:dyDescent="0.3">
      <c r="I77" s="60" t="s">
        <v>141</v>
      </c>
      <c r="J77" s="61" t="s">
        <v>166</v>
      </c>
      <c r="K77" s="60">
        <v>8</v>
      </c>
      <c r="L77" s="61"/>
      <c r="M77" s="61" t="str">
        <f t="shared" si="15"/>
        <v>Heavy Oil</v>
      </c>
      <c r="N77" s="133">
        <f t="shared" si="16"/>
        <v>43.895597705669182</v>
      </c>
      <c r="O77" s="134">
        <f t="shared" si="16"/>
        <v>0.21448045777585595</v>
      </c>
      <c r="P77" s="135">
        <f t="shared" si="29"/>
        <v>4.8623912426797849E-3</v>
      </c>
      <c r="Q77" s="136">
        <f t="shared" si="17"/>
        <v>0</v>
      </c>
      <c r="R77" s="137">
        <f t="shared" si="18"/>
        <v>0</v>
      </c>
      <c r="S77" s="137">
        <f t="shared" si="18"/>
        <v>0.21448045777585595</v>
      </c>
      <c r="T77" s="137">
        <f t="shared" si="18"/>
        <v>0</v>
      </c>
      <c r="U77" s="137">
        <f t="shared" si="18"/>
        <v>0</v>
      </c>
      <c r="V77" s="137">
        <f t="shared" si="18"/>
        <v>0</v>
      </c>
      <c r="W77" s="138">
        <f t="shared" si="19"/>
        <v>0</v>
      </c>
      <c r="X77" s="138">
        <f t="shared" si="19"/>
        <v>1</v>
      </c>
      <c r="Y77" s="138">
        <f t="shared" si="19"/>
        <v>0</v>
      </c>
      <c r="Z77" s="138">
        <f t="shared" si="20"/>
        <v>0</v>
      </c>
      <c r="AA77" s="139" t="str">
        <f t="shared" si="21"/>
        <v>-</v>
      </c>
      <c r="AB77" s="118">
        <v>549.81236578400001</v>
      </c>
      <c r="AC77" s="119">
        <f t="shared" si="22"/>
        <v>12.525455729538702</v>
      </c>
      <c r="AD77" s="120">
        <f t="shared" si="23"/>
        <v>547.13896295149482</v>
      </c>
      <c r="AE77" s="140">
        <f t="shared" si="24"/>
        <v>12.464552063288821</v>
      </c>
      <c r="AF77" s="120">
        <f t="shared" si="25"/>
        <v>2.6734028325051762</v>
      </c>
      <c r="AG77" s="122">
        <f t="shared" si="26"/>
        <v>12.464552063288821</v>
      </c>
      <c r="AH77" s="6">
        <f t="shared" si="27"/>
        <v>44.110078163445039</v>
      </c>
      <c r="AI77" s="123">
        <v>1</v>
      </c>
      <c r="AJ77" s="124">
        <v>0.50474547023295946</v>
      </c>
      <c r="AK77" s="124">
        <v>1.0008628127696291</v>
      </c>
      <c r="AL77" s="124">
        <v>0.84555651423641076</v>
      </c>
      <c r="AM77" s="124">
        <v>0.74029335634167392</v>
      </c>
      <c r="AN77" s="124">
        <v>0.58239861949956873</v>
      </c>
      <c r="AO77" s="124">
        <v>0.47886108714408987</v>
      </c>
      <c r="AP77" s="124">
        <v>0.40983606557377061</v>
      </c>
      <c r="AQ77" s="124">
        <v>0.35979292493528908</v>
      </c>
      <c r="AR77" s="124">
        <v>0.28472821397756687</v>
      </c>
      <c r="AS77" s="124">
        <v>0.23554788610871449</v>
      </c>
      <c r="AT77" s="124">
        <v>0.20276100086281287</v>
      </c>
      <c r="AU77" s="124">
        <v>0.16393442622950821</v>
      </c>
      <c r="AV77" s="125">
        <v>0.10569456427955486</v>
      </c>
      <c r="AW77" s="126">
        <f t="shared" si="28"/>
        <v>44.110078163445039</v>
      </c>
      <c r="AX77" s="127">
        <f t="shared" si="28"/>
        <v>22.264362144620662</v>
      </c>
      <c r="AY77" s="127">
        <f t="shared" si="28"/>
        <v>44.148136902153794</v>
      </c>
      <c r="AZ77" s="127">
        <f t="shared" si="28"/>
        <v>37.297563934578207</v>
      </c>
      <c r="BA77" s="127">
        <f t="shared" si="28"/>
        <v>32.654397812110311</v>
      </c>
      <c r="BB77" s="127">
        <f t="shared" si="28"/>
        <v>25.689648628408463</v>
      </c>
      <c r="BC77" s="127">
        <f t="shared" si="28"/>
        <v>21.122599983358072</v>
      </c>
      <c r="BD77" s="127">
        <f t="shared" si="28"/>
        <v>18.077900886657808</v>
      </c>
      <c r="BE77" s="127">
        <f t="shared" si="28"/>
        <v>15.870494041550115</v>
      </c>
      <c r="BF77" s="127">
        <f t="shared" si="28"/>
        <v>12.559383773888579</v>
      </c>
      <c r="BG77" s="127">
        <f t="shared" si="28"/>
        <v>10.390035667489647</v>
      </c>
      <c r="BH77" s="127">
        <f t="shared" si="28"/>
        <v>8.9438035965570233</v>
      </c>
      <c r="BI77" s="127">
        <f t="shared" si="28"/>
        <v>7.231160354663122</v>
      </c>
      <c r="BJ77" s="128">
        <f t="shared" si="28"/>
        <v>4.6621954918224304</v>
      </c>
      <c r="BK77" s="126">
        <v>44.110078163445039</v>
      </c>
      <c r="BL77" s="127">
        <v>22.264362144620662</v>
      </c>
      <c r="BM77" s="127">
        <v>44.148136902153794</v>
      </c>
      <c r="BN77" s="127">
        <v>37.297563934578207</v>
      </c>
      <c r="BO77" s="129">
        <v>32.654397812110311</v>
      </c>
      <c r="BP77" s="127">
        <v>25.689648628408463</v>
      </c>
      <c r="BQ77" s="129">
        <v>21.122599983358072</v>
      </c>
      <c r="BR77" s="127">
        <v>18.077900886657808</v>
      </c>
      <c r="BS77" s="129">
        <v>15.870494041550115</v>
      </c>
      <c r="BT77" s="127">
        <v>12.559383773888579</v>
      </c>
      <c r="BU77" s="129">
        <v>10.390035667489647</v>
      </c>
      <c r="BV77" s="127">
        <v>8.9438035965570233</v>
      </c>
      <c r="BW77" s="127">
        <v>7.231160354663122</v>
      </c>
      <c r="BX77" s="131">
        <v>4.6621954918224304</v>
      </c>
      <c r="BY77" s="132"/>
      <c r="BZ77" s="132"/>
      <c r="CA77" s="132"/>
      <c r="CB77" s="123" t="s">
        <v>211</v>
      </c>
      <c r="CC77" s="124" t="s">
        <v>211</v>
      </c>
      <c r="CD77" s="124" t="s">
        <v>211</v>
      </c>
      <c r="CE77" s="124" t="s">
        <v>211</v>
      </c>
      <c r="CF77" s="124" t="s">
        <v>211</v>
      </c>
      <c r="CG77" s="124" t="s">
        <v>211</v>
      </c>
      <c r="CH77" s="124" t="s">
        <v>211</v>
      </c>
      <c r="CI77" s="124" t="s">
        <v>211</v>
      </c>
      <c r="CJ77" s="124" t="s">
        <v>211</v>
      </c>
      <c r="CK77" s="124" t="s">
        <v>211</v>
      </c>
      <c r="CL77" s="124" t="s">
        <v>211</v>
      </c>
      <c r="CM77" s="124" t="s">
        <v>211</v>
      </c>
      <c r="CN77" s="124" t="s">
        <v>211</v>
      </c>
      <c r="CO77" s="125" t="s">
        <v>211</v>
      </c>
      <c r="CP77" s="126" t="s">
        <v>211</v>
      </c>
      <c r="CQ77" s="127" t="s">
        <v>211</v>
      </c>
      <c r="CR77" s="127" t="s">
        <v>211</v>
      </c>
      <c r="CS77" s="127" t="s">
        <v>211</v>
      </c>
      <c r="CT77" s="127" t="s">
        <v>211</v>
      </c>
      <c r="CU77" s="127" t="s">
        <v>211</v>
      </c>
      <c r="CV77" s="127" t="s">
        <v>211</v>
      </c>
      <c r="CW77" s="127" t="s">
        <v>211</v>
      </c>
      <c r="CX77" s="127" t="s">
        <v>211</v>
      </c>
      <c r="CY77" s="127" t="s">
        <v>211</v>
      </c>
      <c r="CZ77" s="127" t="s">
        <v>211</v>
      </c>
      <c r="DA77" s="127" t="s">
        <v>211</v>
      </c>
      <c r="DB77" s="127" t="s">
        <v>211</v>
      </c>
      <c r="DC77" s="128" t="s">
        <v>211</v>
      </c>
      <c r="DD77" s="126">
        <v>44.110078163445039</v>
      </c>
      <c r="DE77" s="127">
        <v>22.264362144620662</v>
      </c>
      <c r="DF77" s="127">
        <v>44.148136902153794</v>
      </c>
      <c r="DG77" s="127">
        <v>37.297563934578207</v>
      </c>
      <c r="DH77" s="129">
        <v>32.654397812110311</v>
      </c>
      <c r="DI77" s="127">
        <v>25.689648628408463</v>
      </c>
      <c r="DJ77" s="129">
        <v>21.122599983358072</v>
      </c>
      <c r="DK77" s="127">
        <v>18.077900886657808</v>
      </c>
      <c r="DL77" s="129">
        <v>15.870494041550117</v>
      </c>
      <c r="DM77" s="127">
        <v>12.559383773888579</v>
      </c>
      <c r="DN77" s="129">
        <v>10.390035667489645</v>
      </c>
      <c r="DO77" s="127">
        <v>8.9438035965570233</v>
      </c>
      <c r="DP77" s="127">
        <v>7.231160354663122</v>
      </c>
      <c r="DQ77" s="131" t="s">
        <v>211</v>
      </c>
    </row>
    <row r="78" spans="1:121" ht="15.75" customHeight="1" x14ac:dyDescent="0.3">
      <c r="I78" s="60" t="s">
        <v>141</v>
      </c>
      <c r="J78" s="61" t="s">
        <v>169</v>
      </c>
      <c r="K78" s="60">
        <v>13.5</v>
      </c>
      <c r="L78" s="61"/>
      <c r="M78" s="61" t="str">
        <f t="shared" si="15"/>
        <v>Heavy Oil</v>
      </c>
      <c r="N78" s="133">
        <f t="shared" si="16"/>
        <v>8.7564836170076354</v>
      </c>
      <c r="O78" s="133">
        <f t="shared" si="16"/>
        <v>0.43874352621703561</v>
      </c>
      <c r="P78" s="135">
        <f t="shared" si="29"/>
        <v>4.771426734578444E-2</v>
      </c>
      <c r="Q78" s="136">
        <f t="shared" si="17"/>
        <v>0.23786180586758954</v>
      </c>
      <c r="R78" s="137">
        <f t="shared" si="18"/>
        <v>5.7140945681870784E-3</v>
      </c>
      <c r="S78" s="137">
        <f t="shared" si="18"/>
        <v>0</v>
      </c>
      <c r="T78" s="137">
        <f t="shared" si="18"/>
        <v>0.4330294316488485</v>
      </c>
      <c r="U78" s="137">
        <f t="shared" si="18"/>
        <v>0.19516762578125896</v>
      </c>
      <c r="V78" s="137">
        <f t="shared" si="18"/>
        <v>0</v>
      </c>
      <c r="W78" s="138">
        <f t="shared" si="19"/>
        <v>1.302376952990175E-2</v>
      </c>
      <c r="X78" s="138">
        <f t="shared" si="19"/>
        <v>0</v>
      </c>
      <c r="Y78" s="138">
        <f t="shared" si="19"/>
        <v>0.98697623047009819</v>
      </c>
      <c r="Z78" s="138">
        <f t="shared" si="20"/>
        <v>0</v>
      </c>
      <c r="AA78" s="139">
        <f t="shared" si="21"/>
        <v>0.4507029118970462</v>
      </c>
      <c r="AB78" s="118">
        <v>23.676130584000003</v>
      </c>
      <c r="AC78" s="119">
        <f t="shared" si="22"/>
        <v>2.6323350361644713</v>
      </c>
      <c r="AD78" s="120">
        <f t="shared" si="23"/>
        <v>22.546441359601324</v>
      </c>
      <c r="AE78" s="140">
        <f t="shared" si="24"/>
        <v>2.5748282467872818</v>
      </c>
      <c r="AF78" s="120">
        <f t="shared" si="25"/>
        <v>1.1296892243986796</v>
      </c>
      <c r="AG78" s="122">
        <f t="shared" si="26"/>
        <v>2.5748282467872818</v>
      </c>
      <c r="AH78" s="6">
        <f t="shared" si="27"/>
        <v>9.1952271432246704</v>
      </c>
      <c r="AI78" s="123">
        <v>1</v>
      </c>
      <c r="AJ78" s="124">
        <v>0.78056545109387754</v>
      </c>
      <c r="AK78" s="124">
        <v>0.34412371581696649</v>
      </c>
      <c r="AL78" s="124">
        <v>0.21704492141316459</v>
      </c>
      <c r="AM78" s="124">
        <v>0.17236464183355049</v>
      </c>
      <c r="AN78" s="124">
        <v>0.10534422246412935</v>
      </c>
      <c r="AO78" s="124">
        <v>3.8731815885880774E-2</v>
      </c>
      <c r="AP78" s="124">
        <v>2.9297241699206451E-2</v>
      </c>
      <c r="AQ78" s="124">
        <v>2.32712911698339E-2</v>
      </c>
      <c r="AR78" s="124">
        <v>1.4232365375775069E-2</v>
      </c>
      <c r="AS78" s="124">
        <v>5.1934395817169214E-3</v>
      </c>
      <c r="AT78" s="124">
        <v>0</v>
      </c>
      <c r="AU78" s="124">
        <v>0</v>
      </c>
      <c r="AV78" s="125">
        <v>0</v>
      </c>
      <c r="AW78" s="126">
        <f t="shared" si="28"/>
        <v>9.1952271432246704</v>
      </c>
      <c r="AX78" s="127">
        <f t="shared" si="28"/>
        <v>7.1774766229618319</v>
      </c>
      <c r="AY78" s="127">
        <f t="shared" si="28"/>
        <v>3.1642957323075032</v>
      </c>
      <c r="AZ78" s="127">
        <f t="shared" si="28"/>
        <v>1.9957773526773965</v>
      </c>
      <c r="BA78" s="127">
        <f t="shared" si="28"/>
        <v>1.584932033120062</v>
      </c>
      <c r="BB78" s="127">
        <f t="shared" si="28"/>
        <v>0.96866405378406029</v>
      </c>
      <c r="BC78" s="127">
        <f t="shared" si="28"/>
        <v>0.35614784474023137</v>
      </c>
      <c r="BD78" s="127">
        <f t="shared" si="28"/>
        <v>0.26939479209415684</v>
      </c>
      <c r="BE78" s="127">
        <f t="shared" si="28"/>
        <v>0.21398480822274127</v>
      </c>
      <c r="BF78" s="127">
        <f t="shared" si="28"/>
        <v>0.13086983241561789</v>
      </c>
      <c r="BG78" s="127">
        <f t="shared" si="28"/>
        <v>4.7754856608500817E-2</v>
      </c>
      <c r="BH78" s="127">
        <f t="shared" si="28"/>
        <v>0</v>
      </c>
      <c r="BI78" s="127">
        <f t="shared" si="28"/>
        <v>0</v>
      </c>
      <c r="BJ78" s="128">
        <f t="shared" si="28"/>
        <v>0</v>
      </c>
      <c r="BK78" s="126">
        <v>9.1952271432246704</v>
      </c>
      <c r="BL78" s="127">
        <v>7.1774766229618319</v>
      </c>
      <c r="BM78" s="127">
        <v>3.1642957323075032</v>
      </c>
      <c r="BN78" s="127">
        <v>1.9957773526773965</v>
      </c>
      <c r="BO78" s="129">
        <v>1.584932033120062</v>
      </c>
      <c r="BP78" s="127">
        <v>0.96866405378406029</v>
      </c>
      <c r="BQ78" s="129">
        <v>0.35614784474023137</v>
      </c>
      <c r="BR78" s="127">
        <v>0.26939479209415684</v>
      </c>
      <c r="BS78" s="129">
        <v>0.21398480822274127</v>
      </c>
      <c r="BT78" s="127">
        <v>0.13086983241561789</v>
      </c>
      <c r="BU78" s="130">
        <v>4.7754856608500817E-2</v>
      </c>
      <c r="BV78" s="130">
        <v>0</v>
      </c>
      <c r="BW78" s="130">
        <v>0</v>
      </c>
      <c r="BX78" s="131">
        <v>0</v>
      </c>
      <c r="BY78" s="132"/>
      <c r="BZ78" s="132"/>
      <c r="CA78" s="132"/>
      <c r="CB78" s="123" t="s">
        <v>211</v>
      </c>
      <c r="CC78" s="124" t="s">
        <v>211</v>
      </c>
      <c r="CD78" s="124" t="s">
        <v>211</v>
      </c>
      <c r="CE78" s="124" t="s">
        <v>211</v>
      </c>
      <c r="CF78" s="124" t="s">
        <v>211</v>
      </c>
      <c r="CG78" s="124" t="s">
        <v>211</v>
      </c>
      <c r="CH78" s="124" t="s">
        <v>211</v>
      </c>
      <c r="CI78" s="124" t="s">
        <v>211</v>
      </c>
      <c r="CJ78" s="124" t="s">
        <v>211</v>
      </c>
      <c r="CK78" s="124" t="s">
        <v>211</v>
      </c>
      <c r="CL78" s="124" t="s">
        <v>211</v>
      </c>
      <c r="CM78" s="124" t="s">
        <v>211</v>
      </c>
      <c r="CN78" s="124" t="s">
        <v>211</v>
      </c>
      <c r="CO78" s="125" t="s">
        <v>211</v>
      </c>
      <c r="CP78" s="126" t="s">
        <v>211</v>
      </c>
      <c r="CQ78" s="127" t="s">
        <v>211</v>
      </c>
      <c r="CR78" s="127" t="s">
        <v>211</v>
      </c>
      <c r="CS78" s="127" t="s">
        <v>211</v>
      </c>
      <c r="CT78" s="127" t="s">
        <v>211</v>
      </c>
      <c r="CU78" s="127" t="s">
        <v>211</v>
      </c>
      <c r="CV78" s="127" t="s">
        <v>211</v>
      </c>
      <c r="CW78" s="127" t="s">
        <v>211</v>
      </c>
      <c r="CX78" s="127" t="s">
        <v>211</v>
      </c>
      <c r="CY78" s="127" t="s">
        <v>211</v>
      </c>
      <c r="CZ78" s="127" t="s">
        <v>211</v>
      </c>
      <c r="DA78" s="127" t="s">
        <v>211</v>
      </c>
      <c r="DB78" s="127" t="s">
        <v>211</v>
      </c>
      <c r="DC78" s="128" t="s">
        <v>211</v>
      </c>
      <c r="DD78" s="126">
        <v>9.1952271432246704</v>
      </c>
      <c r="DE78" s="127">
        <v>7.1774766229618319</v>
      </c>
      <c r="DF78" s="127">
        <v>3.1642957323075032</v>
      </c>
      <c r="DG78" s="127">
        <v>1.9957773526773965</v>
      </c>
      <c r="DH78" s="129">
        <v>1.584932033120062</v>
      </c>
      <c r="DI78" s="127">
        <v>0.96866405378406029</v>
      </c>
      <c r="DJ78" s="129">
        <v>0.54910249677011824</v>
      </c>
      <c r="DK78" s="127">
        <v>0.26939479209415684</v>
      </c>
      <c r="DL78" s="129">
        <v>0.21398480822274127</v>
      </c>
      <c r="DM78" s="127">
        <v>0.13086983241561789</v>
      </c>
      <c r="DN78" s="130" t="s">
        <v>211</v>
      </c>
      <c r="DO78" s="130" t="s">
        <v>211</v>
      </c>
      <c r="DP78" s="130" t="s">
        <v>211</v>
      </c>
      <c r="DQ78" s="131" t="s">
        <v>211</v>
      </c>
    </row>
    <row r="79" spans="1:121" ht="15.75" customHeight="1" x14ac:dyDescent="0.3">
      <c r="I79" s="60" t="s">
        <v>172</v>
      </c>
      <c r="J79" s="61" t="s">
        <v>173</v>
      </c>
      <c r="K79" s="60">
        <v>35</v>
      </c>
      <c r="L79" s="61"/>
      <c r="M79" s="61" t="str">
        <f t="shared" si="15"/>
        <v>Light Oil</v>
      </c>
      <c r="N79" s="133">
        <f t="shared" si="16"/>
        <v>4.3593517548323124</v>
      </c>
      <c r="O79" s="134">
        <f t="shared" si="16"/>
        <v>1.2759391450439788</v>
      </c>
      <c r="P79" s="135">
        <f t="shared" si="29"/>
        <v>0.2264193930205074</v>
      </c>
      <c r="Q79" s="136">
        <f t="shared" si="17"/>
        <v>0</v>
      </c>
      <c r="R79" s="137">
        <f t="shared" si="18"/>
        <v>0</v>
      </c>
      <c r="S79" s="137">
        <f t="shared" si="18"/>
        <v>1.2759391450439788</v>
      </c>
      <c r="T79" s="137">
        <f t="shared" si="18"/>
        <v>0</v>
      </c>
      <c r="U79" s="137">
        <f t="shared" si="18"/>
        <v>0</v>
      </c>
      <c r="V79" s="137">
        <f t="shared" si="18"/>
        <v>0</v>
      </c>
      <c r="W79" s="138">
        <f t="shared" si="19"/>
        <v>0</v>
      </c>
      <c r="X79" s="138">
        <f t="shared" si="19"/>
        <v>1</v>
      </c>
      <c r="Y79" s="138">
        <f t="shared" si="19"/>
        <v>0</v>
      </c>
      <c r="Z79" s="138">
        <f t="shared" si="20"/>
        <v>0</v>
      </c>
      <c r="AA79" s="139" t="str">
        <f t="shared" si="21"/>
        <v>-</v>
      </c>
      <c r="AB79" s="118">
        <v>44.660401360000002</v>
      </c>
      <c r="AC79" s="119">
        <f t="shared" si="22"/>
        <v>10.244734509091689</v>
      </c>
      <c r="AD79" s="120">
        <f t="shared" si="23"/>
        <v>34.54842039201656</v>
      </c>
      <c r="AE79" s="140">
        <f t="shared" si="24"/>
        <v>7.9251279398869032</v>
      </c>
      <c r="AF79" s="120">
        <f t="shared" si="25"/>
        <v>10.111980967983444</v>
      </c>
      <c r="AG79" s="122">
        <f t="shared" si="26"/>
        <v>7.9251279398869032</v>
      </c>
      <c r="AH79" s="6">
        <f t="shared" si="27"/>
        <v>5.6352908998762912</v>
      </c>
      <c r="AI79" s="123">
        <v>1</v>
      </c>
      <c r="AJ79" s="124">
        <v>0.94496365524402925</v>
      </c>
      <c r="AK79" s="124">
        <v>0.82035306334371783</v>
      </c>
      <c r="AL79" s="124">
        <v>0.73727933541017676</v>
      </c>
      <c r="AM79" s="124">
        <v>0.62097611630321925</v>
      </c>
      <c r="AN79" s="124">
        <v>0.44652128764278304</v>
      </c>
      <c r="AO79" s="124">
        <v>0.35929387331256524</v>
      </c>
      <c r="AP79" s="124">
        <v>0.30114226375908659</v>
      </c>
      <c r="AQ79" s="124">
        <v>0.25960539979231612</v>
      </c>
      <c r="AR79" s="124">
        <v>0.1973001038421604</v>
      </c>
      <c r="AS79" s="124">
        <v>0.17653167185877508</v>
      </c>
      <c r="AT79" s="124">
        <v>0.16268605053651949</v>
      </c>
      <c r="AU79" s="124">
        <v>0.14884042921426174</v>
      </c>
      <c r="AV79" s="125">
        <v>0.1280719972308777</v>
      </c>
      <c r="AW79" s="126">
        <f t="shared" si="28"/>
        <v>5.6352908998762912</v>
      </c>
      <c r="AX79" s="127">
        <f t="shared" si="28"/>
        <v>5.3251450871105153</v>
      </c>
      <c r="AY79" s="127">
        <f t="shared" si="28"/>
        <v>4.6229281525464918</v>
      </c>
      <c r="AZ79" s="127">
        <f t="shared" si="28"/>
        <v>4.1547835295038089</v>
      </c>
      <c r="BA79" s="127">
        <f t="shared" si="28"/>
        <v>3.4993810572440527</v>
      </c>
      <c r="BB79" s="127">
        <f t="shared" si="28"/>
        <v>2.5162773488544192</v>
      </c>
      <c r="BC79" s="127">
        <f t="shared" si="28"/>
        <v>2.0247254946596041</v>
      </c>
      <c r="BD79" s="127">
        <f t="shared" si="28"/>
        <v>1.6970242585297266</v>
      </c>
      <c r="BE79" s="127">
        <f t="shared" si="28"/>
        <v>1.4629519470083854</v>
      </c>
      <c r="BF79" s="127">
        <f t="shared" si="28"/>
        <v>1.1118434797263739</v>
      </c>
      <c r="BG79" s="127">
        <f t="shared" si="28"/>
        <v>0.99480732396570282</v>
      </c>
      <c r="BH79" s="127">
        <f t="shared" si="28"/>
        <v>0.9167832201252627</v>
      </c>
      <c r="BI79" s="127">
        <f t="shared" si="28"/>
        <v>0.83875911628481048</v>
      </c>
      <c r="BJ79" s="128">
        <f t="shared" si="28"/>
        <v>0.72172296052414664</v>
      </c>
      <c r="BK79" s="126">
        <v>5.6352908998762912</v>
      </c>
      <c r="BL79" s="127">
        <v>5.3251450871105153</v>
      </c>
      <c r="BM79" s="129">
        <v>4.6229281525464918</v>
      </c>
      <c r="BN79" s="127">
        <v>4.1547835295038089</v>
      </c>
      <c r="BO79" s="129">
        <v>3.4993810572440527</v>
      </c>
      <c r="BP79" s="127">
        <v>2.5162773488544192</v>
      </c>
      <c r="BQ79" s="129">
        <v>2.0247254946596041</v>
      </c>
      <c r="BR79" s="127">
        <v>1.6970242585297266</v>
      </c>
      <c r="BS79" s="129">
        <v>1.4629519470083854</v>
      </c>
      <c r="BT79" s="127">
        <v>1.1118434797263739</v>
      </c>
      <c r="BU79" s="127">
        <v>0.99480732396570282</v>
      </c>
      <c r="BV79" s="130">
        <v>0.9167832201252627</v>
      </c>
      <c r="BW79" s="130">
        <v>0.83875911628481048</v>
      </c>
      <c r="BX79" s="131">
        <v>0.72172296052414664</v>
      </c>
      <c r="BY79" s="132"/>
      <c r="BZ79" s="132"/>
      <c r="CA79" s="132"/>
      <c r="CB79" s="123" t="s">
        <v>211</v>
      </c>
      <c r="CC79" s="124" t="s">
        <v>211</v>
      </c>
      <c r="CD79" s="124" t="s">
        <v>211</v>
      </c>
      <c r="CE79" s="124" t="s">
        <v>211</v>
      </c>
      <c r="CF79" s="124" t="s">
        <v>211</v>
      </c>
      <c r="CG79" s="124" t="s">
        <v>211</v>
      </c>
      <c r="CH79" s="124" t="s">
        <v>211</v>
      </c>
      <c r="CI79" s="124" t="s">
        <v>211</v>
      </c>
      <c r="CJ79" s="124" t="s">
        <v>211</v>
      </c>
      <c r="CK79" s="124" t="s">
        <v>211</v>
      </c>
      <c r="CL79" s="124" t="s">
        <v>211</v>
      </c>
      <c r="CM79" s="124" t="s">
        <v>211</v>
      </c>
      <c r="CN79" s="124" t="s">
        <v>211</v>
      </c>
      <c r="CO79" s="125" t="s">
        <v>211</v>
      </c>
      <c r="CP79" s="126" t="s">
        <v>211</v>
      </c>
      <c r="CQ79" s="127" t="s">
        <v>211</v>
      </c>
      <c r="CR79" s="127" t="s">
        <v>211</v>
      </c>
      <c r="CS79" s="127" t="s">
        <v>211</v>
      </c>
      <c r="CT79" s="127" t="s">
        <v>211</v>
      </c>
      <c r="CU79" s="127" t="s">
        <v>211</v>
      </c>
      <c r="CV79" s="127" t="s">
        <v>211</v>
      </c>
      <c r="CW79" s="127" t="s">
        <v>211</v>
      </c>
      <c r="CX79" s="127" t="s">
        <v>211</v>
      </c>
      <c r="CY79" s="127" t="s">
        <v>211</v>
      </c>
      <c r="CZ79" s="127" t="s">
        <v>211</v>
      </c>
      <c r="DA79" s="127" t="s">
        <v>211</v>
      </c>
      <c r="DB79" s="127" t="s">
        <v>211</v>
      </c>
      <c r="DC79" s="128" t="s">
        <v>211</v>
      </c>
      <c r="DD79" s="126">
        <v>5.6352908998762912</v>
      </c>
      <c r="DE79" s="127">
        <v>5.3251450871105153</v>
      </c>
      <c r="DF79" s="129">
        <v>4.6229281525464918</v>
      </c>
      <c r="DG79" s="127">
        <v>4.1547835295038089</v>
      </c>
      <c r="DH79" s="129">
        <v>3.4993810572440531</v>
      </c>
      <c r="DI79" s="127">
        <v>2.5162773488544192</v>
      </c>
      <c r="DJ79" s="129">
        <v>2.0247254946596036</v>
      </c>
      <c r="DK79" s="127">
        <v>1.6970242585297266</v>
      </c>
      <c r="DL79" s="129">
        <v>1.4629519470083856</v>
      </c>
      <c r="DM79" s="127">
        <v>1.1118434797263739</v>
      </c>
      <c r="DN79" s="127">
        <v>0.99480732396570282</v>
      </c>
      <c r="DO79" s="130" t="s">
        <v>211</v>
      </c>
      <c r="DP79" s="130" t="s">
        <v>211</v>
      </c>
      <c r="DQ79" s="131" t="s">
        <v>211</v>
      </c>
    </row>
    <row r="80" spans="1:121" ht="15.75" customHeight="1" x14ac:dyDescent="0.3">
      <c r="I80" s="60" t="s">
        <v>175</v>
      </c>
      <c r="J80" s="61" t="s">
        <v>176</v>
      </c>
      <c r="K80" s="60">
        <v>21</v>
      </c>
      <c r="L80" s="61"/>
      <c r="M80" s="61" t="str">
        <f t="shared" si="15"/>
        <v>Medium Oil</v>
      </c>
      <c r="N80" s="133">
        <f t="shared" si="16"/>
        <v>26.927100382560717</v>
      </c>
      <c r="O80" s="134">
        <f t="shared" si="16"/>
        <v>0.43827912983870243</v>
      </c>
      <c r="P80" s="135">
        <f t="shared" si="29"/>
        <v>1.601582501861944E-2</v>
      </c>
      <c r="Q80" s="136">
        <f t="shared" si="17"/>
        <v>0</v>
      </c>
      <c r="R80" s="137">
        <f t="shared" si="18"/>
        <v>0.35206293264379496</v>
      </c>
      <c r="S80" s="137">
        <f t="shared" si="18"/>
        <v>8.621619719490746E-2</v>
      </c>
      <c r="T80" s="137">
        <f t="shared" si="18"/>
        <v>0</v>
      </c>
      <c r="U80" s="137">
        <f t="shared" si="18"/>
        <v>0</v>
      </c>
      <c r="V80" s="137">
        <f t="shared" si="18"/>
        <v>0</v>
      </c>
      <c r="W80" s="138">
        <f t="shared" si="19"/>
        <v>0.8032847303803009</v>
      </c>
      <c r="X80" s="138">
        <f t="shared" si="19"/>
        <v>0.1967152696196991</v>
      </c>
      <c r="Y80" s="138">
        <f t="shared" si="19"/>
        <v>0</v>
      </c>
      <c r="Z80" s="138">
        <f t="shared" si="20"/>
        <v>0</v>
      </c>
      <c r="AA80" s="139" t="str">
        <f t="shared" si="21"/>
        <v>-</v>
      </c>
      <c r="AB80" s="118">
        <v>187.55047520548953</v>
      </c>
      <c r="AC80" s="119">
        <f t="shared" si="22"/>
        <v>6.9651196207875481</v>
      </c>
      <c r="AD80" s="120">
        <f t="shared" si="23"/>
        <v>184.54669961243948</v>
      </c>
      <c r="AE80" s="140">
        <f t="shared" si="24"/>
        <v>6.8535674837072609</v>
      </c>
      <c r="AF80" s="120">
        <f t="shared" si="25"/>
        <v>3.0037755930500443</v>
      </c>
      <c r="AG80" s="122">
        <f t="shared" si="26"/>
        <v>6.8535674837072618</v>
      </c>
      <c r="AH80" s="6">
        <f t="shared" si="27"/>
        <v>27.365379512399418</v>
      </c>
      <c r="AI80" s="123">
        <v>1</v>
      </c>
      <c r="AJ80" s="124">
        <v>1.0310255469146412</v>
      </c>
      <c r="AK80" s="124">
        <v>0.84734488908357375</v>
      </c>
      <c r="AL80" s="124">
        <v>0.66092218511717382</v>
      </c>
      <c r="AM80" s="124">
        <v>0.53040914586081578</v>
      </c>
      <c r="AN80" s="124">
        <v>0.33463958697627877</v>
      </c>
      <c r="AO80" s="124">
        <v>0.25607638307427583</v>
      </c>
      <c r="AP80" s="124">
        <v>0.20370091380627384</v>
      </c>
      <c r="AQ80" s="124">
        <v>0.15334908733553432</v>
      </c>
      <c r="AR80" s="124">
        <v>7.7821347629416823E-2</v>
      </c>
      <c r="AS80" s="124">
        <v>2.9284945174528905E-2</v>
      </c>
      <c r="AT80" s="124">
        <v>2.3808736263604358E-2</v>
      </c>
      <c r="AU80" s="124">
        <v>1.3910049602457838E-2</v>
      </c>
      <c r="AV80" s="125">
        <v>0</v>
      </c>
      <c r="AW80" s="126">
        <f t="shared" si="28"/>
        <v>27.365379512399418</v>
      </c>
      <c r="AX80" s="127">
        <f t="shared" si="28"/>
        <v>28.214405378298327</v>
      </c>
      <c r="AY80" s="127">
        <f t="shared" si="28"/>
        <v>23.187914467663987</v>
      </c>
      <c r="AZ80" s="127">
        <f t="shared" si="28"/>
        <v>18.086386423895764</v>
      </c>
      <c r="BA80" s="127">
        <f t="shared" si="28"/>
        <v>14.514847573328842</v>
      </c>
      <c r="BB80" s="127">
        <f t="shared" si="28"/>
        <v>9.1575392974784613</v>
      </c>
      <c r="BC80" s="127">
        <f t="shared" si="28"/>
        <v>7.0076274069901325</v>
      </c>
      <c r="BD80" s="127">
        <f t="shared" si="28"/>
        <v>5.5743528133312461</v>
      </c>
      <c r="BE80" s="127">
        <f t="shared" si="28"/>
        <v>4.1964559728169801</v>
      </c>
      <c r="BF80" s="127">
        <f t="shared" si="28"/>
        <v>2.129610712045356</v>
      </c>
      <c r="BG80" s="127">
        <f t="shared" si="28"/>
        <v>0.8013936387007935</v>
      </c>
      <c r="BH80" s="127">
        <f t="shared" si="28"/>
        <v>0.65153510356415978</v>
      </c>
      <c r="BI80" s="127">
        <f t="shared" si="28"/>
        <v>0.38065378640755937</v>
      </c>
      <c r="BJ80" s="128">
        <f t="shared" si="28"/>
        <v>0</v>
      </c>
      <c r="BK80" s="126">
        <v>27.365379512399418</v>
      </c>
      <c r="BL80" s="127">
        <v>28.214405378298327</v>
      </c>
      <c r="BM80" s="127">
        <v>23.187914467663987</v>
      </c>
      <c r="BN80" s="127">
        <v>18.086386423895764</v>
      </c>
      <c r="BO80" s="129">
        <v>14.514847573328842</v>
      </c>
      <c r="BP80" s="127">
        <v>9.1575392974784613</v>
      </c>
      <c r="BQ80" s="129">
        <v>7.0076274069901325</v>
      </c>
      <c r="BR80" s="127">
        <v>5.5743528133312461</v>
      </c>
      <c r="BS80" s="129">
        <v>4.1964559728169801</v>
      </c>
      <c r="BT80" s="127">
        <v>2.129610712045356</v>
      </c>
      <c r="BU80" s="129">
        <v>0.8013936387007935</v>
      </c>
      <c r="BV80" s="127">
        <v>0.65153510356415978</v>
      </c>
      <c r="BW80" s="127">
        <v>0.38065378640755937</v>
      </c>
      <c r="BX80" s="131">
        <v>0</v>
      </c>
      <c r="BY80" s="132"/>
      <c r="BZ80" s="132"/>
      <c r="CA80" s="132"/>
      <c r="CB80" s="123" t="s">
        <v>211</v>
      </c>
      <c r="CC80" s="124" t="s">
        <v>211</v>
      </c>
      <c r="CD80" s="124" t="s">
        <v>211</v>
      </c>
      <c r="CE80" s="124" t="s">
        <v>211</v>
      </c>
      <c r="CF80" s="124" t="s">
        <v>211</v>
      </c>
      <c r="CG80" s="124" t="s">
        <v>211</v>
      </c>
      <c r="CH80" s="124" t="s">
        <v>211</v>
      </c>
      <c r="CI80" s="124" t="s">
        <v>211</v>
      </c>
      <c r="CJ80" s="124" t="s">
        <v>211</v>
      </c>
      <c r="CK80" s="124" t="s">
        <v>211</v>
      </c>
      <c r="CL80" s="124" t="s">
        <v>211</v>
      </c>
      <c r="CM80" s="124" t="s">
        <v>211</v>
      </c>
      <c r="CN80" s="124" t="s">
        <v>211</v>
      </c>
      <c r="CO80" s="125" t="s">
        <v>211</v>
      </c>
      <c r="CP80" s="126" t="s">
        <v>211</v>
      </c>
      <c r="CQ80" s="127" t="s">
        <v>211</v>
      </c>
      <c r="CR80" s="127" t="s">
        <v>211</v>
      </c>
      <c r="CS80" s="127" t="s">
        <v>211</v>
      </c>
      <c r="CT80" s="127" t="s">
        <v>211</v>
      </c>
      <c r="CU80" s="127" t="s">
        <v>211</v>
      </c>
      <c r="CV80" s="127" t="s">
        <v>211</v>
      </c>
      <c r="CW80" s="127" t="s">
        <v>211</v>
      </c>
      <c r="CX80" s="127" t="s">
        <v>211</v>
      </c>
      <c r="CY80" s="127" t="s">
        <v>211</v>
      </c>
      <c r="CZ80" s="127" t="s">
        <v>211</v>
      </c>
      <c r="DA80" s="127" t="s">
        <v>211</v>
      </c>
      <c r="DB80" s="127" t="s">
        <v>211</v>
      </c>
      <c r="DC80" s="128" t="s">
        <v>211</v>
      </c>
      <c r="DD80" s="126">
        <v>27.365379512399418</v>
      </c>
      <c r="DE80" s="127">
        <v>28.214405378298327</v>
      </c>
      <c r="DF80" s="127">
        <v>4.8102368843329204</v>
      </c>
      <c r="DG80" s="127">
        <v>18.086386423895764</v>
      </c>
      <c r="DH80" s="129">
        <v>14.514847573328844</v>
      </c>
      <c r="DI80" s="127">
        <v>9.1575392974784613</v>
      </c>
      <c r="DJ80" s="129">
        <v>7.0076274069901325</v>
      </c>
      <c r="DK80" s="127">
        <v>5.5743528133312461</v>
      </c>
      <c r="DL80" s="129">
        <v>3.7550842645610452</v>
      </c>
      <c r="DM80" s="127">
        <v>1.026181441405744</v>
      </c>
      <c r="DN80" s="129">
        <v>0.8013936387007935</v>
      </c>
      <c r="DO80" s="127">
        <v>0.65153510356415978</v>
      </c>
      <c r="DP80" s="127">
        <v>0.38065378640755937</v>
      </c>
      <c r="DQ80" s="131" t="s">
        <v>211</v>
      </c>
    </row>
    <row r="81" spans="9:121" ht="15.75" customHeight="1" x14ac:dyDescent="0.3">
      <c r="I81" s="60" t="s">
        <v>175</v>
      </c>
      <c r="J81" s="61" t="s">
        <v>178</v>
      </c>
      <c r="K81" s="60">
        <v>12.5</v>
      </c>
      <c r="L81" s="61"/>
      <c r="M81" s="61" t="str">
        <f t="shared" si="15"/>
        <v>Heavy Oil</v>
      </c>
      <c r="N81" s="133">
        <f t="shared" si="16"/>
        <v>3.2805677744000978</v>
      </c>
      <c r="O81" s="134">
        <f t="shared" si="16"/>
        <v>8.7791106651863626E-2</v>
      </c>
      <c r="P81" s="135">
        <f t="shared" si="29"/>
        <v>2.6063465845553212E-2</v>
      </c>
      <c r="Q81" s="136">
        <f t="shared" si="17"/>
        <v>0</v>
      </c>
      <c r="R81" s="137">
        <f t="shared" si="18"/>
        <v>3.6990181091585597E-2</v>
      </c>
      <c r="S81" s="137">
        <f t="shared" si="18"/>
        <v>5.0800925560278022E-2</v>
      </c>
      <c r="T81" s="137">
        <f t="shared" si="18"/>
        <v>0</v>
      </c>
      <c r="U81" s="137">
        <f t="shared" si="18"/>
        <v>0</v>
      </c>
      <c r="V81" s="137">
        <f t="shared" si="18"/>
        <v>0</v>
      </c>
      <c r="W81" s="138">
        <f t="shared" si="19"/>
        <v>0.42134314627414909</v>
      </c>
      <c r="X81" s="138">
        <f t="shared" si="19"/>
        <v>0.57865685372585085</v>
      </c>
      <c r="Y81" s="138">
        <f t="shared" si="19"/>
        <v>0</v>
      </c>
      <c r="Z81" s="138">
        <f t="shared" si="20"/>
        <v>0</v>
      </c>
      <c r="AA81" s="139" t="str">
        <f t="shared" si="21"/>
        <v>-</v>
      </c>
      <c r="AB81" s="118">
        <v>34.198855287999997</v>
      </c>
      <c r="AC81" s="119">
        <f t="shared" si="22"/>
        <v>10.42467573902014</v>
      </c>
      <c r="AD81" s="120">
        <f t="shared" si="23"/>
        <v>33.307514591244193</v>
      </c>
      <c r="AE81" s="140">
        <f t="shared" si="24"/>
        <v>10.152972558945223</v>
      </c>
      <c r="AF81" s="120">
        <f t="shared" si="25"/>
        <v>0.89134069675580474</v>
      </c>
      <c r="AG81" s="122">
        <f t="shared" si="26"/>
        <v>10.152972558945223</v>
      </c>
      <c r="AH81" s="6">
        <f t="shared" si="27"/>
        <v>3.3683588810519614</v>
      </c>
      <c r="AI81" s="123">
        <v>1</v>
      </c>
      <c r="AJ81" s="124">
        <v>0.91296648521020596</v>
      </c>
      <c r="AK81" s="124">
        <v>1.037023676788877</v>
      </c>
      <c r="AL81" s="124">
        <v>0.81013478061257982</v>
      </c>
      <c r="AM81" s="124">
        <v>0</v>
      </c>
      <c r="AN81" s="124">
        <v>0</v>
      </c>
      <c r="AO81" s="124">
        <v>0.4888748606283207</v>
      </c>
      <c r="AP81" s="124">
        <v>0.2910572571653447</v>
      </c>
      <c r="AQ81" s="124">
        <v>0.24614678297370035</v>
      </c>
      <c r="AR81" s="124">
        <v>0.17878107168623381</v>
      </c>
      <c r="AS81" s="124">
        <v>0.14556306158588656</v>
      </c>
      <c r="AT81" s="124">
        <v>0.1234177215189884</v>
      </c>
      <c r="AU81" s="124">
        <v>0.10127238145209169</v>
      </c>
      <c r="AV81" s="125">
        <v>6.805437135174483E-2</v>
      </c>
      <c r="AW81" s="126">
        <f t="shared" si="28"/>
        <v>3.3683588810519614</v>
      </c>
      <c r="AX81" s="127">
        <f t="shared" si="28"/>
        <v>3.0751987685605915</v>
      </c>
      <c r="AY81" s="127">
        <f t="shared" si="28"/>
        <v>3.4930679115729726</v>
      </c>
      <c r="AZ81" s="127">
        <f t="shared" si="28"/>
        <v>2.7288246831254654</v>
      </c>
      <c r="BA81" s="127">
        <f t="shared" si="28"/>
        <v>0</v>
      </c>
      <c r="BB81" s="127">
        <f t="shared" si="28"/>
        <v>0</v>
      </c>
      <c r="BC81" s="127">
        <f t="shared" si="28"/>
        <v>1.6467059785204439</v>
      </c>
      <c r="BD81" s="127">
        <f t="shared" si="28"/>
        <v>0.98038529706751343</v>
      </c>
      <c r="BE81" s="127">
        <f t="shared" si="28"/>
        <v>0.82911070247183327</v>
      </c>
      <c r="BF81" s="127">
        <f t="shared" si="28"/>
        <v>0.60219881057831304</v>
      </c>
      <c r="BG81" s="127">
        <f t="shared" si="28"/>
        <v>0.4903086312459346</v>
      </c>
      <c r="BH81" s="127">
        <f t="shared" si="28"/>
        <v>0.41571517835768235</v>
      </c>
      <c r="BI81" s="127">
        <f t="shared" si="28"/>
        <v>0.34112172546943498</v>
      </c>
      <c r="BJ81" s="128">
        <f t="shared" si="28"/>
        <v>0.22923154613705787</v>
      </c>
      <c r="BK81" s="126">
        <v>3.3683588810519614</v>
      </c>
      <c r="BL81" s="127">
        <v>3.0751987685605915</v>
      </c>
      <c r="BM81" s="127">
        <v>3.4930679115729726</v>
      </c>
      <c r="BN81" s="127">
        <v>2.7288246831254654</v>
      </c>
      <c r="BO81" s="129">
        <v>0</v>
      </c>
      <c r="BP81" s="129">
        <v>0</v>
      </c>
      <c r="BQ81" s="127">
        <v>1.6467059785204439</v>
      </c>
      <c r="BR81" s="127">
        <v>0.98038529706751343</v>
      </c>
      <c r="BS81" s="129">
        <v>0.82911070247183327</v>
      </c>
      <c r="BT81" s="127">
        <v>0.60219881057831304</v>
      </c>
      <c r="BU81" s="129">
        <v>0.4903086312459346</v>
      </c>
      <c r="BV81" s="127">
        <v>0.41571517835768235</v>
      </c>
      <c r="BW81" s="130">
        <v>0.34112172546943498</v>
      </c>
      <c r="BX81" s="131">
        <v>0.22923154613705787</v>
      </c>
      <c r="BY81" s="132"/>
      <c r="BZ81" s="132"/>
      <c r="CA81" s="132"/>
      <c r="CB81" s="123" t="s">
        <v>211</v>
      </c>
      <c r="CC81" s="124" t="s">
        <v>211</v>
      </c>
      <c r="CD81" s="124" t="s">
        <v>211</v>
      </c>
      <c r="CE81" s="124" t="s">
        <v>211</v>
      </c>
      <c r="CF81" s="124" t="s">
        <v>211</v>
      </c>
      <c r="CG81" s="124" t="s">
        <v>211</v>
      </c>
      <c r="CH81" s="124" t="s">
        <v>211</v>
      </c>
      <c r="CI81" s="124" t="s">
        <v>211</v>
      </c>
      <c r="CJ81" s="124" t="s">
        <v>211</v>
      </c>
      <c r="CK81" s="124" t="s">
        <v>211</v>
      </c>
      <c r="CL81" s="124" t="s">
        <v>211</v>
      </c>
      <c r="CM81" s="124" t="s">
        <v>211</v>
      </c>
      <c r="CN81" s="124" t="s">
        <v>211</v>
      </c>
      <c r="CO81" s="125" t="s">
        <v>211</v>
      </c>
      <c r="CP81" s="126" t="s">
        <v>211</v>
      </c>
      <c r="CQ81" s="127" t="s">
        <v>211</v>
      </c>
      <c r="CR81" s="127" t="s">
        <v>211</v>
      </c>
      <c r="CS81" s="127" t="s">
        <v>211</v>
      </c>
      <c r="CT81" s="127" t="s">
        <v>211</v>
      </c>
      <c r="CU81" s="127" t="s">
        <v>211</v>
      </c>
      <c r="CV81" s="127" t="s">
        <v>211</v>
      </c>
      <c r="CW81" s="127" t="s">
        <v>211</v>
      </c>
      <c r="CX81" s="127" t="s">
        <v>211</v>
      </c>
      <c r="CY81" s="127" t="s">
        <v>211</v>
      </c>
      <c r="CZ81" s="127" t="s">
        <v>211</v>
      </c>
      <c r="DA81" s="127" t="s">
        <v>211</v>
      </c>
      <c r="DB81" s="127" t="s">
        <v>211</v>
      </c>
      <c r="DC81" s="128" t="s">
        <v>211</v>
      </c>
      <c r="DD81" s="126">
        <v>3.3683588810519614</v>
      </c>
      <c r="DE81" s="127">
        <v>3.0751987685605915</v>
      </c>
      <c r="DF81" s="127">
        <v>3.4930679115729726</v>
      </c>
      <c r="DG81" s="127">
        <v>2.7288246831254654</v>
      </c>
      <c r="DH81" s="129">
        <v>2.4582950069742102</v>
      </c>
      <c r="DI81" s="129">
        <v>2.0525004927473267</v>
      </c>
      <c r="DJ81" s="127">
        <v>1.6467059785204439</v>
      </c>
      <c r="DK81" s="127">
        <v>0.98038529706751343</v>
      </c>
      <c r="DL81" s="129">
        <v>0.82911070247183327</v>
      </c>
      <c r="DM81" s="127">
        <v>0.60219881057831304</v>
      </c>
      <c r="DN81" s="129">
        <v>0.4903086312459346</v>
      </c>
      <c r="DO81" s="127">
        <v>0.41571517835768235</v>
      </c>
      <c r="DP81" s="130" t="s">
        <v>211</v>
      </c>
      <c r="DQ81" s="131" t="s">
        <v>211</v>
      </c>
    </row>
    <row r="82" spans="9:121" ht="15.75" customHeight="1" x14ac:dyDescent="0.3">
      <c r="I82" s="60" t="s">
        <v>175</v>
      </c>
      <c r="J82" s="61" t="s">
        <v>181</v>
      </c>
      <c r="K82" s="60">
        <v>21</v>
      </c>
      <c r="L82" s="61"/>
      <c r="M82" s="61" t="str">
        <f t="shared" si="15"/>
        <v>Medium Oil</v>
      </c>
      <c r="N82" s="133">
        <f t="shared" si="16"/>
        <v>39.659458817161386</v>
      </c>
      <c r="O82" s="134">
        <f t="shared" si="16"/>
        <v>1.8634611370761611</v>
      </c>
      <c r="P82" s="135">
        <f t="shared" si="29"/>
        <v>4.4877892477934681E-2</v>
      </c>
      <c r="Q82" s="136">
        <f t="shared" si="17"/>
        <v>0.90025257054584151</v>
      </c>
      <c r="R82" s="137">
        <f t="shared" si="18"/>
        <v>0.8853716952922942</v>
      </c>
      <c r="S82" s="137">
        <f t="shared" si="18"/>
        <v>7.7836871238025379E-2</v>
      </c>
      <c r="T82" s="137">
        <f t="shared" si="18"/>
        <v>0</v>
      </c>
      <c r="U82" s="137">
        <f t="shared" si="18"/>
        <v>0</v>
      </c>
      <c r="V82" s="137">
        <f t="shared" si="18"/>
        <v>0.90025257054584151</v>
      </c>
      <c r="W82" s="138">
        <f t="shared" si="19"/>
        <v>0.47512216792536649</v>
      </c>
      <c r="X82" s="138">
        <f t="shared" si="19"/>
        <v>4.1770053417993079E-2</v>
      </c>
      <c r="Y82" s="138">
        <f t="shared" si="19"/>
        <v>0</v>
      </c>
      <c r="Z82" s="138">
        <f t="shared" si="20"/>
        <v>0.4831077786566404</v>
      </c>
      <c r="AA82" s="139" t="str">
        <f t="shared" si="21"/>
        <v>-</v>
      </c>
      <c r="AB82" s="118">
        <v>514.19415250670738</v>
      </c>
      <c r="AC82" s="119">
        <f t="shared" si="22"/>
        <v>12.677460832784638</v>
      </c>
      <c r="AD82" s="120">
        <f t="shared" si="23"/>
        <v>491.11820261772863</v>
      </c>
      <c r="AE82" s="140">
        <f t="shared" si="24"/>
        <v>12.38338134874429</v>
      </c>
      <c r="AF82" s="120">
        <f t="shared" si="25"/>
        <v>23.075949888978762</v>
      </c>
      <c r="AG82" s="122">
        <f t="shared" si="26"/>
        <v>12.38338134874429</v>
      </c>
      <c r="AH82" s="6">
        <f t="shared" si="27"/>
        <v>41.522919954237551</v>
      </c>
      <c r="AI82" s="123">
        <v>1</v>
      </c>
      <c r="AJ82" s="124">
        <v>1.0666666666666669</v>
      </c>
      <c r="AK82" s="124">
        <v>0.96355555555555572</v>
      </c>
      <c r="AL82" s="124">
        <v>0.89481481481481495</v>
      </c>
      <c r="AM82" s="124">
        <v>0.77155555555555577</v>
      </c>
      <c r="AN82" s="124">
        <v>0.58666666666666689</v>
      </c>
      <c r="AO82" s="124">
        <v>0.45688888888888901</v>
      </c>
      <c r="AP82" s="124">
        <v>0.37037037037037046</v>
      </c>
      <c r="AQ82" s="124">
        <v>0.32533333333333342</v>
      </c>
      <c r="AR82" s="124">
        <v>0.25777777777777799</v>
      </c>
      <c r="AS82" s="124">
        <v>0.21333333333333346</v>
      </c>
      <c r="AT82" s="124">
        <v>0.18370370370370376</v>
      </c>
      <c r="AU82" s="124">
        <v>0.16118518518518526</v>
      </c>
      <c r="AV82" s="125">
        <v>0.12740740740740755</v>
      </c>
      <c r="AW82" s="126">
        <f t="shared" si="28"/>
        <v>41.522919954237551</v>
      </c>
      <c r="AX82" s="127">
        <f t="shared" si="28"/>
        <v>44.291114617853395</v>
      </c>
      <c r="AY82" s="127">
        <f t="shared" si="28"/>
        <v>40.009640204794231</v>
      </c>
      <c r="AZ82" s="127">
        <f t="shared" si="28"/>
        <v>37.155323929421456</v>
      </c>
      <c r="BA82" s="127">
        <f t="shared" si="28"/>
        <v>32.037239573580628</v>
      </c>
      <c r="BB82" s="127">
        <f t="shared" si="28"/>
        <v>24.360113039819371</v>
      </c>
      <c r="BC82" s="127">
        <f t="shared" si="28"/>
        <v>18.971360761313871</v>
      </c>
      <c r="BD82" s="127">
        <f t="shared" si="28"/>
        <v>15.378859242310208</v>
      </c>
      <c r="BE82" s="127">
        <f t="shared" si="28"/>
        <v>13.508789958445286</v>
      </c>
      <c r="BF82" s="127">
        <f t="shared" si="28"/>
        <v>10.70368603264791</v>
      </c>
      <c r="BG82" s="127">
        <f t="shared" si="28"/>
        <v>8.8582229235706826</v>
      </c>
      <c r="BH82" s="127">
        <f t="shared" si="28"/>
        <v>7.6279141841858635</v>
      </c>
      <c r="BI82" s="127">
        <f t="shared" si="28"/>
        <v>6.6928795422534044</v>
      </c>
      <c r="BJ82" s="128">
        <f t="shared" si="28"/>
        <v>5.2903275793547166</v>
      </c>
      <c r="BK82" s="126">
        <v>41.522919954237551</v>
      </c>
      <c r="BL82" s="127">
        <v>44.291114617853395</v>
      </c>
      <c r="BM82" s="129">
        <v>40.009640204794231</v>
      </c>
      <c r="BN82" s="127">
        <v>37.155323929421456</v>
      </c>
      <c r="BO82" s="129">
        <v>32.037239573580628</v>
      </c>
      <c r="BP82" s="127">
        <v>24.360113039819371</v>
      </c>
      <c r="BQ82" s="129">
        <v>18.971360761313871</v>
      </c>
      <c r="BR82" s="127">
        <v>15.378859242310208</v>
      </c>
      <c r="BS82" s="129">
        <v>13.508789958445286</v>
      </c>
      <c r="BT82" s="127">
        <v>10.70368603264791</v>
      </c>
      <c r="BU82" s="129">
        <v>8.8582229235706826</v>
      </c>
      <c r="BV82" s="127">
        <v>7.6279141841858635</v>
      </c>
      <c r="BW82" s="129">
        <v>6.6928795422534044</v>
      </c>
      <c r="BX82" s="128">
        <v>5.2903275793547166</v>
      </c>
      <c r="BY82" s="132"/>
      <c r="BZ82" s="132"/>
      <c r="CA82" s="132"/>
      <c r="CB82" s="123" t="s">
        <v>211</v>
      </c>
      <c r="CC82" s="124" t="s">
        <v>211</v>
      </c>
      <c r="CD82" s="124" t="s">
        <v>211</v>
      </c>
      <c r="CE82" s="124" t="s">
        <v>211</v>
      </c>
      <c r="CF82" s="124" t="s">
        <v>211</v>
      </c>
      <c r="CG82" s="124" t="s">
        <v>211</v>
      </c>
      <c r="CH82" s="124" t="s">
        <v>211</v>
      </c>
      <c r="CI82" s="124" t="s">
        <v>211</v>
      </c>
      <c r="CJ82" s="124" t="s">
        <v>211</v>
      </c>
      <c r="CK82" s="124" t="s">
        <v>211</v>
      </c>
      <c r="CL82" s="124" t="s">
        <v>211</v>
      </c>
      <c r="CM82" s="124" t="s">
        <v>211</v>
      </c>
      <c r="CN82" s="124" t="s">
        <v>211</v>
      </c>
      <c r="CO82" s="125" t="s">
        <v>211</v>
      </c>
      <c r="CP82" s="126" t="s">
        <v>211</v>
      </c>
      <c r="CQ82" s="127" t="s">
        <v>211</v>
      </c>
      <c r="CR82" s="127" t="s">
        <v>211</v>
      </c>
      <c r="CS82" s="127" t="s">
        <v>211</v>
      </c>
      <c r="CT82" s="127" t="s">
        <v>211</v>
      </c>
      <c r="CU82" s="127" t="s">
        <v>211</v>
      </c>
      <c r="CV82" s="127" t="s">
        <v>211</v>
      </c>
      <c r="CW82" s="127" t="s">
        <v>211</v>
      </c>
      <c r="CX82" s="127" t="s">
        <v>211</v>
      </c>
      <c r="CY82" s="127" t="s">
        <v>211</v>
      </c>
      <c r="CZ82" s="127" t="s">
        <v>211</v>
      </c>
      <c r="DA82" s="127" t="s">
        <v>211</v>
      </c>
      <c r="DB82" s="127" t="s">
        <v>211</v>
      </c>
      <c r="DC82" s="128" t="s">
        <v>211</v>
      </c>
      <c r="DD82" s="126">
        <v>41.522919954237551</v>
      </c>
      <c r="DE82" s="127">
        <v>44.291114617853395</v>
      </c>
      <c r="DF82" s="129">
        <v>40.009640204794231</v>
      </c>
      <c r="DG82" s="127">
        <v>37.155323929421456</v>
      </c>
      <c r="DH82" s="129">
        <v>32.037239573580621</v>
      </c>
      <c r="DI82" s="127">
        <v>24.360113039819371</v>
      </c>
      <c r="DJ82" s="129">
        <v>18.971360761313875</v>
      </c>
      <c r="DK82" s="127">
        <v>15.378859242310208</v>
      </c>
      <c r="DL82" s="129">
        <v>13.50878995844529</v>
      </c>
      <c r="DM82" s="127">
        <v>10.70368603264791</v>
      </c>
      <c r="DN82" s="129">
        <v>8.8582229235706826</v>
      </c>
      <c r="DO82" s="127">
        <v>7.6279141841858635</v>
      </c>
      <c r="DP82" s="129">
        <v>6.6928795422534044</v>
      </c>
      <c r="DQ82" s="128">
        <v>5.2903275793547166</v>
      </c>
    </row>
    <row r="83" spans="9:121" ht="15.75" customHeight="1" x14ac:dyDescent="0.3">
      <c r="I83" s="60" t="s">
        <v>175</v>
      </c>
      <c r="J83" s="61" t="s">
        <v>183</v>
      </c>
      <c r="K83" s="60">
        <f>20+(25-20)/2</f>
        <v>22.5</v>
      </c>
      <c r="L83" s="61"/>
      <c r="M83" s="61" t="str">
        <f t="shared" si="15"/>
        <v>Medium Oil</v>
      </c>
      <c r="N83" s="133">
        <f t="shared" ref="N83:O89" si="30">Y51</f>
        <v>94.059349180277351</v>
      </c>
      <c r="O83" s="134">
        <f t="shared" si="30"/>
        <v>2.497140090885289</v>
      </c>
      <c r="P83" s="135">
        <f t="shared" si="29"/>
        <v>2.5861960285988563E-2</v>
      </c>
      <c r="Q83" s="136">
        <f t="shared" si="17"/>
        <v>1.3766222989813104</v>
      </c>
      <c r="R83" s="137">
        <f t="shared" ref="R83:V89" si="31">T51</f>
        <v>0.51468242964795996</v>
      </c>
      <c r="S83" s="137">
        <f t="shared" si="31"/>
        <v>0.60583536225601842</v>
      </c>
      <c r="T83" s="137">
        <f t="shared" si="31"/>
        <v>1.3766222989813104</v>
      </c>
      <c r="U83" s="137">
        <f t="shared" si="31"/>
        <v>0</v>
      </c>
      <c r="V83" s="137">
        <f t="shared" si="31"/>
        <v>0</v>
      </c>
      <c r="W83" s="138">
        <f t="shared" ref="W83:Y89" si="32">+IF($O83=0,"-",R83/$O83)</f>
        <v>0.20610875277946228</v>
      </c>
      <c r="X83" s="138">
        <f t="shared" si="32"/>
        <v>0.24261168384879719</v>
      </c>
      <c r="Y83" s="138">
        <f t="shared" si="32"/>
        <v>0.55127956337174044</v>
      </c>
      <c r="Z83" s="138">
        <f t="shared" si="20"/>
        <v>0</v>
      </c>
      <c r="AA83" s="139">
        <f t="shared" si="21"/>
        <v>0</v>
      </c>
      <c r="AB83" s="118">
        <v>356.91613908800002</v>
      </c>
      <c r="AC83" s="119">
        <f t="shared" si="22"/>
        <v>3.7398491738051778</v>
      </c>
      <c r="AD83" s="120">
        <f t="shared" si="23"/>
        <v>347.68558807347779</v>
      </c>
      <c r="AE83" s="140">
        <f t="shared" si="24"/>
        <v>3.69644900909416</v>
      </c>
      <c r="AF83" s="120">
        <f t="shared" si="25"/>
        <v>9.2305510145222271</v>
      </c>
      <c r="AG83" s="122">
        <f t="shared" si="26"/>
        <v>3.69644900909416</v>
      </c>
      <c r="AH83" s="6">
        <f t="shared" si="27"/>
        <v>96.556489271162647</v>
      </c>
      <c r="AI83" s="123">
        <v>1</v>
      </c>
      <c r="AJ83" s="124">
        <v>0.8428801816344339</v>
      </c>
      <c r="AK83" s="124">
        <v>0.56078675910832387</v>
      </c>
      <c r="AL83" s="124">
        <v>0.37272447742425052</v>
      </c>
      <c r="AM83" s="124">
        <v>0.27591584803589347</v>
      </c>
      <c r="AN83" s="124">
        <v>0.13070290395335787</v>
      </c>
      <c r="AO83" s="124">
        <v>9.278652515247135E-2</v>
      </c>
      <c r="AP83" s="124">
        <v>6.7508939285213676E-2</v>
      </c>
      <c r="AQ83" s="124">
        <v>5.706727294674778E-2</v>
      </c>
      <c r="AR83" s="124">
        <v>4.1404773439048928E-2</v>
      </c>
      <c r="AS83" s="124">
        <v>2.5742273931349369E-2</v>
      </c>
      <c r="AT83" s="124">
        <v>1.5300607592884145E-2</v>
      </c>
      <c r="AU83" s="124">
        <v>7.0758850390578634E-3</v>
      </c>
      <c r="AV83" s="125">
        <v>4.7150482391972994E-3</v>
      </c>
      <c r="AW83" s="126">
        <f t="shared" ref="AW83:BJ89" si="33">+IF(AI83="","",AI83*$AH83)</f>
        <v>96.556489271162647</v>
      </c>
      <c r="AX83" s="127">
        <f t="shared" si="33"/>
        <v>81.38555121486084</v>
      </c>
      <c r="AY83" s="127">
        <f t="shared" si="33"/>
        <v>54.147600689252947</v>
      </c>
      <c r="AZ83" s="127">
        <f t="shared" si="33"/>
        <v>35.988967005514347</v>
      </c>
      <c r="BA83" s="127">
        <f t="shared" si="33"/>
        <v>26.641465620621492</v>
      </c>
      <c r="BB83" s="127">
        <f t="shared" si="33"/>
        <v>12.620213543282201</v>
      </c>
      <c r="BC83" s="127">
        <f t="shared" si="33"/>
        <v>8.9591411203930633</v>
      </c>
      <c r="BD83" s="127">
        <f t="shared" si="33"/>
        <v>6.5184261718003045</v>
      </c>
      <c r="BE83" s="127">
        <f t="shared" si="33"/>
        <v>5.5102155280171621</v>
      </c>
      <c r="BF83" s="127">
        <f t="shared" si="33"/>
        <v>3.997899562342448</v>
      </c>
      <c r="BG83" s="127">
        <f t="shared" si="33"/>
        <v>2.4855835966676652</v>
      </c>
      <c r="BH83" s="127">
        <f t="shared" si="33"/>
        <v>1.4773729528845878</v>
      </c>
      <c r="BI83" s="127">
        <f t="shared" si="33"/>
        <v>0.68322261785777083</v>
      </c>
      <c r="BJ83" s="128">
        <f t="shared" si="33"/>
        <v>0.45526850472106839</v>
      </c>
      <c r="BK83" s="126">
        <v>96.556489271162647</v>
      </c>
      <c r="BL83" s="127">
        <v>81.38555121486084</v>
      </c>
      <c r="BM83" s="129">
        <v>54.147600689252947</v>
      </c>
      <c r="BN83" s="127">
        <v>35.988967005514347</v>
      </c>
      <c r="BO83" s="129">
        <v>26.641465620621492</v>
      </c>
      <c r="BP83" s="127">
        <v>12.620213543282201</v>
      </c>
      <c r="BQ83" s="129">
        <v>8.9591411203930633</v>
      </c>
      <c r="BR83" s="127">
        <v>6.5184261718003045</v>
      </c>
      <c r="BS83" s="129">
        <v>5.5102155280171621</v>
      </c>
      <c r="BT83" s="127">
        <v>3.997899562342448</v>
      </c>
      <c r="BU83" s="130">
        <v>2.4855835966676652</v>
      </c>
      <c r="BV83" s="130">
        <v>1.4773729528845878</v>
      </c>
      <c r="BW83" s="130">
        <v>0.68322261785777083</v>
      </c>
      <c r="BX83" s="131">
        <v>0.45526850472106839</v>
      </c>
      <c r="BY83" s="132"/>
      <c r="BZ83" s="132"/>
      <c r="CA83" s="132"/>
      <c r="CB83" s="123" t="s">
        <v>211</v>
      </c>
      <c r="CC83" s="124" t="s">
        <v>211</v>
      </c>
      <c r="CD83" s="124" t="s">
        <v>211</v>
      </c>
      <c r="CE83" s="124" t="s">
        <v>211</v>
      </c>
      <c r="CF83" s="124" t="s">
        <v>211</v>
      </c>
      <c r="CG83" s="124" t="s">
        <v>211</v>
      </c>
      <c r="CH83" s="124" t="s">
        <v>211</v>
      </c>
      <c r="CI83" s="124" t="s">
        <v>211</v>
      </c>
      <c r="CJ83" s="124" t="s">
        <v>211</v>
      </c>
      <c r="CK83" s="124" t="s">
        <v>211</v>
      </c>
      <c r="CL83" s="124" t="s">
        <v>211</v>
      </c>
      <c r="CM83" s="124" t="s">
        <v>211</v>
      </c>
      <c r="CN83" s="124" t="s">
        <v>211</v>
      </c>
      <c r="CO83" s="125" t="s">
        <v>211</v>
      </c>
      <c r="CP83" s="126" t="s">
        <v>211</v>
      </c>
      <c r="CQ83" s="127" t="s">
        <v>211</v>
      </c>
      <c r="CR83" s="127" t="s">
        <v>211</v>
      </c>
      <c r="CS83" s="127" t="s">
        <v>211</v>
      </c>
      <c r="CT83" s="127" t="s">
        <v>211</v>
      </c>
      <c r="CU83" s="127" t="s">
        <v>211</v>
      </c>
      <c r="CV83" s="127" t="s">
        <v>211</v>
      </c>
      <c r="CW83" s="127" t="s">
        <v>211</v>
      </c>
      <c r="CX83" s="127" t="s">
        <v>211</v>
      </c>
      <c r="CY83" s="127" t="s">
        <v>211</v>
      </c>
      <c r="CZ83" s="127" t="s">
        <v>211</v>
      </c>
      <c r="DA83" s="127" t="s">
        <v>211</v>
      </c>
      <c r="DB83" s="127" t="s">
        <v>211</v>
      </c>
      <c r="DC83" s="128" t="s">
        <v>211</v>
      </c>
      <c r="DD83" s="126">
        <v>96.556489271162647</v>
      </c>
      <c r="DE83" s="127">
        <v>81.38555121486084</v>
      </c>
      <c r="DF83" s="129">
        <v>54.14760068925294</v>
      </c>
      <c r="DG83" s="127">
        <v>35.988967005514347</v>
      </c>
      <c r="DH83" s="129">
        <v>26.641465620621489</v>
      </c>
      <c r="DI83" s="127">
        <v>12.620213543282201</v>
      </c>
      <c r="DJ83" s="129">
        <v>8.9591411203930633</v>
      </c>
      <c r="DK83" s="127">
        <v>6.5184261718003045</v>
      </c>
      <c r="DL83" s="129">
        <v>5.5102155280171621</v>
      </c>
      <c r="DM83" s="127">
        <v>3.997899562342448</v>
      </c>
      <c r="DN83" s="130" t="s">
        <v>211</v>
      </c>
      <c r="DO83" s="130" t="s">
        <v>211</v>
      </c>
      <c r="DP83" s="130" t="s">
        <v>211</v>
      </c>
      <c r="DQ83" s="131" t="s">
        <v>211</v>
      </c>
    </row>
    <row r="84" spans="9:121" ht="15.75" customHeight="1" x14ac:dyDescent="0.3">
      <c r="I84" s="60" t="s">
        <v>185</v>
      </c>
      <c r="J84" s="61" t="s">
        <v>186</v>
      </c>
      <c r="K84" s="60">
        <v>23</v>
      </c>
      <c r="L84" s="61"/>
      <c r="M84" s="61" t="str">
        <f t="shared" si="15"/>
        <v>Medium Oil</v>
      </c>
      <c r="N84" s="133">
        <f t="shared" si="30"/>
        <v>10.408512554584734</v>
      </c>
      <c r="O84" s="134">
        <f t="shared" si="30"/>
        <v>0.71025387836690013</v>
      </c>
      <c r="P84" s="135">
        <f t="shared" si="29"/>
        <v>6.3878837877373515E-2</v>
      </c>
      <c r="Q84" s="136">
        <f t="shared" si="17"/>
        <v>0.38201649904628787</v>
      </c>
      <c r="R84" s="137">
        <f t="shared" si="31"/>
        <v>3.8100694170208539E-2</v>
      </c>
      <c r="S84" s="137">
        <f t="shared" si="31"/>
        <v>8.403555333142973E-2</v>
      </c>
      <c r="T84" s="137">
        <f t="shared" si="31"/>
        <v>0.58683549303812432</v>
      </c>
      <c r="U84" s="137">
        <f t="shared" si="31"/>
        <v>0.2061011318189738</v>
      </c>
      <c r="V84" s="137">
        <f t="shared" si="31"/>
        <v>1.2821378271373829E-3</v>
      </c>
      <c r="W84" s="138">
        <f t="shared" si="32"/>
        <v>5.3643767856381398E-2</v>
      </c>
      <c r="X84" s="138">
        <f t="shared" si="32"/>
        <v>0.11831762682472671</v>
      </c>
      <c r="Y84" s="138">
        <f t="shared" si="32"/>
        <v>0.82623342288175328</v>
      </c>
      <c r="Z84" s="138">
        <f t="shared" si="20"/>
        <v>1.8051824371384303E-3</v>
      </c>
      <c r="AA84" s="139">
        <f t="shared" si="21"/>
        <v>0.35120767960363336</v>
      </c>
      <c r="AB84" s="118">
        <v>68.678597355267783</v>
      </c>
      <c r="AC84" s="119">
        <f t="shared" si="22"/>
        <v>6.3647108509621582</v>
      </c>
      <c r="AD84" s="120">
        <f t="shared" si="23"/>
        <v>64.291488369165208</v>
      </c>
      <c r="AE84" s="140">
        <f t="shared" si="24"/>
        <v>6.1768180642532</v>
      </c>
      <c r="AF84" s="120">
        <f t="shared" si="25"/>
        <v>4.3871089861025645</v>
      </c>
      <c r="AG84" s="122">
        <f t="shared" si="26"/>
        <v>6.1768180642532009</v>
      </c>
      <c r="AH84" s="6">
        <f t="shared" si="27"/>
        <v>11.118766432951634</v>
      </c>
      <c r="AI84" s="123">
        <v>1</v>
      </c>
      <c r="AJ84" s="124">
        <v>0.92899768313750497</v>
      </c>
      <c r="AK84" s="124">
        <v>0.66664478329632215</v>
      </c>
      <c r="AL84" s="124">
        <v>0.54043952260260264</v>
      </c>
      <c r="AM84" s="124">
        <v>0.42775129566918652</v>
      </c>
      <c r="AN84" s="124">
        <v>0.27808028290295722</v>
      </c>
      <c r="AO84" s="124">
        <v>0.21693685786046518</v>
      </c>
      <c r="AP84" s="124">
        <v>0.17617457449880206</v>
      </c>
      <c r="AQ84" s="124">
        <v>0.1337547602752909</v>
      </c>
      <c r="AR84" s="124">
        <v>7.5845431195485674E-2</v>
      </c>
      <c r="AS84" s="124">
        <v>1.9345471814238253E-2</v>
      </c>
      <c r="AT84" s="124">
        <v>7.3717377731980184E-3</v>
      </c>
      <c r="AU84" s="124">
        <v>6.3022022619874472E-3</v>
      </c>
      <c r="AV84" s="125">
        <v>4.6978989951715908E-3</v>
      </c>
      <c r="AW84" s="126">
        <f t="shared" si="33"/>
        <v>11.118766432951634</v>
      </c>
      <c r="AX84" s="127">
        <f t="shared" si="33"/>
        <v>10.329308255559129</v>
      </c>
      <c r="AY84" s="127">
        <f t="shared" si="33"/>
        <v>7.4122676392174629</v>
      </c>
      <c r="AZ84" s="127">
        <f t="shared" si="33"/>
        <v>6.0090208229542244</v>
      </c>
      <c r="BA84" s="127">
        <f t="shared" si="33"/>
        <v>4.7560667479381209</v>
      </c>
      <c r="BB84" s="127">
        <f t="shared" si="33"/>
        <v>3.0919097152070951</v>
      </c>
      <c r="BC84" s="127">
        <f t="shared" si="33"/>
        <v>2.41207025324894</v>
      </c>
      <c r="BD84" s="127">
        <f t="shared" si="33"/>
        <v>1.9588439452768174</v>
      </c>
      <c r="BE84" s="127">
        <f t="shared" si="33"/>
        <v>1.4871879387963971</v>
      </c>
      <c r="BF84" s="127">
        <f t="shared" si="33"/>
        <v>0.84330763446910884</v>
      </c>
      <c r="BG84" s="127">
        <f t="shared" si="33"/>
        <v>0.21509778263776425</v>
      </c>
      <c r="BH84" s="127">
        <f t="shared" si="33"/>
        <v>8.1964630505155761E-2</v>
      </c>
      <c r="BI84" s="127">
        <f t="shared" si="33"/>
        <v>7.007271496425789E-2</v>
      </c>
      <c r="BJ84" s="128">
        <f t="shared" si="33"/>
        <v>5.2234841652911097E-2</v>
      </c>
      <c r="BK84" s="126">
        <v>11.118766432951634</v>
      </c>
      <c r="BL84" s="127">
        <v>10.329308255559129</v>
      </c>
      <c r="BM84" s="127">
        <v>7.4122676392174629</v>
      </c>
      <c r="BN84" s="127">
        <v>6.0090208229542244</v>
      </c>
      <c r="BO84" s="127">
        <v>4.7560667479381209</v>
      </c>
      <c r="BP84" s="127">
        <v>3.0919097152070951</v>
      </c>
      <c r="BQ84" s="127">
        <v>2.41207025324894</v>
      </c>
      <c r="BR84" s="127">
        <v>1.9588439452768174</v>
      </c>
      <c r="BS84" s="127">
        <v>1.4871879387963971</v>
      </c>
      <c r="BT84" s="127">
        <v>0.84330763446910884</v>
      </c>
      <c r="BU84" s="129">
        <v>0.21509778263776425</v>
      </c>
      <c r="BV84" s="127">
        <v>8.1964630505155761E-2</v>
      </c>
      <c r="BW84" s="129">
        <v>7.007271496425789E-2</v>
      </c>
      <c r="BX84" s="128">
        <v>5.2234841652911097E-2</v>
      </c>
      <c r="BY84" s="132"/>
      <c r="BZ84" s="132"/>
      <c r="CA84" s="132"/>
      <c r="CB84" s="123" t="s">
        <v>211</v>
      </c>
      <c r="CC84" s="124" t="s">
        <v>211</v>
      </c>
      <c r="CD84" s="124" t="s">
        <v>211</v>
      </c>
      <c r="CE84" s="124" t="s">
        <v>211</v>
      </c>
      <c r="CF84" s="124" t="s">
        <v>211</v>
      </c>
      <c r="CG84" s="124" t="s">
        <v>211</v>
      </c>
      <c r="CH84" s="124" t="s">
        <v>211</v>
      </c>
      <c r="CI84" s="124" t="s">
        <v>211</v>
      </c>
      <c r="CJ84" s="124" t="s">
        <v>211</v>
      </c>
      <c r="CK84" s="124" t="s">
        <v>211</v>
      </c>
      <c r="CL84" s="124" t="s">
        <v>211</v>
      </c>
      <c r="CM84" s="124" t="s">
        <v>211</v>
      </c>
      <c r="CN84" s="124" t="s">
        <v>211</v>
      </c>
      <c r="CO84" s="125" t="s">
        <v>211</v>
      </c>
      <c r="CP84" s="126" t="s">
        <v>211</v>
      </c>
      <c r="CQ84" s="127" t="s">
        <v>211</v>
      </c>
      <c r="CR84" s="127" t="s">
        <v>211</v>
      </c>
      <c r="CS84" s="127" t="s">
        <v>211</v>
      </c>
      <c r="CT84" s="127" t="s">
        <v>211</v>
      </c>
      <c r="CU84" s="127" t="s">
        <v>211</v>
      </c>
      <c r="CV84" s="127" t="s">
        <v>211</v>
      </c>
      <c r="CW84" s="127" t="s">
        <v>211</v>
      </c>
      <c r="CX84" s="127" t="s">
        <v>211</v>
      </c>
      <c r="CY84" s="127" t="s">
        <v>211</v>
      </c>
      <c r="CZ84" s="127" t="s">
        <v>211</v>
      </c>
      <c r="DA84" s="127" t="s">
        <v>211</v>
      </c>
      <c r="DB84" s="127" t="s">
        <v>211</v>
      </c>
      <c r="DC84" s="128" t="s">
        <v>211</v>
      </c>
      <c r="DD84" s="126">
        <v>11.118766432951634</v>
      </c>
      <c r="DE84" s="127">
        <v>10.329308255559129</v>
      </c>
      <c r="DF84" s="127">
        <v>0.97851854451422471</v>
      </c>
      <c r="DG84" s="127">
        <v>6.0090208229542244</v>
      </c>
      <c r="DH84" s="127">
        <v>0.39140741780568994</v>
      </c>
      <c r="DI84" s="127">
        <v>3.0919097152070951</v>
      </c>
      <c r="DJ84" s="127">
        <v>0.12720741078684925</v>
      </c>
      <c r="DK84" s="127">
        <v>1.916441475014554</v>
      </c>
      <c r="DL84" s="127">
        <v>1.3140977124726838</v>
      </c>
      <c r="DM84" s="127">
        <v>0.12912409508183365</v>
      </c>
      <c r="DN84" s="129">
        <v>0.10082841633582691</v>
      </c>
      <c r="DO84" s="127">
        <v>8.1964630505155761E-2</v>
      </c>
      <c r="DP84" s="129">
        <v>7.007271496425789E-2</v>
      </c>
      <c r="DQ84" s="128">
        <v>5.2234841652911097E-2</v>
      </c>
    </row>
    <row r="85" spans="9:121" ht="15.75" customHeight="1" x14ac:dyDescent="0.3">
      <c r="I85" s="60" t="s">
        <v>185</v>
      </c>
      <c r="J85" s="61" t="s">
        <v>187</v>
      </c>
      <c r="K85" s="60">
        <v>25.5</v>
      </c>
      <c r="L85" s="61"/>
      <c r="M85" s="61" t="str">
        <f t="shared" si="15"/>
        <v>Medium Oil</v>
      </c>
      <c r="N85" s="133">
        <f t="shared" si="30"/>
        <v>9.2296903712167389</v>
      </c>
      <c r="O85" s="134">
        <f t="shared" si="30"/>
        <v>0.31949461271981699</v>
      </c>
      <c r="P85" s="135">
        <f t="shared" si="29"/>
        <v>3.3457788623559429E-2</v>
      </c>
      <c r="Q85" s="136">
        <f t="shared" si="17"/>
        <v>0</v>
      </c>
      <c r="R85" s="137">
        <f t="shared" si="31"/>
        <v>0.16765718815173636</v>
      </c>
      <c r="S85" s="137">
        <f t="shared" si="31"/>
        <v>0.15183742456808058</v>
      </c>
      <c r="T85" s="137">
        <f t="shared" si="31"/>
        <v>0</v>
      </c>
      <c r="U85" s="137">
        <f t="shared" si="31"/>
        <v>0</v>
      </c>
      <c r="V85" s="137">
        <f t="shared" si="31"/>
        <v>0</v>
      </c>
      <c r="W85" s="138">
        <f t="shared" si="32"/>
        <v>0.52475748096186048</v>
      </c>
      <c r="X85" s="138">
        <f t="shared" si="32"/>
        <v>0.47524251903813935</v>
      </c>
      <c r="Y85" s="138">
        <f t="shared" si="32"/>
        <v>0</v>
      </c>
      <c r="Z85" s="138">
        <f t="shared" si="20"/>
        <v>0</v>
      </c>
      <c r="AA85" s="139" t="str">
        <f t="shared" si="21"/>
        <v>-</v>
      </c>
      <c r="AB85" s="118">
        <v>122.68330472394234</v>
      </c>
      <c r="AC85" s="119">
        <f t="shared" si="22"/>
        <v>13.292244895509874</v>
      </c>
      <c r="AD85" s="120">
        <f t="shared" si="23"/>
        <v>118.57859264684895</v>
      </c>
      <c r="AE85" s="140">
        <f t="shared" si="24"/>
        <v>12.847515775463318</v>
      </c>
      <c r="AF85" s="120">
        <f t="shared" si="25"/>
        <v>4.1047120770933931</v>
      </c>
      <c r="AG85" s="122">
        <f t="shared" si="26"/>
        <v>12.847515775463322</v>
      </c>
      <c r="AH85" s="6">
        <f t="shared" si="27"/>
        <v>9.5491849839365557</v>
      </c>
      <c r="AI85" s="123">
        <v>1</v>
      </c>
      <c r="AJ85" s="124">
        <v>0.92128772622171617</v>
      </c>
      <c r="AK85" s="124">
        <v>0.9604039951992509</v>
      </c>
      <c r="AL85" s="124">
        <v>0.80851590417488839</v>
      </c>
      <c r="AM85" s="124">
        <v>0.72519782745784112</v>
      </c>
      <c r="AN85" s="124">
        <v>0.60022071238227004</v>
      </c>
      <c r="AO85" s="124">
        <v>0.50962183933765992</v>
      </c>
      <c r="AP85" s="124">
        <v>0.44922259064125319</v>
      </c>
      <c r="AQ85" s="124">
        <v>0.41175912176136004</v>
      </c>
      <c r="AR85" s="124">
        <v>0.35556391844152041</v>
      </c>
      <c r="AS85" s="124">
        <v>0.31083660502993715</v>
      </c>
      <c r="AT85" s="124">
        <v>0.28101839608888168</v>
      </c>
      <c r="AU85" s="124">
        <v>0.26649070702550215</v>
      </c>
      <c r="AV85" s="125">
        <v>0.2446991734304329</v>
      </c>
      <c r="AW85" s="126">
        <f t="shared" si="33"/>
        <v>9.5491849839365557</v>
      </c>
      <c r="AX85" s="127">
        <f t="shared" si="33"/>
        <v>8.7975469211214641</v>
      </c>
      <c r="AY85" s="127">
        <f t="shared" si="33"/>
        <v>9.1710754094693634</v>
      </c>
      <c r="AZ85" s="127">
        <f t="shared" si="33"/>
        <v>7.7206679314207314</v>
      </c>
      <c r="BA85" s="127">
        <f t="shared" si="33"/>
        <v>6.9250482043438293</v>
      </c>
      <c r="BB85" s="127">
        <f t="shared" si="33"/>
        <v>5.7316186137284753</v>
      </c>
      <c r="BC85" s="127">
        <f t="shared" si="33"/>
        <v>4.86647321568931</v>
      </c>
      <c r="BD85" s="127">
        <f t="shared" si="33"/>
        <v>4.2897096169965332</v>
      </c>
      <c r="BE85" s="127">
        <f t="shared" si="33"/>
        <v>3.9319640225224832</v>
      </c>
      <c r="BF85" s="127">
        <f t="shared" si="33"/>
        <v>3.3953456308114087</v>
      </c>
      <c r="BG85" s="127">
        <f t="shared" si="33"/>
        <v>2.9682362412096941</v>
      </c>
      <c r="BH85" s="127">
        <f t="shared" si="33"/>
        <v>2.6834966481418845</v>
      </c>
      <c r="BI85" s="127">
        <f t="shared" si="33"/>
        <v>2.5447690578865609</v>
      </c>
      <c r="BJ85" s="128">
        <f t="shared" si="33"/>
        <v>2.3366776725035767</v>
      </c>
      <c r="BK85" s="126">
        <v>9.5491849839365557</v>
      </c>
      <c r="BL85" s="127">
        <v>8.7975469211214641</v>
      </c>
      <c r="BM85" s="127">
        <v>9.1710754094693634</v>
      </c>
      <c r="BN85" s="127">
        <v>7.7206679314207314</v>
      </c>
      <c r="BO85" s="129">
        <v>6.9250482043438293</v>
      </c>
      <c r="BP85" s="127">
        <v>5.7316186137284753</v>
      </c>
      <c r="BQ85" s="129">
        <v>4.86647321568931</v>
      </c>
      <c r="BR85" s="127">
        <v>4.2897096169965332</v>
      </c>
      <c r="BS85" s="129">
        <v>3.9319640225224832</v>
      </c>
      <c r="BT85" s="127">
        <v>3.3953456308114087</v>
      </c>
      <c r="BU85" s="129">
        <v>2.9682362412096941</v>
      </c>
      <c r="BV85" s="127">
        <v>2.6834966481418845</v>
      </c>
      <c r="BW85" s="129">
        <v>2.5447690578865609</v>
      </c>
      <c r="BX85" s="128">
        <v>2.3366776725035767</v>
      </c>
      <c r="BY85" s="132"/>
      <c r="BZ85" s="132"/>
      <c r="CA85" s="132"/>
      <c r="CB85" s="123" t="s">
        <v>211</v>
      </c>
      <c r="CC85" s="124" t="s">
        <v>211</v>
      </c>
      <c r="CD85" s="124" t="s">
        <v>211</v>
      </c>
      <c r="CE85" s="124" t="s">
        <v>211</v>
      </c>
      <c r="CF85" s="124" t="s">
        <v>211</v>
      </c>
      <c r="CG85" s="124" t="s">
        <v>211</v>
      </c>
      <c r="CH85" s="124" t="s">
        <v>211</v>
      </c>
      <c r="CI85" s="124" t="s">
        <v>211</v>
      </c>
      <c r="CJ85" s="124" t="s">
        <v>211</v>
      </c>
      <c r="CK85" s="124" t="s">
        <v>211</v>
      </c>
      <c r="CL85" s="124" t="s">
        <v>211</v>
      </c>
      <c r="CM85" s="124" t="s">
        <v>211</v>
      </c>
      <c r="CN85" s="124" t="s">
        <v>211</v>
      </c>
      <c r="CO85" s="125" t="s">
        <v>211</v>
      </c>
      <c r="CP85" s="126" t="s">
        <v>211</v>
      </c>
      <c r="CQ85" s="127" t="s">
        <v>211</v>
      </c>
      <c r="CR85" s="127" t="s">
        <v>211</v>
      </c>
      <c r="CS85" s="127" t="s">
        <v>211</v>
      </c>
      <c r="CT85" s="127" t="s">
        <v>211</v>
      </c>
      <c r="CU85" s="127" t="s">
        <v>211</v>
      </c>
      <c r="CV85" s="127" t="s">
        <v>211</v>
      </c>
      <c r="CW85" s="127" t="s">
        <v>211</v>
      </c>
      <c r="CX85" s="127" t="s">
        <v>211</v>
      </c>
      <c r="CY85" s="127" t="s">
        <v>211</v>
      </c>
      <c r="CZ85" s="127" t="s">
        <v>211</v>
      </c>
      <c r="DA85" s="127" t="s">
        <v>211</v>
      </c>
      <c r="DB85" s="127" t="s">
        <v>211</v>
      </c>
      <c r="DC85" s="128" t="s">
        <v>211</v>
      </c>
      <c r="DD85" s="126">
        <v>9.5491849839365557</v>
      </c>
      <c r="DE85" s="127">
        <v>8.7975469211214641</v>
      </c>
      <c r="DF85" s="127">
        <v>9.1710754094693634</v>
      </c>
      <c r="DG85" s="127">
        <v>7.7206679314207314</v>
      </c>
      <c r="DH85" s="129">
        <v>6.9250482043438293</v>
      </c>
      <c r="DI85" s="127">
        <v>5.7316186137284753</v>
      </c>
      <c r="DJ85" s="129">
        <v>4.86647321568931</v>
      </c>
      <c r="DK85" s="127">
        <v>4.2897096169965332</v>
      </c>
      <c r="DL85" s="129">
        <v>3.9319640225224832</v>
      </c>
      <c r="DM85" s="127">
        <v>3.3953456308114087</v>
      </c>
      <c r="DN85" s="129">
        <v>2.9682362412096941</v>
      </c>
      <c r="DO85" s="127">
        <v>2.6834966481418845</v>
      </c>
      <c r="DP85" s="129">
        <v>2.5447690578865614</v>
      </c>
      <c r="DQ85" s="128">
        <v>2.3366776725035767</v>
      </c>
    </row>
    <row r="86" spans="9:121" ht="15.75" customHeight="1" x14ac:dyDescent="0.3">
      <c r="I86" s="60" t="s">
        <v>185</v>
      </c>
      <c r="J86" s="61" t="s">
        <v>188</v>
      </c>
      <c r="K86" s="60">
        <v>21</v>
      </c>
      <c r="L86" s="61"/>
      <c r="M86" s="61" t="str">
        <f t="shared" si="15"/>
        <v>Medium Oil</v>
      </c>
      <c r="N86" s="133">
        <f t="shared" si="30"/>
        <v>8.7564836170076354</v>
      </c>
      <c r="O86" s="134">
        <f t="shared" si="30"/>
        <v>0.43874352621703561</v>
      </c>
      <c r="P86" s="135">
        <f t="shared" si="29"/>
        <v>4.771426734578444E-2</v>
      </c>
      <c r="Q86" s="136">
        <f t="shared" si="17"/>
        <v>0.23786180586758954</v>
      </c>
      <c r="R86" s="137">
        <f t="shared" si="31"/>
        <v>0</v>
      </c>
      <c r="S86" s="137">
        <f t="shared" si="31"/>
        <v>5.7140945681870784E-3</v>
      </c>
      <c r="T86" s="137">
        <f t="shared" si="31"/>
        <v>0.4330294316488485</v>
      </c>
      <c r="U86" s="137">
        <f t="shared" si="31"/>
        <v>0.19516762578125896</v>
      </c>
      <c r="V86" s="137">
        <f t="shared" si="31"/>
        <v>0</v>
      </c>
      <c r="W86" s="138">
        <f t="shared" si="32"/>
        <v>0</v>
      </c>
      <c r="X86" s="138">
        <f t="shared" si="32"/>
        <v>1.302376952990175E-2</v>
      </c>
      <c r="Y86" s="138">
        <f t="shared" si="32"/>
        <v>0.98697623047009819</v>
      </c>
      <c r="Z86" s="138">
        <f t="shared" si="20"/>
        <v>0</v>
      </c>
      <c r="AA86" s="139">
        <f t="shared" si="21"/>
        <v>0.4507029118970462</v>
      </c>
      <c r="AB86" s="118">
        <v>91.97045401930994</v>
      </c>
      <c r="AC86" s="119">
        <f t="shared" si="22"/>
        <v>10.225363791944485</v>
      </c>
      <c r="AD86" s="120">
        <f t="shared" si="23"/>
        <v>87.582151188319415</v>
      </c>
      <c r="AE86" s="140">
        <f t="shared" si="24"/>
        <v>10.001977394008872</v>
      </c>
      <c r="AF86" s="120">
        <f t="shared" si="25"/>
        <v>4.3883028309905292</v>
      </c>
      <c r="AG86" s="122">
        <f t="shared" si="26"/>
        <v>10.001977394008872</v>
      </c>
      <c r="AH86" s="6">
        <f t="shared" si="27"/>
        <v>9.1952271432246704</v>
      </c>
      <c r="AI86" s="145">
        <v>1</v>
      </c>
      <c r="AJ86" s="146">
        <v>0.94704049844236715</v>
      </c>
      <c r="AK86" s="146">
        <v>0.80588711457796713</v>
      </c>
      <c r="AL86" s="146">
        <v>0.71178485866836716</v>
      </c>
      <c r="AM86" s="146">
        <v>0.59777107300839705</v>
      </c>
      <c r="AN86" s="146">
        <v>0.42675039451844166</v>
      </c>
      <c r="AO86" s="146">
        <v>0.34542971848145088</v>
      </c>
      <c r="AP86" s="146">
        <v>0.29121593445679034</v>
      </c>
      <c r="AQ86" s="146">
        <v>0.26192426881219244</v>
      </c>
      <c r="AR86" s="146">
        <v>0.21798677034529557</v>
      </c>
      <c r="AS86" s="146">
        <v>0.18906141405221516</v>
      </c>
      <c r="AT86" s="146">
        <v>0.16977784319016154</v>
      </c>
      <c r="AU86" s="146">
        <v>0.15044194242074826</v>
      </c>
      <c r="AV86" s="147">
        <v>0.12143809126662836</v>
      </c>
      <c r="AW86" s="148">
        <f t="shared" si="33"/>
        <v>9.1952271432246704</v>
      </c>
      <c r="AX86" s="149">
        <f t="shared" si="33"/>
        <v>8.7082524970102764</v>
      </c>
      <c r="AY86" s="149">
        <f t="shared" si="33"/>
        <v>7.4103150703423335</v>
      </c>
      <c r="AZ86" s="149">
        <f t="shared" si="33"/>
        <v>6.5450234525637052</v>
      </c>
      <c r="BA86" s="149">
        <f t="shared" si="33"/>
        <v>5.4966407959613486</v>
      </c>
      <c r="BB86" s="149">
        <f t="shared" si="33"/>
        <v>3.9240668110578114</v>
      </c>
      <c r="BC86" s="149">
        <f t="shared" si="33"/>
        <v>3.1763047234570938</v>
      </c>
      <c r="BD86" s="149">
        <f t="shared" si="33"/>
        <v>2.677796665056615</v>
      </c>
      <c r="BE86" s="149">
        <f t="shared" si="33"/>
        <v>2.4084531460511469</v>
      </c>
      <c r="BF86" s="149">
        <f t="shared" si="33"/>
        <v>2.0044378675429444</v>
      </c>
      <c r="BG86" s="149">
        <f t="shared" si="33"/>
        <v>1.7384626462293669</v>
      </c>
      <c r="BH86" s="149">
        <f t="shared" si="33"/>
        <v>1.5611458320203151</v>
      </c>
      <c r="BI86" s="149">
        <f t="shared" si="33"/>
        <v>1.3833478324267074</v>
      </c>
      <c r="BJ86" s="150">
        <f t="shared" si="33"/>
        <v>1.1166508330362959</v>
      </c>
      <c r="BK86" s="126">
        <v>9.1952271432246704</v>
      </c>
      <c r="BL86" s="127">
        <v>8.7082524970102764</v>
      </c>
      <c r="BM86" s="129">
        <v>7.4103150703423335</v>
      </c>
      <c r="BN86" s="127">
        <v>6.5450234525637052</v>
      </c>
      <c r="BO86" s="129">
        <v>5.4966407959613486</v>
      </c>
      <c r="BP86" s="127">
        <v>3.9240668110578114</v>
      </c>
      <c r="BQ86" s="129">
        <v>3.1763047234570938</v>
      </c>
      <c r="BR86" s="127">
        <v>2.677796665056615</v>
      </c>
      <c r="BS86" s="129">
        <v>2.4084531460511469</v>
      </c>
      <c r="BT86" s="127">
        <v>2.0044378675429444</v>
      </c>
      <c r="BU86" s="129">
        <v>1.7384626462293669</v>
      </c>
      <c r="BV86" s="127">
        <v>1.5611458320203151</v>
      </c>
      <c r="BW86" s="129">
        <v>1.3833478324267074</v>
      </c>
      <c r="BX86" s="128">
        <v>1.1166508330362959</v>
      </c>
      <c r="BY86" s="132"/>
      <c r="BZ86" s="132"/>
      <c r="CA86" s="132"/>
      <c r="CB86" s="145" t="s">
        <v>211</v>
      </c>
      <c r="CC86" s="146" t="s">
        <v>211</v>
      </c>
      <c r="CD86" s="146" t="s">
        <v>211</v>
      </c>
      <c r="CE86" s="146" t="s">
        <v>211</v>
      </c>
      <c r="CF86" s="146" t="s">
        <v>211</v>
      </c>
      <c r="CG86" s="146" t="s">
        <v>211</v>
      </c>
      <c r="CH86" s="146" t="s">
        <v>211</v>
      </c>
      <c r="CI86" s="146" t="s">
        <v>211</v>
      </c>
      <c r="CJ86" s="146" t="s">
        <v>211</v>
      </c>
      <c r="CK86" s="146" t="s">
        <v>211</v>
      </c>
      <c r="CL86" s="146" t="s">
        <v>211</v>
      </c>
      <c r="CM86" s="146" t="s">
        <v>211</v>
      </c>
      <c r="CN86" s="146" t="s">
        <v>211</v>
      </c>
      <c r="CO86" s="147" t="s">
        <v>211</v>
      </c>
      <c r="CP86" s="148" t="s">
        <v>211</v>
      </c>
      <c r="CQ86" s="149" t="s">
        <v>211</v>
      </c>
      <c r="CR86" s="149" t="s">
        <v>211</v>
      </c>
      <c r="CS86" s="149" t="s">
        <v>211</v>
      </c>
      <c r="CT86" s="149" t="s">
        <v>211</v>
      </c>
      <c r="CU86" s="149" t="s">
        <v>211</v>
      </c>
      <c r="CV86" s="149" t="s">
        <v>211</v>
      </c>
      <c r="CW86" s="149" t="s">
        <v>211</v>
      </c>
      <c r="CX86" s="149" t="s">
        <v>211</v>
      </c>
      <c r="CY86" s="149" t="s">
        <v>211</v>
      </c>
      <c r="CZ86" s="149" t="s">
        <v>211</v>
      </c>
      <c r="DA86" s="149" t="s">
        <v>211</v>
      </c>
      <c r="DB86" s="149" t="s">
        <v>211</v>
      </c>
      <c r="DC86" s="150" t="s">
        <v>211</v>
      </c>
      <c r="DD86" s="126">
        <v>9.1952271432246704</v>
      </c>
      <c r="DE86" s="127">
        <v>8.7082524970102764</v>
      </c>
      <c r="DF86" s="129">
        <v>7.4103150703423335</v>
      </c>
      <c r="DG86" s="127">
        <v>6.5450234525637052</v>
      </c>
      <c r="DH86" s="129">
        <v>5.4966407959613477</v>
      </c>
      <c r="DI86" s="127">
        <v>3.9240668110578114</v>
      </c>
      <c r="DJ86" s="129">
        <v>3.1763047234570934</v>
      </c>
      <c r="DK86" s="127">
        <v>2.677796665056615</v>
      </c>
      <c r="DL86" s="129">
        <v>2.4084531460511469</v>
      </c>
      <c r="DM86" s="127">
        <v>2.0044378675429444</v>
      </c>
      <c r="DN86" s="129">
        <v>1.7384626462293669</v>
      </c>
      <c r="DO86" s="127">
        <v>1.5611458320203151</v>
      </c>
      <c r="DP86" s="129">
        <v>1.3833478324267074</v>
      </c>
      <c r="DQ86" s="128">
        <v>1.1166508330362959</v>
      </c>
    </row>
    <row r="87" spans="9:121" ht="15.75" customHeight="1" x14ac:dyDescent="0.3">
      <c r="I87" s="58" t="s">
        <v>189</v>
      </c>
      <c r="J87" s="85" t="s">
        <v>190</v>
      </c>
      <c r="K87" s="60" t="s">
        <v>134</v>
      </c>
      <c r="L87" s="61" t="s">
        <v>37</v>
      </c>
      <c r="M87" s="61" t="s">
        <v>135</v>
      </c>
      <c r="N87" s="133">
        <f t="shared" si="30"/>
        <v>0</v>
      </c>
      <c r="O87" s="134">
        <f t="shared" si="30"/>
        <v>1.0840525806313783</v>
      </c>
      <c r="P87" s="135">
        <f t="shared" si="29"/>
        <v>1</v>
      </c>
      <c r="Q87" s="136">
        <f t="shared" si="17"/>
        <v>1.0840525806313783</v>
      </c>
      <c r="R87" s="137">
        <f t="shared" si="31"/>
        <v>0</v>
      </c>
      <c r="S87" s="137">
        <f t="shared" si="31"/>
        <v>0</v>
      </c>
      <c r="T87" s="137">
        <f t="shared" si="31"/>
        <v>0</v>
      </c>
      <c r="U87" s="137">
        <f t="shared" si="31"/>
        <v>0</v>
      </c>
      <c r="V87" s="137">
        <f t="shared" si="31"/>
        <v>1.0840525806313783</v>
      </c>
      <c r="W87" s="138">
        <f t="shared" si="32"/>
        <v>0</v>
      </c>
      <c r="X87" s="138">
        <f t="shared" si="32"/>
        <v>0</v>
      </c>
      <c r="Y87" s="138">
        <f t="shared" si="32"/>
        <v>0</v>
      </c>
      <c r="Z87" s="138">
        <f t="shared" si="20"/>
        <v>1</v>
      </c>
      <c r="AA87" s="139" t="str">
        <f t="shared" si="21"/>
        <v>-</v>
      </c>
      <c r="AB87" s="151">
        <v>18.26524302843664</v>
      </c>
      <c r="AC87" s="119">
        <f t="shared" si="22"/>
        <v>16.849037910871928</v>
      </c>
      <c r="AD87" s="120">
        <f t="shared" si="23"/>
        <v>0</v>
      </c>
      <c r="AE87" s="140" t="str">
        <f t="shared" si="24"/>
        <v>-</v>
      </c>
      <c r="AF87" s="120">
        <f t="shared" si="25"/>
        <v>18.26524302843664</v>
      </c>
      <c r="AG87" s="122">
        <f t="shared" si="26"/>
        <v>16.849037910871928</v>
      </c>
      <c r="AH87" s="6">
        <f t="shared" si="27"/>
        <v>1.0840525806313783</v>
      </c>
      <c r="AI87" s="145">
        <v>1</v>
      </c>
      <c r="AJ87" s="146">
        <v>1.0390480978716272</v>
      </c>
      <c r="AK87" s="146">
        <v>1.3359189829778064</v>
      </c>
      <c r="AL87" s="146">
        <v>1.1300246594364241</v>
      </c>
      <c r="AM87" s="146">
        <v>0.99020804903157833</v>
      </c>
      <c r="AN87" s="146">
        <v>0.78048313342430964</v>
      </c>
      <c r="AO87" s="146">
        <v>0.63396298690416331</v>
      </c>
      <c r="AP87" s="146">
        <v>0.53628288922406575</v>
      </c>
      <c r="AQ87" s="146">
        <v>0.47116282410400068</v>
      </c>
      <c r="AR87" s="146">
        <v>0.37348272642390301</v>
      </c>
      <c r="AS87" s="146">
        <v>0.30453206923795167</v>
      </c>
      <c r="AT87" s="146">
        <v>0.25856496444731747</v>
      </c>
      <c r="AU87" s="146">
        <v>0.2279202279202279</v>
      </c>
      <c r="AV87" s="147">
        <v>0.18195312312959355</v>
      </c>
      <c r="AW87" s="148">
        <f t="shared" si="33"/>
        <v>1.0840525806313783</v>
      </c>
      <c r="AX87" s="149">
        <f t="shared" si="33"/>
        <v>1.1263827718978625</v>
      </c>
      <c r="AY87" s="149">
        <f t="shared" si="33"/>
        <v>1.4482064210115375</v>
      </c>
      <c r="AZ87" s="149">
        <f t="shared" si="33"/>
        <v>1.2250061482391499</v>
      </c>
      <c r="BA87" s="149">
        <f t="shared" si="33"/>
        <v>1.073437590914645</v>
      </c>
      <c r="BB87" s="149">
        <f t="shared" si="33"/>
        <v>0.84608475492788726</v>
      </c>
      <c r="BC87" s="149">
        <f t="shared" si="33"/>
        <v>0.68724921197823496</v>
      </c>
      <c r="BD87" s="149">
        <f t="shared" si="33"/>
        <v>0.5813588500118001</v>
      </c>
      <c r="BE87" s="149">
        <f t="shared" si="33"/>
        <v>0.51076527536751015</v>
      </c>
      <c r="BF87" s="149">
        <f t="shared" si="33"/>
        <v>0.40487491340107512</v>
      </c>
      <c r="BG87" s="149">
        <f t="shared" si="33"/>
        <v>0.3301287755424151</v>
      </c>
      <c r="BH87" s="149">
        <f t="shared" si="33"/>
        <v>0.28029801696997508</v>
      </c>
      <c r="BI87" s="149">
        <f t="shared" si="33"/>
        <v>0.24707751125501498</v>
      </c>
      <c r="BJ87" s="150">
        <f t="shared" si="33"/>
        <v>0.19724675268257483</v>
      </c>
      <c r="BK87" s="152">
        <v>1.0840525806313783</v>
      </c>
      <c r="BL87" s="153">
        <v>1.1263827718978625</v>
      </c>
      <c r="BM87" s="153">
        <v>1.4482064210115375</v>
      </c>
      <c r="BN87" s="153">
        <v>1.2250061482391499</v>
      </c>
      <c r="BO87" s="154">
        <v>1.073437590914645</v>
      </c>
      <c r="BP87" s="153">
        <v>0.84608475492788726</v>
      </c>
      <c r="BQ87" s="154">
        <v>0.68724921197823496</v>
      </c>
      <c r="BR87" s="153">
        <v>0.5813588500118001</v>
      </c>
      <c r="BS87" s="154">
        <v>0.51076527536751015</v>
      </c>
      <c r="BT87" s="153">
        <v>0.40487491340107512</v>
      </c>
      <c r="BU87" s="154">
        <v>0.3301287755424151</v>
      </c>
      <c r="BV87" s="153">
        <v>0.28029801696997508</v>
      </c>
      <c r="BW87" s="154">
        <v>0.24707751125501498</v>
      </c>
      <c r="BX87" s="155">
        <v>0.19724675268257483</v>
      </c>
      <c r="BY87" s="132"/>
      <c r="BZ87" s="132"/>
      <c r="CA87" s="132"/>
      <c r="CB87" s="145" t="s">
        <v>211</v>
      </c>
      <c r="CC87" s="146" t="s">
        <v>211</v>
      </c>
      <c r="CD87" s="146" t="s">
        <v>211</v>
      </c>
      <c r="CE87" s="146" t="s">
        <v>211</v>
      </c>
      <c r="CF87" s="146" t="s">
        <v>211</v>
      </c>
      <c r="CG87" s="146" t="s">
        <v>211</v>
      </c>
      <c r="CH87" s="146" t="s">
        <v>211</v>
      </c>
      <c r="CI87" s="146" t="s">
        <v>211</v>
      </c>
      <c r="CJ87" s="146" t="s">
        <v>211</v>
      </c>
      <c r="CK87" s="146" t="s">
        <v>211</v>
      </c>
      <c r="CL87" s="146" t="s">
        <v>211</v>
      </c>
      <c r="CM87" s="146" t="s">
        <v>211</v>
      </c>
      <c r="CN87" s="146" t="s">
        <v>211</v>
      </c>
      <c r="CO87" s="147" t="s">
        <v>211</v>
      </c>
      <c r="CP87" s="148" t="s">
        <v>211</v>
      </c>
      <c r="CQ87" s="149" t="s">
        <v>211</v>
      </c>
      <c r="CR87" s="149" t="s">
        <v>211</v>
      </c>
      <c r="CS87" s="149" t="s">
        <v>211</v>
      </c>
      <c r="CT87" s="149" t="s">
        <v>211</v>
      </c>
      <c r="CU87" s="149" t="s">
        <v>211</v>
      </c>
      <c r="CV87" s="149" t="s">
        <v>211</v>
      </c>
      <c r="CW87" s="149" t="s">
        <v>211</v>
      </c>
      <c r="CX87" s="149" t="s">
        <v>211</v>
      </c>
      <c r="CY87" s="149" t="s">
        <v>211</v>
      </c>
      <c r="CZ87" s="149" t="s">
        <v>211</v>
      </c>
      <c r="DA87" s="149" t="s">
        <v>211</v>
      </c>
      <c r="DB87" s="149" t="s">
        <v>211</v>
      </c>
      <c r="DC87" s="150" t="s">
        <v>211</v>
      </c>
      <c r="DD87" s="152">
        <v>1.0840525806313783</v>
      </c>
      <c r="DE87" s="153">
        <v>1.1263827718978625</v>
      </c>
      <c r="DF87" s="153">
        <v>1.4482064210115375</v>
      </c>
      <c r="DG87" s="153">
        <v>1.2250061482391499</v>
      </c>
      <c r="DH87" s="154">
        <v>1.0734375909146447</v>
      </c>
      <c r="DI87" s="153">
        <v>0.84608475492788726</v>
      </c>
      <c r="DJ87" s="154">
        <v>0.68724921197823496</v>
      </c>
      <c r="DK87" s="153">
        <v>0.5813588500118001</v>
      </c>
      <c r="DL87" s="154">
        <v>0.51076527536751015</v>
      </c>
      <c r="DM87" s="153">
        <v>0.40487491340107512</v>
      </c>
      <c r="DN87" s="154">
        <v>0.3301287755424151</v>
      </c>
      <c r="DO87" s="153">
        <v>0.28029801696997508</v>
      </c>
      <c r="DP87" s="154">
        <v>0.24707751125501498</v>
      </c>
      <c r="DQ87" s="155">
        <v>0.19724675268257483</v>
      </c>
    </row>
    <row r="88" spans="9:121" ht="15.75" customHeight="1" x14ac:dyDescent="0.3">
      <c r="I88" s="58" t="s">
        <v>189</v>
      </c>
      <c r="J88" s="85" t="s">
        <v>191</v>
      </c>
      <c r="K88" s="60" t="s">
        <v>134</v>
      </c>
      <c r="L88" s="61" t="s">
        <v>37</v>
      </c>
      <c r="M88" s="61" t="s">
        <v>135</v>
      </c>
      <c r="N88" s="141">
        <f t="shared" si="30"/>
        <v>1.3579511620070052E-2</v>
      </c>
      <c r="O88" s="134">
        <f t="shared" si="30"/>
        <v>2.2925734862295029</v>
      </c>
      <c r="P88" s="135">
        <f t="shared" si="29"/>
        <v>0.99411161721154995</v>
      </c>
      <c r="Q88" s="136">
        <f t="shared" si="17"/>
        <v>2.2440339691202391</v>
      </c>
      <c r="R88" s="137">
        <f t="shared" si="31"/>
        <v>4.2906187128613207E-3</v>
      </c>
      <c r="S88" s="137">
        <f t="shared" si="31"/>
        <v>4.4248898396402753E-2</v>
      </c>
      <c r="T88" s="137">
        <f t="shared" si="31"/>
        <v>0</v>
      </c>
      <c r="U88" s="137">
        <f t="shared" si="31"/>
        <v>0</v>
      </c>
      <c r="V88" s="137">
        <f t="shared" si="31"/>
        <v>2.2440339691202391</v>
      </c>
      <c r="W88" s="138">
        <f t="shared" si="32"/>
        <v>1.8715294138369877E-3</v>
      </c>
      <c r="X88" s="138">
        <f t="shared" si="32"/>
        <v>1.9300972754935336E-2</v>
      </c>
      <c r="Y88" s="138">
        <f t="shared" si="32"/>
        <v>0</v>
      </c>
      <c r="Z88" s="138">
        <f t="shared" si="20"/>
        <v>0.9788274978312278</v>
      </c>
      <c r="AA88" s="139" t="str">
        <f t="shared" si="21"/>
        <v>-</v>
      </c>
      <c r="AB88" s="151">
        <v>24.410274168000001</v>
      </c>
      <c r="AC88" s="119">
        <f t="shared" si="22"/>
        <v>10.81242399385189</v>
      </c>
      <c r="AD88" s="156">
        <f t="shared" si="23"/>
        <v>0.14373703827219958</v>
      </c>
      <c r="AE88" s="140">
        <f t="shared" si="24"/>
        <v>10.5848459277255</v>
      </c>
      <c r="AF88" s="120">
        <f t="shared" si="25"/>
        <v>24.266537129727801</v>
      </c>
      <c r="AG88" s="122">
        <f t="shared" si="26"/>
        <v>10.584845927725498</v>
      </c>
      <c r="AH88" s="6">
        <f t="shared" si="27"/>
        <v>2.3061529978495727</v>
      </c>
      <c r="AI88" s="145">
        <v>1</v>
      </c>
      <c r="AJ88" s="146">
        <v>0.96350436681900098</v>
      </c>
      <c r="AK88" s="146">
        <v>0.95578856498458908</v>
      </c>
      <c r="AL88" s="146">
        <v>0.79066894578459357</v>
      </c>
      <c r="AM88" s="146">
        <v>0.64750687806795737</v>
      </c>
      <c r="AN88" s="146">
        <v>0.47856950639927948</v>
      </c>
      <c r="AO88" s="146">
        <v>0.35727009383312897</v>
      </c>
      <c r="AP88" s="146">
        <v>0.30204772781862993</v>
      </c>
      <c r="AQ88" s="146">
        <v>0.24685456067578454</v>
      </c>
      <c r="AR88" s="146">
        <v>0.19152999861049871</v>
      </c>
      <c r="AS88" s="146">
        <v>0.14718421228689244</v>
      </c>
      <c r="AT88" s="146">
        <v>0.12494927152282567</v>
      </c>
      <c r="AU88" s="146">
        <v>0.10271433075875916</v>
      </c>
      <c r="AV88" s="147">
        <v>6.9361919612657696E-2</v>
      </c>
      <c r="AW88" s="148">
        <f t="shared" si="33"/>
        <v>2.3061529978495727</v>
      </c>
      <c r="AX88" s="149">
        <f t="shared" si="33"/>
        <v>2.2219884839807933</v>
      </c>
      <c r="AY88" s="149">
        <f t="shared" si="33"/>
        <v>2.2041946644495511</v>
      </c>
      <c r="AZ88" s="149">
        <f t="shared" si="33"/>
        <v>1.8234035596277018</v>
      </c>
      <c r="BA88" s="149">
        <f t="shared" si="33"/>
        <v>1.4932499279846376</v>
      </c>
      <c r="BB88" s="149">
        <f t="shared" si="33"/>
        <v>1.1036545018620887</v>
      </c>
      <c r="BC88" s="149">
        <f t="shared" si="33"/>
        <v>0.82391949793526853</v>
      </c>
      <c r="BD88" s="149">
        <f t="shared" si="33"/>
        <v>0.69656827300258517</v>
      </c>
      <c r="BE88" s="149">
        <f t="shared" si="33"/>
        <v>0.56928438513529978</v>
      </c>
      <c r="BF88" s="149">
        <f t="shared" si="33"/>
        <v>0.44169748047372609</v>
      </c>
      <c r="BG88" s="149">
        <f t="shared" si="33"/>
        <v>0.33942931240154489</v>
      </c>
      <c r="BH88" s="149">
        <f t="shared" si="33"/>
        <v>0.28815213710148468</v>
      </c>
      <c r="BI88" s="149">
        <f t="shared" si="33"/>
        <v>0.236874961801425</v>
      </c>
      <c r="BJ88" s="150">
        <f t="shared" si="33"/>
        <v>0.15995919885133161</v>
      </c>
      <c r="BK88" s="126">
        <v>2.3061529978495727</v>
      </c>
      <c r="BL88" s="127">
        <v>2.2219884839807933</v>
      </c>
      <c r="BM88" s="127">
        <v>2.2041946644495511</v>
      </c>
      <c r="BN88" s="127">
        <v>1.8234035596277018</v>
      </c>
      <c r="BO88" s="127">
        <v>1.4932499279846376</v>
      </c>
      <c r="BP88" s="127">
        <v>1.1036545018620887</v>
      </c>
      <c r="BQ88" s="127">
        <v>0.82391949793526853</v>
      </c>
      <c r="BR88" s="127">
        <v>0.69656827300258517</v>
      </c>
      <c r="BS88" s="127">
        <v>0.56928438513529978</v>
      </c>
      <c r="BT88" s="127">
        <v>0.44169748047372609</v>
      </c>
      <c r="BU88" s="127">
        <v>0.33942931240154489</v>
      </c>
      <c r="BV88" s="127">
        <v>0.28815213710148468</v>
      </c>
      <c r="BW88" s="127">
        <v>0.236874961801425</v>
      </c>
      <c r="BX88" s="131">
        <v>0.15995919885133161</v>
      </c>
      <c r="BY88" s="132"/>
      <c r="BZ88" s="132"/>
      <c r="CA88" s="132"/>
      <c r="CB88" s="145" t="s">
        <v>211</v>
      </c>
      <c r="CC88" s="146" t="s">
        <v>211</v>
      </c>
      <c r="CD88" s="146" t="s">
        <v>211</v>
      </c>
      <c r="CE88" s="146" t="s">
        <v>211</v>
      </c>
      <c r="CF88" s="146" t="s">
        <v>211</v>
      </c>
      <c r="CG88" s="146" t="s">
        <v>211</v>
      </c>
      <c r="CH88" s="146" t="s">
        <v>211</v>
      </c>
      <c r="CI88" s="146" t="s">
        <v>211</v>
      </c>
      <c r="CJ88" s="146" t="s">
        <v>211</v>
      </c>
      <c r="CK88" s="146" t="s">
        <v>211</v>
      </c>
      <c r="CL88" s="146" t="s">
        <v>211</v>
      </c>
      <c r="CM88" s="146" t="s">
        <v>211</v>
      </c>
      <c r="CN88" s="146" t="s">
        <v>211</v>
      </c>
      <c r="CO88" s="147" t="s">
        <v>211</v>
      </c>
      <c r="CP88" s="148" t="s">
        <v>211</v>
      </c>
      <c r="CQ88" s="149" t="s">
        <v>211</v>
      </c>
      <c r="CR88" s="149" t="s">
        <v>211</v>
      </c>
      <c r="CS88" s="149" t="s">
        <v>211</v>
      </c>
      <c r="CT88" s="149" t="s">
        <v>211</v>
      </c>
      <c r="CU88" s="149" t="s">
        <v>211</v>
      </c>
      <c r="CV88" s="149" t="s">
        <v>211</v>
      </c>
      <c r="CW88" s="149" t="s">
        <v>211</v>
      </c>
      <c r="CX88" s="149" t="s">
        <v>211</v>
      </c>
      <c r="CY88" s="149" t="s">
        <v>211</v>
      </c>
      <c r="CZ88" s="149" t="s">
        <v>211</v>
      </c>
      <c r="DA88" s="149" t="s">
        <v>211</v>
      </c>
      <c r="DB88" s="149" t="s">
        <v>211</v>
      </c>
      <c r="DC88" s="150" t="s">
        <v>211</v>
      </c>
      <c r="DD88" s="126">
        <v>2.2925734862295029</v>
      </c>
      <c r="DE88" s="127">
        <v>2.2089045652355868</v>
      </c>
      <c r="DF88" s="127">
        <v>2.1912155225250132</v>
      </c>
      <c r="DG88" s="127">
        <v>1.8126666614907914</v>
      </c>
      <c r="DH88" s="127">
        <v>1.4844571008098386</v>
      </c>
      <c r="DI88" s="127">
        <v>1.0971557616889285</v>
      </c>
      <c r="DJ88" s="127">
        <v>0.81906794454455811</v>
      </c>
      <c r="DK88" s="127">
        <v>0.69246661237285645</v>
      </c>
      <c r="DL88" s="127">
        <v>0.56593222076013572</v>
      </c>
      <c r="DM88" s="127">
        <v>0.4390965966320029</v>
      </c>
      <c r="DN88" s="127">
        <v>0.33743062268050422</v>
      </c>
      <c r="DO88" s="127">
        <v>0.28645538701692119</v>
      </c>
      <c r="DP88" s="127">
        <v>0.23548015135333875</v>
      </c>
      <c r="DQ88" s="131" t="s">
        <v>211</v>
      </c>
    </row>
    <row r="89" spans="9:121" ht="15.75" customHeight="1" x14ac:dyDescent="0.3">
      <c r="I89" s="58" t="s">
        <v>189</v>
      </c>
      <c r="J89" s="85" t="s">
        <v>192</v>
      </c>
      <c r="K89" s="60" t="s">
        <v>134</v>
      </c>
      <c r="L89" s="61" t="s">
        <v>37</v>
      </c>
      <c r="M89" s="61" t="s">
        <v>135</v>
      </c>
      <c r="N89" s="141">
        <f t="shared" si="30"/>
        <v>6.1343436802343387E-2</v>
      </c>
      <c r="O89" s="134">
        <f t="shared" si="30"/>
        <v>10.354312893772342</v>
      </c>
      <c r="P89" s="135">
        <f t="shared" si="29"/>
        <v>0.99411045882703797</v>
      </c>
      <c r="Q89" s="136">
        <f t="shared" si="17"/>
        <v>10.137571027545471</v>
      </c>
      <c r="R89" s="137">
        <f t="shared" si="31"/>
        <v>1.8616237427097122E-2</v>
      </c>
      <c r="S89" s="137">
        <f t="shared" si="31"/>
        <v>0.19812562879977277</v>
      </c>
      <c r="T89" s="137">
        <f t="shared" si="31"/>
        <v>0</v>
      </c>
      <c r="U89" s="137">
        <f t="shared" si="31"/>
        <v>0</v>
      </c>
      <c r="V89" s="137">
        <f t="shared" si="31"/>
        <v>10.137571027545471</v>
      </c>
      <c r="W89" s="138">
        <f t="shared" si="32"/>
        <v>1.79792108062467E-3</v>
      </c>
      <c r="X89" s="138">
        <f t="shared" si="32"/>
        <v>1.913459935317741E-2</v>
      </c>
      <c r="Y89" s="138">
        <f t="shared" si="32"/>
        <v>0</v>
      </c>
      <c r="Z89" s="138">
        <f t="shared" si="20"/>
        <v>0.97906747956619788</v>
      </c>
      <c r="AA89" s="139" t="str">
        <f t="shared" si="21"/>
        <v>-</v>
      </c>
      <c r="AB89" s="151">
        <v>115.07700679200001</v>
      </c>
      <c r="AC89" s="119">
        <f t="shared" si="22"/>
        <v>11.283260311111825</v>
      </c>
      <c r="AD89" s="156">
        <f t="shared" si="23"/>
        <v>0.67775076956272806</v>
      </c>
      <c r="AE89" s="140">
        <f t="shared" si="24"/>
        <v>11.048464267604212</v>
      </c>
      <c r="AF89" s="120">
        <f t="shared" si="25"/>
        <v>114.39925602243729</v>
      </c>
      <c r="AG89" s="122">
        <f t="shared" si="26"/>
        <v>11.048464267604212</v>
      </c>
      <c r="AH89" s="6">
        <f t="shared" si="27"/>
        <v>10.415656330574684</v>
      </c>
      <c r="AI89" s="145">
        <v>1</v>
      </c>
      <c r="AJ89" s="146">
        <v>0.97993311036789299</v>
      </c>
      <c r="AK89" s="146">
        <v>0.95317725752508342</v>
      </c>
      <c r="AL89" s="146">
        <v>0.81270903010033435</v>
      </c>
      <c r="AM89" s="146">
        <v>0.69565217391304335</v>
      </c>
      <c r="AN89" s="146">
        <v>0.55183946488294311</v>
      </c>
      <c r="AO89" s="146">
        <v>0.45150501672240795</v>
      </c>
      <c r="AP89" s="146">
        <v>0.38795986622073569</v>
      </c>
      <c r="AQ89" s="146">
        <v>0.334448160535117</v>
      </c>
      <c r="AR89" s="146">
        <v>0.27090301003344475</v>
      </c>
      <c r="AS89" s="146">
        <v>0.20735785953177308</v>
      </c>
      <c r="AT89" s="146">
        <v>0.16499442586398799</v>
      </c>
      <c r="AU89" s="146">
        <v>0.12263099219620927</v>
      </c>
      <c r="AV89" s="147">
        <v>5.9085841694537997E-2</v>
      </c>
      <c r="AW89" s="148">
        <f t="shared" si="33"/>
        <v>10.415656330574684</v>
      </c>
      <c r="AX89" s="149">
        <f t="shared" si="33"/>
        <v>10.206646504543086</v>
      </c>
      <c r="AY89" s="149">
        <f t="shared" si="33"/>
        <v>9.9279667365009505</v>
      </c>
      <c r="AZ89" s="149">
        <f t="shared" si="33"/>
        <v>8.4648979542797598</v>
      </c>
      <c r="BA89" s="149">
        <f t="shared" si="33"/>
        <v>7.2456739690954315</v>
      </c>
      <c r="BB89" s="149">
        <f t="shared" si="33"/>
        <v>5.7477702158689725</v>
      </c>
      <c r="BC89" s="149">
        <f t="shared" si="33"/>
        <v>4.7027210857109774</v>
      </c>
      <c r="BD89" s="149">
        <f t="shared" si="33"/>
        <v>4.0408566366109131</v>
      </c>
      <c r="BE89" s="149">
        <f t="shared" si="33"/>
        <v>3.4834971005266495</v>
      </c>
      <c r="BF89" s="149">
        <f t="shared" si="33"/>
        <v>2.8216326514265861</v>
      </c>
      <c r="BG89" s="149">
        <f t="shared" si="33"/>
        <v>2.1597682023265286</v>
      </c>
      <c r="BH89" s="149">
        <f t="shared" si="33"/>
        <v>1.718525236259782</v>
      </c>
      <c r="BI89" s="149">
        <f t="shared" si="33"/>
        <v>1.2772822701931017</v>
      </c>
      <c r="BJ89" s="150">
        <f t="shared" si="33"/>
        <v>0.61541782109304832</v>
      </c>
      <c r="BK89" s="148">
        <v>10.415656330574684</v>
      </c>
      <c r="BL89" s="149">
        <v>10.206646504543086</v>
      </c>
      <c r="BM89" s="149">
        <v>9.9279667365009505</v>
      </c>
      <c r="BN89" s="149">
        <v>8.4648979542797598</v>
      </c>
      <c r="BO89" s="149">
        <v>7.2456739690954315</v>
      </c>
      <c r="BP89" s="149">
        <v>5.7477702158689725</v>
      </c>
      <c r="BQ89" s="149">
        <v>4.7027210857109774</v>
      </c>
      <c r="BR89" s="149">
        <v>4.0408566366109131</v>
      </c>
      <c r="BS89" s="149">
        <v>3.4834971005266495</v>
      </c>
      <c r="BT89" s="149">
        <v>2.8216326514265861</v>
      </c>
      <c r="BU89" s="157">
        <v>2.1597682023265286</v>
      </c>
      <c r="BV89" s="157">
        <v>1.718525236259782</v>
      </c>
      <c r="BW89" s="157">
        <v>1.2772822701931017</v>
      </c>
      <c r="BX89" s="158">
        <v>0.61541782109304832</v>
      </c>
      <c r="BY89" s="132"/>
      <c r="BZ89" s="132"/>
      <c r="CA89" s="132"/>
      <c r="CB89" s="145" t="s">
        <v>211</v>
      </c>
      <c r="CC89" s="146" t="s">
        <v>211</v>
      </c>
      <c r="CD89" s="146" t="s">
        <v>211</v>
      </c>
      <c r="CE89" s="146" t="s">
        <v>211</v>
      </c>
      <c r="CF89" s="146" t="s">
        <v>211</v>
      </c>
      <c r="CG89" s="146" t="s">
        <v>211</v>
      </c>
      <c r="CH89" s="146" t="s">
        <v>211</v>
      </c>
      <c r="CI89" s="146" t="s">
        <v>211</v>
      </c>
      <c r="CJ89" s="146" t="s">
        <v>211</v>
      </c>
      <c r="CK89" s="146" t="s">
        <v>211</v>
      </c>
      <c r="CL89" s="146" t="s">
        <v>211</v>
      </c>
      <c r="CM89" s="146" t="s">
        <v>211</v>
      </c>
      <c r="CN89" s="146" t="s">
        <v>211</v>
      </c>
      <c r="CO89" s="147" t="s">
        <v>211</v>
      </c>
      <c r="CP89" s="148" t="s">
        <v>211</v>
      </c>
      <c r="CQ89" s="149" t="s">
        <v>211</v>
      </c>
      <c r="CR89" s="149" t="s">
        <v>211</v>
      </c>
      <c r="CS89" s="149" t="s">
        <v>211</v>
      </c>
      <c r="CT89" s="149" t="s">
        <v>211</v>
      </c>
      <c r="CU89" s="149" t="s">
        <v>211</v>
      </c>
      <c r="CV89" s="149" t="s">
        <v>211</v>
      </c>
      <c r="CW89" s="149" t="s">
        <v>211</v>
      </c>
      <c r="CX89" s="149" t="s">
        <v>211</v>
      </c>
      <c r="CY89" s="149" t="s">
        <v>211</v>
      </c>
      <c r="CZ89" s="149" t="s">
        <v>211</v>
      </c>
      <c r="DA89" s="149" t="s">
        <v>211</v>
      </c>
      <c r="DB89" s="149" t="s">
        <v>211</v>
      </c>
      <c r="DC89" s="150" t="s">
        <v>211</v>
      </c>
      <c r="DD89" s="148">
        <v>10.354312893772342</v>
      </c>
      <c r="DE89" s="149">
        <v>10.146534039716709</v>
      </c>
      <c r="DF89" s="149">
        <v>9.8694955676425309</v>
      </c>
      <c r="DG89" s="149">
        <v>8.4150435892531057</v>
      </c>
      <c r="DH89" s="149">
        <v>7.2030002739285841</v>
      </c>
      <c r="DI89" s="149">
        <v>5.7139184865298871</v>
      </c>
      <c r="DJ89" s="149">
        <v>4.6750242162517255</v>
      </c>
      <c r="DK89" s="149">
        <v>4.0170578450755565</v>
      </c>
      <c r="DL89" s="149">
        <v>3.4629809009272039</v>
      </c>
      <c r="DM89" s="149">
        <v>2.8050145297510349</v>
      </c>
      <c r="DN89" s="157" t="s">
        <v>211</v>
      </c>
      <c r="DO89" s="157" t="s">
        <v>211</v>
      </c>
      <c r="DP89" s="157" t="s">
        <v>211</v>
      </c>
      <c r="DQ89" s="158" t="s">
        <v>211</v>
      </c>
    </row>
    <row r="90" spans="9:121" ht="15.75" customHeight="1" x14ac:dyDescent="0.3">
      <c r="J90" s="88"/>
      <c r="K90" s="89"/>
      <c r="L90" s="90"/>
      <c r="M90" s="90"/>
      <c r="N90" s="91"/>
      <c r="O90" s="92"/>
      <c r="P90" s="159"/>
      <c r="Q90" s="159"/>
      <c r="R90" s="160"/>
      <c r="S90" s="160"/>
      <c r="T90" s="160"/>
      <c r="U90" s="160"/>
      <c r="V90" s="160"/>
      <c r="W90" s="161"/>
      <c r="X90" s="161"/>
      <c r="Y90" s="161"/>
      <c r="Z90" s="161"/>
      <c r="AA90" s="162"/>
      <c r="AB90" s="83"/>
      <c r="AC90" s="26"/>
      <c r="AH90" s="132"/>
      <c r="AI90" s="132"/>
      <c r="AJ90" s="132"/>
      <c r="AK90" s="132"/>
      <c r="AL90" s="132"/>
      <c r="AM90" s="132"/>
      <c r="AN90" s="132"/>
      <c r="AO90" s="132"/>
      <c r="AP90" s="132"/>
      <c r="AQ90" s="132"/>
      <c r="AR90" s="132"/>
      <c r="AS90" s="132"/>
      <c r="AT90" s="132"/>
      <c r="AU90" s="132"/>
      <c r="AV90" s="132"/>
      <c r="AW90" s="132"/>
      <c r="AX90" s="132"/>
      <c r="AY90" s="132"/>
      <c r="AZ90" s="132"/>
      <c r="BA90" s="132"/>
      <c r="BB90" s="132"/>
      <c r="BC90" s="132"/>
      <c r="BD90" s="132"/>
      <c r="BE90" s="132"/>
      <c r="BF90" s="132"/>
      <c r="BG90" s="132"/>
      <c r="BH90" s="132"/>
      <c r="BI90" s="132"/>
      <c r="BJ90" s="132"/>
      <c r="BK90" s="132"/>
      <c r="BL90" s="132"/>
      <c r="BM90" s="132"/>
      <c r="BN90" s="132"/>
      <c r="BO90" s="132"/>
      <c r="BP90" s="132"/>
      <c r="BQ90" s="132"/>
      <c r="BR90" s="132"/>
      <c r="BS90" s="132"/>
      <c r="BT90" s="132"/>
      <c r="BU90" s="132"/>
      <c r="BV90" s="132"/>
      <c r="BW90" s="132"/>
      <c r="BX90" s="132"/>
      <c r="BY90" s="132"/>
      <c r="BZ90" s="132"/>
      <c r="CA90" s="132"/>
      <c r="CB90" s="132"/>
      <c r="CC90" s="90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63"/>
      <c r="CW90" s="163"/>
      <c r="CX90" s="163"/>
      <c r="CY90" s="163"/>
      <c r="CZ90" s="163"/>
      <c r="DA90" s="163"/>
      <c r="DB90" s="163"/>
    </row>
    <row r="91" spans="9:121" ht="15.75" customHeight="1" x14ac:dyDescent="0.3">
      <c r="J91" s="90"/>
      <c r="K91" s="89"/>
      <c r="L91" s="90"/>
      <c r="N91" s="91"/>
      <c r="O91" s="92"/>
      <c r="P91" s="159"/>
      <c r="Q91" s="159"/>
      <c r="R91" s="160"/>
      <c r="S91" s="160"/>
      <c r="T91" s="160"/>
      <c r="U91" s="160"/>
      <c r="V91" s="160"/>
      <c r="W91" s="161"/>
      <c r="X91" s="161"/>
      <c r="Y91" s="161"/>
      <c r="Z91" s="161"/>
      <c r="AA91" s="162"/>
      <c r="AB91" s="83"/>
      <c r="AC91" s="34"/>
      <c r="AF91" s="16" t="s">
        <v>212</v>
      </c>
      <c r="AG91" s="164">
        <f>+SUM(AF67:AF86)/SUM(O67:O86)</f>
        <v>5.3157502484075962</v>
      </c>
      <c r="CV91" s="20"/>
      <c r="CW91" s="20"/>
      <c r="CX91" s="20"/>
      <c r="CY91" s="20"/>
      <c r="CZ91" s="20"/>
      <c r="DA91" s="20"/>
      <c r="DB91" s="20"/>
    </row>
    <row r="92" spans="9:121" ht="15.75" customHeight="1" x14ac:dyDescent="0.3">
      <c r="J92" s="88"/>
      <c r="K92" s="89"/>
      <c r="L92" s="90"/>
      <c r="M92" s="90"/>
      <c r="N92" s="91"/>
      <c r="O92" s="92"/>
      <c r="P92" s="159"/>
      <c r="Q92" s="159"/>
      <c r="R92" s="160"/>
      <c r="S92" s="160"/>
      <c r="T92" s="160"/>
      <c r="U92" s="160"/>
      <c r="V92" s="160"/>
      <c r="W92" s="161"/>
      <c r="X92" s="161"/>
      <c r="Y92" s="161"/>
      <c r="Z92" s="161"/>
      <c r="AA92" s="162"/>
      <c r="AB92" s="83"/>
      <c r="AC92" s="34"/>
      <c r="AF92" s="16" t="s">
        <v>213</v>
      </c>
      <c r="AG92" s="165">
        <f>+SUM(AF67:AF86)/(SUM(T67:T86,V67:V86)-SUM(U67:U86))</f>
        <v>6.3532002292489826</v>
      </c>
      <c r="AH92" s="166">
        <f>+IF((T67+V67-U67)=0,"-",AF67/(T67+V67-U67))</f>
        <v>3.0484936597423249</v>
      </c>
      <c r="AW92" s="34">
        <f t="shared" ref="AW92:BJ92" si="34">0.05*BK78</f>
        <v>0.45976135716123356</v>
      </c>
      <c r="AX92" s="34">
        <f t="shared" si="34"/>
        <v>0.35887383114809163</v>
      </c>
      <c r="AY92" s="34">
        <f t="shared" si="34"/>
        <v>0.15821478661537516</v>
      </c>
      <c r="AZ92" s="34">
        <f t="shared" si="34"/>
        <v>9.9788867633869835E-2</v>
      </c>
      <c r="BA92" s="34">
        <f t="shared" si="34"/>
        <v>7.9246601656003113E-2</v>
      </c>
      <c r="BB92" s="34">
        <f t="shared" si="34"/>
        <v>4.8433202689203016E-2</v>
      </c>
      <c r="BC92" s="34">
        <f t="shared" si="34"/>
        <v>1.7807392237011568E-2</v>
      </c>
      <c r="BD92" s="34">
        <f t="shared" si="34"/>
        <v>1.3469739604707842E-2</v>
      </c>
      <c r="BE92" s="34">
        <f t="shared" si="34"/>
        <v>1.0699240411137064E-2</v>
      </c>
      <c r="BF92" s="34">
        <f t="shared" si="34"/>
        <v>6.5434916207808948E-3</v>
      </c>
      <c r="BG92" s="34">
        <f t="shared" si="34"/>
        <v>2.3877428304250412E-3</v>
      </c>
      <c r="BH92" s="34">
        <f t="shared" si="34"/>
        <v>0</v>
      </c>
      <c r="BI92" s="34">
        <f t="shared" si="34"/>
        <v>0</v>
      </c>
      <c r="BJ92" s="34">
        <f t="shared" si="34"/>
        <v>0</v>
      </c>
      <c r="CV92" s="20"/>
      <c r="CW92" s="20"/>
      <c r="CX92" s="20"/>
      <c r="CY92" s="20"/>
      <c r="CZ92" s="20"/>
      <c r="DA92" s="20"/>
      <c r="DB92" s="20"/>
    </row>
    <row r="93" spans="9:121" ht="15.75" customHeight="1" x14ac:dyDescent="0.3">
      <c r="N93" s="167"/>
      <c r="P93" s="82"/>
      <c r="AB93" s="167"/>
      <c r="CV93" s="20"/>
      <c r="CW93" s="20"/>
      <c r="CX93" s="20"/>
      <c r="CY93" s="20"/>
      <c r="CZ93" s="20"/>
      <c r="DA93" s="20"/>
      <c r="DB93" s="20"/>
    </row>
    <row r="94" spans="9:121" ht="15.75" customHeight="1" x14ac:dyDescent="0.3">
      <c r="CV94" s="20"/>
      <c r="CW94" s="20"/>
      <c r="CX94" s="20"/>
      <c r="CY94" s="20"/>
      <c r="CZ94" s="20"/>
      <c r="DA94" s="20"/>
      <c r="DB94" s="20"/>
    </row>
    <row r="95" spans="9:121" ht="15.75" customHeight="1" x14ac:dyDescent="0.3">
      <c r="AV95" s="83"/>
      <c r="AW95" s="83"/>
      <c r="CV95" s="20"/>
      <c r="CW95" s="20"/>
      <c r="CX95" s="20"/>
      <c r="CY95" s="20"/>
      <c r="CZ95" s="20"/>
      <c r="DA95" s="20"/>
      <c r="DB95" s="20"/>
    </row>
    <row r="96" spans="9:121" ht="15.75" customHeight="1" x14ac:dyDescent="0.4">
      <c r="R96" s="307" t="s">
        <v>194</v>
      </c>
      <c r="S96" s="306"/>
      <c r="T96" s="306"/>
      <c r="U96" s="306"/>
      <c r="V96" s="306"/>
      <c r="W96" s="308" t="s">
        <v>195</v>
      </c>
      <c r="X96" s="306"/>
      <c r="Y96" s="306"/>
      <c r="Z96" s="306"/>
      <c r="AA96" s="94" t="s">
        <v>196</v>
      </c>
      <c r="BY96" s="35" t="s">
        <v>214</v>
      </c>
      <c r="CV96" s="20"/>
      <c r="CW96" s="20"/>
      <c r="CX96" s="20"/>
      <c r="CY96" s="20"/>
      <c r="CZ96" s="20"/>
      <c r="DA96" s="20"/>
      <c r="DB96" s="20"/>
    </row>
    <row r="97" spans="10:106" ht="15.75" customHeight="1" x14ac:dyDescent="0.3">
      <c r="N97" s="168" t="s">
        <v>97</v>
      </c>
      <c r="O97" s="168" t="s">
        <v>97</v>
      </c>
      <c r="P97" s="95" t="s">
        <v>198</v>
      </c>
      <c r="Q97" s="95" t="s">
        <v>97</v>
      </c>
      <c r="R97" s="96" t="s">
        <v>97</v>
      </c>
      <c r="S97" s="96" t="s">
        <v>97</v>
      </c>
      <c r="T97" s="96" t="s">
        <v>97</v>
      </c>
      <c r="U97" s="96" t="s">
        <v>97</v>
      </c>
      <c r="V97" s="96" t="s">
        <v>97</v>
      </c>
      <c r="W97" s="97" t="s">
        <v>198</v>
      </c>
      <c r="X97" s="97" t="s">
        <v>198</v>
      </c>
      <c r="Y97" s="97" t="s">
        <v>198</v>
      </c>
      <c r="Z97" s="97" t="s">
        <v>198</v>
      </c>
      <c r="AA97" s="98" t="s">
        <v>198</v>
      </c>
      <c r="AB97" s="99" t="s">
        <v>97</v>
      </c>
      <c r="AC97" s="99" t="s">
        <v>199</v>
      </c>
      <c r="AD97" s="95" t="s">
        <v>97</v>
      </c>
      <c r="AE97" s="95" t="s">
        <v>199</v>
      </c>
      <c r="AF97" s="95" t="s">
        <v>97</v>
      </c>
      <c r="AG97" s="95" t="s">
        <v>199</v>
      </c>
      <c r="AH97" s="4" t="s">
        <v>97</v>
      </c>
      <c r="AI97" s="312" t="s">
        <v>215</v>
      </c>
      <c r="AJ97" s="310"/>
      <c r="AK97" s="310"/>
      <c r="AL97" s="310"/>
      <c r="AM97" s="310"/>
      <c r="AN97" s="310"/>
      <c r="AO97" s="310"/>
      <c r="AP97" s="310"/>
      <c r="AQ97" s="310"/>
      <c r="AR97" s="310"/>
      <c r="AS97" s="310"/>
      <c r="AT97" s="310"/>
      <c r="AU97" s="310"/>
      <c r="AV97" s="311"/>
      <c r="AW97" s="312" t="s">
        <v>216</v>
      </c>
      <c r="AX97" s="310"/>
      <c r="AY97" s="310"/>
      <c r="AZ97" s="310"/>
      <c r="BA97" s="310"/>
      <c r="BB97" s="310"/>
      <c r="BC97" s="310"/>
      <c r="BD97" s="310"/>
      <c r="BE97" s="310"/>
      <c r="BF97" s="310"/>
      <c r="BG97" s="310"/>
      <c r="BH97" s="310"/>
      <c r="BI97" s="310"/>
      <c r="BJ97" s="311"/>
      <c r="BK97" s="312" t="s">
        <v>217</v>
      </c>
      <c r="BL97" s="310"/>
      <c r="BM97" s="310"/>
      <c r="BN97" s="310"/>
      <c r="BO97" s="310"/>
      <c r="BP97" s="310"/>
      <c r="BQ97" s="310"/>
      <c r="BR97" s="310"/>
      <c r="BS97" s="310"/>
      <c r="BT97" s="310"/>
      <c r="BU97" s="310"/>
      <c r="BV97" s="310"/>
      <c r="BW97" s="310"/>
      <c r="BX97" s="311"/>
      <c r="BY97" s="313" t="s">
        <v>215</v>
      </c>
      <c r="BZ97" s="314"/>
      <c r="CA97" s="314"/>
      <c r="CB97" s="314"/>
      <c r="CC97" s="314"/>
      <c r="CD97" s="314"/>
      <c r="CE97" s="314"/>
      <c r="CF97" s="314"/>
      <c r="CG97" s="314"/>
      <c r="CH97" s="314"/>
      <c r="CI97" s="314"/>
      <c r="CJ97" s="314"/>
      <c r="CK97" s="314"/>
      <c r="CL97" s="315"/>
      <c r="CM97" s="5"/>
      <c r="CN97" s="5"/>
      <c r="CO97" s="5"/>
      <c r="CP97" s="5"/>
      <c r="CQ97" s="5"/>
      <c r="CR97" s="5"/>
      <c r="CS97" s="5"/>
      <c r="CT97" s="5"/>
      <c r="CU97" s="5"/>
      <c r="CV97" s="90"/>
      <c r="CW97" s="90"/>
      <c r="CX97" s="90"/>
      <c r="CY97" s="90"/>
      <c r="CZ97" s="90"/>
      <c r="DA97" s="90"/>
      <c r="DB97" s="90"/>
    </row>
    <row r="98" spans="10:106" ht="32.25" customHeight="1" x14ac:dyDescent="0.3">
      <c r="J98" s="169" t="s">
        <v>110</v>
      </c>
      <c r="K98" s="169" t="s">
        <v>218</v>
      </c>
      <c r="L98" s="169" t="s">
        <v>219</v>
      </c>
      <c r="M98" s="169" t="str">
        <f>+M66</f>
        <v>Type of Oil producing</v>
      </c>
      <c r="N98" s="169" t="s">
        <v>220</v>
      </c>
      <c r="O98" s="169" t="s">
        <v>221</v>
      </c>
      <c r="P98" s="170" t="s">
        <v>203</v>
      </c>
      <c r="Q98" s="170" t="s">
        <v>116</v>
      </c>
      <c r="R98" s="171" t="s">
        <v>120</v>
      </c>
      <c r="S98" s="171" t="s">
        <v>121</v>
      </c>
      <c r="T98" s="171" t="s">
        <v>122</v>
      </c>
      <c r="U98" s="171" t="s">
        <v>123</v>
      </c>
      <c r="V98" s="171" t="s">
        <v>124</v>
      </c>
      <c r="W98" s="172" t="s">
        <v>120</v>
      </c>
      <c r="X98" s="172" t="s">
        <v>121</v>
      </c>
      <c r="Y98" s="172" t="s">
        <v>122</v>
      </c>
      <c r="Z98" s="172" t="s">
        <v>124</v>
      </c>
      <c r="AA98" s="173" t="s">
        <v>123</v>
      </c>
      <c r="AB98" s="108" t="s">
        <v>204</v>
      </c>
      <c r="AC98" s="108" t="s">
        <v>205</v>
      </c>
      <c r="AD98" s="105" t="s">
        <v>206</v>
      </c>
      <c r="AE98" s="105" t="s">
        <v>207</v>
      </c>
      <c r="AF98" s="105" t="s">
        <v>208</v>
      </c>
      <c r="AG98" s="105" t="s">
        <v>209</v>
      </c>
      <c r="AH98" s="109" t="s">
        <v>210</v>
      </c>
      <c r="AI98" s="110">
        <v>2019</v>
      </c>
      <c r="AJ98" s="111">
        <v>2020</v>
      </c>
      <c r="AK98" s="111">
        <v>2023</v>
      </c>
      <c r="AL98" s="111">
        <v>2025</v>
      </c>
      <c r="AM98" s="111">
        <v>2027</v>
      </c>
      <c r="AN98" s="111">
        <v>2030</v>
      </c>
      <c r="AO98" s="111">
        <v>2033</v>
      </c>
      <c r="AP98" s="111">
        <v>2035</v>
      </c>
      <c r="AQ98" s="111">
        <v>2037</v>
      </c>
      <c r="AR98" s="111">
        <v>2040</v>
      </c>
      <c r="AS98" s="111">
        <v>2043</v>
      </c>
      <c r="AT98" s="111">
        <v>2045</v>
      </c>
      <c r="AU98" s="111">
        <v>2047</v>
      </c>
      <c r="AV98" s="112">
        <v>2050</v>
      </c>
      <c r="AW98" s="110">
        <v>2019</v>
      </c>
      <c r="AX98" s="111">
        <v>2020</v>
      </c>
      <c r="AY98" s="111">
        <v>2023</v>
      </c>
      <c r="AZ98" s="111">
        <v>2025</v>
      </c>
      <c r="BA98" s="111">
        <v>2027</v>
      </c>
      <c r="BB98" s="111">
        <v>2030</v>
      </c>
      <c r="BC98" s="111">
        <v>2033</v>
      </c>
      <c r="BD98" s="111">
        <v>2035</v>
      </c>
      <c r="BE98" s="111">
        <v>2037</v>
      </c>
      <c r="BF98" s="111">
        <v>2040</v>
      </c>
      <c r="BG98" s="111">
        <v>2043</v>
      </c>
      <c r="BH98" s="111">
        <v>2045</v>
      </c>
      <c r="BI98" s="111">
        <v>2047</v>
      </c>
      <c r="BJ98" s="112">
        <v>2050</v>
      </c>
      <c r="BK98" s="110">
        <v>2019</v>
      </c>
      <c r="BL98" s="111">
        <v>2020</v>
      </c>
      <c r="BM98" s="111">
        <v>2023</v>
      </c>
      <c r="BN98" s="111">
        <v>2025</v>
      </c>
      <c r="BO98" s="111">
        <v>2027</v>
      </c>
      <c r="BP98" s="111">
        <v>2030</v>
      </c>
      <c r="BQ98" s="111">
        <v>2033</v>
      </c>
      <c r="BR98" s="111">
        <v>2035</v>
      </c>
      <c r="BS98" s="111">
        <v>2037</v>
      </c>
      <c r="BT98" s="111">
        <v>2040</v>
      </c>
      <c r="BU98" s="111">
        <v>2043</v>
      </c>
      <c r="BV98" s="111">
        <v>2045</v>
      </c>
      <c r="BW98" s="111">
        <v>2047</v>
      </c>
      <c r="BX98" s="112">
        <v>2050</v>
      </c>
      <c r="BY98" s="174">
        <v>2019</v>
      </c>
      <c r="BZ98" s="175">
        <v>2020</v>
      </c>
      <c r="CA98" s="175">
        <v>2023</v>
      </c>
      <c r="CB98" s="175">
        <v>2025</v>
      </c>
      <c r="CC98" s="175">
        <v>2027</v>
      </c>
      <c r="CD98" s="175">
        <v>2030</v>
      </c>
      <c r="CE98" s="175">
        <v>2033</v>
      </c>
      <c r="CF98" s="175">
        <v>2035</v>
      </c>
      <c r="CG98" s="175">
        <v>2037</v>
      </c>
      <c r="CH98" s="175">
        <v>2040</v>
      </c>
      <c r="CI98" s="175">
        <v>2043</v>
      </c>
      <c r="CJ98" s="175">
        <v>2045</v>
      </c>
      <c r="CK98" s="175">
        <v>2047</v>
      </c>
      <c r="CL98" s="176">
        <v>2050</v>
      </c>
      <c r="CV98" s="177"/>
      <c r="CW98" s="177"/>
      <c r="CX98" s="177"/>
      <c r="CY98" s="177"/>
      <c r="CZ98" s="177"/>
      <c r="DA98" s="177"/>
      <c r="DB98" s="177"/>
    </row>
    <row r="99" spans="10:106" ht="15.75" customHeight="1" x14ac:dyDescent="0.3">
      <c r="J99" s="178" t="s">
        <v>132</v>
      </c>
      <c r="K99" s="178" t="s">
        <v>135</v>
      </c>
      <c r="L99" s="179" t="s">
        <v>222</v>
      </c>
      <c r="M99" s="180" t="s">
        <v>223</v>
      </c>
      <c r="N99" s="181">
        <f>+SUMIFS(N$67:N$89,$I$67:$I$89,$J99,$M$67:$M$89,$K99)</f>
        <v>0</v>
      </c>
      <c r="O99" s="181">
        <f t="shared" ref="O99" si="35">+SUMIFS(O$67:O$89,$I$67:$I$89,$J99,$M$67:$M$89,$K99)</f>
        <v>68.585731940983607</v>
      </c>
      <c r="P99" s="182">
        <f t="shared" ref="P99:P105" si="36">+O99/(N99+O99)</f>
        <v>1</v>
      </c>
      <c r="Q99" s="183">
        <f t="shared" ref="Q99:V105" si="37">+SUMIFS(Q$67:Q$89,$I$67:$I$89,$J99,$M$67:$M$89,$K99)</f>
        <v>66.042848806832495</v>
      </c>
      <c r="R99" s="184">
        <f t="shared" si="37"/>
        <v>2.4500442407782339</v>
      </c>
      <c r="S99" s="185">
        <f t="shared" si="37"/>
        <v>9.2838893372876957E-2</v>
      </c>
      <c r="T99" s="184">
        <f t="shared" si="37"/>
        <v>5.6186813035864835</v>
      </c>
      <c r="U99" s="184">
        <f t="shared" si="37"/>
        <v>0</v>
      </c>
      <c r="V99" s="184">
        <f t="shared" si="37"/>
        <v>60.424167503246018</v>
      </c>
      <c r="W99" s="116">
        <f t="shared" ref="W99:Y112" si="38">+IF($O99=0,"-",R99/$O99)</f>
        <v>3.5722360488715625E-2</v>
      </c>
      <c r="X99" s="186">
        <f t="shared" si="38"/>
        <v>1.3536181760480828E-3</v>
      </c>
      <c r="Y99" s="116">
        <f t="shared" si="38"/>
        <v>8.1922014165004831E-2</v>
      </c>
      <c r="Z99" s="116">
        <f t="shared" ref="Z99:Z112" si="39">+IF($O99=0,"-",V99/$O99)</f>
        <v>0.88100200717023158</v>
      </c>
      <c r="AA99" s="117">
        <f t="shared" ref="AA99:AA101" si="40">+IF($T99=0,"-",U99/$T99)</f>
        <v>0</v>
      </c>
      <c r="AB99" s="187">
        <f t="shared" ref="AB99:AB105" si="41">+SUMIFS(AB$67:AB$89,$I$67:$I$89,$J99,$M$67:$M$89,$K99)</f>
        <v>266.73883552000007</v>
      </c>
      <c r="AC99" s="188">
        <f t="shared" ref="AC99:AC105" si="42">+IF((N99+O99)=0,"-",AB99/(N99+O99))</f>
        <v>3.8891301145480592</v>
      </c>
      <c r="AD99" s="120">
        <f t="shared" ref="AD99:AD112" si="43">+AB99*(100%-P99)</f>
        <v>0</v>
      </c>
      <c r="AE99" s="121" t="str">
        <f t="shared" ref="AE99:AE112" si="44">+IF(N99=0,"-",AD99/N99)</f>
        <v>-</v>
      </c>
      <c r="AF99" s="120">
        <f t="shared" ref="AF99:AF112" si="45">+AB99*(P99)</f>
        <v>266.73883552000007</v>
      </c>
      <c r="AG99" s="189">
        <f t="shared" ref="AG99:AG105" si="46">+AF99/O99</f>
        <v>3.8891301145480592</v>
      </c>
      <c r="AH99" s="181">
        <f t="shared" ref="AH99:AH105" si="47">+SUMIFS(AH$67:AH$89,$I$67:$I$89,$J99,$M$67:$M$89,$K99)</f>
        <v>68.585731940983607</v>
      </c>
      <c r="AI99" s="181">
        <f t="shared" ref="AI99:AV100" si="48">+SUMIFS(BK$67:BK$89,$I$67:$I$89,$J99,$M$67:$M$89,$K99)</f>
        <v>68.585731940983607</v>
      </c>
      <c r="AJ99" s="181">
        <f t="shared" si="48"/>
        <v>55.42289382660443</v>
      </c>
      <c r="AK99" s="181">
        <f t="shared" si="48"/>
        <v>48.301053084017497</v>
      </c>
      <c r="AL99" s="181">
        <f t="shared" si="48"/>
        <v>38.921861734744084</v>
      </c>
      <c r="AM99" s="181">
        <f t="shared" si="48"/>
        <v>31.12573621980787</v>
      </c>
      <c r="AN99" s="181">
        <f t="shared" si="48"/>
        <v>20.101904077407454</v>
      </c>
      <c r="AO99" s="181">
        <f t="shared" si="48"/>
        <v>8.0077874319897546</v>
      </c>
      <c r="AP99" s="181">
        <f t="shared" si="48"/>
        <v>2.86729599242289</v>
      </c>
      <c r="AQ99" s="181">
        <f t="shared" si="48"/>
        <v>2.3371052350566992</v>
      </c>
      <c r="AR99" s="181">
        <f t="shared" si="48"/>
        <v>1.5418190990073675</v>
      </c>
      <c r="AS99" s="181">
        <f t="shared" si="48"/>
        <v>0.74653296295810601</v>
      </c>
      <c r="AT99" s="181">
        <f t="shared" si="48"/>
        <v>0.21634220559186546</v>
      </c>
      <c r="AU99" s="181">
        <f t="shared" si="48"/>
        <v>0</v>
      </c>
      <c r="AV99" s="181">
        <f t="shared" si="48"/>
        <v>0</v>
      </c>
      <c r="AW99" s="190">
        <f t="shared" ref="AW99:BJ112" si="49">+AI99*(100%-$P99)</f>
        <v>0</v>
      </c>
      <c r="AX99" s="190">
        <f t="shared" si="49"/>
        <v>0</v>
      </c>
      <c r="AY99" s="190">
        <f t="shared" si="49"/>
        <v>0</v>
      </c>
      <c r="AZ99" s="190">
        <f t="shared" si="49"/>
        <v>0</v>
      </c>
      <c r="BA99" s="190">
        <f t="shared" si="49"/>
        <v>0</v>
      </c>
      <c r="BB99" s="190">
        <f t="shared" si="49"/>
        <v>0</v>
      </c>
      <c r="BC99" s="190">
        <f t="shared" si="49"/>
        <v>0</v>
      </c>
      <c r="BD99" s="190">
        <f t="shared" si="49"/>
        <v>0</v>
      </c>
      <c r="BE99" s="190">
        <f t="shared" si="49"/>
        <v>0</v>
      </c>
      <c r="BF99" s="190">
        <f t="shared" si="49"/>
        <v>0</v>
      </c>
      <c r="BG99" s="190">
        <f t="shared" si="49"/>
        <v>0</v>
      </c>
      <c r="BH99" s="190">
        <f t="shared" si="49"/>
        <v>0</v>
      </c>
      <c r="BI99" s="190">
        <f t="shared" si="49"/>
        <v>0</v>
      </c>
      <c r="BJ99" s="190">
        <f t="shared" si="49"/>
        <v>0</v>
      </c>
      <c r="BK99" s="190">
        <f t="shared" ref="BK99:BX112" si="50">+AI99*($P99)</f>
        <v>68.585731940983607</v>
      </c>
      <c r="BL99" s="190">
        <f t="shared" si="50"/>
        <v>55.42289382660443</v>
      </c>
      <c r="BM99" s="190">
        <f t="shared" si="50"/>
        <v>48.301053084017497</v>
      </c>
      <c r="BN99" s="190">
        <f t="shared" si="50"/>
        <v>38.921861734744084</v>
      </c>
      <c r="BO99" s="190">
        <f t="shared" si="50"/>
        <v>31.12573621980787</v>
      </c>
      <c r="BP99" s="190">
        <f t="shared" si="50"/>
        <v>20.101904077407454</v>
      </c>
      <c r="BQ99" s="190">
        <f t="shared" si="50"/>
        <v>8.0077874319897546</v>
      </c>
      <c r="BR99" s="190">
        <f t="shared" si="50"/>
        <v>2.86729599242289</v>
      </c>
      <c r="BS99" s="190">
        <f t="shared" si="50"/>
        <v>2.3371052350566992</v>
      </c>
      <c r="BT99" s="190">
        <f t="shared" si="50"/>
        <v>1.5418190990073675</v>
      </c>
      <c r="BU99" s="190">
        <f t="shared" si="50"/>
        <v>0.74653296295810601</v>
      </c>
      <c r="BV99" s="190">
        <f t="shared" si="50"/>
        <v>0.21634220559186546</v>
      </c>
      <c r="BW99" s="190">
        <f t="shared" si="50"/>
        <v>0</v>
      </c>
      <c r="BX99" s="190">
        <f t="shared" si="50"/>
        <v>0</v>
      </c>
      <c r="BY99" s="191">
        <v>68.585731940983607</v>
      </c>
      <c r="BZ99" s="191">
        <v>46.821961089206532</v>
      </c>
      <c r="CA99" s="191">
        <v>40.80534003047606</v>
      </c>
      <c r="CB99" s="191">
        <v>32.881680652858037</v>
      </c>
      <c r="CC99" s="191">
        <v>26.295415297444752</v>
      </c>
      <c r="CD99" s="191">
        <v>16.982342594307632</v>
      </c>
      <c r="CE99" s="191">
        <v>6.7650800177323163</v>
      </c>
      <c r="CF99" s="191">
        <v>2.4223278886967416</v>
      </c>
      <c r="CG99" s="191">
        <v>1.9744160368016987</v>
      </c>
      <c r="CH99" s="191">
        <v>1.302548258959096</v>
      </c>
      <c r="CI99" s="191">
        <v>0.63068048111655262</v>
      </c>
      <c r="CJ99" s="191">
        <v>0.18276862922146783</v>
      </c>
      <c r="CK99" s="191">
        <v>0</v>
      </c>
      <c r="CL99" s="191">
        <v>0</v>
      </c>
      <c r="CN99" s="167"/>
      <c r="CV99" s="90"/>
      <c r="CW99" s="90"/>
      <c r="CX99" s="90"/>
      <c r="CY99" s="90"/>
      <c r="CZ99" s="90"/>
      <c r="DA99" s="90"/>
      <c r="DB99" s="90"/>
    </row>
    <row r="100" spans="10:106" ht="15.75" customHeight="1" x14ac:dyDescent="0.3">
      <c r="J100" s="178" t="s">
        <v>141</v>
      </c>
      <c r="K100" s="178" t="s">
        <v>145</v>
      </c>
      <c r="L100" s="179" t="s">
        <v>224</v>
      </c>
      <c r="M100" s="192" t="s">
        <v>225</v>
      </c>
      <c r="N100" s="181">
        <f>+SUMIFS(N$67:N$89,$I$67:$I$89,$J100,$M$67:$M$89,$K100)</f>
        <v>107.6091233110016</v>
      </c>
      <c r="O100" s="181">
        <f>+SUMIFS(O$67:O$89,$I$67:$I$89,$J100,$M$67:$M$89,$K100)</f>
        <v>269.18339314049138</v>
      </c>
      <c r="P100" s="182">
        <f t="shared" si="36"/>
        <v>0.7144074825996316</v>
      </c>
      <c r="Q100" s="183">
        <f t="shared" si="37"/>
        <v>221.53658720841196</v>
      </c>
      <c r="R100" s="184">
        <f t="shared" si="37"/>
        <v>28.837995441575647</v>
      </c>
      <c r="S100" s="184">
        <f t="shared" si="37"/>
        <v>3.2629701010505454</v>
      </c>
      <c r="T100" s="184">
        <f t="shared" si="37"/>
        <v>82.744783788999428</v>
      </c>
      <c r="U100" s="184">
        <f t="shared" si="37"/>
        <v>15.545840389453234</v>
      </c>
      <c r="V100" s="184">
        <f t="shared" si="37"/>
        <v>154.33764380886575</v>
      </c>
      <c r="W100" s="116">
        <f t="shared" si="38"/>
        <v>0.10713140623249595</v>
      </c>
      <c r="X100" s="116">
        <f t="shared" si="38"/>
        <v>1.2121736274226792E-2</v>
      </c>
      <c r="Y100" s="116">
        <f t="shared" si="38"/>
        <v>0.30739185959296356</v>
      </c>
      <c r="Z100" s="116">
        <f t="shared" si="39"/>
        <v>0.57335499790031375</v>
      </c>
      <c r="AA100" s="117">
        <f t="shared" si="40"/>
        <v>0.18787698363071906</v>
      </c>
      <c r="AB100" s="187">
        <f>+SUMIFS(AB$67:AB$89,$I$67:$I$89,$J100,$M$67:$M$89,$K100)</f>
        <v>2159.2322362664527</v>
      </c>
      <c r="AC100" s="188">
        <f t="shared" si="42"/>
        <v>5.7305603004045462</v>
      </c>
      <c r="AD100" s="120">
        <f>+AB100*(100%-P100)</f>
        <v>616.66057000736328</v>
      </c>
      <c r="AE100" s="193">
        <f t="shared" si="44"/>
        <v>5.7305603004045471</v>
      </c>
      <c r="AF100" s="120">
        <f t="shared" si="45"/>
        <v>1542.5716662590894</v>
      </c>
      <c r="AG100" s="193">
        <f t="shared" si="46"/>
        <v>5.7305603004045462</v>
      </c>
      <c r="AH100" s="181">
        <f t="shared" si="47"/>
        <v>376.79251645149293</v>
      </c>
      <c r="AI100" s="181">
        <f>+SUMIFS(BK$67:BK$89,$I$67:$I$89,$J100,$M$67:$M$89,$K100)</f>
        <v>376.79251645149293</v>
      </c>
      <c r="AJ100" s="181">
        <f t="shared" si="48"/>
        <v>369.59874879475456</v>
      </c>
      <c r="AK100" s="181">
        <f t="shared" si="48"/>
        <v>295.71175125095385</v>
      </c>
      <c r="AL100" s="181">
        <f t="shared" si="48"/>
        <v>221.21840706405601</v>
      </c>
      <c r="AM100" s="181">
        <f t="shared" si="48"/>
        <v>171.31169310730004</v>
      </c>
      <c r="AN100" s="181">
        <f t="shared" si="48"/>
        <v>111.95261234678644</v>
      </c>
      <c r="AO100" s="181">
        <f t="shared" si="48"/>
        <v>72.379931845519636</v>
      </c>
      <c r="AP100" s="181">
        <f t="shared" si="48"/>
        <v>52.2350632561674</v>
      </c>
      <c r="AQ100" s="181">
        <f t="shared" si="48"/>
        <v>39.077990841053399</v>
      </c>
      <c r="AR100" s="181">
        <f t="shared" si="48"/>
        <v>23.3968962245543</v>
      </c>
      <c r="AS100" s="181">
        <f t="shared" si="48"/>
        <v>17.354491524384926</v>
      </c>
      <c r="AT100" s="181">
        <f t="shared" si="48"/>
        <v>13.326221724272058</v>
      </c>
      <c r="AU100" s="181">
        <f t="shared" si="48"/>
        <v>10.029486407153993</v>
      </c>
      <c r="AV100" s="181">
        <f t="shared" si="48"/>
        <v>6.6898601086639449</v>
      </c>
      <c r="AW100" s="190">
        <f t="shared" si="49"/>
        <v>107.6091233110016</v>
      </c>
      <c r="AX100" s="190">
        <f t="shared" si="49"/>
        <v>105.55463709632033</v>
      </c>
      <c r="AY100" s="190">
        <f t="shared" si="49"/>
        <v>84.453063464631455</v>
      </c>
      <c r="AZ100" s="190">
        <f t="shared" si="49"/>
        <v>63.178321768723194</v>
      </c>
      <c r="BA100" s="190">
        <f t="shared" si="49"/>
        <v>48.925337694633157</v>
      </c>
      <c r="BB100" s="190">
        <f t="shared" si="49"/>
        <v>31.972828389666304</v>
      </c>
      <c r="BC100" s="190">
        <f t="shared" si="49"/>
        <v>20.671166945029047</v>
      </c>
      <c r="BD100" s="190">
        <f t="shared" si="49"/>
        <v>14.917943211896333</v>
      </c>
      <c r="BE100" s="190">
        <f t="shared" si="49"/>
        <v>11.160381779244979</v>
      </c>
      <c r="BF100" s="190">
        <f t="shared" si="49"/>
        <v>6.681978492125638</v>
      </c>
      <c r="BG100" s="190">
        <f t="shared" si="49"/>
        <v>4.9563129226524474</v>
      </c>
      <c r="BH100" s="190">
        <f t="shared" si="49"/>
        <v>3.8058692096703348</v>
      </c>
      <c r="BI100" s="190">
        <f t="shared" si="49"/>
        <v>2.8643462712518848</v>
      </c>
      <c r="BJ100" s="190">
        <f t="shared" si="49"/>
        <v>1.9105739894896381</v>
      </c>
      <c r="BK100" s="190">
        <f t="shared" si="50"/>
        <v>269.18339314049132</v>
      </c>
      <c r="BL100" s="190">
        <f t="shared" si="50"/>
        <v>264.04411169843422</v>
      </c>
      <c r="BM100" s="190">
        <f t="shared" si="50"/>
        <v>211.25868778632241</v>
      </c>
      <c r="BN100" s="190">
        <f t="shared" si="50"/>
        <v>158.0400852953328</v>
      </c>
      <c r="BO100" s="190">
        <f t="shared" si="50"/>
        <v>122.38635541266689</v>
      </c>
      <c r="BP100" s="190">
        <f t="shared" si="50"/>
        <v>79.979783957120134</v>
      </c>
      <c r="BQ100" s="190">
        <f t="shared" si="50"/>
        <v>51.708764900490593</v>
      </c>
      <c r="BR100" s="190">
        <f t="shared" si="50"/>
        <v>37.317120044271071</v>
      </c>
      <c r="BS100" s="190">
        <f t="shared" si="50"/>
        <v>27.91760906180842</v>
      </c>
      <c r="BT100" s="190">
        <f t="shared" si="50"/>
        <v>16.714917732428663</v>
      </c>
      <c r="BU100" s="190">
        <f t="shared" si="50"/>
        <v>12.398178601732479</v>
      </c>
      <c r="BV100" s="190">
        <f t="shared" si="50"/>
        <v>9.520352514601722</v>
      </c>
      <c r="BW100" s="190">
        <f t="shared" si="50"/>
        <v>7.1651401359021074</v>
      </c>
      <c r="BX100" s="190">
        <f t="shared" si="50"/>
        <v>4.7792861191743068</v>
      </c>
      <c r="BY100" s="191">
        <v>376.79251645149293</v>
      </c>
      <c r="BZ100" s="191">
        <v>378.40150011499037</v>
      </c>
      <c r="CA100" s="191">
        <v>302.75473236823876</v>
      </c>
      <c r="CB100" s="191">
        <v>226.48717659099231</v>
      </c>
      <c r="CC100" s="191">
        <v>175.39183200817482</v>
      </c>
      <c r="CD100" s="191">
        <v>114.61899314313158</v>
      </c>
      <c r="CE100" s="191">
        <v>74.103808191663717</v>
      </c>
      <c r="CF100" s="191">
        <v>53.479148290384252</v>
      </c>
      <c r="CG100" s="191">
        <v>40.00871324363186</v>
      </c>
      <c r="CH100" s="191">
        <v>23.954141236345418</v>
      </c>
      <c r="CI100" s="191">
        <v>17.767824290462919</v>
      </c>
      <c r="CJ100" s="191">
        <v>13.643612993207967</v>
      </c>
      <c r="CK100" s="191">
        <v>10.268359171198142</v>
      </c>
      <c r="CL100" s="191">
        <v>6.8491928312334061</v>
      </c>
      <c r="CV100" s="90"/>
      <c r="CW100" s="90"/>
      <c r="CX100" s="90"/>
      <c r="CY100" s="90"/>
      <c r="CZ100" s="90"/>
      <c r="DA100" s="90"/>
      <c r="DB100" s="90"/>
    </row>
    <row r="101" spans="10:106" ht="15.75" customHeight="1" x14ac:dyDescent="0.3">
      <c r="J101" s="178" t="s">
        <v>141</v>
      </c>
      <c r="K101" s="178" t="s">
        <v>157</v>
      </c>
      <c r="L101" s="179" t="s">
        <v>226</v>
      </c>
      <c r="M101" s="194" t="s">
        <v>227</v>
      </c>
      <c r="N101" s="181">
        <f>+SUMIFS(N$67:N$89,$I$67:$I$89,$J101,$M$67:$M$89,$K101)</f>
        <v>724.65339318846713</v>
      </c>
      <c r="O101" s="181">
        <f t="shared" ref="O101" si="51">+SUMIFS(O$67:O$89,$I$67:$I$89,$J101,$M$67:$M$89,$K101)</f>
        <v>2.0511176562165518</v>
      </c>
      <c r="P101" s="182">
        <f t="shared" si="36"/>
        <v>2.8224919834781799E-3</v>
      </c>
      <c r="Q101" s="183">
        <f t="shared" si="37"/>
        <v>0.23786180586758954</v>
      </c>
      <c r="R101" s="184">
        <f t="shared" si="37"/>
        <v>0.32681390346528633</v>
      </c>
      <c r="S101" s="184">
        <f t="shared" si="37"/>
        <v>1.2912743211024171</v>
      </c>
      <c r="T101" s="185">
        <f t="shared" si="37"/>
        <v>0.4330294316488485</v>
      </c>
      <c r="U101" s="185">
        <f t="shared" si="37"/>
        <v>0.19516762578125896</v>
      </c>
      <c r="V101" s="184">
        <f t="shared" si="37"/>
        <v>0</v>
      </c>
      <c r="W101" s="116">
        <f t="shared" si="38"/>
        <v>0.15933454742334008</v>
      </c>
      <c r="X101" s="116">
        <f t="shared" si="38"/>
        <v>0.629546685042083</v>
      </c>
      <c r="Y101" s="116">
        <f t="shared" si="38"/>
        <v>0.21111876753457692</v>
      </c>
      <c r="Z101" s="116">
        <f t="shared" si="39"/>
        <v>0</v>
      </c>
      <c r="AA101" s="117">
        <f t="shared" si="40"/>
        <v>0.4507029118970462</v>
      </c>
      <c r="AB101" s="187">
        <f t="shared" si="41"/>
        <v>6496.7121983715815</v>
      </c>
      <c r="AC101" s="188">
        <f t="shared" si="42"/>
        <v>8.9399640451111821</v>
      </c>
      <c r="AD101" s="120">
        <f t="shared" si="43"/>
        <v>6478.3752802727131</v>
      </c>
      <c r="AE101" s="193">
        <f t="shared" si="44"/>
        <v>8.9399640451111821</v>
      </c>
      <c r="AF101" s="120">
        <f t="shared" si="45"/>
        <v>18.33691809886869</v>
      </c>
      <c r="AG101" s="193">
        <f t="shared" si="46"/>
        <v>8.9399640451111804</v>
      </c>
      <c r="AH101" s="181">
        <f t="shared" si="47"/>
        <v>726.70451084468357</v>
      </c>
      <c r="AI101" s="181">
        <f t="shared" ref="AI101:AV105" si="52">+SUMIFS(BK$67:BK$89,$I$67:$I$89,$J101,$M$67:$M$89,$K101)</f>
        <v>726.70451084468357</v>
      </c>
      <c r="AJ101" s="181">
        <f t="shared" si="52"/>
        <v>687.86225103060212</v>
      </c>
      <c r="AK101" s="181">
        <f t="shared" si="52"/>
        <v>587.55750824736049</v>
      </c>
      <c r="AL101" s="181">
        <f t="shared" si="52"/>
        <v>494.42471335568871</v>
      </c>
      <c r="AM101" s="181">
        <f t="shared" si="52"/>
        <v>420.57125502833946</v>
      </c>
      <c r="AN101" s="181">
        <f t="shared" si="52"/>
        <v>309.7910675373156</v>
      </c>
      <c r="AO101" s="181">
        <f t="shared" si="52"/>
        <v>257.83201320744161</v>
      </c>
      <c r="AP101" s="181">
        <f t="shared" si="52"/>
        <v>218.66172919585773</v>
      </c>
      <c r="AQ101" s="181">
        <f t="shared" si="52"/>
        <v>182.14935775491111</v>
      </c>
      <c r="AR101" s="181">
        <f t="shared" si="52"/>
        <v>127.3982825137665</v>
      </c>
      <c r="AS101" s="181">
        <f t="shared" si="52"/>
        <v>81.49849118140061</v>
      </c>
      <c r="AT101" s="181">
        <f t="shared" si="52"/>
        <v>70.347634082399537</v>
      </c>
      <c r="AU101" s="181">
        <f t="shared" si="52"/>
        <v>64.244040865995586</v>
      </c>
      <c r="AV101" s="181">
        <f t="shared" si="52"/>
        <v>55.088651041389411</v>
      </c>
      <c r="AW101" s="190">
        <f t="shared" si="49"/>
        <v>724.65339318846702</v>
      </c>
      <c r="AX101" s="190">
        <f t="shared" si="49"/>
        <v>685.92076534133105</v>
      </c>
      <c r="AY101" s="190">
        <f t="shared" si="49"/>
        <v>585.89913189049992</v>
      </c>
      <c r="AZ101" s="190">
        <f t="shared" si="49"/>
        <v>493.02920356580881</v>
      </c>
      <c r="BA101" s="190">
        <f t="shared" si="49"/>
        <v>419.38419603254061</v>
      </c>
      <c r="BB101" s="190">
        <f t="shared" si="49"/>
        <v>308.91668473263837</v>
      </c>
      <c r="BC101" s="190">
        <f t="shared" si="49"/>
        <v>257.10428441707955</v>
      </c>
      <c r="BD101" s="190">
        <f t="shared" si="49"/>
        <v>218.04455821810896</v>
      </c>
      <c r="BE101" s="190">
        <f t="shared" si="49"/>
        <v>181.63524265285218</v>
      </c>
      <c r="BF101" s="190">
        <f t="shared" si="49"/>
        <v>127.03870188266251</v>
      </c>
      <c r="BG101" s="190">
        <f t="shared" si="49"/>
        <v>81.268462343375546</v>
      </c>
      <c r="BH101" s="190">
        <f t="shared" si="49"/>
        <v>70.149078449145307</v>
      </c>
      <c r="BI101" s="190">
        <f t="shared" si="49"/>
        <v>64.062712575665074</v>
      </c>
      <c r="BJ101" s="190">
        <f t="shared" si="49"/>
        <v>54.933163765444462</v>
      </c>
      <c r="BK101" s="190">
        <f t="shared" si="50"/>
        <v>2.0511176562165514</v>
      </c>
      <c r="BL101" s="190">
        <f t="shared" si="50"/>
        <v>1.9414856892711299</v>
      </c>
      <c r="BM101" s="190">
        <f t="shared" si="50"/>
        <v>1.6583763568605896</v>
      </c>
      <c r="BN101" s="190">
        <f t="shared" si="50"/>
        <v>1.3955097898799282</v>
      </c>
      <c r="BO101" s="190">
        <f t="shared" si="50"/>
        <v>1.1870589957988453</v>
      </c>
      <c r="BP101" s="190">
        <f t="shared" si="50"/>
        <v>0.87438280467722063</v>
      </c>
      <c r="BQ101" s="190">
        <f t="shared" si="50"/>
        <v>0.72772879036204408</v>
      </c>
      <c r="BR101" s="190">
        <f t="shared" si="50"/>
        <v>0.61717097774878515</v>
      </c>
      <c r="BS101" s="190">
        <f t="shared" si="50"/>
        <v>0.51411510205893562</v>
      </c>
      <c r="BT101" s="190">
        <f t="shared" si="50"/>
        <v>0.35958063110399435</v>
      </c>
      <c r="BU101" s="190">
        <f t="shared" si="50"/>
        <v>0.23002883802507035</v>
      </c>
      <c r="BV101" s="190">
        <f t="shared" si="50"/>
        <v>0.19855563325422906</v>
      </c>
      <c r="BW101" s="190">
        <f t="shared" si="50"/>
        <v>0.18132829033051712</v>
      </c>
      <c r="BX101" s="190">
        <f t="shared" si="50"/>
        <v>0.15548727594494849</v>
      </c>
      <c r="BY101" s="191">
        <v>726.70451084468357</v>
      </c>
      <c r="BZ101" s="191">
        <v>824.03801295843766</v>
      </c>
      <c r="CA101" s="191">
        <v>703.87598806236235</v>
      </c>
      <c r="CB101" s="191">
        <v>592.30573816303377</v>
      </c>
      <c r="CC101" s="191">
        <v>503.83154589707362</v>
      </c>
      <c r="CD101" s="191">
        <v>371.12025749813336</v>
      </c>
      <c r="CE101" s="191">
        <v>308.87489395181478</v>
      </c>
      <c r="CF101" s="191">
        <v>261.95008748720295</v>
      </c>
      <c r="CG101" s="191">
        <v>218.20937927779215</v>
      </c>
      <c r="CH101" s="191">
        <v>152.61925977137443</v>
      </c>
      <c r="CI101" s="191">
        <v>97.632708629688054</v>
      </c>
      <c r="CJ101" s="191">
        <v>84.274321666488433</v>
      </c>
      <c r="CK101" s="191">
        <v>76.962403010658093</v>
      </c>
      <c r="CL101" s="191">
        <v>65.994525026912299</v>
      </c>
      <c r="CV101" s="90"/>
      <c r="CW101" s="90"/>
      <c r="CX101" s="90"/>
      <c r="CY101" s="90"/>
      <c r="CZ101" s="90"/>
      <c r="DA101" s="90"/>
      <c r="DB101" s="90"/>
    </row>
    <row r="102" spans="10:106" ht="15.75" customHeight="1" x14ac:dyDescent="0.3">
      <c r="J102" s="178" t="s">
        <v>172</v>
      </c>
      <c r="K102" s="178" t="s">
        <v>145</v>
      </c>
      <c r="L102" s="179" t="s">
        <v>228</v>
      </c>
      <c r="M102" s="194" t="s">
        <v>229</v>
      </c>
      <c r="N102" s="181">
        <f t="shared" ref="N102:O105" si="53">+SUMIFS(N$67:N$89,$I$67:$I$89,$J102,$M$67:$M$89,$K102)</f>
        <v>4.3593517548323124</v>
      </c>
      <c r="O102" s="181">
        <f t="shared" si="53"/>
        <v>1.2759391450439788</v>
      </c>
      <c r="P102" s="182">
        <f t="shared" si="36"/>
        <v>0.2264193930205074</v>
      </c>
      <c r="Q102" s="183">
        <f t="shared" si="37"/>
        <v>0</v>
      </c>
      <c r="R102" s="184">
        <f t="shared" si="37"/>
        <v>0</v>
      </c>
      <c r="S102" s="184">
        <f t="shared" si="37"/>
        <v>1.2759391450439788</v>
      </c>
      <c r="T102" s="184">
        <f t="shared" si="37"/>
        <v>0</v>
      </c>
      <c r="U102" s="184">
        <f t="shared" si="37"/>
        <v>0</v>
      </c>
      <c r="V102" s="184">
        <f t="shared" si="37"/>
        <v>0</v>
      </c>
      <c r="W102" s="116">
        <f t="shared" si="38"/>
        <v>0</v>
      </c>
      <c r="X102" s="116">
        <f t="shared" si="38"/>
        <v>1</v>
      </c>
      <c r="Y102" s="116">
        <f t="shared" si="38"/>
        <v>0</v>
      </c>
      <c r="Z102" s="116">
        <f t="shared" si="39"/>
        <v>0</v>
      </c>
      <c r="AA102" s="117">
        <f>+IF($T102=0,0,U102/$T102)</f>
        <v>0</v>
      </c>
      <c r="AB102" s="187">
        <f t="shared" si="41"/>
        <v>44.660401360000002</v>
      </c>
      <c r="AC102" s="188">
        <f t="shared" si="42"/>
        <v>7.9251279398869023</v>
      </c>
      <c r="AD102" s="120">
        <f t="shared" si="43"/>
        <v>34.54842039201656</v>
      </c>
      <c r="AE102" s="193">
        <f t="shared" si="44"/>
        <v>7.9251279398869032</v>
      </c>
      <c r="AF102" s="120">
        <f t="shared" si="45"/>
        <v>10.111980967983444</v>
      </c>
      <c r="AG102" s="193">
        <f t="shared" si="46"/>
        <v>7.9251279398869032</v>
      </c>
      <c r="AH102" s="181">
        <f t="shared" si="47"/>
        <v>5.6352908998762912</v>
      </c>
      <c r="AI102" s="181">
        <f t="shared" si="52"/>
        <v>5.6352908998762912</v>
      </c>
      <c r="AJ102" s="181">
        <f t="shared" si="52"/>
        <v>5.3251450871105153</v>
      </c>
      <c r="AK102" s="181">
        <f t="shared" si="52"/>
        <v>4.6229281525464918</v>
      </c>
      <c r="AL102" s="181">
        <f t="shared" si="52"/>
        <v>4.1547835295038089</v>
      </c>
      <c r="AM102" s="181">
        <f t="shared" si="52"/>
        <v>3.4993810572440527</v>
      </c>
      <c r="AN102" s="181">
        <f t="shared" si="52"/>
        <v>2.5162773488544192</v>
      </c>
      <c r="AO102" s="181">
        <f t="shared" si="52"/>
        <v>2.0247254946596041</v>
      </c>
      <c r="AP102" s="181">
        <f t="shared" si="52"/>
        <v>1.6970242585297266</v>
      </c>
      <c r="AQ102" s="181">
        <f t="shared" si="52"/>
        <v>1.4629519470083854</v>
      </c>
      <c r="AR102" s="181">
        <f t="shared" si="52"/>
        <v>1.1118434797263739</v>
      </c>
      <c r="AS102" s="181">
        <f t="shared" si="52"/>
        <v>0.99480732396570282</v>
      </c>
      <c r="AT102" s="181">
        <f t="shared" si="52"/>
        <v>0.9167832201252627</v>
      </c>
      <c r="AU102" s="181">
        <f t="shared" si="52"/>
        <v>0.83875911628481048</v>
      </c>
      <c r="AV102" s="181">
        <f t="shared" si="52"/>
        <v>0.72172296052414664</v>
      </c>
      <c r="AW102" s="190">
        <f t="shared" si="49"/>
        <v>4.3593517548323124</v>
      </c>
      <c r="AX102" s="190">
        <f t="shared" si="49"/>
        <v>4.1194289687408157</v>
      </c>
      <c r="AY102" s="190">
        <f t="shared" si="49"/>
        <v>3.5762075662694994</v>
      </c>
      <c r="AZ102" s="190">
        <f t="shared" si="49"/>
        <v>3.214059964621955</v>
      </c>
      <c r="BA102" s="190">
        <f t="shared" si="49"/>
        <v>2.7070533223153928</v>
      </c>
      <c r="BB102" s="190">
        <f t="shared" si="49"/>
        <v>1.9465433588555501</v>
      </c>
      <c r="BC102" s="190">
        <f t="shared" si="49"/>
        <v>1.56628837712563</v>
      </c>
      <c r="BD102" s="190">
        <f t="shared" si="49"/>
        <v>1.3127850559723493</v>
      </c>
      <c r="BE102" s="190">
        <f t="shared" si="49"/>
        <v>1.1317112551485773</v>
      </c>
      <c r="BF102" s="190">
        <f t="shared" si="49"/>
        <v>0.86010055391291951</v>
      </c>
      <c r="BG102" s="190">
        <f t="shared" si="49"/>
        <v>0.76956365350103317</v>
      </c>
      <c r="BH102" s="190">
        <f t="shared" si="49"/>
        <v>0.70920571989311454</v>
      </c>
      <c r="BI102" s="190">
        <f t="shared" si="49"/>
        <v>0.64884778628518647</v>
      </c>
      <c r="BJ102" s="190">
        <f t="shared" si="49"/>
        <v>0.55831088587330568</v>
      </c>
      <c r="BK102" s="190">
        <f t="shared" si="50"/>
        <v>1.2759391450439788</v>
      </c>
      <c r="BL102" s="190">
        <f t="shared" si="50"/>
        <v>1.2057161183696998</v>
      </c>
      <c r="BM102" s="190">
        <f t="shared" si="50"/>
        <v>1.0467205862769924</v>
      </c>
      <c r="BN102" s="190">
        <f t="shared" si="50"/>
        <v>0.94072356488185382</v>
      </c>
      <c r="BO102" s="190">
        <f t="shared" si="50"/>
        <v>0.79232773492865982</v>
      </c>
      <c r="BP102" s="190">
        <f t="shared" si="50"/>
        <v>0.56973398999886915</v>
      </c>
      <c r="BQ102" s="190">
        <f t="shared" si="50"/>
        <v>0.45843711753397415</v>
      </c>
      <c r="BR102" s="190">
        <f t="shared" si="50"/>
        <v>0.38423920255737731</v>
      </c>
      <c r="BS102" s="190">
        <f t="shared" si="50"/>
        <v>0.33124069185980815</v>
      </c>
      <c r="BT102" s="190">
        <f t="shared" si="50"/>
        <v>0.25174292581345442</v>
      </c>
      <c r="BU102" s="190">
        <f t="shared" si="50"/>
        <v>0.2252436704646697</v>
      </c>
      <c r="BV102" s="190">
        <f t="shared" si="50"/>
        <v>0.20757750023214822</v>
      </c>
      <c r="BW102" s="190">
        <f t="shared" si="50"/>
        <v>0.18991132999962398</v>
      </c>
      <c r="BX102" s="190">
        <f t="shared" si="50"/>
        <v>0.1634120746508409</v>
      </c>
      <c r="BY102" s="191">
        <v>5.6352908998762912</v>
      </c>
      <c r="BZ102" s="191">
        <v>5.221212860486296</v>
      </c>
      <c r="CA102" s="191">
        <v>4.5327012744881037</v>
      </c>
      <c r="CB102" s="191">
        <v>4.0736935504893079</v>
      </c>
      <c r="CC102" s="191">
        <v>3.431082736890994</v>
      </c>
      <c r="CD102" s="191">
        <v>2.4671665164935241</v>
      </c>
      <c r="CE102" s="191">
        <v>1.9852084062947908</v>
      </c>
      <c r="CF102" s="191">
        <v>1.6639029994956347</v>
      </c>
      <c r="CG102" s="191">
        <v>1.434399137496237</v>
      </c>
      <c r="CH102" s="191">
        <v>1.0901433444971411</v>
      </c>
      <c r="CI102" s="191">
        <v>0.97539141349744196</v>
      </c>
      <c r="CJ102" s="191">
        <v>0.89889012616431629</v>
      </c>
      <c r="CK102" s="191">
        <v>0.82238883883117875</v>
      </c>
      <c r="CL102" s="191">
        <v>0.70763690783148658</v>
      </c>
      <c r="CV102" s="90"/>
      <c r="CW102" s="90"/>
      <c r="CX102" s="90"/>
      <c r="CY102" s="90"/>
      <c r="CZ102" s="90"/>
      <c r="DA102" s="90"/>
      <c r="DB102" s="90"/>
    </row>
    <row r="103" spans="10:106" ht="15.75" customHeight="1" x14ac:dyDescent="0.3">
      <c r="J103" s="178" t="s">
        <v>175</v>
      </c>
      <c r="K103" s="178" t="s">
        <v>177</v>
      </c>
      <c r="L103" s="179" t="s">
        <v>230</v>
      </c>
      <c r="M103" s="194" t="s">
        <v>231</v>
      </c>
      <c r="N103" s="181">
        <f t="shared" si="53"/>
        <v>160.64590837999947</v>
      </c>
      <c r="O103" s="181">
        <f t="shared" si="53"/>
        <v>4.7988803578001527</v>
      </c>
      <c r="P103" s="182">
        <f t="shared" si="36"/>
        <v>2.9005932398423979E-2</v>
      </c>
      <c r="Q103" s="183">
        <f t="shared" si="37"/>
        <v>2.2768748695271519</v>
      </c>
      <c r="R103" s="184">
        <f t="shared" si="37"/>
        <v>1.7521170575840492</v>
      </c>
      <c r="S103" s="184">
        <f t="shared" si="37"/>
        <v>0.7698884306889513</v>
      </c>
      <c r="T103" s="184">
        <f t="shared" si="37"/>
        <v>1.3766222989813104</v>
      </c>
      <c r="U103" s="184">
        <f t="shared" si="37"/>
        <v>0</v>
      </c>
      <c r="V103" s="184">
        <f t="shared" si="37"/>
        <v>0.90025257054584151</v>
      </c>
      <c r="W103" s="116">
        <f t="shared" si="38"/>
        <v>0.36510955200959305</v>
      </c>
      <c r="X103" s="116">
        <f t="shared" si="38"/>
        <v>0.16043084496523574</v>
      </c>
      <c r="Y103" s="116">
        <f t="shared" si="38"/>
        <v>0.28686322565715427</v>
      </c>
      <c r="Z103" s="116">
        <f t="shared" si="39"/>
        <v>0.18759637736801693</v>
      </c>
      <c r="AA103" s="117">
        <f t="shared" ref="AA103:AA104" si="54">+IF($T103=0,"-",U103/$T103)</f>
        <v>0</v>
      </c>
      <c r="AB103" s="187">
        <f t="shared" si="41"/>
        <v>1058.6607668001971</v>
      </c>
      <c r="AC103" s="188">
        <f t="shared" si="42"/>
        <v>6.3988764764176702</v>
      </c>
      <c r="AD103" s="120">
        <f t="shared" si="43"/>
        <v>1027.9533241655267</v>
      </c>
      <c r="AE103" s="193">
        <f t="shared" si="44"/>
        <v>6.3988764764176693</v>
      </c>
      <c r="AF103" s="120">
        <f t="shared" si="45"/>
        <v>30.707442634670208</v>
      </c>
      <c r="AG103" s="193">
        <f t="shared" si="46"/>
        <v>6.3988764764176702</v>
      </c>
      <c r="AH103" s="181">
        <f t="shared" si="47"/>
        <v>165.44478873779963</v>
      </c>
      <c r="AI103" s="181">
        <f t="shared" si="52"/>
        <v>165.44478873779963</v>
      </c>
      <c r="AJ103" s="181">
        <f t="shared" si="52"/>
        <v>153.89107121101256</v>
      </c>
      <c r="AK103" s="181">
        <f t="shared" si="52"/>
        <v>117.34515536171116</v>
      </c>
      <c r="AL103" s="181">
        <f t="shared" si="52"/>
        <v>91.230677358831571</v>
      </c>
      <c r="AM103" s="181">
        <f t="shared" si="52"/>
        <v>73.19355276753096</v>
      </c>
      <c r="AN103" s="181">
        <f t="shared" si="52"/>
        <v>46.137865880580037</v>
      </c>
      <c r="AO103" s="181">
        <f t="shared" si="52"/>
        <v>34.93812928869707</v>
      </c>
      <c r="AP103" s="181">
        <f t="shared" si="52"/>
        <v>27.471638227441758</v>
      </c>
      <c r="AQ103" s="181">
        <f t="shared" si="52"/>
        <v>23.215461459279428</v>
      </c>
      <c r="AR103" s="181">
        <f t="shared" si="52"/>
        <v>16.831196307035714</v>
      </c>
      <c r="AS103" s="181">
        <f t="shared" si="52"/>
        <v>12.14520015893914</v>
      </c>
      <c r="AT103" s="181">
        <f t="shared" si="52"/>
        <v>9.7568222406346106</v>
      </c>
      <c r="AU103" s="181">
        <f t="shared" si="52"/>
        <v>7.7567559465187346</v>
      </c>
      <c r="AV103" s="181">
        <f t="shared" si="52"/>
        <v>5.7455960840757854</v>
      </c>
      <c r="AW103" s="190">
        <f t="shared" si="49"/>
        <v>160.64590837999947</v>
      </c>
      <c r="AX103" s="190">
        <f t="shared" si="49"/>
        <v>149.42731720274489</v>
      </c>
      <c r="AY103" s="190">
        <f t="shared" si="49"/>
        <v>113.94144971800681</v>
      </c>
      <c r="AZ103" s="190">
        <f t="shared" si="49"/>
        <v>88.584446498698867</v>
      </c>
      <c r="BA103" s="190">
        <f t="shared" si="49"/>
        <v>71.070505523955475</v>
      </c>
      <c r="BB103" s="190">
        <f t="shared" si="49"/>
        <v>44.799594061840381</v>
      </c>
      <c r="BC103" s="190">
        <f t="shared" si="49"/>
        <v>33.924716272421726</v>
      </c>
      <c r="BD103" s="190">
        <f t="shared" si="49"/>
        <v>26.674797746142623</v>
      </c>
      <c r="BE103" s="190">
        <f t="shared" si="49"/>
        <v>22.542075353593351</v>
      </c>
      <c r="BF103" s="190">
        <f t="shared" si="49"/>
        <v>16.342991764769234</v>
      </c>
      <c r="BG103" s="190">
        <f t="shared" si="49"/>
        <v>11.792917304163623</v>
      </c>
      <c r="BH103" s="190">
        <f t="shared" si="49"/>
        <v>9.4738165142993243</v>
      </c>
      <c r="BI103" s="190">
        <f t="shared" si="49"/>
        <v>7.5317640079029387</v>
      </c>
      <c r="BJ103" s="190">
        <f t="shared" si="49"/>
        <v>5.578939712472434</v>
      </c>
      <c r="BK103" s="190">
        <f t="shared" si="50"/>
        <v>4.7988803578001527</v>
      </c>
      <c r="BL103" s="190">
        <f t="shared" si="50"/>
        <v>4.4637540082676805</v>
      </c>
      <c r="BM103" s="190">
        <f t="shared" si="50"/>
        <v>3.4037056437043534</v>
      </c>
      <c r="BN103" s="190">
        <f t="shared" si="50"/>
        <v>2.6462308601326976</v>
      </c>
      <c r="BO103" s="190">
        <f t="shared" si="50"/>
        <v>2.1230472435754812</v>
      </c>
      <c r="BP103" s="190">
        <f t="shared" si="50"/>
        <v>1.3382718187396567</v>
      </c>
      <c r="BQ103" s="190">
        <f t="shared" si="50"/>
        <v>1.0134130162753441</v>
      </c>
      <c r="BR103" s="190">
        <f t="shared" si="50"/>
        <v>0.79684048129913565</v>
      </c>
      <c r="BS103" s="190">
        <f t="shared" si="50"/>
        <v>0.67338610568607637</v>
      </c>
      <c r="BT103" s="190">
        <f t="shared" si="50"/>
        <v>0.48820454226648125</v>
      </c>
      <c r="BU103" s="190">
        <f t="shared" si="50"/>
        <v>0.35228285477551685</v>
      </c>
      <c r="BV103" s="190">
        <f t="shared" si="50"/>
        <v>0.28300572633528709</v>
      </c>
      <c r="BW103" s="190">
        <f t="shared" si="50"/>
        <v>0.22499193861579561</v>
      </c>
      <c r="BX103" s="190">
        <f t="shared" si="50"/>
        <v>0.16665637160335178</v>
      </c>
      <c r="BY103" s="191">
        <v>165.44478873779963</v>
      </c>
      <c r="BZ103" s="191">
        <v>174.59190756118457</v>
      </c>
      <c r="CA103" s="191">
        <v>133.12997535492246</v>
      </c>
      <c r="CB103" s="191">
        <v>103.50267798407233</v>
      </c>
      <c r="CC103" s="191">
        <v>83.03926860929522</v>
      </c>
      <c r="CD103" s="191">
        <v>52.344154547129563</v>
      </c>
      <c r="CE103" s="191">
        <v>39.637872367324192</v>
      </c>
      <c r="CF103" s="191">
        <v>31.167017580787284</v>
      </c>
      <c r="CG103" s="191">
        <v>26.338316246632928</v>
      </c>
      <c r="CH103" s="191">
        <v>19.095264245401154</v>
      </c>
      <c r="CI103" s="191">
        <v>13.778925877733739</v>
      </c>
      <c r="CJ103" s="191">
        <v>11.069272527137278</v>
      </c>
      <c r="CK103" s="191">
        <v>8.800164990289284</v>
      </c>
      <c r="CL103" s="191">
        <v>6.5184716208738598</v>
      </c>
      <c r="CV103" s="90"/>
      <c r="CW103" s="90"/>
      <c r="CX103" s="90"/>
      <c r="CY103" s="90"/>
      <c r="CZ103" s="90"/>
      <c r="DA103" s="90"/>
      <c r="DB103" s="90"/>
    </row>
    <row r="104" spans="10:106" ht="15.75" customHeight="1" x14ac:dyDescent="0.3">
      <c r="J104" s="178" t="s">
        <v>185</v>
      </c>
      <c r="K104" s="178" t="s">
        <v>177</v>
      </c>
      <c r="L104" s="179" t="s">
        <v>232</v>
      </c>
      <c r="M104" s="192" t="s">
        <v>233</v>
      </c>
      <c r="N104" s="181">
        <f t="shared" si="53"/>
        <v>28.394686542809108</v>
      </c>
      <c r="O104" s="181">
        <f t="shared" si="53"/>
        <v>1.4684920173037528</v>
      </c>
      <c r="P104" s="182">
        <f t="shared" si="36"/>
        <v>4.9174002504380532E-2</v>
      </c>
      <c r="Q104" s="183">
        <f t="shared" si="37"/>
        <v>0.61987830491387741</v>
      </c>
      <c r="R104" s="184">
        <f t="shared" si="37"/>
        <v>0.20575788232194489</v>
      </c>
      <c r="S104" s="184">
        <f t="shared" si="37"/>
        <v>0.24158707246769739</v>
      </c>
      <c r="T104" s="184">
        <f t="shared" si="37"/>
        <v>1.0198649246869729</v>
      </c>
      <c r="U104" s="184">
        <f t="shared" si="37"/>
        <v>0.40126875760023273</v>
      </c>
      <c r="V104" s="184">
        <f t="shared" si="37"/>
        <v>1.2821378271373829E-3</v>
      </c>
      <c r="W104" s="116">
        <f t="shared" si="38"/>
        <v>0.14011508397555322</v>
      </c>
      <c r="X104" s="116">
        <f t="shared" si="38"/>
        <v>0.16451371176757706</v>
      </c>
      <c r="Y104" s="116">
        <f t="shared" si="38"/>
        <v>0.69449810599550377</v>
      </c>
      <c r="Z104" s="116">
        <f t="shared" si="39"/>
        <v>8.7309826136574556E-4</v>
      </c>
      <c r="AA104" s="117">
        <f t="shared" si="54"/>
        <v>0.39345284643786937</v>
      </c>
      <c r="AB104" s="187">
        <f t="shared" si="41"/>
        <v>283.33235609852005</v>
      </c>
      <c r="AC104" s="188">
        <f t="shared" si="42"/>
        <v>9.4876824825658908</v>
      </c>
      <c r="AD104" s="120">
        <f t="shared" si="43"/>
        <v>269.39977011015941</v>
      </c>
      <c r="AE104" s="193">
        <f t="shared" si="44"/>
        <v>9.4876824825658908</v>
      </c>
      <c r="AF104" s="120">
        <f t="shared" si="45"/>
        <v>13.932585988360662</v>
      </c>
      <c r="AG104" s="193">
        <f t="shared" si="46"/>
        <v>9.4876824825658908</v>
      </c>
      <c r="AH104" s="181">
        <f t="shared" si="47"/>
        <v>29.863178560112861</v>
      </c>
      <c r="AI104" s="181">
        <f t="shared" si="52"/>
        <v>29.863178560112861</v>
      </c>
      <c r="AJ104" s="181">
        <f t="shared" si="52"/>
        <v>27.835107673690871</v>
      </c>
      <c r="AK104" s="181">
        <f t="shared" si="52"/>
        <v>23.993658119029163</v>
      </c>
      <c r="AL104" s="181">
        <f t="shared" si="52"/>
        <v>20.274712206938659</v>
      </c>
      <c r="AM104" s="181">
        <f t="shared" si="52"/>
        <v>17.1777557482433</v>
      </c>
      <c r="AN104" s="181">
        <f t="shared" si="52"/>
        <v>12.747595139993381</v>
      </c>
      <c r="AO104" s="181">
        <f t="shared" si="52"/>
        <v>10.454848192395344</v>
      </c>
      <c r="AP104" s="181">
        <f t="shared" si="52"/>
        <v>8.9263502273299657</v>
      </c>
      <c r="AQ104" s="181">
        <f t="shared" si="52"/>
        <v>7.8276051073700268</v>
      </c>
      <c r="AR104" s="181">
        <f t="shared" si="52"/>
        <v>6.2430911328234622</v>
      </c>
      <c r="AS104" s="181">
        <f t="shared" si="52"/>
        <v>4.9217966700768256</v>
      </c>
      <c r="AT104" s="181">
        <f t="shared" si="52"/>
        <v>4.3266071106673554</v>
      </c>
      <c r="AU104" s="181">
        <f t="shared" si="52"/>
        <v>3.9981896052775259</v>
      </c>
      <c r="AV104" s="181">
        <f t="shared" si="52"/>
        <v>3.5055633471927838</v>
      </c>
      <c r="AW104" s="190">
        <f t="shared" si="49"/>
        <v>28.394686542809108</v>
      </c>
      <c r="AX104" s="190">
        <f t="shared" si="49"/>
        <v>26.466344019235095</v>
      </c>
      <c r="AY104" s="190">
        <f t="shared" si="49"/>
        <v>22.813793914594772</v>
      </c>
      <c r="AZ104" s="190">
        <f t="shared" si="49"/>
        <v>19.277723458099064</v>
      </c>
      <c r="BA104" s="190">
        <f t="shared" si="49"/>
        <v>16.333056744059547</v>
      </c>
      <c r="BB104" s="190">
        <f t="shared" si="49"/>
        <v>12.120744864654517</v>
      </c>
      <c r="BC104" s="190">
        <f t="shared" si="49"/>
        <v>9.9407414611995772</v>
      </c>
      <c r="BD104" s="190">
        <f t="shared" si="49"/>
        <v>8.4874058588962651</v>
      </c>
      <c r="BE104" s="190">
        <f t="shared" si="49"/>
        <v>7.4426904342169111</v>
      </c>
      <c r="BF104" s="190">
        <f t="shared" si="49"/>
        <v>5.9360933538229252</v>
      </c>
      <c r="BG104" s="190">
        <f t="shared" si="49"/>
        <v>4.6797722282964163</v>
      </c>
      <c r="BH104" s="190">
        <f t="shared" si="49"/>
        <v>4.1138505217719281</v>
      </c>
      <c r="BI104" s="190">
        <f t="shared" si="49"/>
        <v>3.8015826196146207</v>
      </c>
      <c r="BJ104" s="190">
        <f t="shared" si="49"/>
        <v>3.3331807663786615</v>
      </c>
      <c r="BK104" s="190">
        <f t="shared" si="50"/>
        <v>1.4684920173037528</v>
      </c>
      <c r="BL104" s="190">
        <f t="shared" si="50"/>
        <v>1.3687636544557766</v>
      </c>
      <c r="BM104" s="190">
        <f t="shared" si="50"/>
        <v>1.1798642044343903</v>
      </c>
      <c r="BN104" s="190">
        <f t="shared" si="50"/>
        <v>0.99698874883959621</v>
      </c>
      <c r="BO104" s="190">
        <f t="shared" si="50"/>
        <v>0.8446990041837531</v>
      </c>
      <c r="BP104" s="190">
        <f t="shared" si="50"/>
        <v>0.62685027533886362</v>
      </c>
      <c r="BQ104" s="190">
        <f t="shared" si="50"/>
        <v>0.51410673119576689</v>
      </c>
      <c r="BR104" s="190">
        <f t="shared" si="50"/>
        <v>0.43894436843370144</v>
      </c>
      <c r="BS104" s="190">
        <f t="shared" si="50"/>
        <v>0.38491467315311556</v>
      </c>
      <c r="BT104" s="190">
        <f t="shared" si="50"/>
        <v>0.30699777900053682</v>
      </c>
      <c r="BU104" s="190">
        <f t="shared" si="50"/>
        <v>0.24202444178040958</v>
      </c>
      <c r="BV104" s="190">
        <f t="shared" si="50"/>
        <v>0.21275658889542715</v>
      </c>
      <c r="BW104" s="190">
        <f t="shared" si="50"/>
        <v>0.19660698566290527</v>
      </c>
      <c r="BX104" s="190">
        <f t="shared" si="50"/>
        <v>0.17238258081412255</v>
      </c>
      <c r="BY104" s="191">
        <v>29.863178560112861</v>
      </c>
      <c r="BZ104" s="191">
        <v>33.948760380755033</v>
      </c>
      <c r="CA104" s="191">
        <v>29.263581793526811</v>
      </c>
      <c r="CB104" s="191">
        <v>24.727813327364881</v>
      </c>
      <c r="CC104" s="191">
        <v>20.950646953215937</v>
      </c>
      <c r="CD104" s="191">
        <v>15.547453881328172</v>
      </c>
      <c r="CE104" s="191">
        <v>12.751132140806146</v>
      </c>
      <c r="CF104" s="191">
        <v>10.88691764712477</v>
      </c>
      <c r="CG104" s="191">
        <v>9.5468461361997363</v>
      </c>
      <c r="CH104" s="191">
        <v>7.6143123780248976</v>
      </c>
      <c r="CI104" s="191">
        <v>6.0028111891647153</v>
      </c>
      <c r="CJ104" s="191">
        <v>5.2768952713823145</v>
      </c>
      <c r="CK104" s="191">
        <v>4.8763447390823158</v>
      </c>
      <c r="CL104" s="191">
        <v>4.2755189406323213</v>
      </c>
      <c r="CV104" s="90"/>
      <c r="CW104" s="90"/>
      <c r="CX104" s="90"/>
      <c r="CY104" s="90"/>
      <c r="CZ104" s="90"/>
      <c r="DA104" s="90"/>
      <c r="DB104" s="90"/>
    </row>
    <row r="105" spans="10:106" ht="15.75" customHeight="1" x14ac:dyDescent="0.3">
      <c r="J105" s="178" t="s">
        <v>189</v>
      </c>
      <c r="K105" s="178" t="s">
        <v>135</v>
      </c>
      <c r="L105" s="179" t="s">
        <v>234</v>
      </c>
      <c r="M105" s="192" t="s">
        <v>235</v>
      </c>
      <c r="N105" s="181">
        <f t="shared" si="53"/>
        <v>7.4922948422413441E-2</v>
      </c>
      <c r="O105" s="181">
        <f t="shared" si="53"/>
        <v>13.730938960633223</v>
      </c>
      <c r="P105" s="182">
        <f t="shared" si="36"/>
        <v>0.99457310605335914</v>
      </c>
      <c r="Q105" s="183">
        <f t="shared" si="37"/>
        <v>13.465657577297089</v>
      </c>
      <c r="R105" s="184">
        <f t="shared" si="37"/>
        <v>2.2906856139958444E-2</v>
      </c>
      <c r="S105" s="184">
        <f t="shared" si="37"/>
        <v>0.24237452719617553</v>
      </c>
      <c r="T105" s="184">
        <f t="shared" si="37"/>
        <v>0</v>
      </c>
      <c r="U105" s="184">
        <f t="shared" si="37"/>
        <v>0</v>
      </c>
      <c r="V105" s="184">
        <f t="shared" si="37"/>
        <v>13.465657577297089</v>
      </c>
      <c r="W105" s="116">
        <f t="shared" si="38"/>
        <v>1.6682658196670085E-3</v>
      </c>
      <c r="X105" s="116">
        <f t="shared" si="38"/>
        <v>1.7651708152739327E-2</v>
      </c>
      <c r="Y105" s="116">
        <f t="shared" si="38"/>
        <v>0</v>
      </c>
      <c r="Z105" s="116">
        <f t="shared" si="39"/>
        <v>0.98068002602759363</v>
      </c>
      <c r="AA105" s="117">
        <f>+IF($T105=0,0,U105/$T105)</f>
        <v>0</v>
      </c>
      <c r="AB105" s="187">
        <f t="shared" si="41"/>
        <v>157.75252398843665</v>
      </c>
      <c r="AC105" s="188">
        <f t="shared" si="42"/>
        <v>11.426488619661082</v>
      </c>
      <c r="AD105" s="120">
        <f t="shared" si="43"/>
        <v>0.85610621750016469</v>
      </c>
      <c r="AE105" s="193">
        <f t="shared" si="44"/>
        <v>11.426488619661127</v>
      </c>
      <c r="AF105" s="120">
        <f t="shared" si="45"/>
        <v>156.89641777093649</v>
      </c>
      <c r="AG105" s="193">
        <f t="shared" si="46"/>
        <v>11.426488619661082</v>
      </c>
      <c r="AH105" s="181">
        <f t="shared" si="47"/>
        <v>13.805861909055636</v>
      </c>
      <c r="AI105" s="181">
        <f t="shared" si="52"/>
        <v>13.805861909055636</v>
      </c>
      <c r="AJ105" s="181">
        <f t="shared" si="52"/>
        <v>13.555017760421741</v>
      </c>
      <c r="AK105" s="181">
        <f t="shared" si="52"/>
        <v>13.580367821962039</v>
      </c>
      <c r="AL105" s="181">
        <f t="shared" si="52"/>
        <v>11.513307662146612</v>
      </c>
      <c r="AM105" s="181">
        <f t="shared" si="52"/>
        <v>9.8123614879947141</v>
      </c>
      <c r="AN105" s="181">
        <f t="shared" si="52"/>
        <v>7.6975094726589486</v>
      </c>
      <c r="AO105" s="181">
        <f t="shared" si="52"/>
        <v>6.213889795624481</v>
      </c>
      <c r="AP105" s="181">
        <f t="shared" si="52"/>
        <v>5.3187837596252985</v>
      </c>
      <c r="AQ105" s="181">
        <f t="shared" si="52"/>
        <v>4.5635467610294596</v>
      </c>
      <c r="AR105" s="181">
        <f t="shared" si="52"/>
        <v>3.6682050453013875</v>
      </c>
      <c r="AS105" s="181">
        <f t="shared" si="52"/>
        <v>2.8293262902704885</v>
      </c>
      <c r="AT105" s="181">
        <f t="shared" si="52"/>
        <v>2.286975390331242</v>
      </c>
      <c r="AU105" s="181">
        <f t="shared" si="52"/>
        <v>1.7612347432495417</v>
      </c>
      <c r="AV105" s="181">
        <f t="shared" si="52"/>
        <v>0.97262377262695476</v>
      </c>
      <c r="AW105" s="190">
        <f t="shared" si="49"/>
        <v>7.4922948422413732E-2</v>
      </c>
      <c r="AX105" s="190">
        <f t="shared" si="49"/>
        <v>7.3561643830642162E-2</v>
      </c>
      <c r="AY105" s="190">
        <f t="shared" si="49"/>
        <v>7.3699215926162173E-2</v>
      </c>
      <c r="AZ105" s="190">
        <f t="shared" si="49"/>
        <v>6.2481499657517342E-2</v>
      </c>
      <c r="BA105" s="190">
        <f t="shared" si="49"/>
        <v>5.3250645161450463E-2</v>
      </c>
      <c r="BB105" s="190">
        <f t="shared" si="49"/>
        <v>4.1773567561383562E-2</v>
      </c>
      <c r="BC105" s="190">
        <f t="shared" si="49"/>
        <v>3.372212091696794E-2</v>
      </c>
      <c r="BD105" s="190">
        <f t="shared" si="49"/>
        <v>2.8864475388602272E-2</v>
      </c>
      <c r="BE105" s="190">
        <f t="shared" si="49"/>
        <v>2.47658842926433E-2</v>
      </c>
      <c r="BF105" s="190">
        <f t="shared" si="49"/>
        <v>1.990695975538358E-2</v>
      </c>
      <c r="BG105" s="190">
        <f t="shared" si="49"/>
        <v>1.5354453717740768E-2</v>
      </c>
      <c r="BH105" s="190">
        <f t="shared" si="49"/>
        <v>1.2411172901905246E-2</v>
      </c>
      <c r="BI105" s="190">
        <f t="shared" si="49"/>
        <v>9.5580341667545164E-3</v>
      </c>
      <c r="BJ105" s="190">
        <f t="shared" si="49"/>
        <v>5.2783260640282218E-3</v>
      </c>
      <c r="BK105" s="190">
        <f t="shared" si="50"/>
        <v>13.730938960633223</v>
      </c>
      <c r="BL105" s="190">
        <f t="shared" si="50"/>
        <v>13.481456116591099</v>
      </c>
      <c r="BM105" s="190">
        <f t="shared" si="50"/>
        <v>13.506668606035877</v>
      </c>
      <c r="BN105" s="190">
        <f t="shared" si="50"/>
        <v>11.450826162489095</v>
      </c>
      <c r="BO105" s="190">
        <f t="shared" si="50"/>
        <v>9.7591108428332642</v>
      </c>
      <c r="BP105" s="190">
        <f t="shared" si="50"/>
        <v>7.6557359050975649</v>
      </c>
      <c r="BQ105" s="190">
        <f t="shared" si="50"/>
        <v>6.1801676747075129</v>
      </c>
      <c r="BR105" s="190">
        <f t="shared" si="50"/>
        <v>5.2899192842366958</v>
      </c>
      <c r="BS105" s="190">
        <f t="shared" si="50"/>
        <v>4.5387808767368165</v>
      </c>
      <c r="BT105" s="190">
        <f t="shared" si="50"/>
        <v>3.6482980855460041</v>
      </c>
      <c r="BU105" s="190">
        <f t="shared" si="50"/>
        <v>2.813971836552748</v>
      </c>
      <c r="BV105" s="190">
        <f t="shared" si="50"/>
        <v>2.2745642174293366</v>
      </c>
      <c r="BW105" s="190">
        <f t="shared" si="50"/>
        <v>1.7516767090827872</v>
      </c>
      <c r="BX105" s="190">
        <f t="shared" si="50"/>
        <v>0.96734544656292654</v>
      </c>
      <c r="BY105" s="191">
        <v>13.805861909055636</v>
      </c>
      <c r="BZ105" s="191">
        <v>16.6018089802037</v>
      </c>
      <c r="CA105" s="191">
        <v>16.632857030952643</v>
      </c>
      <c r="CB105" s="191">
        <v>14.101179202831721</v>
      </c>
      <c r="CC105" s="191">
        <v>12.017907607915014</v>
      </c>
      <c r="CD105" s="191">
        <v>9.4276956435663362</v>
      </c>
      <c r="CE105" s="191">
        <v>7.6105995015520316</v>
      </c>
      <c r="CF105" s="191">
        <v>6.5142985088616747</v>
      </c>
      <c r="CG105" s="191">
        <v>5.5893052254090989</v>
      </c>
      <c r="CH105" s="191">
        <v>4.4927155787377089</v>
      </c>
      <c r="CI105" s="191">
        <v>3.4652801968942284</v>
      </c>
      <c r="CJ105" s="191">
        <v>2.8010238897337132</v>
      </c>
      <c r="CK105" s="191">
        <v>2.1571113585776116</v>
      </c>
      <c r="CL105" s="191">
        <v>1.1912425618434146</v>
      </c>
      <c r="CV105" s="90"/>
      <c r="CW105" s="90"/>
      <c r="CX105" s="90"/>
      <c r="CY105" s="90"/>
      <c r="CZ105" s="90"/>
      <c r="DA105" s="90"/>
      <c r="DB105" s="90"/>
    </row>
    <row r="106" spans="10:106" s="275" customFormat="1" ht="15.75" customHeight="1" x14ac:dyDescent="0.3">
      <c r="J106" s="264"/>
      <c r="K106" s="178" t="s">
        <v>157</v>
      </c>
      <c r="L106" s="265" t="s">
        <v>328</v>
      </c>
      <c r="M106" s="264" t="s">
        <v>329</v>
      </c>
      <c r="N106" s="266">
        <f>CA106-O106</f>
        <v>722.26991150012554</v>
      </c>
      <c r="O106" s="266">
        <f>P106*CA106</f>
        <v>182.82839150396327</v>
      </c>
      <c r="P106" s="281">
        <v>0.2019983806147268</v>
      </c>
      <c r="Q106" s="267">
        <f t="shared" ref="N106:V112" si="55">+SUMIFS(Q$67:Q$86,$I$67:$I$86,$J106,$M$67:$M$86,$K106)</f>
        <v>0</v>
      </c>
      <c r="R106" s="268">
        <f t="shared" si="55"/>
        <v>0</v>
      </c>
      <c r="S106" s="268">
        <f>O106*X106</f>
        <v>3.6337747547718728</v>
      </c>
      <c r="T106" s="268">
        <f t="shared" si="55"/>
        <v>0</v>
      </c>
      <c r="U106" s="268">
        <f t="shared" si="55"/>
        <v>0</v>
      </c>
      <c r="V106" s="268">
        <f t="shared" si="55"/>
        <v>0</v>
      </c>
      <c r="W106" s="269">
        <f t="shared" si="38"/>
        <v>0</v>
      </c>
      <c r="X106" s="292">
        <v>1.9875330767175192E-2</v>
      </c>
      <c r="Y106" s="269">
        <f t="shared" si="38"/>
        <v>0</v>
      </c>
      <c r="Z106" s="269">
        <f t="shared" si="39"/>
        <v>0</v>
      </c>
      <c r="AA106" s="270" t="str">
        <f t="shared" ref="AA106:AA112" si="56">+IF($T106=0,"-",U106/$T106)</f>
        <v>-</v>
      </c>
      <c r="AB106" s="271">
        <v>8767</v>
      </c>
      <c r="AC106" s="271">
        <f t="shared" ref="AB106:AC112" si="57">+SUMIFS(AC$67:AC$86,$I$67:$I$86,$J106,$M$67:$M$86,$K106)</f>
        <v>0</v>
      </c>
      <c r="AD106" s="272">
        <f t="shared" si="43"/>
        <v>6996.0801971506908</v>
      </c>
      <c r="AE106" s="273">
        <f t="shared" si="44"/>
        <v>9.6862406778376151</v>
      </c>
      <c r="AF106" s="272">
        <f t="shared" si="45"/>
        <v>1770.9198028493099</v>
      </c>
      <c r="AG106" s="273">
        <f t="shared" ref="AG106:AG112" si="58">+IF(P106=0,"-",AF106/P106)</f>
        <v>8767</v>
      </c>
      <c r="AH106" s="266">
        <f>N106+O106</f>
        <v>905.09830300408885</v>
      </c>
      <c r="AI106" s="266">
        <f t="shared" ref="AI106:AV112" si="59">+SUMIFS(BK$67:BK$86,$I$67:$I$86,$J106,$M$67:$M$86,$K106)</f>
        <v>0</v>
      </c>
      <c r="AJ106" s="266">
        <f t="shared" si="59"/>
        <v>0</v>
      </c>
      <c r="AK106" s="266">
        <f t="shared" si="59"/>
        <v>0</v>
      </c>
      <c r="AL106" s="266">
        <f t="shared" si="59"/>
        <v>0</v>
      </c>
      <c r="AM106" s="266">
        <f t="shared" si="59"/>
        <v>0</v>
      </c>
      <c r="AN106" s="266">
        <f t="shared" si="59"/>
        <v>0</v>
      </c>
      <c r="AO106" s="266">
        <f t="shared" si="59"/>
        <v>0</v>
      </c>
      <c r="AP106" s="266">
        <f t="shared" si="59"/>
        <v>0</v>
      </c>
      <c r="AQ106" s="266">
        <f t="shared" si="59"/>
        <v>0</v>
      </c>
      <c r="AR106" s="266">
        <f t="shared" si="59"/>
        <v>0</v>
      </c>
      <c r="AS106" s="266">
        <f t="shared" si="59"/>
        <v>0</v>
      </c>
      <c r="AT106" s="266">
        <f t="shared" si="59"/>
        <v>0</v>
      </c>
      <c r="AU106" s="266">
        <f t="shared" si="59"/>
        <v>0</v>
      </c>
      <c r="AV106" s="266">
        <f t="shared" si="59"/>
        <v>0</v>
      </c>
      <c r="AW106" s="274">
        <f t="shared" si="49"/>
        <v>0</v>
      </c>
      <c r="AX106" s="274">
        <f t="shared" si="49"/>
        <v>0</v>
      </c>
      <c r="AY106" s="274">
        <f t="shared" si="49"/>
        <v>0</v>
      </c>
      <c r="AZ106" s="274">
        <f t="shared" si="49"/>
        <v>0</v>
      </c>
      <c r="BA106" s="274">
        <f t="shared" si="49"/>
        <v>0</v>
      </c>
      <c r="BB106" s="274">
        <f t="shared" si="49"/>
        <v>0</v>
      </c>
      <c r="BC106" s="274">
        <f t="shared" si="49"/>
        <v>0</v>
      </c>
      <c r="BD106" s="274">
        <f t="shared" si="49"/>
        <v>0</v>
      </c>
      <c r="BE106" s="274">
        <f t="shared" si="49"/>
        <v>0</v>
      </c>
      <c r="BF106" s="274">
        <f t="shared" si="49"/>
        <v>0</v>
      </c>
      <c r="BG106" s="274">
        <f t="shared" si="49"/>
        <v>0</v>
      </c>
      <c r="BH106" s="274">
        <f t="shared" si="49"/>
        <v>0</v>
      </c>
      <c r="BI106" s="274">
        <f t="shared" si="49"/>
        <v>0</v>
      </c>
      <c r="BJ106" s="274">
        <f t="shared" si="49"/>
        <v>0</v>
      </c>
      <c r="BK106" s="274">
        <f t="shared" si="50"/>
        <v>0</v>
      </c>
      <c r="BL106" s="274">
        <f t="shared" si="50"/>
        <v>0</v>
      </c>
      <c r="BM106" s="274">
        <f t="shared" si="50"/>
        <v>0</v>
      </c>
      <c r="BN106" s="274">
        <f t="shared" si="50"/>
        <v>0</v>
      </c>
      <c r="BO106" s="274">
        <f t="shared" si="50"/>
        <v>0</v>
      </c>
      <c r="BP106" s="274">
        <f t="shared" si="50"/>
        <v>0</v>
      </c>
      <c r="BQ106" s="274">
        <f t="shared" si="50"/>
        <v>0</v>
      </c>
      <c r="BR106" s="274">
        <f t="shared" si="50"/>
        <v>0</v>
      </c>
      <c r="BS106" s="274">
        <f t="shared" si="50"/>
        <v>0</v>
      </c>
      <c r="BT106" s="274">
        <f t="shared" si="50"/>
        <v>0</v>
      </c>
      <c r="BU106" s="274">
        <f t="shared" si="50"/>
        <v>0</v>
      </c>
      <c r="BV106" s="274">
        <f t="shared" si="50"/>
        <v>0</v>
      </c>
      <c r="BW106" s="274">
        <f t="shared" si="50"/>
        <v>0</v>
      </c>
      <c r="BX106" s="274">
        <f t="shared" si="50"/>
        <v>0</v>
      </c>
      <c r="BY106" s="275">
        <v>0</v>
      </c>
      <c r="BZ106" s="275">
        <v>0</v>
      </c>
      <c r="CA106" s="275">
        <v>905.09830300408885</v>
      </c>
      <c r="CB106" s="275">
        <v>733.84566832987673</v>
      </c>
      <c r="CC106" s="275">
        <v>606.55624662350851</v>
      </c>
      <c r="CD106" s="275">
        <v>428.29336001378488</v>
      </c>
      <c r="CE106" s="275">
        <v>332.13678848606423</v>
      </c>
      <c r="CF106" s="275">
        <v>270.63626171418025</v>
      </c>
      <c r="CG106" s="275">
        <v>222.85752681517675</v>
      </c>
      <c r="CH106" s="275">
        <v>154.52785856636385</v>
      </c>
      <c r="CI106" s="275">
        <v>103.12251243318286</v>
      </c>
      <c r="CJ106" s="275">
        <v>86.86829712629546</v>
      </c>
      <c r="CK106" s="275">
        <v>76.383517157336627</v>
      </c>
      <c r="CL106" s="275">
        <v>62.891408559620224</v>
      </c>
      <c r="CV106" s="276"/>
      <c r="CW106" s="276"/>
      <c r="CX106" s="276"/>
      <c r="CY106" s="276"/>
      <c r="CZ106" s="276"/>
      <c r="DA106" s="276"/>
      <c r="DB106" s="276"/>
    </row>
    <row r="107" spans="10:106" ht="15.75" customHeight="1" x14ac:dyDescent="0.3">
      <c r="J107" s="178" t="s">
        <v>172</v>
      </c>
      <c r="K107" s="178" t="s">
        <v>177</v>
      </c>
      <c r="L107" s="179" t="s">
        <v>236</v>
      </c>
      <c r="M107" s="178"/>
      <c r="N107" s="181">
        <f>+SUMIFS(N$67:N$86,$I$67:$I$86,$J107,$M$67:$M$86,$K107)</f>
        <v>0</v>
      </c>
      <c r="O107" s="181">
        <f t="shared" si="55"/>
        <v>0</v>
      </c>
      <c r="P107" s="183">
        <f t="shared" si="55"/>
        <v>0</v>
      </c>
      <c r="Q107" s="183">
        <f t="shared" si="55"/>
        <v>0</v>
      </c>
      <c r="R107" s="184">
        <f t="shared" si="55"/>
        <v>0</v>
      </c>
      <c r="S107" s="184">
        <f t="shared" si="55"/>
        <v>0</v>
      </c>
      <c r="T107" s="184">
        <f t="shared" si="55"/>
        <v>0</v>
      </c>
      <c r="U107" s="184">
        <f t="shared" si="55"/>
        <v>0</v>
      </c>
      <c r="V107" s="184">
        <f t="shared" si="55"/>
        <v>0</v>
      </c>
      <c r="W107" s="116" t="str">
        <f t="shared" si="38"/>
        <v>-</v>
      </c>
      <c r="X107" s="116" t="str">
        <f t="shared" si="38"/>
        <v>-</v>
      </c>
      <c r="Y107" s="116" t="str">
        <f t="shared" si="38"/>
        <v>-</v>
      </c>
      <c r="Z107" s="116" t="str">
        <f t="shared" si="39"/>
        <v>-</v>
      </c>
      <c r="AA107" s="117" t="str">
        <f t="shared" si="56"/>
        <v>-</v>
      </c>
      <c r="AB107" s="187">
        <f t="shared" si="57"/>
        <v>0</v>
      </c>
      <c r="AC107" s="187">
        <f t="shared" si="57"/>
        <v>0</v>
      </c>
      <c r="AD107" s="193">
        <f t="shared" si="43"/>
        <v>0</v>
      </c>
      <c r="AE107" s="195" t="str">
        <f t="shared" si="44"/>
        <v>-</v>
      </c>
      <c r="AF107" s="193">
        <f t="shared" si="45"/>
        <v>0</v>
      </c>
      <c r="AG107" s="195" t="str">
        <f t="shared" si="58"/>
        <v>-</v>
      </c>
      <c r="AH107" s="181">
        <f t="shared" ref="AH107:AH112" si="60">+SUMIFS(AH$67:AH$86,$I$67:$I$86,$J107,$M$67:$M$86,$K107)</f>
        <v>0</v>
      </c>
      <c r="AI107" s="181">
        <f t="shared" si="59"/>
        <v>0</v>
      </c>
      <c r="AJ107" s="181">
        <f t="shared" si="59"/>
        <v>0</v>
      </c>
      <c r="AK107" s="181">
        <f t="shared" si="59"/>
        <v>0</v>
      </c>
      <c r="AL107" s="181">
        <f t="shared" si="59"/>
        <v>0</v>
      </c>
      <c r="AM107" s="181">
        <f t="shared" si="59"/>
        <v>0</v>
      </c>
      <c r="AN107" s="181">
        <f t="shared" si="59"/>
        <v>0</v>
      </c>
      <c r="AO107" s="181">
        <f t="shared" si="59"/>
        <v>0</v>
      </c>
      <c r="AP107" s="181">
        <f t="shared" si="59"/>
        <v>0</v>
      </c>
      <c r="AQ107" s="181">
        <f t="shared" si="59"/>
        <v>0</v>
      </c>
      <c r="AR107" s="181">
        <f t="shared" si="59"/>
        <v>0</v>
      </c>
      <c r="AS107" s="181">
        <f t="shared" si="59"/>
        <v>0</v>
      </c>
      <c r="AT107" s="181">
        <f t="shared" si="59"/>
        <v>0</v>
      </c>
      <c r="AU107" s="181">
        <f t="shared" si="59"/>
        <v>0</v>
      </c>
      <c r="AV107" s="181">
        <f t="shared" si="59"/>
        <v>0</v>
      </c>
      <c r="AW107" s="190">
        <f t="shared" si="49"/>
        <v>0</v>
      </c>
      <c r="AX107" s="190">
        <f t="shared" si="49"/>
        <v>0</v>
      </c>
      <c r="AY107" s="190">
        <f t="shared" si="49"/>
        <v>0</v>
      </c>
      <c r="AZ107" s="190">
        <f t="shared" si="49"/>
        <v>0</v>
      </c>
      <c r="BA107" s="190">
        <f t="shared" si="49"/>
        <v>0</v>
      </c>
      <c r="BB107" s="190">
        <f t="shared" si="49"/>
        <v>0</v>
      </c>
      <c r="BC107" s="190">
        <f t="shared" si="49"/>
        <v>0</v>
      </c>
      <c r="BD107" s="190">
        <f t="shared" si="49"/>
        <v>0</v>
      </c>
      <c r="BE107" s="190">
        <f t="shared" si="49"/>
        <v>0</v>
      </c>
      <c r="BF107" s="190">
        <f t="shared" si="49"/>
        <v>0</v>
      </c>
      <c r="BG107" s="190">
        <f t="shared" si="49"/>
        <v>0</v>
      </c>
      <c r="BH107" s="190">
        <f t="shared" si="49"/>
        <v>0</v>
      </c>
      <c r="BI107" s="190">
        <f t="shared" si="49"/>
        <v>0</v>
      </c>
      <c r="BJ107" s="190">
        <f t="shared" si="49"/>
        <v>0</v>
      </c>
      <c r="BK107" s="190">
        <f t="shared" si="50"/>
        <v>0</v>
      </c>
      <c r="BL107" s="190">
        <f t="shared" si="50"/>
        <v>0</v>
      </c>
      <c r="BM107" s="190">
        <f t="shared" si="50"/>
        <v>0</v>
      </c>
      <c r="BN107" s="190">
        <f t="shared" si="50"/>
        <v>0</v>
      </c>
      <c r="BO107" s="190">
        <f t="shared" si="50"/>
        <v>0</v>
      </c>
      <c r="BP107" s="190">
        <f t="shared" si="50"/>
        <v>0</v>
      </c>
      <c r="BQ107" s="190">
        <f t="shared" si="50"/>
        <v>0</v>
      </c>
      <c r="BR107" s="190">
        <f t="shared" si="50"/>
        <v>0</v>
      </c>
      <c r="BS107" s="190">
        <f t="shared" si="50"/>
        <v>0</v>
      </c>
      <c r="BT107" s="190">
        <f t="shared" si="50"/>
        <v>0</v>
      </c>
      <c r="BU107" s="190">
        <f t="shared" si="50"/>
        <v>0</v>
      </c>
      <c r="BV107" s="190">
        <f t="shared" si="50"/>
        <v>0</v>
      </c>
      <c r="BW107" s="190">
        <f t="shared" si="50"/>
        <v>0</v>
      </c>
      <c r="BX107" s="190">
        <f t="shared" si="50"/>
        <v>0</v>
      </c>
      <c r="CV107" s="20"/>
      <c r="CW107" s="20"/>
      <c r="CX107" s="20"/>
      <c r="CY107" s="20"/>
      <c r="CZ107" s="20"/>
      <c r="DA107" s="20"/>
      <c r="DB107" s="20"/>
    </row>
    <row r="108" spans="10:106" ht="15.75" customHeight="1" x14ac:dyDescent="0.3">
      <c r="J108" s="178" t="s">
        <v>172</v>
      </c>
      <c r="K108" s="178" t="s">
        <v>157</v>
      </c>
      <c r="L108" s="179" t="s">
        <v>236</v>
      </c>
      <c r="M108" s="178"/>
      <c r="N108" s="181">
        <f t="shared" si="55"/>
        <v>0</v>
      </c>
      <c r="O108" s="181">
        <f t="shared" si="55"/>
        <v>0</v>
      </c>
      <c r="P108" s="183">
        <f t="shared" si="55"/>
        <v>0</v>
      </c>
      <c r="Q108" s="183">
        <f t="shared" si="55"/>
        <v>0</v>
      </c>
      <c r="R108" s="184">
        <f t="shared" si="55"/>
        <v>0</v>
      </c>
      <c r="S108" s="184">
        <f t="shared" si="55"/>
        <v>0</v>
      </c>
      <c r="T108" s="184">
        <f t="shared" si="55"/>
        <v>0</v>
      </c>
      <c r="U108" s="184">
        <f t="shared" si="55"/>
        <v>0</v>
      </c>
      <c r="V108" s="184">
        <f t="shared" si="55"/>
        <v>0</v>
      </c>
      <c r="W108" s="116" t="str">
        <f t="shared" si="38"/>
        <v>-</v>
      </c>
      <c r="X108" s="116" t="str">
        <f t="shared" si="38"/>
        <v>-</v>
      </c>
      <c r="Y108" s="116" t="str">
        <f t="shared" si="38"/>
        <v>-</v>
      </c>
      <c r="Z108" s="116" t="str">
        <f t="shared" si="39"/>
        <v>-</v>
      </c>
      <c r="AA108" s="117" t="str">
        <f t="shared" si="56"/>
        <v>-</v>
      </c>
      <c r="AB108" s="187">
        <f t="shared" si="57"/>
        <v>0</v>
      </c>
      <c r="AC108" s="187">
        <f t="shared" si="57"/>
        <v>0</v>
      </c>
      <c r="AD108" s="193">
        <f t="shared" si="43"/>
        <v>0</v>
      </c>
      <c r="AE108" s="195" t="str">
        <f t="shared" si="44"/>
        <v>-</v>
      </c>
      <c r="AF108" s="193">
        <f t="shared" si="45"/>
        <v>0</v>
      </c>
      <c r="AG108" s="195" t="str">
        <f t="shared" si="58"/>
        <v>-</v>
      </c>
      <c r="AH108" s="181">
        <f t="shared" si="60"/>
        <v>0</v>
      </c>
      <c r="AI108" s="181">
        <f t="shared" si="59"/>
        <v>0</v>
      </c>
      <c r="AJ108" s="181">
        <f t="shared" si="59"/>
        <v>0</v>
      </c>
      <c r="AK108" s="181">
        <f t="shared" si="59"/>
        <v>0</v>
      </c>
      <c r="AL108" s="181">
        <f t="shared" si="59"/>
        <v>0</v>
      </c>
      <c r="AM108" s="181">
        <f t="shared" si="59"/>
        <v>0</v>
      </c>
      <c r="AN108" s="181">
        <f t="shared" si="59"/>
        <v>0</v>
      </c>
      <c r="AO108" s="181">
        <f t="shared" si="59"/>
        <v>0</v>
      </c>
      <c r="AP108" s="181">
        <f t="shared" si="59"/>
        <v>0</v>
      </c>
      <c r="AQ108" s="181">
        <f t="shared" si="59"/>
        <v>0</v>
      </c>
      <c r="AR108" s="181">
        <f t="shared" si="59"/>
        <v>0</v>
      </c>
      <c r="AS108" s="181">
        <f t="shared" si="59"/>
        <v>0</v>
      </c>
      <c r="AT108" s="181">
        <f t="shared" si="59"/>
        <v>0</v>
      </c>
      <c r="AU108" s="181">
        <f t="shared" si="59"/>
        <v>0</v>
      </c>
      <c r="AV108" s="181">
        <f t="shared" si="59"/>
        <v>0</v>
      </c>
      <c r="AW108" s="190">
        <f t="shared" si="49"/>
        <v>0</v>
      </c>
      <c r="AX108" s="190">
        <f t="shared" si="49"/>
        <v>0</v>
      </c>
      <c r="AY108" s="190">
        <f t="shared" si="49"/>
        <v>0</v>
      </c>
      <c r="AZ108" s="190">
        <f t="shared" si="49"/>
        <v>0</v>
      </c>
      <c r="BA108" s="190">
        <f t="shared" si="49"/>
        <v>0</v>
      </c>
      <c r="BB108" s="190">
        <f t="shared" si="49"/>
        <v>0</v>
      </c>
      <c r="BC108" s="190">
        <f t="shared" si="49"/>
        <v>0</v>
      </c>
      <c r="BD108" s="190">
        <f t="shared" si="49"/>
        <v>0</v>
      </c>
      <c r="BE108" s="190">
        <f t="shared" si="49"/>
        <v>0</v>
      </c>
      <c r="BF108" s="190">
        <f t="shared" si="49"/>
        <v>0</v>
      </c>
      <c r="BG108" s="190">
        <f t="shared" si="49"/>
        <v>0</v>
      </c>
      <c r="BH108" s="190">
        <f t="shared" si="49"/>
        <v>0</v>
      </c>
      <c r="BI108" s="190">
        <f t="shared" si="49"/>
        <v>0</v>
      </c>
      <c r="BJ108" s="190">
        <f t="shared" si="49"/>
        <v>0</v>
      </c>
      <c r="BK108" s="190">
        <f t="shared" si="50"/>
        <v>0</v>
      </c>
      <c r="BL108" s="190">
        <f t="shared" si="50"/>
        <v>0</v>
      </c>
      <c r="BM108" s="190">
        <f t="shared" si="50"/>
        <v>0</v>
      </c>
      <c r="BN108" s="190">
        <f t="shared" si="50"/>
        <v>0</v>
      </c>
      <c r="BO108" s="190">
        <f t="shared" si="50"/>
        <v>0</v>
      </c>
      <c r="BP108" s="190">
        <f t="shared" si="50"/>
        <v>0</v>
      </c>
      <c r="BQ108" s="190">
        <f t="shared" si="50"/>
        <v>0</v>
      </c>
      <c r="BR108" s="190">
        <f t="shared" si="50"/>
        <v>0</v>
      </c>
      <c r="BS108" s="190">
        <f t="shared" si="50"/>
        <v>0</v>
      </c>
      <c r="BT108" s="190">
        <f t="shared" si="50"/>
        <v>0</v>
      </c>
      <c r="BU108" s="190">
        <f t="shared" si="50"/>
        <v>0</v>
      </c>
      <c r="BV108" s="190">
        <f t="shared" si="50"/>
        <v>0</v>
      </c>
      <c r="BW108" s="190">
        <f t="shared" si="50"/>
        <v>0</v>
      </c>
      <c r="BX108" s="190">
        <f t="shared" si="50"/>
        <v>0</v>
      </c>
      <c r="CV108" s="20"/>
      <c r="CW108" s="20"/>
      <c r="CX108" s="20"/>
      <c r="CY108" s="20"/>
      <c r="CZ108" s="20"/>
      <c r="DA108" s="20"/>
      <c r="DB108" s="20"/>
    </row>
    <row r="109" spans="10:106" ht="15.75" customHeight="1" x14ac:dyDescent="0.3">
      <c r="J109" s="178" t="s">
        <v>175</v>
      </c>
      <c r="K109" s="178" t="s">
        <v>145</v>
      </c>
      <c r="L109" s="179" t="s">
        <v>236</v>
      </c>
      <c r="M109" s="178"/>
      <c r="N109" s="181">
        <f t="shared" si="55"/>
        <v>0</v>
      </c>
      <c r="O109" s="181">
        <f t="shared" si="55"/>
        <v>0</v>
      </c>
      <c r="P109" s="183">
        <f t="shared" si="55"/>
        <v>0</v>
      </c>
      <c r="Q109" s="183">
        <f t="shared" si="55"/>
        <v>0</v>
      </c>
      <c r="R109" s="184">
        <f t="shared" si="55"/>
        <v>0</v>
      </c>
      <c r="S109" s="184">
        <f t="shared" si="55"/>
        <v>0</v>
      </c>
      <c r="T109" s="184">
        <f t="shared" si="55"/>
        <v>0</v>
      </c>
      <c r="U109" s="184">
        <f t="shared" si="55"/>
        <v>0</v>
      </c>
      <c r="V109" s="184">
        <f t="shared" si="55"/>
        <v>0</v>
      </c>
      <c r="W109" s="116" t="str">
        <f t="shared" si="38"/>
        <v>-</v>
      </c>
      <c r="X109" s="116" t="str">
        <f t="shared" si="38"/>
        <v>-</v>
      </c>
      <c r="Y109" s="116" t="str">
        <f t="shared" si="38"/>
        <v>-</v>
      </c>
      <c r="Z109" s="116" t="str">
        <f t="shared" si="39"/>
        <v>-</v>
      </c>
      <c r="AA109" s="117" t="str">
        <f t="shared" si="56"/>
        <v>-</v>
      </c>
      <c r="AB109" s="187">
        <f t="shared" si="57"/>
        <v>0</v>
      </c>
      <c r="AC109" s="187">
        <f t="shared" si="57"/>
        <v>0</v>
      </c>
      <c r="AD109" s="193">
        <f t="shared" si="43"/>
        <v>0</v>
      </c>
      <c r="AE109" s="195" t="str">
        <f t="shared" si="44"/>
        <v>-</v>
      </c>
      <c r="AF109" s="193">
        <f t="shared" si="45"/>
        <v>0</v>
      </c>
      <c r="AG109" s="195" t="str">
        <f t="shared" si="58"/>
        <v>-</v>
      </c>
      <c r="AH109" s="181">
        <f t="shared" si="60"/>
        <v>0</v>
      </c>
      <c r="AI109" s="181">
        <f t="shared" si="59"/>
        <v>0</v>
      </c>
      <c r="AJ109" s="181">
        <f t="shared" si="59"/>
        <v>0</v>
      </c>
      <c r="AK109" s="181">
        <f t="shared" si="59"/>
        <v>0</v>
      </c>
      <c r="AL109" s="181">
        <f t="shared" si="59"/>
        <v>0</v>
      </c>
      <c r="AM109" s="181">
        <f t="shared" si="59"/>
        <v>0</v>
      </c>
      <c r="AN109" s="181">
        <f t="shared" si="59"/>
        <v>0</v>
      </c>
      <c r="AO109" s="181">
        <f t="shared" si="59"/>
        <v>0</v>
      </c>
      <c r="AP109" s="181">
        <f t="shared" si="59"/>
        <v>0</v>
      </c>
      <c r="AQ109" s="181">
        <f t="shared" si="59"/>
        <v>0</v>
      </c>
      <c r="AR109" s="181">
        <f t="shared" si="59"/>
        <v>0</v>
      </c>
      <c r="AS109" s="181">
        <f t="shared" si="59"/>
        <v>0</v>
      </c>
      <c r="AT109" s="181">
        <f t="shared" si="59"/>
        <v>0</v>
      </c>
      <c r="AU109" s="181">
        <f t="shared" si="59"/>
        <v>0</v>
      </c>
      <c r="AV109" s="181">
        <f t="shared" si="59"/>
        <v>0</v>
      </c>
      <c r="AW109" s="190">
        <f t="shared" si="49"/>
        <v>0</v>
      </c>
      <c r="AX109" s="190">
        <f t="shared" si="49"/>
        <v>0</v>
      </c>
      <c r="AY109" s="190">
        <f t="shared" si="49"/>
        <v>0</v>
      </c>
      <c r="AZ109" s="190">
        <f t="shared" si="49"/>
        <v>0</v>
      </c>
      <c r="BA109" s="190">
        <f t="shared" si="49"/>
        <v>0</v>
      </c>
      <c r="BB109" s="190">
        <f t="shared" si="49"/>
        <v>0</v>
      </c>
      <c r="BC109" s="190">
        <f t="shared" si="49"/>
        <v>0</v>
      </c>
      <c r="BD109" s="190">
        <f t="shared" si="49"/>
        <v>0</v>
      </c>
      <c r="BE109" s="190">
        <f t="shared" si="49"/>
        <v>0</v>
      </c>
      <c r="BF109" s="190">
        <f t="shared" si="49"/>
        <v>0</v>
      </c>
      <c r="BG109" s="190">
        <f t="shared" si="49"/>
        <v>0</v>
      </c>
      <c r="BH109" s="190">
        <f t="shared" si="49"/>
        <v>0</v>
      </c>
      <c r="BI109" s="190">
        <f t="shared" si="49"/>
        <v>0</v>
      </c>
      <c r="BJ109" s="190">
        <f t="shared" si="49"/>
        <v>0</v>
      </c>
      <c r="BK109" s="190">
        <f t="shared" si="50"/>
        <v>0</v>
      </c>
      <c r="BL109" s="190">
        <f t="shared" si="50"/>
        <v>0</v>
      </c>
      <c r="BM109" s="190">
        <f t="shared" si="50"/>
        <v>0</v>
      </c>
      <c r="BN109" s="190">
        <f t="shared" si="50"/>
        <v>0</v>
      </c>
      <c r="BO109" s="190">
        <f t="shared" si="50"/>
        <v>0</v>
      </c>
      <c r="BP109" s="190">
        <f t="shared" si="50"/>
        <v>0</v>
      </c>
      <c r="BQ109" s="190">
        <f t="shared" si="50"/>
        <v>0</v>
      </c>
      <c r="BR109" s="190">
        <f t="shared" si="50"/>
        <v>0</v>
      </c>
      <c r="BS109" s="190">
        <f t="shared" si="50"/>
        <v>0</v>
      </c>
      <c r="BT109" s="190">
        <f t="shared" si="50"/>
        <v>0</v>
      </c>
      <c r="BU109" s="190">
        <f t="shared" si="50"/>
        <v>0</v>
      </c>
      <c r="BV109" s="190">
        <f t="shared" si="50"/>
        <v>0</v>
      </c>
      <c r="BW109" s="190">
        <f t="shared" si="50"/>
        <v>0</v>
      </c>
      <c r="BX109" s="190">
        <f t="shared" si="50"/>
        <v>0</v>
      </c>
      <c r="CV109" s="20"/>
      <c r="CW109" s="20"/>
      <c r="CX109" s="20"/>
      <c r="CY109" s="20"/>
      <c r="CZ109" s="20"/>
      <c r="DA109" s="20"/>
      <c r="DB109" s="20"/>
    </row>
    <row r="110" spans="10:106" ht="15.75" customHeight="1" x14ac:dyDescent="0.3">
      <c r="J110" s="178" t="s">
        <v>175</v>
      </c>
      <c r="K110" s="178" t="s">
        <v>157</v>
      </c>
      <c r="L110" s="179" t="s">
        <v>236</v>
      </c>
      <c r="M110" s="178"/>
      <c r="N110" s="181">
        <f t="shared" si="55"/>
        <v>3.2805677744000978</v>
      </c>
      <c r="O110" s="181">
        <f t="shared" si="55"/>
        <v>8.7791106651863626E-2</v>
      </c>
      <c r="P110" s="183">
        <f t="shared" si="55"/>
        <v>2.6063465845553212E-2</v>
      </c>
      <c r="Q110" s="183">
        <f t="shared" si="55"/>
        <v>0</v>
      </c>
      <c r="R110" s="184">
        <f t="shared" si="55"/>
        <v>3.6990181091585597E-2</v>
      </c>
      <c r="S110" s="184">
        <f t="shared" si="55"/>
        <v>5.0800925560278022E-2</v>
      </c>
      <c r="T110" s="184">
        <f t="shared" si="55"/>
        <v>0</v>
      </c>
      <c r="U110" s="184">
        <f t="shared" si="55"/>
        <v>0</v>
      </c>
      <c r="V110" s="184">
        <f t="shared" si="55"/>
        <v>0</v>
      </c>
      <c r="W110" s="116">
        <f t="shared" si="38"/>
        <v>0.42134314627414909</v>
      </c>
      <c r="X110" s="116">
        <f t="shared" si="38"/>
        <v>0.57865685372585085</v>
      </c>
      <c r="Y110" s="116">
        <f t="shared" si="38"/>
        <v>0</v>
      </c>
      <c r="Z110" s="116">
        <f t="shared" si="39"/>
        <v>0</v>
      </c>
      <c r="AA110" s="117" t="str">
        <f t="shared" si="56"/>
        <v>-</v>
      </c>
      <c r="AB110" s="187">
        <f t="shared" si="57"/>
        <v>34.198855287999997</v>
      </c>
      <c r="AC110" s="187">
        <f t="shared" si="57"/>
        <v>10.42467573902014</v>
      </c>
      <c r="AD110" s="193">
        <f t="shared" si="43"/>
        <v>33.307514591244193</v>
      </c>
      <c r="AE110" s="193">
        <f t="shared" si="44"/>
        <v>10.152972558945223</v>
      </c>
      <c r="AF110" s="193">
        <f t="shared" si="45"/>
        <v>0.89134069675580474</v>
      </c>
      <c r="AG110" s="193">
        <f t="shared" si="58"/>
        <v>34.198855287999997</v>
      </c>
      <c r="AH110" s="181">
        <f t="shared" si="60"/>
        <v>3.3683588810519614</v>
      </c>
      <c r="AI110" s="181">
        <f t="shared" si="59"/>
        <v>3.3683588810519614</v>
      </c>
      <c r="AJ110" s="181">
        <f t="shared" si="59"/>
        <v>3.0751987685605915</v>
      </c>
      <c r="AK110" s="181">
        <f t="shared" si="59"/>
        <v>3.4930679115729726</v>
      </c>
      <c r="AL110" s="181">
        <f t="shared" si="59"/>
        <v>2.7288246831254654</v>
      </c>
      <c r="AM110" s="181">
        <f t="shared" si="59"/>
        <v>0</v>
      </c>
      <c r="AN110" s="181">
        <f t="shared" si="59"/>
        <v>0</v>
      </c>
      <c r="AO110" s="181">
        <f t="shared" si="59"/>
        <v>1.6467059785204439</v>
      </c>
      <c r="AP110" s="181">
        <f t="shared" si="59"/>
        <v>0.98038529706751343</v>
      </c>
      <c r="AQ110" s="181">
        <f t="shared" si="59"/>
        <v>0.82911070247183327</v>
      </c>
      <c r="AR110" s="181">
        <f t="shared" si="59"/>
        <v>0.60219881057831304</v>
      </c>
      <c r="AS110" s="181">
        <f t="shared" si="59"/>
        <v>0.4903086312459346</v>
      </c>
      <c r="AT110" s="181">
        <f t="shared" si="59"/>
        <v>0.41571517835768235</v>
      </c>
      <c r="AU110" s="181">
        <f t="shared" si="59"/>
        <v>0.34112172546943498</v>
      </c>
      <c r="AV110" s="181">
        <f t="shared" si="59"/>
        <v>0.22923154613705787</v>
      </c>
      <c r="AW110" s="190">
        <f t="shared" si="49"/>
        <v>3.2805677744000978</v>
      </c>
      <c r="AX110" s="190">
        <f t="shared" si="49"/>
        <v>2.9950484304879255</v>
      </c>
      <c r="AY110" s="190">
        <f t="shared" si="49"/>
        <v>3.4020264553634925</v>
      </c>
      <c r="AZ110" s="190">
        <f t="shared" si="49"/>
        <v>2.6577020541983223</v>
      </c>
      <c r="BA110" s="190">
        <f t="shared" si="49"/>
        <v>0</v>
      </c>
      <c r="BB110" s="190">
        <f t="shared" si="49"/>
        <v>0</v>
      </c>
      <c r="BC110" s="190">
        <f t="shared" si="49"/>
        <v>1.603787113491608</v>
      </c>
      <c r="BD110" s="190">
        <f t="shared" si="49"/>
        <v>0.95483305836191179</v>
      </c>
      <c r="BE110" s="190">
        <f t="shared" si="49"/>
        <v>0.80750120399577607</v>
      </c>
      <c r="BF110" s="190">
        <f t="shared" si="49"/>
        <v>0.58650342244657239</v>
      </c>
      <c r="BG110" s="190">
        <f t="shared" si="49"/>
        <v>0.47752948898167624</v>
      </c>
      <c r="BH110" s="190">
        <f t="shared" si="49"/>
        <v>0.40488020000507885</v>
      </c>
      <c r="BI110" s="190">
        <f t="shared" si="49"/>
        <v>0.33223091102848618</v>
      </c>
      <c r="BJ110" s="190">
        <f t="shared" si="49"/>
        <v>0.22325697756359131</v>
      </c>
      <c r="BK110" s="190">
        <f t="shared" si="50"/>
        <v>8.7791106651863626E-2</v>
      </c>
      <c r="BL110" s="190">
        <f t="shared" si="50"/>
        <v>8.0150338072666277E-2</v>
      </c>
      <c r="BM110" s="190">
        <f t="shared" si="50"/>
        <v>9.1041456209480051E-2</v>
      </c>
      <c r="BN110" s="190">
        <f t="shared" si="50"/>
        <v>7.1122628927143133E-2</v>
      </c>
      <c r="BO110" s="190">
        <f t="shared" si="50"/>
        <v>0</v>
      </c>
      <c r="BP110" s="190">
        <f t="shared" si="50"/>
        <v>0</v>
      </c>
      <c r="BQ110" s="190">
        <f t="shared" si="50"/>
        <v>4.2918865028835872E-2</v>
      </c>
      <c r="BR110" s="190">
        <f t="shared" si="50"/>
        <v>2.5552238705601676E-2</v>
      </c>
      <c r="BS110" s="190">
        <f t="shared" si="50"/>
        <v>2.1609498476057257E-2</v>
      </c>
      <c r="BT110" s="190">
        <f t="shared" si="50"/>
        <v>1.569538813174063E-2</v>
      </c>
      <c r="BU110" s="190">
        <f t="shared" si="50"/>
        <v>1.277914226425836E-2</v>
      </c>
      <c r="BV110" s="190">
        <f t="shared" si="50"/>
        <v>1.0834978352603516E-2</v>
      </c>
      <c r="BW110" s="190">
        <f t="shared" si="50"/>
        <v>8.8908144409487969E-3</v>
      </c>
      <c r="BX110" s="190">
        <f t="shared" si="50"/>
        <v>5.9745685734665628E-3</v>
      </c>
      <c r="CV110" s="20"/>
      <c r="CW110" s="20"/>
      <c r="CX110" s="20"/>
      <c r="CY110" s="20"/>
      <c r="CZ110" s="20"/>
      <c r="DA110" s="20"/>
      <c r="DB110" s="20"/>
    </row>
    <row r="111" spans="10:106" ht="15.75" customHeight="1" x14ac:dyDescent="0.3">
      <c r="J111" s="178" t="s">
        <v>185</v>
      </c>
      <c r="K111" s="178" t="s">
        <v>145</v>
      </c>
      <c r="L111" s="179" t="s">
        <v>236</v>
      </c>
      <c r="M111" s="178"/>
      <c r="N111" s="181">
        <f t="shared" si="55"/>
        <v>0</v>
      </c>
      <c r="O111" s="181">
        <f t="shared" si="55"/>
        <v>0</v>
      </c>
      <c r="P111" s="183">
        <f t="shared" si="55"/>
        <v>0</v>
      </c>
      <c r="Q111" s="183">
        <f t="shared" si="55"/>
        <v>0</v>
      </c>
      <c r="R111" s="184">
        <f t="shared" si="55"/>
        <v>0</v>
      </c>
      <c r="S111" s="184">
        <f t="shared" si="55"/>
        <v>0</v>
      </c>
      <c r="T111" s="184">
        <f t="shared" si="55"/>
        <v>0</v>
      </c>
      <c r="U111" s="184">
        <f t="shared" si="55"/>
        <v>0</v>
      </c>
      <c r="V111" s="184">
        <f t="shared" si="55"/>
        <v>0</v>
      </c>
      <c r="W111" s="116" t="str">
        <f t="shared" si="38"/>
        <v>-</v>
      </c>
      <c r="X111" s="116" t="str">
        <f t="shared" si="38"/>
        <v>-</v>
      </c>
      <c r="Y111" s="116" t="str">
        <f t="shared" si="38"/>
        <v>-</v>
      </c>
      <c r="Z111" s="116" t="str">
        <f t="shared" si="39"/>
        <v>-</v>
      </c>
      <c r="AA111" s="117" t="str">
        <f t="shared" si="56"/>
        <v>-</v>
      </c>
      <c r="AB111" s="187">
        <f t="shared" si="57"/>
        <v>0</v>
      </c>
      <c r="AC111" s="187">
        <f t="shared" si="57"/>
        <v>0</v>
      </c>
      <c r="AD111" s="193">
        <f t="shared" si="43"/>
        <v>0</v>
      </c>
      <c r="AE111" s="195" t="str">
        <f t="shared" si="44"/>
        <v>-</v>
      </c>
      <c r="AF111" s="193">
        <f t="shared" si="45"/>
        <v>0</v>
      </c>
      <c r="AG111" s="195" t="str">
        <f t="shared" si="58"/>
        <v>-</v>
      </c>
      <c r="AH111" s="181">
        <f t="shared" si="60"/>
        <v>0</v>
      </c>
      <c r="AI111" s="181">
        <f t="shared" si="59"/>
        <v>0</v>
      </c>
      <c r="AJ111" s="181">
        <f t="shared" si="59"/>
        <v>0</v>
      </c>
      <c r="AK111" s="181">
        <f t="shared" si="59"/>
        <v>0</v>
      </c>
      <c r="AL111" s="181">
        <f t="shared" si="59"/>
        <v>0</v>
      </c>
      <c r="AM111" s="181">
        <f t="shared" si="59"/>
        <v>0</v>
      </c>
      <c r="AN111" s="181">
        <f t="shared" si="59"/>
        <v>0</v>
      </c>
      <c r="AO111" s="181">
        <f t="shared" si="59"/>
        <v>0</v>
      </c>
      <c r="AP111" s="181">
        <f t="shared" si="59"/>
        <v>0</v>
      </c>
      <c r="AQ111" s="181">
        <f t="shared" si="59"/>
        <v>0</v>
      </c>
      <c r="AR111" s="181">
        <f t="shared" si="59"/>
        <v>0</v>
      </c>
      <c r="AS111" s="181">
        <f t="shared" si="59"/>
        <v>0</v>
      </c>
      <c r="AT111" s="181">
        <f t="shared" si="59"/>
        <v>0</v>
      </c>
      <c r="AU111" s="181">
        <f t="shared" si="59"/>
        <v>0</v>
      </c>
      <c r="AV111" s="181">
        <f t="shared" si="59"/>
        <v>0</v>
      </c>
      <c r="AW111" s="190">
        <f t="shared" si="49"/>
        <v>0</v>
      </c>
      <c r="AX111" s="190">
        <f t="shared" si="49"/>
        <v>0</v>
      </c>
      <c r="AY111" s="190">
        <f t="shared" si="49"/>
        <v>0</v>
      </c>
      <c r="AZ111" s="190">
        <f t="shared" si="49"/>
        <v>0</v>
      </c>
      <c r="BA111" s="190">
        <f t="shared" si="49"/>
        <v>0</v>
      </c>
      <c r="BB111" s="190">
        <f t="shared" si="49"/>
        <v>0</v>
      </c>
      <c r="BC111" s="190">
        <f t="shared" si="49"/>
        <v>0</v>
      </c>
      <c r="BD111" s="190">
        <f t="shared" si="49"/>
        <v>0</v>
      </c>
      <c r="BE111" s="190">
        <f t="shared" si="49"/>
        <v>0</v>
      </c>
      <c r="BF111" s="190">
        <f t="shared" si="49"/>
        <v>0</v>
      </c>
      <c r="BG111" s="190">
        <f t="shared" si="49"/>
        <v>0</v>
      </c>
      <c r="BH111" s="190">
        <f t="shared" si="49"/>
        <v>0</v>
      </c>
      <c r="BI111" s="190">
        <f t="shared" si="49"/>
        <v>0</v>
      </c>
      <c r="BJ111" s="190">
        <f t="shared" si="49"/>
        <v>0</v>
      </c>
      <c r="BK111" s="190">
        <f t="shared" si="50"/>
        <v>0</v>
      </c>
      <c r="BL111" s="190">
        <f t="shared" si="50"/>
        <v>0</v>
      </c>
      <c r="BM111" s="190">
        <f t="shared" si="50"/>
        <v>0</v>
      </c>
      <c r="BN111" s="190">
        <f t="shared" si="50"/>
        <v>0</v>
      </c>
      <c r="BO111" s="190">
        <f t="shared" si="50"/>
        <v>0</v>
      </c>
      <c r="BP111" s="190">
        <f t="shared" si="50"/>
        <v>0</v>
      </c>
      <c r="BQ111" s="190">
        <f t="shared" si="50"/>
        <v>0</v>
      </c>
      <c r="BR111" s="190">
        <f t="shared" si="50"/>
        <v>0</v>
      </c>
      <c r="BS111" s="190">
        <f t="shared" si="50"/>
        <v>0</v>
      </c>
      <c r="BT111" s="190">
        <f t="shared" si="50"/>
        <v>0</v>
      </c>
      <c r="BU111" s="190">
        <f t="shared" si="50"/>
        <v>0</v>
      </c>
      <c r="BV111" s="190">
        <f t="shared" si="50"/>
        <v>0</v>
      </c>
      <c r="BW111" s="190">
        <f t="shared" si="50"/>
        <v>0</v>
      </c>
      <c r="BX111" s="190">
        <f t="shared" si="50"/>
        <v>0</v>
      </c>
      <c r="CV111" s="20"/>
      <c r="CW111" s="20"/>
      <c r="CX111" s="20"/>
      <c r="CY111" s="20"/>
      <c r="CZ111" s="20"/>
      <c r="DA111" s="20"/>
      <c r="DB111" s="20"/>
    </row>
    <row r="112" spans="10:106" ht="15.75" customHeight="1" x14ac:dyDescent="0.3">
      <c r="J112" s="178" t="s">
        <v>185</v>
      </c>
      <c r="K112" s="178" t="s">
        <v>157</v>
      </c>
      <c r="L112" s="179" t="s">
        <v>236</v>
      </c>
      <c r="M112" s="178"/>
      <c r="N112" s="181">
        <f t="shared" si="55"/>
        <v>0</v>
      </c>
      <c r="O112" s="181">
        <f t="shared" si="55"/>
        <v>0</v>
      </c>
      <c r="P112" s="183">
        <f t="shared" si="55"/>
        <v>0</v>
      </c>
      <c r="Q112" s="183">
        <f t="shared" si="55"/>
        <v>0</v>
      </c>
      <c r="R112" s="184">
        <f t="shared" si="55"/>
        <v>0</v>
      </c>
      <c r="S112" s="184">
        <f t="shared" si="55"/>
        <v>0</v>
      </c>
      <c r="T112" s="184">
        <f t="shared" si="55"/>
        <v>0</v>
      </c>
      <c r="U112" s="184">
        <f t="shared" si="55"/>
        <v>0</v>
      </c>
      <c r="V112" s="184">
        <f t="shared" si="55"/>
        <v>0</v>
      </c>
      <c r="W112" s="196" t="str">
        <f t="shared" si="38"/>
        <v>-</v>
      </c>
      <c r="X112" s="196" t="str">
        <f t="shared" si="38"/>
        <v>-</v>
      </c>
      <c r="Y112" s="196" t="str">
        <f t="shared" si="38"/>
        <v>-</v>
      </c>
      <c r="Z112" s="196" t="str">
        <f t="shared" si="39"/>
        <v>-</v>
      </c>
      <c r="AA112" s="197" t="str">
        <f t="shared" si="56"/>
        <v>-</v>
      </c>
      <c r="AB112" s="187">
        <f t="shared" si="57"/>
        <v>0</v>
      </c>
      <c r="AC112" s="187">
        <f t="shared" si="57"/>
        <v>0</v>
      </c>
      <c r="AD112" s="193">
        <f t="shared" si="43"/>
        <v>0</v>
      </c>
      <c r="AE112" s="195" t="str">
        <f t="shared" si="44"/>
        <v>-</v>
      </c>
      <c r="AF112" s="193">
        <f t="shared" si="45"/>
        <v>0</v>
      </c>
      <c r="AG112" s="195" t="str">
        <f t="shared" si="58"/>
        <v>-</v>
      </c>
      <c r="AH112" s="181">
        <f t="shared" si="60"/>
        <v>0</v>
      </c>
      <c r="AI112" s="181">
        <f t="shared" si="59"/>
        <v>0</v>
      </c>
      <c r="AJ112" s="181">
        <f t="shared" si="59"/>
        <v>0</v>
      </c>
      <c r="AK112" s="181">
        <f t="shared" si="59"/>
        <v>0</v>
      </c>
      <c r="AL112" s="181">
        <f t="shared" si="59"/>
        <v>0</v>
      </c>
      <c r="AM112" s="181">
        <f t="shared" si="59"/>
        <v>0</v>
      </c>
      <c r="AN112" s="181">
        <f t="shared" si="59"/>
        <v>0</v>
      </c>
      <c r="AO112" s="181">
        <f t="shared" si="59"/>
        <v>0</v>
      </c>
      <c r="AP112" s="181">
        <f t="shared" si="59"/>
        <v>0</v>
      </c>
      <c r="AQ112" s="181">
        <f t="shared" si="59"/>
        <v>0</v>
      </c>
      <c r="AR112" s="181">
        <f t="shared" si="59"/>
        <v>0</v>
      </c>
      <c r="AS112" s="181">
        <f t="shared" si="59"/>
        <v>0</v>
      </c>
      <c r="AT112" s="181">
        <f t="shared" si="59"/>
        <v>0</v>
      </c>
      <c r="AU112" s="181">
        <f t="shared" si="59"/>
        <v>0</v>
      </c>
      <c r="AV112" s="181">
        <f t="shared" si="59"/>
        <v>0</v>
      </c>
      <c r="AW112" s="190">
        <f t="shared" si="49"/>
        <v>0</v>
      </c>
      <c r="AX112" s="190">
        <f t="shared" si="49"/>
        <v>0</v>
      </c>
      <c r="AY112" s="190">
        <f t="shared" si="49"/>
        <v>0</v>
      </c>
      <c r="AZ112" s="190">
        <f t="shared" si="49"/>
        <v>0</v>
      </c>
      <c r="BA112" s="190">
        <f t="shared" si="49"/>
        <v>0</v>
      </c>
      <c r="BB112" s="190">
        <f t="shared" si="49"/>
        <v>0</v>
      </c>
      <c r="BC112" s="190">
        <f t="shared" si="49"/>
        <v>0</v>
      </c>
      <c r="BD112" s="190">
        <f t="shared" si="49"/>
        <v>0</v>
      </c>
      <c r="BE112" s="190">
        <f t="shared" si="49"/>
        <v>0</v>
      </c>
      <c r="BF112" s="190">
        <f t="shared" si="49"/>
        <v>0</v>
      </c>
      <c r="BG112" s="190">
        <f t="shared" si="49"/>
        <v>0</v>
      </c>
      <c r="BH112" s="190">
        <f t="shared" si="49"/>
        <v>0</v>
      </c>
      <c r="BI112" s="190">
        <f t="shared" si="49"/>
        <v>0</v>
      </c>
      <c r="BJ112" s="190">
        <f t="shared" si="49"/>
        <v>0</v>
      </c>
      <c r="BK112" s="190">
        <f t="shared" si="50"/>
        <v>0</v>
      </c>
      <c r="BL112" s="190">
        <f t="shared" si="50"/>
        <v>0</v>
      </c>
      <c r="BM112" s="190">
        <f t="shared" si="50"/>
        <v>0</v>
      </c>
      <c r="BN112" s="190">
        <f t="shared" si="50"/>
        <v>0</v>
      </c>
      <c r="BO112" s="190">
        <f t="shared" si="50"/>
        <v>0</v>
      </c>
      <c r="BP112" s="190">
        <f t="shared" si="50"/>
        <v>0</v>
      </c>
      <c r="BQ112" s="190">
        <f t="shared" si="50"/>
        <v>0</v>
      </c>
      <c r="BR112" s="190">
        <f t="shared" si="50"/>
        <v>0</v>
      </c>
      <c r="BS112" s="190">
        <f t="shared" si="50"/>
        <v>0</v>
      </c>
      <c r="BT112" s="190">
        <f t="shared" si="50"/>
        <v>0</v>
      </c>
      <c r="BU112" s="190">
        <f t="shared" si="50"/>
        <v>0</v>
      </c>
      <c r="BV112" s="190">
        <f t="shared" si="50"/>
        <v>0</v>
      </c>
      <c r="BW112" s="190">
        <f t="shared" si="50"/>
        <v>0</v>
      </c>
      <c r="BX112" s="190">
        <f t="shared" si="50"/>
        <v>0</v>
      </c>
      <c r="CV112" s="20"/>
      <c r="CW112" s="20"/>
      <c r="CX112" s="20"/>
      <c r="CY112" s="20"/>
      <c r="CZ112" s="20"/>
      <c r="DA112" s="20"/>
      <c r="DB112" s="20"/>
    </row>
    <row r="113" spans="10:106" ht="15.75" customHeight="1" x14ac:dyDescent="0.3">
      <c r="CV113" s="20"/>
      <c r="CW113" s="20"/>
      <c r="CX113" s="20"/>
      <c r="CY113" s="20"/>
      <c r="CZ113" s="20"/>
      <c r="DA113" s="20"/>
      <c r="DB113" s="20"/>
    </row>
    <row r="114" spans="10:106" ht="15.75" customHeight="1" x14ac:dyDescent="0.3">
      <c r="CV114" s="20"/>
      <c r="CW114" s="20"/>
      <c r="CX114" s="20"/>
      <c r="CY114" s="20"/>
      <c r="CZ114" s="20"/>
      <c r="DA114" s="20"/>
      <c r="DB114" s="20"/>
    </row>
    <row r="115" spans="10:106" ht="15.75" customHeight="1" thickBot="1" x14ac:dyDescent="0.35">
      <c r="N115" s="83"/>
      <c r="CV115" s="20"/>
      <c r="CW115" s="20"/>
      <c r="CX115" s="20"/>
      <c r="CY115" s="20"/>
      <c r="CZ115" s="20"/>
      <c r="DA115" s="20"/>
      <c r="DB115" s="20"/>
    </row>
    <row r="116" spans="10:106" ht="15.75" customHeight="1" thickBot="1" x14ac:dyDescent="0.4">
      <c r="J116" s="316" t="s">
        <v>237</v>
      </c>
      <c r="K116" s="317"/>
      <c r="L116" s="317"/>
      <c r="M116" s="317"/>
      <c r="N116" s="317"/>
      <c r="O116" s="317"/>
      <c r="P116" s="317"/>
      <c r="Q116" s="317"/>
      <c r="R116" s="317"/>
      <c r="S116" s="317"/>
      <c r="T116" s="317"/>
      <c r="U116" s="317"/>
      <c r="V116" s="317"/>
      <c r="W116" s="317"/>
      <c r="X116" s="317"/>
      <c r="Y116" s="317"/>
      <c r="Z116" s="317"/>
      <c r="AA116" s="317"/>
      <c r="AB116" s="317"/>
      <c r="AC116" s="317"/>
      <c r="AD116" s="317"/>
      <c r="AE116" s="317"/>
      <c r="AF116" s="317"/>
      <c r="AG116" s="318"/>
      <c r="CV116" s="20"/>
      <c r="CW116" s="20"/>
      <c r="CX116" s="20"/>
      <c r="CY116" s="20"/>
      <c r="CZ116" s="20"/>
      <c r="DA116" s="20"/>
      <c r="DB116" s="20"/>
    </row>
    <row r="117" spans="10:106" ht="15.75" customHeight="1" x14ac:dyDescent="0.3">
      <c r="R117" s="83"/>
      <c r="AB117" s="83"/>
      <c r="AF117" s="83">
        <f>+SUM(AF99:AF104)</f>
        <v>1882.3994294689726</v>
      </c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198" t="s">
        <v>97</v>
      </c>
      <c r="AW117" s="199">
        <f t="shared" ref="AW117:BX117" si="61">+SUM(AW99:AW104)</f>
        <v>1025.6624631771094</v>
      </c>
      <c r="AX117" s="199">
        <f t="shared" si="61"/>
        <v>971.48849262837223</v>
      </c>
      <c r="AY117" s="199">
        <f t="shared" si="61"/>
        <v>810.68364655400239</v>
      </c>
      <c r="AZ117" s="199">
        <f t="shared" si="61"/>
        <v>667.28375525595186</v>
      </c>
      <c r="BA117" s="199">
        <f t="shared" si="61"/>
        <v>558.42014931750418</v>
      </c>
      <c r="BB117" s="199">
        <f t="shared" si="61"/>
        <v>399.75639540765508</v>
      </c>
      <c r="BC117" s="199">
        <f t="shared" si="61"/>
        <v>323.20719747285551</v>
      </c>
      <c r="BD117" s="199">
        <f t="shared" si="61"/>
        <v>269.43749009101651</v>
      </c>
      <c r="BE117" s="199">
        <f t="shared" si="61"/>
        <v>223.91210147505601</v>
      </c>
      <c r="BF117" s="199">
        <f t="shared" si="61"/>
        <v>156.85986604729322</v>
      </c>
      <c r="BG117" s="199">
        <f t="shared" si="61"/>
        <v>103.46702845198907</v>
      </c>
      <c r="BH117" s="199">
        <f t="shared" si="61"/>
        <v>88.251820414780013</v>
      </c>
      <c r="BI117" s="199">
        <f t="shared" si="61"/>
        <v>78.909253260719709</v>
      </c>
      <c r="BJ117" s="199">
        <f t="shared" si="61"/>
        <v>66.314169119658501</v>
      </c>
      <c r="BK117" s="200">
        <f t="shared" si="61"/>
        <v>347.36355425783938</v>
      </c>
      <c r="BL117" s="199">
        <f t="shared" si="61"/>
        <v>328.44672499540297</v>
      </c>
      <c r="BM117" s="199">
        <f t="shared" si="61"/>
        <v>266.84840766161625</v>
      </c>
      <c r="BN117" s="199">
        <f t="shared" si="61"/>
        <v>202.94139999381096</v>
      </c>
      <c r="BO117" s="199">
        <f t="shared" si="61"/>
        <v>158.45922461096148</v>
      </c>
      <c r="BP117" s="199">
        <f t="shared" si="61"/>
        <v>103.4909269232822</v>
      </c>
      <c r="BQ117" s="199">
        <f t="shared" si="61"/>
        <v>62.430237987847477</v>
      </c>
      <c r="BR117" s="199">
        <f t="shared" si="61"/>
        <v>42.421611066732957</v>
      </c>
      <c r="BS117" s="199">
        <f t="shared" si="61"/>
        <v>32.158370869623056</v>
      </c>
      <c r="BT117" s="199">
        <f t="shared" si="61"/>
        <v>19.663262709620493</v>
      </c>
      <c r="BU117" s="199">
        <f t="shared" si="61"/>
        <v>14.194291369736252</v>
      </c>
      <c r="BV117" s="199">
        <f t="shared" si="61"/>
        <v>10.638590168910678</v>
      </c>
      <c r="BW117" s="199">
        <f t="shared" si="61"/>
        <v>7.9579786805109487</v>
      </c>
      <c r="BX117" s="201">
        <f t="shared" si="61"/>
        <v>5.4372244221875707</v>
      </c>
      <c r="CV117" s="20"/>
      <c r="CW117" s="20"/>
      <c r="CX117" s="20"/>
      <c r="CY117" s="20"/>
      <c r="CZ117" s="20"/>
      <c r="DA117" s="20"/>
      <c r="DB117" s="20"/>
    </row>
    <row r="118" spans="10:106" ht="15.75" customHeight="1" x14ac:dyDescent="0.3">
      <c r="AB118" s="16" t="s">
        <v>238</v>
      </c>
      <c r="AC118" s="16" t="s">
        <v>239</v>
      </c>
      <c r="AF118" s="16">
        <f>+AF117*(1000/D8)/1000</f>
        <v>309.24027761278944</v>
      </c>
      <c r="AV118" s="202" t="s">
        <v>240</v>
      </c>
      <c r="AW118" s="203">
        <f t="shared" ref="AW118:BJ118" si="62">+AW117*1000/($D$8*365)</f>
        <v>461.63196063013703</v>
      </c>
      <c r="AX118" s="203">
        <f t="shared" si="62"/>
        <v>437.24924493430632</v>
      </c>
      <c r="AY118" s="203">
        <f t="shared" si="62"/>
        <v>364.87391773144236</v>
      </c>
      <c r="AZ118" s="203">
        <f t="shared" si="62"/>
        <v>300.33224310584319</v>
      </c>
      <c r="BA118" s="203">
        <f t="shared" si="62"/>
        <v>251.33472037798418</v>
      </c>
      <c r="BB118" s="203">
        <f t="shared" si="62"/>
        <v>179.92305969240297</v>
      </c>
      <c r="BC118" s="203">
        <f t="shared" si="62"/>
        <v>145.46966240432852</v>
      </c>
      <c r="BD118" s="203">
        <f t="shared" si="62"/>
        <v>121.26889818380845</v>
      </c>
      <c r="BE118" s="203">
        <f t="shared" si="62"/>
        <v>100.77875141550874</v>
      </c>
      <c r="BF118" s="203">
        <f t="shared" si="62"/>
        <v>70.599763672046109</v>
      </c>
      <c r="BG118" s="203">
        <f t="shared" si="62"/>
        <v>46.568621666149575</v>
      </c>
      <c r="BH118" s="203">
        <f t="shared" si="62"/>
        <v>39.72053414244796</v>
      </c>
      <c r="BI118" s="203">
        <f t="shared" si="62"/>
        <v>35.51561512914207</v>
      </c>
      <c r="BJ118" s="203">
        <f t="shared" si="62"/>
        <v>29.846797564804991</v>
      </c>
      <c r="BK118" s="204">
        <f t="shared" ref="BK118:BX118" si="63">+BK117*1000/($D$7*365)</f>
        <v>942.67153424657533</v>
      </c>
      <c r="BL118" s="203">
        <f t="shared" si="63"/>
        <v>891.33524336251526</v>
      </c>
      <c r="BM118" s="203">
        <f t="shared" si="63"/>
        <v>724.17038223564396</v>
      </c>
      <c r="BN118" s="203">
        <f t="shared" si="63"/>
        <v>550.74022173411777</v>
      </c>
      <c r="BO118" s="203">
        <f t="shared" si="63"/>
        <v>430.02496533836239</v>
      </c>
      <c r="BP118" s="203">
        <f t="shared" si="63"/>
        <v>280.85258130147929</v>
      </c>
      <c r="BQ118" s="203">
        <f t="shared" si="63"/>
        <v>169.42251858610132</v>
      </c>
      <c r="BR118" s="203">
        <f t="shared" si="63"/>
        <v>115.12331878031547</v>
      </c>
      <c r="BS118" s="203">
        <f t="shared" si="63"/>
        <v>87.271046242335572</v>
      </c>
      <c r="BT118" s="203">
        <f t="shared" si="63"/>
        <v>53.361954066754535</v>
      </c>
      <c r="BU118" s="203">
        <f t="shared" si="63"/>
        <v>38.520317572292406</v>
      </c>
      <c r="BV118" s="203">
        <f t="shared" si="63"/>
        <v>28.870893315720476</v>
      </c>
      <c r="BW118" s="203">
        <f t="shared" si="63"/>
        <v>21.596278251720161</v>
      </c>
      <c r="BX118" s="205">
        <f t="shared" si="63"/>
        <v>14.755482045482417</v>
      </c>
      <c r="CV118" s="20"/>
      <c r="CW118" s="20"/>
      <c r="CX118" s="20"/>
      <c r="CY118" s="20"/>
      <c r="CZ118" s="20"/>
      <c r="DA118" s="20"/>
      <c r="DB118" s="20"/>
    </row>
    <row r="119" spans="10:106" ht="15.75" customHeight="1" x14ac:dyDescent="0.3">
      <c r="AB119" s="16" t="s">
        <v>241</v>
      </c>
      <c r="AC119" s="16" t="s">
        <v>242</v>
      </c>
      <c r="CV119" s="20"/>
      <c r="CW119" s="20"/>
      <c r="CX119" s="20"/>
      <c r="CY119" s="20"/>
      <c r="CZ119" s="20"/>
      <c r="DA119" s="20"/>
      <c r="DB119" s="20"/>
    </row>
    <row r="120" spans="10:106" ht="15.75" customHeight="1" x14ac:dyDescent="0.3">
      <c r="J120" s="169" t="str">
        <f t="shared" ref="J120:M126" si="64">J98</f>
        <v>Basin</v>
      </c>
      <c r="K120" s="169" t="str">
        <f t="shared" si="64"/>
        <v>Type Fluid</v>
      </c>
      <c r="L120" s="169" t="str">
        <f t="shared" si="64"/>
        <v>CAM</v>
      </c>
      <c r="M120" s="169" t="str">
        <f t="shared" si="64"/>
        <v>Type of Oil producing</v>
      </c>
      <c r="N120" s="206" t="s">
        <v>243</v>
      </c>
      <c r="Y120" s="207" t="s">
        <v>203</v>
      </c>
      <c r="Z120" s="207" t="s">
        <v>116</v>
      </c>
      <c r="AA120" s="208" t="s">
        <v>244</v>
      </c>
      <c r="AB120" s="208" t="s">
        <v>245</v>
      </c>
      <c r="AC120" s="208" t="s">
        <v>246</v>
      </c>
      <c r="CV120" s="20"/>
      <c r="CW120" s="20"/>
      <c r="CX120" s="20"/>
      <c r="CY120" s="20"/>
      <c r="CZ120" s="20"/>
      <c r="DA120" s="20"/>
      <c r="DB120" s="20"/>
    </row>
    <row r="121" spans="10:106" ht="15.75" customHeight="1" x14ac:dyDescent="0.3">
      <c r="J121" s="178" t="str">
        <f t="shared" si="64"/>
        <v>Guajira</v>
      </c>
      <c r="K121" s="178" t="str">
        <f t="shared" si="64"/>
        <v>Doesn't Apply</v>
      </c>
      <c r="L121" s="179" t="str">
        <f t="shared" si="64"/>
        <v>CAM1</v>
      </c>
      <c r="M121" s="180" t="str">
        <f t="shared" si="64"/>
        <v>GU - Gas</v>
      </c>
      <c r="N121" s="209">
        <v>1.1801000000000001E-2</v>
      </c>
      <c r="O121" s="209" t="s">
        <v>247</v>
      </c>
      <c r="S121" s="16">
        <v>11.07</v>
      </c>
      <c r="U121" s="16">
        <f t="shared" ref="U121:U127" si="65">+S121*N121</f>
        <v>0.13063707000000002</v>
      </c>
      <c r="X121" s="180" t="s">
        <v>223</v>
      </c>
      <c r="Y121" s="132">
        <f t="array" ref="Y121:Y127">+P99:P105</f>
        <v>1</v>
      </c>
      <c r="Z121" s="210">
        <f t="array" ref="Z121:Z127">+Q99:Q105</f>
        <v>66.042848806832495</v>
      </c>
      <c r="AA121" s="16" t="s">
        <v>248</v>
      </c>
      <c r="AB121" s="16" t="s">
        <v>248</v>
      </c>
      <c r="AC121" s="16" t="s">
        <v>249</v>
      </c>
      <c r="AD121">
        <f>T133</f>
        <v>10.582000000000001</v>
      </c>
      <c r="CV121" s="20"/>
      <c r="CW121" s="20"/>
      <c r="CX121" s="20"/>
      <c r="CY121" s="20"/>
      <c r="CZ121" s="20"/>
      <c r="DA121" s="20"/>
      <c r="DB121" s="20"/>
    </row>
    <row r="122" spans="10:106" ht="15.75" customHeight="1" x14ac:dyDescent="0.3">
      <c r="J122" s="178" t="str">
        <f t="shared" si="64"/>
        <v>Llanos Orientales</v>
      </c>
      <c r="K122" s="178" t="str">
        <f t="shared" si="64"/>
        <v>Light Oil</v>
      </c>
      <c r="L122" s="179" t="str">
        <f t="shared" si="64"/>
        <v>CAM2</v>
      </c>
      <c r="M122" s="192" t="str">
        <f t="shared" si="64"/>
        <v>LLO - Ligth</v>
      </c>
      <c r="N122" s="209">
        <v>1.2846209936603386E-2</v>
      </c>
      <c r="O122" s="209" t="s">
        <v>247</v>
      </c>
      <c r="S122" s="16">
        <v>363.69</v>
      </c>
      <c r="U122" s="16">
        <f t="shared" si="65"/>
        <v>4.6720380918432856</v>
      </c>
      <c r="X122" s="192" t="s">
        <v>225</v>
      </c>
      <c r="Y122" s="132">
        <v>0.7144074825996316</v>
      </c>
      <c r="Z122" s="210">
        <v>221.53658720841196</v>
      </c>
      <c r="AA122" s="16" t="s">
        <v>248</v>
      </c>
      <c r="AB122" s="16" t="s">
        <v>248</v>
      </c>
      <c r="AC122" s="16" t="s">
        <v>249</v>
      </c>
      <c r="AD122">
        <f>T133+T134</f>
        <v>11.801</v>
      </c>
      <c r="CV122" s="20"/>
      <c r="CW122" s="20"/>
      <c r="CX122" s="20"/>
      <c r="CY122" s="20"/>
      <c r="CZ122" s="20"/>
      <c r="DA122" s="20"/>
      <c r="DB122" s="20"/>
    </row>
    <row r="123" spans="10:106" ht="15.75" customHeight="1" x14ac:dyDescent="0.3">
      <c r="J123" s="178" t="str">
        <f t="shared" si="64"/>
        <v>Llanos Orientales</v>
      </c>
      <c r="K123" s="178" t="str">
        <f t="shared" si="64"/>
        <v>Heavy Oil</v>
      </c>
      <c r="L123" s="179" t="str">
        <f t="shared" si="64"/>
        <v>CAM3</v>
      </c>
      <c r="M123" s="194" t="str">
        <f t="shared" si="64"/>
        <v>LLO - Heavy</v>
      </c>
      <c r="N123" s="209">
        <v>1.4996950954107781E-2</v>
      </c>
      <c r="O123" s="209" t="s">
        <v>247</v>
      </c>
      <c r="S123" s="16">
        <v>726.7</v>
      </c>
      <c r="U123" s="16">
        <f t="shared" si="65"/>
        <v>10.898284258350126</v>
      </c>
      <c r="X123" s="194" t="s">
        <v>227</v>
      </c>
      <c r="Y123" s="132">
        <v>2.8224919834781799E-3</v>
      </c>
      <c r="Z123" s="210">
        <v>0.23786180586758954</v>
      </c>
      <c r="AA123" s="16" t="s">
        <v>248</v>
      </c>
      <c r="AB123" s="16" t="s">
        <v>249</v>
      </c>
      <c r="AC123" s="16" t="s">
        <v>248</v>
      </c>
      <c r="AD123">
        <f>T133+T135</f>
        <v>14.998000000000001</v>
      </c>
      <c r="CV123" s="20"/>
      <c r="CW123" s="20"/>
      <c r="CX123" s="20"/>
      <c r="CY123" s="20"/>
      <c r="CZ123" s="20"/>
      <c r="DA123" s="20"/>
      <c r="DB123" s="20"/>
    </row>
    <row r="124" spans="10:106" ht="15.75" customHeight="1" x14ac:dyDescent="0.3">
      <c r="J124" s="178" t="str">
        <f t="shared" si="64"/>
        <v>Putumayo</v>
      </c>
      <c r="K124" s="178" t="str">
        <f t="shared" si="64"/>
        <v>Light Oil</v>
      </c>
      <c r="L124" s="179" t="str">
        <f t="shared" si="64"/>
        <v>CAM4</v>
      </c>
      <c r="M124" s="194" t="str">
        <f t="shared" si="64"/>
        <v>PU - Ligth</v>
      </c>
      <c r="N124" s="209">
        <v>1.4998000000000001E-2</v>
      </c>
      <c r="O124" s="209" t="s">
        <v>247</v>
      </c>
      <c r="P124" s="20"/>
      <c r="S124" s="16">
        <v>5.64</v>
      </c>
      <c r="U124" s="16">
        <f t="shared" si="65"/>
        <v>8.4588720000000006E-2</v>
      </c>
      <c r="X124" s="194" t="s">
        <v>229</v>
      </c>
      <c r="Y124" s="132">
        <v>0.2264193930205074</v>
      </c>
      <c r="Z124" s="210">
        <v>0</v>
      </c>
      <c r="AA124" s="16" t="s">
        <v>248</v>
      </c>
      <c r="AB124" s="16" t="s">
        <v>249</v>
      </c>
      <c r="AC124" s="16" t="s">
        <v>248</v>
      </c>
      <c r="AD124">
        <f>T133</f>
        <v>10.582000000000001</v>
      </c>
      <c r="CV124" s="20"/>
      <c r="CW124" s="20"/>
      <c r="CX124" s="20"/>
      <c r="CY124" s="20"/>
      <c r="CZ124" s="20"/>
      <c r="DA124" s="20"/>
      <c r="DB124" s="20"/>
    </row>
    <row r="125" spans="10:106" ht="15.75" customHeight="1" x14ac:dyDescent="0.3">
      <c r="J125" s="178" t="str">
        <f t="shared" si="64"/>
        <v>VMM</v>
      </c>
      <c r="K125" s="178" t="str">
        <f t="shared" si="64"/>
        <v>Medium Oil</v>
      </c>
      <c r="L125" s="179" t="str">
        <f t="shared" si="64"/>
        <v>CAM5</v>
      </c>
      <c r="M125" s="194" t="str">
        <f t="shared" si="64"/>
        <v>VMM - Medium</v>
      </c>
      <c r="N125" s="209">
        <v>1.4953321356456762E-2</v>
      </c>
      <c r="O125" s="209" t="s">
        <v>247</v>
      </c>
      <c r="P125" s="20"/>
      <c r="S125" s="16">
        <v>165.44</v>
      </c>
      <c r="U125" s="16">
        <f t="shared" si="65"/>
        <v>2.4738774852122067</v>
      </c>
      <c r="X125" s="194" t="s">
        <v>231</v>
      </c>
      <c r="Y125" s="132">
        <v>2.9005932398423979E-2</v>
      </c>
      <c r="Z125" s="210">
        <v>2.2768748695271519</v>
      </c>
      <c r="AA125" s="16" t="s">
        <v>248</v>
      </c>
      <c r="AB125" s="16" t="s">
        <v>249</v>
      </c>
      <c r="AC125" s="16" t="s">
        <v>248</v>
      </c>
      <c r="AD125">
        <f>+T133+T134</f>
        <v>11.801</v>
      </c>
      <c r="CV125" s="20"/>
      <c r="CW125" s="20"/>
      <c r="CX125" s="20"/>
      <c r="CY125" s="20"/>
      <c r="CZ125" s="20"/>
      <c r="DA125" s="20"/>
      <c r="DB125" s="20"/>
    </row>
    <row r="126" spans="10:106" ht="15.75" customHeight="1" x14ac:dyDescent="0.3">
      <c r="J126" s="178" t="str">
        <f t="shared" si="64"/>
        <v>VSM</v>
      </c>
      <c r="K126" s="178" t="str">
        <f t="shared" si="64"/>
        <v>Medium Oil</v>
      </c>
      <c r="L126" s="179" t="str">
        <f t="shared" si="64"/>
        <v>CAM6</v>
      </c>
      <c r="M126" s="192" t="str">
        <f t="shared" si="64"/>
        <v>VSM - Medium</v>
      </c>
      <c r="N126" s="209">
        <v>1.4929698064361454E-2</v>
      </c>
      <c r="O126" s="209" t="s">
        <v>247</v>
      </c>
      <c r="P126" s="20"/>
      <c r="S126" s="16">
        <v>29.86</v>
      </c>
      <c r="U126" s="16">
        <f t="shared" si="65"/>
        <v>0.445800784201833</v>
      </c>
      <c r="X126" s="192" t="s">
        <v>233</v>
      </c>
      <c r="Y126" s="132">
        <v>4.9174002504380532E-2</v>
      </c>
      <c r="Z126" s="210">
        <v>0.61987830491387741</v>
      </c>
      <c r="AA126" s="16" t="s">
        <v>248</v>
      </c>
      <c r="AB126" s="16" t="s">
        <v>249</v>
      </c>
      <c r="AC126" s="16" t="s">
        <v>248</v>
      </c>
      <c r="AD126">
        <f>T133+T134</f>
        <v>11.801</v>
      </c>
      <c r="CV126" s="20"/>
      <c r="CW126" s="20"/>
      <c r="CX126" s="20"/>
      <c r="CY126" s="20"/>
      <c r="CZ126" s="20"/>
      <c r="DA126" s="20"/>
      <c r="DB126" s="20"/>
    </row>
    <row r="127" spans="10:106" ht="15.75" customHeight="1" x14ac:dyDescent="0.3">
      <c r="J127" s="178" t="s">
        <v>189</v>
      </c>
      <c r="K127" s="178" t="str">
        <f t="shared" ref="K127:M127" si="66">+K105</f>
        <v>Doesn't Apply</v>
      </c>
      <c r="L127" s="179" t="str">
        <f t="shared" si="66"/>
        <v>CAM7</v>
      </c>
      <c r="M127" s="192" t="str">
        <f t="shared" si="66"/>
        <v>VIM - GAS</v>
      </c>
      <c r="N127" s="209">
        <v>1.1818689689570658E-2</v>
      </c>
      <c r="O127" s="209" t="s">
        <v>247</v>
      </c>
      <c r="P127" s="20"/>
      <c r="S127" s="16">
        <v>11.13</v>
      </c>
      <c r="U127" s="16">
        <f t="shared" si="65"/>
        <v>0.13154201624492143</v>
      </c>
      <c r="X127" s="192" t="s">
        <v>235</v>
      </c>
      <c r="Y127" s="132">
        <v>0.99457310605335914</v>
      </c>
      <c r="Z127" s="210">
        <v>13.465657577297089</v>
      </c>
      <c r="AA127" s="16" t="s">
        <v>248</v>
      </c>
      <c r="AB127" s="16" t="s">
        <v>248</v>
      </c>
      <c r="AC127" s="16" t="s">
        <v>249</v>
      </c>
      <c r="AD127">
        <f>T133+T134</f>
        <v>11.801</v>
      </c>
      <c r="CV127" s="20"/>
      <c r="CW127" s="20"/>
      <c r="CX127" s="20"/>
      <c r="CY127" s="20"/>
      <c r="CZ127" s="20"/>
      <c r="DA127" s="20"/>
      <c r="DB127" s="20"/>
    </row>
    <row r="128" spans="10:106" s="275" customFormat="1" ht="15.75" customHeight="1" x14ac:dyDescent="0.3">
      <c r="J128" s="264">
        <f t="shared" ref="J128:M134" si="67">J106</f>
        <v>0</v>
      </c>
      <c r="K128" s="264" t="str">
        <f t="shared" si="67"/>
        <v>Heavy Oil</v>
      </c>
      <c r="L128" s="265" t="str">
        <f t="shared" si="67"/>
        <v>CAM8</v>
      </c>
      <c r="M128" s="264" t="str">
        <f t="shared" si="67"/>
        <v>YTF</v>
      </c>
      <c r="N128" s="277">
        <v>1.0582000000000001E-2</v>
      </c>
      <c r="O128" s="278" t="s">
        <v>247</v>
      </c>
      <c r="P128" s="279"/>
      <c r="U128" s="280">
        <f>+SUM(U121:U127)</f>
        <v>18.83676842585237</v>
      </c>
      <c r="V128" s="280" t="s">
        <v>97</v>
      </c>
      <c r="CV128" s="279"/>
      <c r="CW128" s="279"/>
      <c r="CX128" s="279"/>
      <c r="CY128" s="279"/>
      <c r="CZ128" s="279"/>
      <c r="DA128" s="279"/>
      <c r="DB128" s="279"/>
    </row>
    <row r="129" spans="1:121" ht="15.75" customHeight="1" x14ac:dyDescent="0.3">
      <c r="J129" s="178" t="str">
        <f t="shared" si="67"/>
        <v>Putumayo</v>
      </c>
      <c r="K129" s="178" t="str">
        <f t="shared" si="67"/>
        <v>Medium Oil</v>
      </c>
      <c r="L129" s="179" t="str">
        <f t="shared" si="67"/>
        <v>P</v>
      </c>
      <c r="M129" s="178">
        <f t="shared" si="67"/>
        <v>0</v>
      </c>
      <c r="N129" s="211"/>
      <c r="O129" s="132"/>
      <c r="P129" s="20"/>
      <c r="U129" s="16">
        <f>+U128/0.0036</f>
        <v>5232.4356738478809</v>
      </c>
      <c r="V129" s="16" t="s">
        <v>250</v>
      </c>
      <c r="CV129" s="20"/>
      <c r="CW129" s="20"/>
      <c r="CX129" s="20"/>
      <c r="CY129" s="20"/>
      <c r="CZ129" s="20"/>
      <c r="DA129" s="20"/>
      <c r="DB129" s="20"/>
    </row>
    <row r="130" spans="1:121" ht="15.75" customHeight="1" x14ac:dyDescent="0.3">
      <c r="J130" s="178" t="str">
        <f t="shared" si="67"/>
        <v>Putumayo</v>
      </c>
      <c r="K130" s="178" t="str">
        <f t="shared" si="67"/>
        <v>Heavy Oil</v>
      </c>
      <c r="L130" s="179" t="str">
        <f t="shared" si="67"/>
        <v>P</v>
      </c>
      <c r="M130" s="178">
        <f t="shared" si="67"/>
        <v>0</v>
      </c>
      <c r="N130" s="211"/>
      <c r="O130" s="132"/>
      <c r="P130" s="20"/>
      <c r="CV130" s="20"/>
      <c r="CW130" s="20"/>
      <c r="CX130" s="20"/>
      <c r="CY130" s="20"/>
      <c r="CZ130" s="20"/>
      <c r="DA130" s="20"/>
      <c r="DB130" s="20"/>
    </row>
    <row r="131" spans="1:121" ht="15.75" customHeight="1" x14ac:dyDescent="0.3">
      <c r="J131" s="178" t="str">
        <f t="shared" si="67"/>
        <v>VMM</v>
      </c>
      <c r="K131" s="178" t="str">
        <f t="shared" si="67"/>
        <v>Light Oil</v>
      </c>
      <c r="L131" s="179" t="str">
        <f t="shared" si="67"/>
        <v>P</v>
      </c>
      <c r="M131" s="178">
        <f t="shared" si="67"/>
        <v>0</v>
      </c>
      <c r="N131" s="211"/>
      <c r="O131" s="132"/>
      <c r="P131" s="20"/>
      <c r="T131" s="16" t="s">
        <v>251</v>
      </c>
      <c r="CV131" s="20"/>
      <c r="CW131" s="20"/>
      <c r="CX131" s="20"/>
      <c r="CY131" s="20"/>
      <c r="CZ131" s="20"/>
      <c r="DA131" s="20"/>
      <c r="DB131" s="20"/>
    </row>
    <row r="132" spans="1:121" ht="15.75" customHeight="1" x14ac:dyDescent="0.3">
      <c r="J132" s="178" t="str">
        <f t="shared" si="67"/>
        <v>VMM</v>
      </c>
      <c r="K132" s="178" t="str">
        <f t="shared" si="67"/>
        <v>Heavy Oil</v>
      </c>
      <c r="L132" s="179" t="str">
        <f t="shared" si="67"/>
        <v>P</v>
      </c>
      <c r="M132" s="178">
        <f t="shared" si="67"/>
        <v>0</v>
      </c>
      <c r="N132" s="211"/>
      <c r="O132" s="132"/>
      <c r="P132" s="20"/>
      <c r="S132" s="16" t="s">
        <v>252</v>
      </c>
      <c r="T132" s="16">
        <v>16.216999999999999</v>
      </c>
      <c r="U132" s="16" t="s">
        <v>253</v>
      </c>
      <c r="CV132" s="20"/>
      <c r="CW132" s="20"/>
      <c r="CX132" s="20"/>
      <c r="CY132" s="20"/>
      <c r="CZ132" s="20"/>
      <c r="DA132" s="20"/>
      <c r="DB132" s="20"/>
    </row>
    <row r="133" spans="1:121" ht="15.75" customHeight="1" x14ac:dyDescent="0.3">
      <c r="J133" s="178" t="str">
        <f t="shared" si="67"/>
        <v>VSM</v>
      </c>
      <c r="K133" s="178" t="str">
        <f t="shared" si="67"/>
        <v>Light Oil</v>
      </c>
      <c r="L133" s="179" t="str">
        <f t="shared" si="67"/>
        <v>P</v>
      </c>
      <c r="M133" s="178">
        <f t="shared" si="67"/>
        <v>0</v>
      </c>
      <c r="N133" s="20"/>
      <c r="O133" s="20"/>
      <c r="P133" s="20"/>
      <c r="S133" s="16" t="s">
        <v>244</v>
      </c>
      <c r="T133" s="16">
        <v>10.582000000000001</v>
      </c>
      <c r="U133" s="16" t="s">
        <v>253</v>
      </c>
      <c r="CV133" s="20"/>
      <c r="CW133" s="20"/>
      <c r="CX133" s="20"/>
      <c r="CY133" s="20"/>
      <c r="CZ133" s="20"/>
      <c r="DA133" s="20"/>
      <c r="DB133" s="20"/>
    </row>
    <row r="134" spans="1:121" ht="15.75" customHeight="1" x14ac:dyDescent="0.3">
      <c r="J134" s="178" t="str">
        <f t="shared" si="67"/>
        <v>VSM</v>
      </c>
      <c r="K134" s="178" t="str">
        <f t="shared" si="67"/>
        <v>Heavy Oil</v>
      </c>
      <c r="L134" s="179" t="str">
        <f t="shared" si="67"/>
        <v>P</v>
      </c>
      <c r="M134" s="178">
        <f t="shared" si="67"/>
        <v>0</v>
      </c>
      <c r="N134" s="20"/>
      <c r="O134" s="20"/>
      <c r="P134" s="20"/>
      <c r="S134" s="16" t="s">
        <v>254</v>
      </c>
      <c r="T134" s="16">
        <v>1.2190000000000001</v>
      </c>
      <c r="U134" s="16" t="s">
        <v>253</v>
      </c>
      <c r="CV134" s="20"/>
      <c r="CW134" s="20"/>
      <c r="CX134" s="20"/>
      <c r="CY134" s="20"/>
      <c r="CZ134" s="20"/>
      <c r="DA134" s="20"/>
      <c r="DB134" s="20"/>
    </row>
    <row r="135" spans="1:121" ht="15.75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90"/>
      <c r="M135" s="20"/>
      <c r="N135" s="20"/>
      <c r="O135" s="20"/>
      <c r="P135" s="20"/>
      <c r="Q135" s="20"/>
      <c r="R135" s="20"/>
      <c r="S135" s="16" t="s">
        <v>246</v>
      </c>
      <c r="T135" s="16">
        <v>4.4160000000000004</v>
      </c>
      <c r="U135" s="16" t="s">
        <v>253</v>
      </c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</row>
    <row r="136" spans="1:121" ht="15.75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90"/>
      <c r="M136" s="20"/>
      <c r="N136" s="20"/>
      <c r="O136" s="20"/>
      <c r="P136" s="20"/>
      <c r="Q136" s="20"/>
      <c r="R136" s="20"/>
      <c r="S136" s="16" t="s">
        <v>255</v>
      </c>
      <c r="T136" s="16">
        <v>16.216999999999999</v>
      </c>
      <c r="U136" s="16" t="s">
        <v>253</v>
      </c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</row>
    <row r="137" spans="1:121" ht="15.75" customHeight="1" thickBot="1" x14ac:dyDescent="0.3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9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</row>
    <row r="138" spans="1:121" ht="15.75" customHeight="1" thickBot="1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319" t="s">
        <v>256</v>
      </c>
      <c r="K138" s="317"/>
      <c r="L138" s="317"/>
      <c r="M138" s="317"/>
      <c r="N138" s="317"/>
      <c r="O138" s="317"/>
      <c r="P138" s="317"/>
      <c r="Q138" s="317"/>
      <c r="R138" s="317"/>
      <c r="S138" s="317"/>
      <c r="T138" s="317"/>
      <c r="U138" s="317"/>
      <c r="V138" s="317"/>
      <c r="W138" s="317"/>
      <c r="X138" s="317"/>
      <c r="Y138" s="317"/>
      <c r="Z138" s="317"/>
      <c r="AA138" s="317"/>
      <c r="AB138" s="317"/>
      <c r="AC138" s="317"/>
      <c r="AD138" s="317"/>
      <c r="AE138" s="317"/>
      <c r="AF138" s="317"/>
      <c r="AG138" s="318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</row>
    <row r="139" spans="1:121" ht="15.75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90"/>
      <c r="M139" s="20"/>
      <c r="N139" s="20" t="s">
        <v>19</v>
      </c>
      <c r="O139" s="20" t="s">
        <v>19</v>
      </c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</row>
    <row r="140" spans="1:121" ht="15.75" customHeigh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169" t="str">
        <f t="shared" ref="J140:M147" si="68">J120</f>
        <v>Basin</v>
      </c>
      <c r="K140" s="169" t="str">
        <f t="shared" si="68"/>
        <v>Type Fluid</v>
      </c>
      <c r="L140" s="169" t="str">
        <f t="shared" si="68"/>
        <v>CAM</v>
      </c>
      <c r="M140" s="169" t="str">
        <f t="shared" si="68"/>
        <v>Type of Oil producing</v>
      </c>
      <c r="N140" s="21" t="s">
        <v>257</v>
      </c>
      <c r="O140" s="20" t="s">
        <v>258</v>
      </c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</row>
    <row r="141" spans="1:121" ht="15.75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178" t="str">
        <f t="shared" si="68"/>
        <v>Guajira</v>
      </c>
      <c r="K141" s="178" t="str">
        <f t="shared" si="68"/>
        <v>Doesn't Apply</v>
      </c>
      <c r="L141" s="179" t="str">
        <f t="shared" si="68"/>
        <v>CAM1</v>
      </c>
      <c r="M141" s="180" t="str">
        <f t="shared" si="68"/>
        <v>GU - Gas</v>
      </c>
      <c r="N141">
        <v>0.3</v>
      </c>
      <c r="O141" s="20">
        <v>0.4</v>
      </c>
      <c r="P141" s="20"/>
      <c r="Q141" s="20"/>
      <c r="R141" s="20"/>
      <c r="T141" s="212" t="s">
        <v>259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</row>
    <row r="142" spans="1:121" ht="15.75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178" t="str">
        <f t="shared" si="68"/>
        <v>Llanos Orientales</v>
      </c>
      <c r="K142" s="178" t="str">
        <f t="shared" si="68"/>
        <v>Light Oil</v>
      </c>
      <c r="L142" s="179" t="str">
        <f t="shared" si="68"/>
        <v>CAM2</v>
      </c>
      <c r="M142" s="192" t="str">
        <f t="shared" si="68"/>
        <v>LLO - Ligth</v>
      </c>
      <c r="N142">
        <v>0.3</v>
      </c>
      <c r="O142" s="20">
        <v>0.43269346063820407</v>
      </c>
      <c r="P142" s="20"/>
      <c r="Q142" s="20"/>
      <c r="R142" s="20"/>
      <c r="S142" s="16" t="s">
        <v>252</v>
      </c>
      <c r="T142" s="16">
        <v>1.8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</row>
    <row r="143" spans="1:121" ht="15.75" customHeigh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178" t="str">
        <f t="shared" si="68"/>
        <v>Llanos Orientales</v>
      </c>
      <c r="K143" s="178" t="str">
        <f t="shared" si="68"/>
        <v>Heavy Oil</v>
      </c>
      <c r="L143" s="179" t="str">
        <f t="shared" si="68"/>
        <v>CAM3</v>
      </c>
      <c r="M143" s="194" t="str">
        <f t="shared" si="68"/>
        <v>LLO - Heavy</v>
      </c>
      <c r="N143">
        <v>0.3</v>
      </c>
      <c r="O143" s="20">
        <v>0.49996718655326178</v>
      </c>
      <c r="P143" s="20"/>
      <c r="Q143" s="20"/>
      <c r="R143" s="20"/>
      <c r="S143" s="16" t="s">
        <v>244</v>
      </c>
      <c r="T143" s="16">
        <v>0.3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</row>
    <row r="144" spans="1:121" ht="15.75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178" t="str">
        <f t="shared" si="68"/>
        <v>Putumayo</v>
      </c>
      <c r="K144" s="178" t="str">
        <f t="shared" si="68"/>
        <v>Light Oil</v>
      </c>
      <c r="L144" s="179" t="str">
        <f t="shared" si="68"/>
        <v>CAM4</v>
      </c>
      <c r="M144" s="194" t="str">
        <f t="shared" si="68"/>
        <v>PU - Ligth</v>
      </c>
      <c r="N144">
        <v>0.3</v>
      </c>
      <c r="O144" s="20">
        <v>0.5</v>
      </c>
      <c r="P144" s="20"/>
      <c r="Q144" s="20"/>
      <c r="R144" s="20"/>
      <c r="S144" s="16" t="s">
        <v>254</v>
      </c>
      <c r="T144" s="16">
        <v>0.4</v>
      </c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</row>
    <row r="145" spans="1:121" ht="15.75" customHeigh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178" t="str">
        <f t="shared" si="68"/>
        <v>VMM</v>
      </c>
      <c r="K145" s="178" t="str">
        <f t="shared" si="68"/>
        <v>Medium Oil</v>
      </c>
      <c r="L145" s="179" t="str">
        <f t="shared" si="68"/>
        <v>CAM5</v>
      </c>
      <c r="M145" s="194" t="str">
        <f t="shared" si="68"/>
        <v>VMM - Medium</v>
      </c>
      <c r="N145">
        <v>0.3</v>
      </c>
      <c r="O145" s="20">
        <v>0.49860248221635156</v>
      </c>
      <c r="P145" s="20"/>
      <c r="Q145" s="20"/>
      <c r="R145" s="20"/>
      <c r="S145" s="16" t="s">
        <v>246</v>
      </c>
      <c r="T145" s="16">
        <v>0.5</v>
      </c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</row>
    <row r="146" spans="1:121" ht="15.75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178" t="str">
        <f t="shared" si="68"/>
        <v>VSM</v>
      </c>
      <c r="K146" s="178" t="str">
        <f t="shared" si="68"/>
        <v>Medium Oil</v>
      </c>
      <c r="L146" s="179" t="str">
        <f t="shared" si="68"/>
        <v>CAM6</v>
      </c>
      <c r="M146" s="192" t="str">
        <f t="shared" si="68"/>
        <v>VSM - Medium</v>
      </c>
      <c r="N146">
        <v>0.3</v>
      </c>
      <c r="O146" s="20">
        <v>0.4978635616002956</v>
      </c>
      <c r="P146" s="20"/>
      <c r="Q146" s="20"/>
      <c r="R146" s="20"/>
      <c r="S146" s="16" t="s">
        <v>255</v>
      </c>
      <c r="T146" s="16">
        <v>0.7</v>
      </c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</row>
    <row r="147" spans="1:121" ht="15.75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178" t="str">
        <f t="shared" si="68"/>
        <v>VIM</v>
      </c>
      <c r="K147" s="178" t="str">
        <f t="shared" si="68"/>
        <v>Doesn't Apply</v>
      </c>
      <c r="L147" s="179" t="str">
        <f t="shared" si="68"/>
        <v>CAM7</v>
      </c>
      <c r="M147" s="192" t="str">
        <f t="shared" si="68"/>
        <v>VIM - GAS</v>
      </c>
      <c r="N147">
        <v>0.3</v>
      </c>
      <c r="O147" s="20">
        <v>0.40055332153802492</v>
      </c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</row>
    <row r="148" spans="1:121" s="275" customFormat="1" ht="15.75" customHeight="1" x14ac:dyDescent="0.3">
      <c r="A148" s="279"/>
      <c r="B148" s="279"/>
      <c r="C148" s="279"/>
      <c r="D148" s="279"/>
      <c r="E148" s="279"/>
      <c r="F148" s="279"/>
      <c r="G148" s="279"/>
      <c r="H148" s="279"/>
      <c r="I148" s="279"/>
      <c r="J148" s="279"/>
      <c r="K148" s="279" t="str">
        <f>K128</f>
        <v>Heavy Oil</v>
      </c>
      <c r="L148" s="276" t="s">
        <v>328</v>
      </c>
      <c r="M148" s="279" t="s">
        <v>329</v>
      </c>
      <c r="N148" s="279">
        <v>0.3</v>
      </c>
      <c r="O148" s="290">
        <f>O275</f>
        <v>0.48242442923176643</v>
      </c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  <c r="AA148" s="279"/>
      <c r="AB148" s="279"/>
      <c r="AC148" s="279"/>
      <c r="AD148" s="279"/>
      <c r="AE148" s="279"/>
      <c r="AF148" s="279"/>
      <c r="AG148" s="279"/>
      <c r="AH148" s="279"/>
      <c r="AI148" s="279"/>
      <c r="AJ148" s="279"/>
      <c r="AK148" s="279"/>
      <c r="AL148" s="279"/>
      <c r="AM148" s="279"/>
      <c r="AN148" s="279"/>
      <c r="AO148" s="279"/>
      <c r="AP148" s="279"/>
      <c r="AQ148" s="279"/>
      <c r="AR148" s="279"/>
      <c r="AS148" s="279"/>
      <c r="AT148" s="279"/>
      <c r="AU148" s="279"/>
      <c r="AV148" s="279"/>
      <c r="AW148" s="279"/>
      <c r="AX148" s="279"/>
      <c r="AY148" s="279"/>
      <c r="AZ148" s="279"/>
      <c r="BA148" s="279"/>
      <c r="BB148" s="279"/>
      <c r="BC148" s="279"/>
      <c r="BD148" s="279"/>
      <c r="BE148" s="279"/>
      <c r="BF148" s="279"/>
      <c r="BG148" s="279"/>
      <c r="BH148" s="279"/>
      <c r="BI148" s="279"/>
      <c r="BJ148" s="279"/>
      <c r="BK148" s="279"/>
      <c r="BL148" s="279"/>
      <c r="BM148" s="279"/>
      <c r="BN148" s="279"/>
      <c r="BO148" s="279"/>
      <c r="BP148" s="279"/>
      <c r="BQ148" s="279"/>
      <c r="BR148" s="279"/>
      <c r="BS148" s="279"/>
      <c r="BT148" s="279"/>
      <c r="BU148" s="279"/>
      <c r="BV148" s="279"/>
      <c r="BW148" s="279"/>
      <c r="BX148" s="279"/>
      <c r="BY148" s="279"/>
      <c r="BZ148" s="279"/>
      <c r="CA148" s="279"/>
      <c r="CB148" s="279"/>
      <c r="CC148" s="279"/>
      <c r="CD148" s="279"/>
      <c r="CE148" s="279"/>
      <c r="CF148" s="279"/>
      <c r="CG148" s="279"/>
      <c r="CH148" s="279"/>
      <c r="CI148" s="279"/>
      <c r="CJ148" s="279"/>
      <c r="CK148" s="279"/>
      <c r="CL148" s="279"/>
      <c r="CM148" s="279"/>
      <c r="CN148" s="279"/>
      <c r="CO148" s="279"/>
      <c r="CP148" s="279"/>
      <c r="CQ148" s="279"/>
      <c r="CR148" s="279"/>
      <c r="CS148" s="279"/>
      <c r="CT148" s="279"/>
      <c r="CU148" s="279"/>
      <c r="CV148" s="279"/>
      <c r="CW148" s="279"/>
      <c r="CX148" s="279"/>
      <c r="CY148" s="279"/>
      <c r="CZ148" s="279"/>
      <c r="DA148" s="279"/>
      <c r="DB148" s="279"/>
      <c r="DC148" s="279"/>
      <c r="DD148" s="279"/>
      <c r="DE148" s="279"/>
      <c r="DF148" s="279"/>
      <c r="DG148" s="279"/>
      <c r="DH148" s="279"/>
      <c r="DI148" s="279"/>
      <c r="DJ148" s="279"/>
      <c r="DK148" s="279"/>
      <c r="DL148" s="279"/>
      <c r="DM148" s="279"/>
      <c r="DN148" s="279"/>
      <c r="DO148" s="279"/>
      <c r="DP148" s="279"/>
      <c r="DQ148" s="279"/>
    </row>
    <row r="149" spans="1:121" ht="15.75" customHeigh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9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</row>
    <row r="150" spans="1:121" ht="15.75" customHeigh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</row>
    <row r="151" spans="1:121" ht="15.75" customHeight="1" thickBot="1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</row>
    <row r="152" spans="1:121" ht="15.75" customHeight="1" thickBot="1" x14ac:dyDescent="0.4">
      <c r="J152" s="319" t="s">
        <v>260</v>
      </c>
      <c r="K152" s="317"/>
      <c r="L152" s="317"/>
      <c r="M152" s="317"/>
      <c r="N152" s="317"/>
      <c r="O152" s="317"/>
      <c r="P152" s="317"/>
      <c r="Q152" s="317"/>
      <c r="R152" s="317"/>
      <c r="S152" s="317"/>
      <c r="T152" s="317"/>
      <c r="U152" s="317"/>
      <c r="V152" s="317"/>
      <c r="W152" s="317"/>
      <c r="X152" s="317"/>
      <c r="Y152" s="317"/>
      <c r="Z152" s="317"/>
      <c r="AA152" s="317"/>
      <c r="AB152" s="317"/>
      <c r="AC152" s="317"/>
      <c r="AD152" s="317"/>
      <c r="AE152" s="317"/>
      <c r="AF152" s="317"/>
      <c r="AG152" s="318"/>
      <c r="CV152" s="20"/>
      <c r="CW152" s="20"/>
      <c r="CX152" s="20"/>
      <c r="CY152" s="20"/>
      <c r="CZ152" s="20"/>
      <c r="DA152" s="20"/>
      <c r="DB152" s="20"/>
    </row>
    <row r="153" spans="1:121" ht="15.75" customHeight="1" x14ac:dyDescent="0.3">
      <c r="CV153" s="20"/>
      <c r="CW153" s="20"/>
      <c r="CX153" s="20"/>
      <c r="CY153" s="20"/>
      <c r="CZ153" s="20"/>
      <c r="DA153" s="20"/>
      <c r="DB153" s="20"/>
    </row>
    <row r="154" spans="1:121" ht="15.75" customHeight="1" x14ac:dyDescent="0.35">
      <c r="J154" s="16" t="s">
        <v>261</v>
      </c>
      <c r="W154" s="213" t="s">
        <v>262</v>
      </c>
      <c r="X154" s="213"/>
      <c r="Y154" s="213"/>
      <c r="Z154" s="213"/>
      <c r="AA154" s="213"/>
      <c r="AB154" s="213"/>
      <c r="AC154" s="213"/>
      <c r="AF154" s="213" t="s">
        <v>263</v>
      </c>
      <c r="AG154" s="213"/>
      <c r="AH154" s="213"/>
      <c r="AI154" s="213"/>
      <c r="AJ154" s="213"/>
      <c r="AK154" s="213"/>
      <c r="AL154" s="213"/>
      <c r="AY154" s="213" t="s">
        <v>264</v>
      </c>
      <c r="AZ154" s="213"/>
      <c r="BA154" s="213"/>
      <c r="BB154" s="213"/>
      <c r="BC154" s="213"/>
      <c r="BD154" s="213"/>
      <c r="BE154" s="213"/>
      <c r="CV154" s="20"/>
      <c r="CW154" s="20"/>
      <c r="CX154" s="20"/>
      <c r="CY154" s="20"/>
      <c r="CZ154" s="20"/>
      <c r="DA154" s="20"/>
      <c r="DB154" s="20"/>
    </row>
    <row r="155" spans="1:121" ht="15.75" customHeight="1" x14ac:dyDescent="0.3">
      <c r="J155" s="169" t="str">
        <f t="shared" ref="J155:M162" si="69">J120</f>
        <v>Basin</v>
      </c>
      <c r="K155" s="169" t="str">
        <f t="shared" si="69"/>
        <v>Type Fluid</v>
      </c>
      <c r="L155" s="169" t="str">
        <f t="shared" si="69"/>
        <v>CAM</v>
      </c>
      <c r="M155" s="169" t="str">
        <f t="shared" si="69"/>
        <v>Type of Oil producing</v>
      </c>
      <c r="N155" s="320" t="s">
        <v>265</v>
      </c>
      <c r="O155" s="321"/>
      <c r="P155" s="320" t="s">
        <v>265</v>
      </c>
      <c r="Q155" s="321"/>
      <c r="R155" s="214" t="s">
        <v>266</v>
      </c>
      <c r="S155" s="214" t="s">
        <v>267</v>
      </c>
      <c r="W155" s="16" t="s">
        <v>268</v>
      </c>
      <c r="X155" s="16" t="s">
        <v>269</v>
      </c>
      <c r="Y155" s="16" t="s">
        <v>169</v>
      </c>
      <c r="Z155" s="16" t="s">
        <v>270</v>
      </c>
      <c r="AA155" s="16" t="s">
        <v>271</v>
      </c>
      <c r="AB155" s="16" t="s">
        <v>186</v>
      </c>
      <c r="AC155" s="16" t="s">
        <v>272</v>
      </c>
      <c r="AF155" s="16" t="s">
        <v>268</v>
      </c>
      <c r="AG155" s="16" t="s">
        <v>269</v>
      </c>
      <c r="AH155" s="16" t="s">
        <v>169</v>
      </c>
      <c r="AI155" s="16" t="s">
        <v>270</v>
      </c>
      <c r="AJ155" s="16" t="s">
        <v>271</v>
      </c>
      <c r="AK155" s="16" t="s">
        <v>186</v>
      </c>
      <c r="AL155" s="16" t="s">
        <v>272</v>
      </c>
      <c r="AO155" s="16" t="s">
        <v>268</v>
      </c>
      <c r="AP155" s="16" t="s">
        <v>269</v>
      </c>
      <c r="AQ155" s="16" t="s">
        <v>169</v>
      </c>
      <c r="AR155" s="16" t="s">
        <v>270</v>
      </c>
      <c r="AS155" s="16" t="s">
        <v>271</v>
      </c>
      <c r="AT155" s="16" t="s">
        <v>186</v>
      </c>
      <c r="AU155" s="16" t="s">
        <v>272</v>
      </c>
      <c r="AY155" s="16" t="s">
        <v>268</v>
      </c>
      <c r="AZ155" s="16" t="s">
        <v>269</v>
      </c>
      <c r="BA155" s="16" t="s">
        <v>169</v>
      </c>
      <c r="BB155" s="16" t="s">
        <v>270</v>
      </c>
      <c r="BC155" s="16" t="s">
        <v>271</v>
      </c>
      <c r="BD155" s="16" t="s">
        <v>186</v>
      </c>
      <c r="BE155" s="16" t="s">
        <v>272</v>
      </c>
      <c r="CV155" s="20"/>
      <c r="CW155" s="20"/>
      <c r="CX155" s="20"/>
      <c r="CY155" s="20"/>
      <c r="CZ155" s="20"/>
      <c r="DA155" s="20"/>
      <c r="DB155" s="20"/>
    </row>
    <row r="156" spans="1:121" ht="15.75" customHeight="1" x14ac:dyDescent="0.3">
      <c r="J156" s="178" t="str">
        <f t="shared" si="69"/>
        <v>Guajira</v>
      </c>
      <c r="K156" s="178" t="str">
        <f t="shared" si="69"/>
        <v>Doesn't Apply</v>
      </c>
      <c r="L156" s="179" t="str">
        <f t="shared" si="69"/>
        <v>CAM1</v>
      </c>
      <c r="M156" s="180" t="str">
        <f t="shared" si="69"/>
        <v>GU - Gas</v>
      </c>
      <c r="N156" s="215">
        <v>0</v>
      </c>
      <c r="O156" s="216" t="s">
        <v>273</v>
      </c>
      <c r="P156" s="217">
        <f>+N156*(365/1000)*$D$14/1000</f>
        <v>0</v>
      </c>
      <c r="Q156" s="16" t="s">
        <v>97</v>
      </c>
      <c r="R156" s="8">
        <f t="shared" ref="R156:R162" si="70">+AA99</f>
        <v>0</v>
      </c>
      <c r="S156" s="42">
        <v>0</v>
      </c>
      <c r="V156" s="16">
        <v>2019</v>
      </c>
      <c r="W156" s="83">
        <v>2253.928870417391</v>
      </c>
      <c r="X156" s="83">
        <v>3992.1013839447819</v>
      </c>
      <c r="Y156" s="83">
        <v>469.74801054894476</v>
      </c>
      <c r="Z156" s="83">
        <v>1938.6301241137664</v>
      </c>
      <c r="AA156" s="83">
        <v>7348.5205434398176</v>
      </c>
      <c r="AB156" s="83">
        <v>162.27952651346473</v>
      </c>
      <c r="AC156" s="83">
        <v>0</v>
      </c>
      <c r="AE156" s="16">
        <v>2019</v>
      </c>
      <c r="AF156" s="83">
        <v>347.22849429808105</v>
      </c>
      <c r="AG156" s="83">
        <v>651.23296939487716</v>
      </c>
      <c r="AH156" s="83">
        <v>0</v>
      </c>
      <c r="AI156" s="83">
        <v>0</v>
      </c>
      <c r="AJ156" s="83">
        <v>1470.6685125882132</v>
      </c>
      <c r="AK156" s="83">
        <v>0</v>
      </c>
      <c r="AL156" s="83">
        <v>0</v>
      </c>
      <c r="AN156" s="16">
        <v>2019</v>
      </c>
      <c r="AO156" s="26">
        <f t="shared" ref="AO156:AU162" si="71">+AF156/W156</f>
        <v>0.15405477025270101</v>
      </c>
      <c r="AP156" s="26">
        <f t="shared" si="71"/>
        <v>0.16313036838542497</v>
      </c>
      <c r="AQ156" s="26">
        <f t="shared" si="71"/>
        <v>0</v>
      </c>
      <c r="AR156" s="26">
        <f t="shared" si="71"/>
        <v>0</v>
      </c>
      <c r="AS156" s="26">
        <f t="shared" si="71"/>
        <v>0.20013123783141773</v>
      </c>
      <c r="AT156" s="26">
        <f t="shared" si="71"/>
        <v>0</v>
      </c>
      <c r="AU156" s="26"/>
      <c r="AX156" s="16">
        <v>2019</v>
      </c>
      <c r="AY156" s="83">
        <f t="shared" ref="AY156:BE162" si="72">+W156-AF156</f>
        <v>1906.70037611931</v>
      </c>
      <c r="AZ156" s="83">
        <f t="shared" si="72"/>
        <v>3340.8684145499046</v>
      </c>
      <c r="BA156" s="83">
        <f t="shared" si="72"/>
        <v>469.74801054894476</v>
      </c>
      <c r="BB156" s="83">
        <f t="shared" si="72"/>
        <v>1938.6301241137664</v>
      </c>
      <c r="BC156" s="83">
        <f t="shared" si="72"/>
        <v>5877.8520308516045</v>
      </c>
      <c r="BD156" s="83">
        <f t="shared" si="72"/>
        <v>162.27952651346473</v>
      </c>
      <c r="BE156" s="83">
        <f t="shared" si="72"/>
        <v>0</v>
      </c>
      <c r="CV156" s="20"/>
      <c r="CW156" s="20"/>
      <c r="CX156" s="20"/>
      <c r="CY156" s="20"/>
      <c r="CZ156" s="20"/>
      <c r="DA156" s="20"/>
      <c r="DB156" s="20"/>
    </row>
    <row r="157" spans="1:121" ht="15.75" customHeight="1" x14ac:dyDescent="0.3">
      <c r="J157" s="178" t="str">
        <f t="shared" si="69"/>
        <v>Llanos Orientales</v>
      </c>
      <c r="K157" s="178" t="str">
        <f t="shared" si="69"/>
        <v>Light Oil</v>
      </c>
      <c r="L157" s="179" t="str">
        <f t="shared" si="69"/>
        <v>CAM2</v>
      </c>
      <c r="M157" s="192" t="str">
        <f t="shared" si="69"/>
        <v>LLO - Ligth</v>
      </c>
      <c r="N157" s="215">
        <f>+Z164+AA164</f>
        <v>14800</v>
      </c>
      <c r="O157" s="216" t="s">
        <v>273</v>
      </c>
      <c r="P157" s="34">
        <f t="shared" ref="P157:P162" si="73">+N157*(365/1000)*$D$14/1000</f>
        <v>21.91194918242925</v>
      </c>
      <c r="Q157" s="16" t="s">
        <v>97</v>
      </c>
      <c r="R157" s="8">
        <f t="shared" si="70"/>
        <v>0.18787698363071906</v>
      </c>
      <c r="S157" s="42">
        <f t="shared" ref="S157:S158" si="74">+P157/R157</f>
        <v>116.62923663655472</v>
      </c>
      <c r="V157" s="16">
        <v>2020</v>
      </c>
      <c r="W157" s="83">
        <v>3027.9177591474381</v>
      </c>
      <c r="X157" s="83">
        <v>3316.6466078710505</v>
      </c>
      <c r="Y157" s="83">
        <v>347.53424063269131</v>
      </c>
      <c r="Z157" s="83">
        <v>7140.2739468576701</v>
      </c>
      <c r="AA157" s="83">
        <v>7420.2740498379508</v>
      </c>
      <c r="AB157" s="83">
        <v>176.72627372066282</v>
      </c>
      <c r="AC157" s="83">
        <v>1571.0794682741891</v>
      </c>
      <c r="AD157" s="83"/>
      <c r="AE157" s="16">
        <v>2020</v>
      </c>
      <c r="AF157" s="83">
        <v>350.95902255861745</v>
      </c>
      <c r="AG157" s="83">
        <v>453.64932302125374</v>
      </c>
      <c r="AH157" s="83">
        <v>0</v>
      </c>
      <c r="AI157" s="83">
        <v>586.84388285864247</v>
      </c>
      <c r="AJ157" s="83">
        <v>6570.3589924795442</v>
      </c>
      <c r="AK157" s="83">
        <v>0</v>
      </c>
      <c r="AL157" s="83">
        <v>0</v>
      </c>
      <c r="AN157" s="16">
        <v>2020</v>
      </c>
      <c r="AO157" s="26">
        <f t="shared" si="71"/>
        <v>0.1159077129814239</v>
      </c>
      <c r="AP157" s="26">
        <f t="shared" si="71"/>
        <v>0.13677951758401249</v>
      </c>
      <c r="AQ157" s="26">
        <f t="shared" si="71"/>
        <v>0</v>
      </c>
      <c r="AR157" s="26">
        <f t="shared" si="71"/>
        <v>8.2187866631770315E-2</v>
      </c>
      <c r="AS157" s="26">
        <f t="shared" si="71"/>
        <v>0.88546042212861831</v>
      </c>
      <c r="AT157" s="26">
        <f t="shared" si="71"/>
        <v>0</v>
      </c>
      <c r="AU157" s="26">
        <f t="shared" si="71"/>
        <v>0</v>
      </c>
      <c r="AX157" s="16">
        <v>2020</v>
      </c>
      <c r="AY157" s="83">
        <f t="shared" si="72"/>
        <v>2676.9587365888206</v>
      </c>
      <c r="AZ157" s="83">
        <f t="shared" si="72"/>
        <v>2862.9972848497969</v>
      </c>
      <c r="BA157" s="83">
        <f t="shared" si="72"/>
        <v>347.53424063269131</v>
      </c>
      <c r="BB157" s="83">
        <f t="shared" si="72"/>
        <v>6553.4300639990279</v>
      </c>
      <c r="BC157" s="83">
        <f t="shared" si="72"/>
        <v>849.91505735840656</v>
      </c>
      <c r="BD157" s="83">
        <f t="shared" si="72"/>
        <v>176.72627372066282</v>
      </c>
      <c r="BE157" s="83">
        <f t="shared" si="72"/>
        <v>1571.0794682741891</v>
      </c>
      <c r="CV157" s="20"/>
      <c r="CW157" s="20"/>
      <c r="CX157" s="20"/>
      <c r="CY157" s="20"/>
      <c r="CZ157" s="20"/>
      <c r="DA157" s="20"/>
      <c r="DB157" s="20"/>
    </row>
    <row r="158" spans="1:121" ht="15.75" customHeight="1" x14ac:dyDescent="0.3">
      <c r="J158" s="178" t="str">
        <f t="shared" si="69"/>
        <v>Llanos Orientales</v>
      </c>
      <c r="K158" s="178" t="str">
        <f t="shared" si="69"/>
        <v>Heavy Oil</v>
      </c>
      <c r="L158" s="179" t="str">
        <f t="shared" si="69"/>
        <v>CAM3</v>
      </c>
      <c r="M158" s="194" t="str">
        <f t="shared" si="69"/>
        <v>LLO - Heavy</v>
      </c>
      <c r="N158" s="215">
        <f>+Y164</f>
        <v>800</v>
      </c>
      <c r="O158" s="216" t="s">
        <v>273</v>
      </c>
      <c r="P158" s="34">
        <f t="shared" si="73"/>
        <v>1.1844296855367162</v>
      </c>
      <c r="Q158" s="16" t="s">
        <v>97</v>
      </c>
      <c r="R158" s="8">
        <f t="shared" si="70"/>
        <v>0.4507029118970462</v>
      </c>
      <c r="S158" s="42">
        <f t="shared" si="74"/>
        <v>2.6279610232633126</v>
      </c>
      <c r="V158" s="16">
        <v>2021</v>
      </c>
      <c r="W158" s="83">
        <v>3280.7944883974951</v>
      </c>
      <c r="X158" s="83">
        <v>3020.6328992252193</v>
      </c>
      <c r="Y158" s="83">
        <v>267.12599398671159</v>
      </c>
      <c r="Z158" s="83">
        <v>7049.5889960420182</v>
      </c>
      <c r="AA158" s="83">
        <v>7400.0000965440149</v>
      </c>
      <c r="AB158" s="83">
        <v>169.26612475518095</v>
      </c>
      <c r="AC158" s="83">
        <v>1874.0000212396833</v>
      </c>
      <c r="AD158" s="83"/>
      <c r="AE158" s="16">
        <v>2021</v>
      </c>
      <c r="AF158" s="83">
        <v>461.78091498490204</v>
      </c>
      <c r="AG158" s="83">
        <v>400.00002989759628</v>
      </c>
      <c r="AH158" s="83">
        <v>0</v>
      </c>
      <c r="AI158" s="83">
        <v>789.50138556750676</v>
      </c>
      <c r="AJ158" s="83">
        <v>7400.0000965440149</v>
      </c>
      <c r="AK158" s="83">
        <v>0</v>
      </c>
      <c r="AL158" s="83">
        <v>0</v>
      </c>
      <c r="AN158" s="16">
        <v>2021</v>
      </c>
      <c r="AO158" s="26">
        <f t="shared" si="71"/>
        <v>0.1407527708968016</v>
      </c>
      <c r="AP158" s="26">
        <f t="shared" si="71"/>
        <v>0.13242258931901152</v>
      </c>
      <c r="AQ158" s="26">
        <f t="shared" si="71"/>
        <v>0</v>
      </c>
      <c r="AR158" s="26">
        <f t="shared" si="71"/>
        <v>0.11199254112697508</v>
      </c>
      <c r="AS158" s="26">
        <f t="shared" si="71"/>
        <v>1</v>
      </c>
      <c r="AT158" s="26">
        <f t="shared" si="71"/>
        <v>0</v>
      </c>
      <c r="AU158" s="26">
        <f t="shared" si="71"/>
        <v>0</v>
      </c>
      <c r="AX158" s="16">
        <v>2021</v>
      </c>
      <c r="AY158" s="83">
        <f t="shared" si="72"/>
        <v>2819.0135734125929</v>
      </c>
      <c r="AZ158" s="83">
        <f t="shared" si="72"/>
        <v>2620.6328693276228</v>
      </c>
      <c r="BA158" s="83">
        <f t="shared" si="72"/>
        <v>267.12599398671159</v>
      </c>
      <c r="BB158" s="83">
        <f t="shared" si="72"/>
        <v>6260.0876104745112</v>
      </c>
      <c r="BC158" s="83">
        <f t="shared" si="72"/>
        <v>0</v>
      </c>
      <c r="BD158" s="83">
        <f t="shared" si="72"/>
        <v>169.26612475518095</v>
      </c>
      <c r="BE158" s="83">
        <f t="shared" si="72"/>
        <v>1874.0000212396833</v>
      </c>
      <c r="CV158" s="20"/>
      <c r="CW158" s="20"/>
      <c r="CX158" s="20"/>
      <c r="CY158" s="20"/>
      <c r="CZ158" s="20"/>
      <c r="DA158" s="20"/>
      <c r="DB158" s="20"/>
    </row>
    <row r="159" spans="1:121" ht="15.75" customHeight="1" x14ac:dyDescent="0.3">
      <c r="J159" s="178" t="str">
        <f t="shared" si="69"/>
        <v>Putumayo</v>
      </c>
      <c r="K159" s="178" t="str">
        <f t="shared" si="69"/>
        <v>Light Oil</v>
      </c>
      <c r="L159" s="179" t="str">
        <f t="shared" si="69"/>
        <v>CAM4</v>
      </c>
      <c r="M159" s="194" t="str">
        <f t="shared" si="69"/>
        <v>PU - Ligth</v>
      </c>
      <c r="N159" s="215">
        <f>+T102</f>
        <v>0</v>
      </c>
      <c r="O159" s="216" t="s">
        <v>273</v>
      </c>
      <c r="P159" s="217">
        <f t="shared" si="73"/>
        <v>0</v>
      </c>
      <c r="Q159" s="16" t="s">
        <v>97</v>
      </c>
      <c r="R159" s="8">
        <f t="shared" si="70"/>
        <v>0</v>
      </c>
      <c r="S159" s="42">
        <v>0</v>
      </c>
      <c r="V159" s="16">
        <v>2022</v>
      </c>
      <c r="W159" s="83">
        <v>2986.0297811673495</v>
      </c>
      <c r="X159" s="83">
        <v>4543.9452015278557</v>
      </c>
      <c r="Y159" s="83">
        <v>398.74520547945207</v>
      </c>
      <c r="Z159" s="83">
        <v>7989.0794520547943</v>
      </c>
      <c r="AA159" s="83">
        <v>7600.0000000000009</v>
      </c>
      <c r="AB159" s="83">
        <v>162.77808219178081</v>
      </c>
      <c r="AC159" s="83">
        <v>0</v>
      </c>
      <c r="AD159" s="83"/>
      <c r="AE159" s="16">
        <v>2022</v>
      </c>
      <c r="AF159" s="83">
        <v>362.8767123287671</v>
      </c>
      <c r="AG159" s="83">
        <v>1425.3524614333717</v>
      </c>
      <c r="AH159" s="83">
        <v>398.74520547945207</v>
      </c>
      <c r="AI159" s="83">
        <v>582.7534246575342</v>
      </c>
      <c r="AJ159" s="83">
        <v>2194.0107410722189</v>
      </c>
      <c r="AK159" s="83">
        <v>0</v>
      </c>
      <c r="AL159" s="83">
        <v>4.3052837573385521E-3</v>
      </c>
      <c r="AN159" s="16">
        <v>2022</v>
      </c>
      <c r="AO159" s="26">
        <f t="shared" si="71"/>
        <v>0.12152481352242414</v>
      </c>
      <c r="AP159" s="26">
        <f t="shared" si="71"/>
        <v>0.31368170130091166</v>
      </c>
      <c r="AQ159" s="26">
        <f t="shared" si="71"/>
        <v>1</v>
      </c>
      <c r="AR159" s="26">
        <f t="shared" si="71"/>
        <v>7.2943751298862075E-2</v>
      </c>
      <c r="AS159" s="26">
        <f t="shared" si="71"/>
        <v>0.28868562382529195</v>
      </c>
      <c r="AT159" s="26">
        <f t="shared" si="71"/>
        <v>0</v>
      </c>
      <c r="AU159" s="26"/>
      <c r="AX159" s="16">
        <v>2022</v>
      </c>
      <c r="AY159" s="83">
        <f t="shared" si="72"/>
        <v>2623.1530688385824</v>
      </c>
      <c r="AZ159" s="83">
        <f t="shared" si="72"/>
        <v>3118.5927400944838</v>
      </c>
      <c r="BA159" s="83">
        <f t="shared" si="72"/>
        <v>0</v>
      </c>
      <c r="BB159" s="83">
        <f t="shared" si="72"/>
        <v>7406.3260273972601</v>
      </c>
      <c r="BC159" s="83">
        <f t="shared" si="72"/>
        <v>5405.9892589277824</v>
      </c>
      <c r="BD159" s="83">
        <f t="shared" si="72"/>
        <v>162.77808219178081</v>
      </c>
      <c r="BE159" s="83">
        <f t="shared" si="72"/>
        <v>-4.3052837573385521E-3</v>
      </c>
      <c r="CV159" s="20"/>
      <c r="CW159" s="20"/>
      <c r="CX159" s="20"/>
      <c r="CY159" s="20"/>
      <c r="CZ159" s="20"/>
      <c r="DA159" s="20"/>
      <c r="DB159" s="20"/>
    </row>
    <row r="160" spans="1:121" ht="15.75" customHeight="1" x14ac:dyDescent="0.3">
      <c r="J160" s="178" t="str">
        <f t="shared" si="69"/>
        <v>VMM</v>
      </c>
      <c r="K160" s="178" t="str">
        <f t="shared" si="69"/>
        <v>Medium Oil</v>
      </c>
      <c r="L160" s="179" t="str">
        <f t="shared" si="69"/>
        <v>CAM5</v>
      </c>
      <c r="M160" s="194" t="str">
        <f t="shared" si="69"/>
        <v>VMM - Medium</v>
      </c>
      <c r="N160" s="215">
        <v>0</v>
      </c>
      <c r="O160" s="216" t="s">
        <v>273</v>
      </c>
      <c r="P160" s="217">
        <f t="shared" si="73"/>
        <v>0</v>
      </c>
      <c r="Q160" s="16" t="s">
        <v>97</v>
      </c>
      <c r="R160" s="8">
        <f t="shared" si="70"/>
        <v>0</v>
      </c>
      <c r="S160" s="42">
        <v>0</v>
      </c>
      <c r="V160" s="16">
        <v>2023</v>
      </c>
      <c r="W160" s="83">
        <v>3150</v>
      </c>
      <c r="X160" s="83">
        <v>4240.2564945621634</v>
      </c>
      <c r="Y160" s="83">
        <v>308.45753424657534</v>
      </c>
      <c r="Z160" s="83">
        <v>8100</v>
      </c>
      <c r="AA160" s="83">
        <v>7277.791780821919</v>
      </c>
      <c r="AB160" s="83">
        <v>151.73424657534247</v>
      </c>
      <c r="AC160" s="83">
        <v>0</v>
      </c>
      <c r="AD160" s="83"/>
      <c r="AE160" s="16">
        <v>2023</v>
      </c>
      <c r="AF160" s="83">
        <v>400</v>
      </c>
      <c r="AG160" s="83">
        <v>1500.0000000000002</v>
      </c>
      <c r="AH160" s="83">
        <v>308.45753424657534</v>
      </c>
      <c r="AI160" s="83">
        <v>0</v>
      </c>
      <c r="AJ160" s="83">
        <v>3079.8883113247662</v>
      </c>
      <c r="AK160" s="83">
        <v>0</v>
      </c>
      <c r="AL160" s="83">
        <v>1.3698630136986301E-2</v>
      </c>
      <c r="AN160" s="16">
        <v>2023</v>
      </c>
      <c r="AO160" s="26">
        <f t="shared" si="71"/>
        <v>0.12698412698412698</v>
      </c>
      <c r="AP160" s="26">
        <f t="shared" si="71"/>
        <v>0.3537521850207993</v>
      </c>
      <c r="AQ160" s="26">
        <f t="shared" si="71"/>
        <v>1</v>
      </c>
      <c r="AR160" s="26">
        <f t="shared" si="71"/>
        <v>0</v>
      </c>
      <c r="AS160" s="26">
        <f t="shared" si="71"/>
        <v>0.42318994608237315</v>
      </c>
      <c r="AT160" s="26">
        <f t="shared" si="71"/>
        <v>0</v>
      </c>
      <c r="AU160" s="26"/>
      <c r="AX160" s="16">
        <v>2023</v>
      </c>
      <c r="AY160" s="83">
        <f t="shared" si="72"/>
        <v>2750</v>
      </c>
      <c r="AZ160" s="83">
        <f t="shared" si="72"/>
        <v>2740.2564945621634</v>
      </c>
      <c r="BA160" s="83">
        <f t="shared" si="72"/>
        <v>0</v>
      </c>
      <c r="BB160" s="83">
        <f t="shared" si="72"/>
        <v>8100</v>
      </c>
      <c r="BC160" s="83">
        <f t="shared" si="72"/>
        <v>4197.9034694971524</v>
      </c>
      <c r="BD160" s="83">
        <f t="shared" si="72"/>
        <v>151.73424657534247</v>
      </c>
      <c r="BE160" s="83">
        <f t="shared" si="72"/>
        <v>-1.3698630136986301E-2</v>
      </c>
      <c r="CV160" s="20"/>
      <c r="CW160" s="20"/>
      <c r="CX160" s="20"/>
      <c r="CY160" s="20"/>
      <c r="CZ160" s="20"/>
      <c r="DA160" s="20"/>
      <c r="DB160" s="20"/>
    </row>
    <row r="161" spans="1:121" ht="15.75" customHeight="1" x14ac:dyDescent="0.3">
      <c r="J161" s="178" t="str">
        <f t="shared" si="69"/>
        <v>VSM</v>
      </c>
      <c r="K161" s="178" t="str">
        <f t="shared" si="69"/>
        <v>Medium Oil</v>
      </c>
      <c r="L161" s="179" t="str">
        <f t="shared" si="69"/>
        <v>CAM6</v>
      </c>
      <c r="M161" s="192" t="str">
        <f t="shared" si="69"/>
        <v>VSM - Medium</v>
      </c>
      <c r="N161" s="215">
        <f>+AB164</f>
        <v>176.72627372066282</v>
      </c>
      <c r="O161" s="216" t="s">
        <v>273</v>
      </c>
      <c r="P161" s="34">
        <f t="shared" si="73"/>
        <v>0.26164980601130039</v>
      </c>
      <c r="Q161" s="16" t="s">
        <v>97</v>
      </c>
      <c r="R161" s="8">
        <f t="shared" si="70"/>
        <v>0.39345284643786937</v>
      </c>
      <c r="S161" s="42">
        <f>+P161/R161</f>
        <v>0.66500931021379162</v>
      </c>
      <c r="V161" s="16">
        <v>2024</v>
      </c>
      <c r="W161" s="83">
        <v>3158.6301369863013</v>
      </c>
      <c r="X161" s="83">
        <v>4354.2101192686277</v>
      </c>
      <c r="Y161" s="83">
        <v>260.40547945205481</v>
      </c>
      <c r="Z161" s="83">
        <v>7666.2742499653305</v>
      </c>
      <c r="AA161" s="83">
        <v>5796.1835616438366</v>
      </c>
      <c r="AB161" s="83">
        <v>137.61095890410959</v>
      </c>
      <c r="AC161" s="83">
        <v>0</v>
      </c>
      <c r="AD161" s="83"/>
      <c r="AE161" s="16">
        <v>2024</v>
      </c>
      <c r="AF161" s="83">
        <v>401.09589041095893</v>
      </c>
      <c r="AG161" s="83">
        <v>1504.1095890410961</v>
      </c>
      <c r="AH161" s="83">
        <v>260.40547945205481</v>
      </c>
      <c r="AI161" s="83">
        <v>0</v>
      </c>
      <c r="AJ161" s="83">
        <v>3124.2158880286934</v>
      </c>
      <c r="AK161" s="83">
        <v>0</v>
      </c>
      <c r="AL161" s="83">
        <v>2.3091976516634052E-2</v>
      </c>
      <c r="AN161" s="16">
        <v>2024</v>
      </c>
      <c r="AO161" s="26">
        <f t="shared" si="71"/>
        <v>0.126984126984127</v>
      </c>
      <c r="AP161" s="26">
        <f t="shared" si="71"/>
        <v>0.3454379894036303</v>
      </c>
      <c r="AQ161" s="26">
        <f t="shared" si="71"/>
        <v>1</v>
      </c>
      <c r="AR161" s="26">
        <f t="shared" si="71"/>
        <v>0</v>
      </c>
      <c r="AS161" s="26">
        <f t="shared" si="71"/>
        <v>0.53901258557495457</v>
      </c>
      <c r="AT161" s="26">
        <f t="shared" si="71"/>
        <v>0</v>
      </c>
      <c r="AU161" s="26"/>
      <c r="AX161" s="16">
        <v>2024</v>
      </c>
      <c r="AY161" s="83">
        <f t="shared" si="72"/>
        <v>2757.5342465753424</v>
      </c>
      <c r="AZ161" s="83">
        <f t="shared" si="72"/>
        <v>2850.1005302275316</v>
      </c>
      <c r="BA161" s="83">
        <f t="shared" si="72"/>
        <v>0</v>
      </c>
      <c r="BB161" s="83">
        <f t="shared" si="72"/>
        <v>7666.2742499653305</v>
      </c>
      <c r="BC161" s="83">
        <f t="shared" si="72"/>
        <v>2671.9676736151432</v>
      </c>
      <c r="BD161" s="83">
        <f t="shared" si="72"/>
        <v>137.61095890410959</v>
      </c>
      <c r="BE161" s="83">
        <f t="shared" si="72"/>
        <v>-2.3091976516634052E-2</v>
      </c>
      <c r="CV161" s="20"/>
      <c r="CW161" s="20"/>
      <c r="CX161" s="20"/>
      <c r="CY161" s="20"/>
      <c r="CZ161" s="20"/>
      <c r="DA161" s="20"/>
      <c r="DB161" s="20"/>
    </row>
    <row r="162" spans="1:121" ht="15.75" customHeight="1" x14ac:dyDescent="0.3">
      <c r="J162" s="218" t="str">
        <f t="shared" si="69"/>
        <v>VIM</v>
      </c>
      <c r="K162" s="218" t="str">
        <f t="shared" si="69"/>
        <v>Doesn't Apply</v>
      </c>
      <c r="L162" s="219" t="str">
        <f t="shared" si="69"/>
        <v>CAM7</v>
      </c>
      <c r="M162" s="220" t="str">
        <f t="shared" si="69"/>
        <v>VIM - GAS</v>
      </c>
      <c r="N162" s="215">
        <v>0</v>
      </c>
      <c r="O162" s="216" t="s">
        <v>273</v>
      </c>
      <c r="P162" s="217">
        <f t="shared" si="73"/>
        <v>0</v>
      </c>
      <c r="Q162" s="16" t="s">
        <v>97</v>
      </c>
      <c r="R162" s="8">
        <f t="shared" si="70"/>
        <v>0</v>
      </c>
      <c r="S162" s="42">
        <v>0</v>
      </c>
      <c r="V162" s="16">
        <v>2025</v>
      </c>
      <c r="W162" s="83">
        <v>3105.1978345369666</v>
      </c>
      <c r="X162" s="83">
        <v>4343.2290522179519</v>
      </c>
      <c r="Y162" s="83">
        <v>0</v>
      </c>
      <c r="Z162" s="83">
        <v>6475.9477325608286</v>
      </c>
      <c r="AA162" s="83">
        <v>4784.0799448326134</v>
      </c>
      <c r="AB162" s="83">
        <v>122.13972602739726</v>
      </c>
      <c r="AC162" s="83">
        <v>0</v>
      </c>
      <c r="AD162" s="83"/>
      <c r="AE162" s="16">
        <v>2025</v>
      </c>
      <c r="AF162" s="83">
        <v>400</v>
      </c>
      <c r="AG162" s="83">
        <v>1500.0000000000002</v>
      </c>
      <c r="AH162" s="83">
        <v>0</v>
      </c>
      <c r="AI162" s="83">
        <v>0</v>
      </c>
      <c r="AJ162" s="83">
        <v>3158.6000000000008</v>
      </c>
      <c r="AK162" s="83">
        <v>0</v>
      </c>
      <c r="AL162" s="83">
        <v>3.2485322896281803E-2</v>
      </c>
      <c r="AN162" s="16">
        <v>2025</v>
      </c>
      <c r="AO162" s="26">
        <f t="shared" si="71"/>
        <v>0.12881626914429631</v>
      </c>
      <c r="AP162" s="26">
        <f t="shared" si="71"/>
        <v>0.34536516079758606</v>
      </c>
      <c r="AQ162" s="26"/>
      <c r="AR162" s="26">
        <f t="shared" si="71"/>
        <v>0</v>
      </c>
      <c r="AS162" s="26">
        <f t="shared" si="71"/>
        <v>0.6602314418703793</v>
      </c>
      <c r="AT162" s="26">
        <f t="shared" si="71"/>
        <v>0</v>
      </c>
      <c r="AU162" s="26"/>
      <c r="AX162" s="16">
        <v>2025</v>
      </c>
      <c r="AY162" s="83">
        <f t="shared" si="72"/>
        <v>2705.1978345369666</v>
      </c>
      <c r="AZ162" s="83">
        <f t="shared" si="72"/>
        <v>2843.2290522179519</v>
      </c>
      <c r="BA162" s="83">
        <f t="shared" si="72"/>
        <v>0</v>
      </c>
      <c r="BB162" s="83">
        <f t="shared" si="72"/>
        <v>6475.9477325608286</v>
      </c>
      <c r="BC162" s="83">
        <f t="shared" si="72"/>
        <v>1625.4799448326125</v>
      </c>
      <c r="BD162" s="83">
        <f t="shared" si="72"/>
        <v>122.13972602739726</v>
      </c>
      <c r="BE162" s="83">
        <f t="shared" si="72"/>
        <v>-3.2485322896281803E-2</v>
      </c>
      <c r="CV162" s="20"/>
      <c r="CW162" s="20"/>
      <c r="CX162" s="20"/>
      <c r="CY162" s="20"/>
      <c r="CZ162" s="20"/>
      <c r="DA162" s="20"/>
      <c r="DB162" s="20"/>
    </row>
    <row r="163" spans="1:121" s="275" customFormat="1" ht="15.75" customHeight="1" x14ac:dyDescent="0.3">
      <c r="A163" s="279"/>
      <c r="B163" s="279"/>
      <c r="C163" s="279"/>
      <c r="D163" s="279"/>
      <c r="E163" s="279"/>
      <c r="F163" s="279"/>
      <c r="G163" s="279"/>
      <c r="H163" s="279"/>
      <c r="I163" s="279"/>
      <c r="J163" s="279"/>
      <c r="K163" s="279" t="str">
        <f>K143</f>
        <v>Heavy Oil</v>
      </c>
      <c r="L163" s="276" t="s">
        <v>328</v>
      </c>
      <c r="M163" s="279" t="s">
        <v>329</v>
      </c>
      <c r="N163" s="279">
        <v>0</v>
      </c>
      <c r="O163" s="279"/>
      <c r="P163" s="279">
        <v>0</v>
      </c>
      <c r="Q163" s="279"/>
      <c r="R163" s="279">
        <v>0</v>
      </c>
      <c r="S163" s="279">
        <v>0</v>
      </c>
      <c r="T163" s="279"/>
      <c r="U163" s="279"/>
      <c r="V163" s="279"/>
      <c r="W163" s="279"/>
      <c r="X163" s="279"/>
      <c r="Y163" s="279"/>
      <c r="Z163" s="279"/>
      <c r="AA163" s="279"/>
      <c r="AB163" s="279"/>
      <c r="AC163" s="279"/>
      <c r="AD163" s="279"/>
      <c r="AE163" s="279"/>
      <c r="AF163" s="279"/>
      <c r="AG163" s="279"/>
      <c r="AH163" s="279"/>
      <c r="AI163" s="279"/>
      <c r="AJ163" s="279"/>
      <c r="AK163" s="279"/>
      <c r="AL163" s="279"/>
      <c r="AM163" s="279"/>
      <c r="AN163" s="279"/>
      <c r="AO163" s="279"/>
      <c r="AP163" s="279"/>
      <c r="AQ163" s="279"/>
      <c r="AR163" s="279"/>
      <c r="AS163" s="279"/>
      <c r="AT163" s="279"/>
      <c r="AU163" s="279"/>
      <c r="AV163" s="279"/>
      <c r="AW163" s="279"/>
      <c r="AX163" s="279"/>
      <c r="AY163" s="279"/>
      <c r="AZ163" s="279"/>
      <c r="BA163" s="279"/>
      <c r="BB163" s="279"/>
      <c r="BC163" s="279"/>
      <c r="BD163" s="279"/>
      <c r="BE163" s="279"/>
      <c r="BF163" s="279"/>
      <c r="BG163" s="279"/>
      <c r="BH163" s="279"/>
      <c r="BI163" s="279"/>
      <c r="BJ163" s="279"/>
      <c r="BK163" s="279"/>
      <c r="BL163" s="279"/>
      <c r="BM163" s="279"/>
      <c r="BN163" s="279"/>
      <c r="BO163" s="279"/>
      <c r="BP163" s="279"/>
      <c r="BQ163" s="279"/>
      <c r="BR163" s="279"/>
      <c r="BS163" s="279"/>
      <c r="BT163" s="279"/>
      <c r="BU163" s="279"/>
      <c r="BV163" s="279"/>
      <c r="BW163" s="279"/>
      <c r="BX163" s="279"/>
      <c r="BY163" s="279"/>
      <c r="BZ163" s="279"/>
      <c r="CA163" s="279"/>
      <c r="CB163" s="279"/>
      <c r="CC163" s="279"/>
      <c r="CD163" s="279"/>
      <c r="CE163" s="279"/>
      <c r="CF163" s="279"/>
      <c r="CG163" s="279"/>
      <c r="CH163" s="279"/>
      <c r="CI163" s="279"/>
      <c r="CJ163" s="279"/>
      <c r="CK163" s="279"/>
      <c r="CL163" s="279"/>
      <c r="CM163" s="279"/>
      <c r="CN163" s="279"/>
      <c r="CO163" s="279"/>
      <c r="CP163" s="279"/>
      <c r="CQ163" s="279"/>
      <c r="CR163" s="279"/>
      <c r="CS163" s="279"/>
      <c r="CT163" s="279"/>
      <c r="CU163" s="279"/>
      <c r="CV163" s="279"/>
      <c r="CW163" s="279"/>
      <c r="CX163" s="279"/>
      <c r="CY163" s="279"/>
      <c r="CZ163" s="279"/>
      <c r="DA163" s="279"/>
      <c r="DB163" s="279"/>
      <c r="DC163" s="279"/>
      <c r="DD163" s="279"/>
      <c r="DE163" s="279"/>
      <c r="DF163" s="279"/>
      <c r="DG163" s="279"/>
      <c r="DH163" s="279"/>
      <c r="DI163" s="279"/>
      <c r="DJ163" s="279"/>
      <c r="DK163" s="279"/>
      <c r="DL163" s="279"/>
      <c r="DM163" s="279"/>
      <c r="DN163" s="279"/>
      <c r="DO163" s="279"/>
      <c r="DP163" s="279"/>
      <c r="DQ163" s="279"/>
    </row>
    <row r="164" spans="1:121" ht="15.75" customHeight="1" x14ac:dyDescent="0.3">
      <c r="J164" s="20"/>
      <c r="K164" s="20"/>
      <c r="L164" s="90"/>
      <c r="M164" s="20"/>
      <c r="V164" s="221" t="s">
        <v>274</v>
      </c>
      <c r="Y164" s="222">
        <v>800</v>
      </c>
      <c r="Z164" s="222">
        <v>8000</v>
      </c>
      <c r="AA164" s="222">
        <v>6800</v>
      </c>
      <c r="AB164" s="223">
        <f>+MAX(AB156:AB163)</f>
        <v>176.72627372066282</v>
      </c>
      <c r="AC164" s="222">
        <v>2026</v>
      </c>
      <c r="AD164" s="83"/>
      <c r="AU164" s="26"/>
      <c r="CV164" s="20"/>
      <c r="CW164" s="20"/>
      <c r="CX164" s="20"/>
      <c r="CY164" s="20"/>
      <c r="CZ164" s="20"/>
      <c r="DA164" s="20"/>
      <c r="DB164" s="20"/>
    </row>
    <row r="165" spans="1:121" ht="15.75" customHeight="1" x14ac:dyDescent="0.3">
      <c r="J165" s="20"/>
      <c r="K165" s="20"/>
      <c r="L165" s="90"/>
      <c r="M165" s="20"/>
      <c r="CV165" s="20"/>
      <c r="CW165" s="20"/>
      <c r="CX165" s="20"/>
      <c r="CY165" s="20"/>
      <c r="CZ165" s="20"/>
      <c r="DA165" s="20"/>
      <c r="DB165" s="20"/>
    </row>
    <row r="166" spans="1:121" ht="15.75" customHeight="1" x14ac:dyDescent="0.3">
      <c r="J166" s="20"/>
      <c r="K166" s="20"/>
      <c r="L166" s="90"/>
      <c r="M166" s="20"/>
      <c r="S166" s="224"/>
      <c r="CV166" s="20"/>
      <c r="CW166" s="20"/>
      <c r="CX166" s="20"/>
      <c r="CY166" s="20"/>
      <c r="CZ166" s="20"/>
      <c r="DA166" s="20"/>
      <c r="DB166" s="20"/>
    </row>
    <row r="167" spans="1:121" ht="15.75" customHeight="1" x14ac:dyDescent="0.3">
      <c r="J167" s="20"/>
      <c r="K167" s="20"/>
      <c r="L167" s="90"/>
      <c r="M167" s="20"/>
      <c r="CV167" s="20"/>
      <c r="CW167" s="20"/>
      <c r="CX167" s="20"/>
      <c r="CY167" s="20"/>
      <c r="CZ167" s="20"/>
      <c r="DA167" s="20"/>
      <c r="DB167" s="20"/>
    </row>
    <row r="168" spans="1:121" ht="15" customHeight="1" thickBot="1" x14ac:dyDescent="0.35">
      <c r="J168" s="20"/>
      <c r="K168" s="20"/>
      <c r="L168" s="90"/>
      <c r="M168" s="20"/>
      <c r="T168" s="34"/>
      <c r="U168" s="34"/>
      <c r="V168" s="34"/>
      <c r="W168" s="34"/>
      <c r="X168" s="34"/>
      <c r="Y168" s="34"/>
      <c r="Z168" s="34"/>
      <c r="AA168" s="34"/>
      <c r="AB168" s="34"/>
      <c r="CV168" s="20"/>
      <c r="CW168" s="20"/>
      <c r="CX168" s="20"/>
      <c r="CY168" s="20"/>
      <c r="CZ168" s="20"/>
      <c r="DA168" s="20"/>
      <c r="DB168" s="20"/>
    </row>
    <row r="169" spans="1:121" ht="22.5" customHeight="1" thickBot="1" x14ac:dyDescent="0.4">
      <c r="J169" s="316" t="s">
        <v>275</v>
      </c>
      <c r="K169" s="317"/>
      <c r="L169" s="317"/>
      <c r="M169" s="317"/>
      <c r="N169" s="317"/>
      <c r="O169" s="317"/>
      <c r="P169" s="317"/>
      <c r="Q169" s="317"/>
      <c r="R169" s="317"/>
      <c r="S169" s="317"/>
      <c r="T169" s="317"/>
      <c r="U169" s="317"/>
      <c r="V169" s="317"/>
      <c r="W169" s="317"/>
      <c r="X169" s="317"/>
      <c r="Y169" s="317"/>
      <c r="Z169" s="317"/>
      <c r="AA169" s="317"/>
      <c r="AB169" s="317"/>
      <c r="AC169" s="317"/>
      <c r="AD169" s="317"/>
      <c r="AE169" s="317"/>
      <c r="AF169" s="317"/>
      <c r="AG169" s="318"/>
      <c r="CV169" s="20"/>
      <c r="CW169" s="20"/>
      <c r="CX169" s="20"/>
      <c r="CY169" s="20"/>
      <c r="CZ169" s="20"/>
      <c r="DA169" s="20"/>
      <c r="DB169" s="20"/>
    </row>
    <row r="170" spans="1:121" ht="15" customHeight="1" x14ac:dyDescent="0.3">
      <c r="T170" s="34"/>
      <c r="U170" s="34"/>
      <c r="V170" s="34"/>
      <c r="W170" s="34"/>
      <c r="X170" s="34"/>
      <c r="Y170" s="34"/>
      <c r="Z170" s="34"/>
      <c r="AA170" s="34"/>
      <c r="AB170" s="34"/>
      <c r="CV170" s="20"/>
      <c r="CW170" s="20"/>
      <c r="CX170" s="20"/>
      <c r="CY170" s="20"/>
      <c r="CZ170" s="20"/>
      <c r="DA170" s="20"/>
      <c r="DB170" s="20"/>
    </row>
    <row r="171" spans="1:121" ht="15" customHeight="1" x14ac:dyDescent="0.3">
      <c r="T171" s="34"/>
      <c r="U171" s="34"/>
      <c r="V171" s="34"/>
      <c r="W171" s="34"/>
      <c r="X171" s="34"/>
      <c r="Y171" s="34"/>
      <c r="Z171" s="34"/>
      <c r="AA171" s="34"/>
      <c r="AB171" s="34"/>
      <c r="CV171" s="20"/>
      <c r="CW171" s="20"/>
      <c r="CX171" s="20"/>
      <c r="CY171" s="20"/>
      <c r="CZ171" s="20"/>
      <c r="DA171" s="20"/>
      <c r="DB171" s="20"/>
    </row>
    <row r="172" spans="1:121" ht="15" customHeight="1" x14ac:dyDescent="0.3">
      <c r="T172" s="34"/>
      <c r="U172" s="34"/>
      <c r="V172" s="34"/>
      <c r="W172" s="34"/>
      <c r="X172" s="34"/>
      <c r="Y172" s="34"/>
      <c r="Z172" s="34"/>
      <c r="AA172" s="34"/>
      <c r="AB172" s="34"/>
      <c r="CV172" s="20"/>
      <c r="CW172" s="20"/>
      <c r="CX172" s="20"/>
      <c r="CY172" s="20"/>
      <c r="CZ172" s="20"/>
      <c r="DA172" s="20"/>
      <c r="DB172" s="20"/>
    </row>
    <row r="173" spans="1:121" ht="15" customHeight="1" x14ac:dyDescent="0.3">
      <c r="T173" s="34"/>
      <c r="U173" s="34"/>
      <c r="V173" s="34"/>
      <c r="W173" s="34"/>
      <c r="X173" s="34"/>
      <c r="Y173" s="34"/>
      <c r="Z173" s="34"/>
      <c r="AA173" s="34"/>
      <c r="AB173" s="34"/>
      <c r="CV173" s="20"/>
      <c r="CW173" s="20"/>
      <c r="CX173" s="20"/>
      <c r="CY173" s="20"/>
      <c r="CZ173" s="20"/>
      <c r="DA173" s="20"/>
      <c r="DB173" s="20"/>
    </row>
    <row r="174" spans="1:121" ht="15" customHeight="1" x14ac:dyDescent="0.3">
      <c r="J174" s="322" t="s">
        <v>276</v>
      </c>
      <c r="K174" s="321"/>
      <c r="L174" s="321"/>
      <c r="M174" s="321"/>
      <c r="N174" s="321"/>
      <c r="O174" s="321"/>
      <c r="T174" s="34"/>
      <c r="U174" s="34"/>
      <c r="V174" s="34"/>
      <c r="W174" s="34"/>
      <c r="X174" s="34"/>
      <c r="Y174" s="34"/>
      <c r="Z174" s="34"/>
      <c r="AA174" s="34"/>
      <c r="AB174" s="34"/>
      <c r="CV174" s="20"/>
      <c r="CW174" s="20"/>
      <c r="CX174" s="20"/>
      <c r="CY174" s="20"/>
      <c r="CZ174" s="20"/>
      <c r="DA174" s="20"/>
      <c r="DB174" s="20"/>
    </row>
    <row r="175" spans="1:121" ht="15.75" customHeight="1" x14ac:dyDescent="0.3">
      <c r="CV175" s="20"/>
      <c r="CW175" s="20"/>
      <c r="CX175" s="20"/>
      <c r="CY175" s="20"/>
      <c r="CZ175" s="20"/>
      <c r="DA175" s="20"/>
      <c r="DB175" s="20"/>
    </row>
    <row r="176" spans="1:121" ht="15.75" customHeight="1" x14ac:dyDescent="0.3">
      <c r="J176" s="16" t="s">
        <v>277</v>
      </c>
      <c r="K176" s="16">
        <v>4.9000000000000004</v>
      </c>
      <c r="L176" s="16" t="s">
        <v>278</v>
      </c>
      <c r="M176" s="16">
        <f>+K176/1000</f>
        <v>4.9000000000000007E-3</v>
      </c>
      <c r="N176" s="16" t="s">
        <v>279</v>
      </c>
      <c r="P176" s="16" t="s">
        <v>280</v>
      </c>
      <c r="Q176" s="16">
        <v>4.5999999999999996</v>
      </c>
      <c r="R176" s="34"/>
      <c r="CV176" s="20"/>
      <c r="CW176" s="20"/>
      <c r="CX176" s="20"/>
      <c r="CY176" s="20"/>
      <c r="CZ176" s="20"/>
      <c r="DA176" s="20"/>
      <c r="DB176" s="20"/>
    </row>
    <row r="177" spans="1:121" ht="15.75" customHeight="1" x14ac:dyDescent="0.3">
      <c r="J177" s="16" t="s">
        <v>281</v>
      </c>
      <c r="K177" s="16">
        <v>0.32500000000000001</v>
      </c>
      <c r="L177" s="16" t="s">
        <v>282</v>
      </c>
      <c r="P177" s="16" t="s">
        <v>283</v>
      </c>
      <c r="Q177" s="16">
        <v>3.9</v>
      </c>
      <c r="R177" s="34"/>
      <c r="CV177" s="20"/>
      <c r="CW177" s="20"/>
      <c r="CX177" s="20"/>
      <c r="CY177" s="20"/>
      <c r="CZ177" s="20"/>
      <c r="DA177" s="20"/>
      <c r="DB177" s="20"/>
    </row>
    <row r="178" spans="1:121" ht="15.75" customHeight="1" x14ac:dyDescent="0.3">
      <c r="K178" s="16">
        <f>+K177*1000000</f>
        <v>325000</v>
      </c>
      <c r="L178" s="16" t="s">
        <v>284</v>
      </c>
      <c r="P178" s="16" t="s">
        <v>285</v>
      </c>
      <c r="Q178" s="16">
        <v>1.1000000000000001</v>
      </c>
      <c r="T178" s="224"/>
      <c r="U178" s="224"/>
      <c r="V178" s="224"/>
      <c r="W178" s="224"/>
      <c r="X178" s="224"/>
      <c r="Y178" s="224"/>
      <c r="Z178" s="224"/>
      <c r="AA178" s="224"/>
      <c r="CV178" s="20"/>
      <c r="CW178" s="20"/>
      <c r="CX178" s="20"/>
      <c r="CY178" s="20"/>
      <c r="CZ178" s="20"/>
      <c r="DA178" s="20"/>
      <c r="DB178" s="20"/>
    </row>
    <row r="179" spans="1:121" ht="15.75" customHeight="1" x14ac:dyDescent="0.3">
      <c r="K179" s="16">
        <f>+K178/1000000</f>
        <v>0.32500000000000001</v>
      </c>
      <c r="L179" s="16" t="s">
        <v>286</v>
      </c>
      <c r="P179" s="16" t="s">
        <v>287</v>
      </c>
      <c r="Q179" s="16">
        <v>0.4</v>
      </c>
      <c r="T179" s="224"/>
      <c r="U179" s="224"/>
      <c r="V179" s="224"/>
      <c r="W179" s="224"/>
      <c r="X179" s="224"/>
      <c r="Y179" s="224"/>
      <c r="Z179" s="224"/>
      <c r="AA179" s="224"/>
      <c r="CV179" s="20"/>
      <c r="CW179" s="20"/>
      <c r="CX179" s="20"/>
      <c r="CY179" s="20"/>
      <c r="CZ179" s="20"/>
      <c r="DA179" s="20"/>
      <c r="DB179" s="20"/>
    </row>
    <row r="180" spans="1:121" ht="15.75" customHeight="1" x14ac:dyDescent="0.3">
      <c r="T180" s="224"/>
      <c r="U180" s="224"/>
      <c r="V180" s="224"/>
      <c r="W180" s="224"/>
      <c r="X180" s="224"/>
      <c r="Y180" s="224"/>
      <c r="Z180" s="224"/>
      <c r="AA180" s="224"/>
      <c r="CV180" s="20"/>
      <c r="CW180" s="20"/>
      <c r="CX180" s="20"/>
      <c r="CY180" s="20"/>
      <c r="CZ180" s="20"/>
      <c r="DA180" s="20"/>
      <c r="DB180" s="20"/>
    </row>
    <row r="181" spans="1:121" ht="15.75" customHeight="1" x14ac:dyDescent="0.3">
      <c r="N181" s="4" t="s">
        <v>37</v>
      </c>
      <c r="O181" s="4" t="s">
        <v>288</v>
      </c>
      <c r="U181" s="4" t="s">
        <v>289</v>
      </c>
      <c r="V181" s="16" t="s">
        <v>290</v>
      </c>
      <c r="Y181" s="224" t="s">
        <v>291</v>
      </c>
      <c r="Z181" s="224"/>
      <c r="AA181" s="224"/>
      <c r="CV181" s="20"/>
      <c r="CW181" s="20"/>
      <c r="CX181" s="20"/>
      <c r="CY181" s="20"/>
      <c r="CZ181" s="20"/>
      <c r="DA181" s="20"/>
      <c r="DB181" s="20"/>
    </row>
    <row r="182" spans="1:121" ht="15.75" customHeight="1" x14ac:dyDescent="0.3">
      <c r="J182" s="169" t="str">
        <f t="shared" ref="J182:M189" si="75">J155</f>
        <v>Basin</v>
      </c>
      <c r="K182" s="169" t="str">
        <f t="shared" si="75"/>
        <v>Type Fluid</v>
      </c>
      <c r="L182" s="169" t="str">
        <f t="shared" si="75"/>
        <v>CAM</v>
      </c>
      <c r="M182" s="169" t="str">
        <f t="shared" si="75"/>
        <v>Type of Oil producing</v>
      </c>
      <c r="N182" s="225" t="s">
        <v>292</v>
      </c>
      <c r="U182" s="168" t="s">
        <v>293</v>
      </c>
      <c r="V182" s="16" t="s">
        <v>294</v>
      </c>
      <c r="W182" s="16" t="s">
        <v>295</v>
      </c>
      <c r="X182" s="16" t="s">
        <v>296</v>
      </c>
      <c r="Y182" s="224" t="s">
        <v>297</v>
      </c>
      <c r="Z182" s="224"/>
      <c r="AA182" s="224"/>
      <c r="CV182" s="20"/>
      <c r="CW182" s="20"/>
      <c r="CX182" s="20"/>
      <c r="CY182" s="20"/>
      <c r="CZ182" s="20"/>
      <c r="DA182" s="20"/>
      <c r="DB182" s="20"/>
    </row>
    <row r="183" spans="1:121" ht="15.75" customHeight="1" x14ac:dyDescent="0.3">
      <c r="G183" s="16">
        <v>1.2465999999999999</v>
      </c>
      <c r="H183" s="16" t="s">
        <v>298</v>
      </c>
      <c r="J183" s="178" t="str">
        <f t="shared" si="75"/>
        <v>Guajira</v>
      </c>
      <c r="K183" s="178" t="str">
        <f t="shared" si="75"/>
        <v>Doesn't Apply</v>
      </c>
      <c r="L183" s="179" t="str">
        <f t="shared" si="75"/>
        <v>CAM1</v>
      </c>
      <c r="M183" s="180" t="str">
        <f t="shared" si="75"/>
        <v>GU - Gas</v>
      </c>
      <c r="N183" s="226">
        <v>2.0999999999999999E-3</v>
      </c>
      <c r="O183" s="16" t="s">
        <v>37</v>
      </c>
      <c r="P183" s="16"/>
      <c r="R183" s="227"/>
      <c r="U183" s="228"/>
      <c r="X183" s="26">
        <v>1</v>
      </c>
      <c r="Y183" s="224"/>
      <c r="Z183" s="224"/>
      <c r="AA183" s="224"/>
      <c r="CV183" s="20"/>
      <c r="CW183" s="20"/>
      <c r="CX183" s="20"/>
      <c r="CY183" s="20"/>
      <c r="CZ183" s="20"/>
      <c r="DA183" s="20"/>
      <c r="DB183" s="20"/>
    </row>
    <row r="184" spans="1:121" ht="15.75" customHeight="1" x14ac:dyDescent="0.3">
      <c r="G184" s="16">
        <f>+G183*6.1/1000</f>
        <v>7.604259999999999E-3</v>
      </c>
      <c r="J184" s="178" t="str">
        <f t="shared" si="75"/>
        <v>Llanos Orientales</v>
      </c>
      <c r="K184" s="178" t="str">
        <f t="shared" si="75"/>
        <v>Light Oil</v>
      </c>
      <c r="L184" s="179" t="str">
        <f t="shared" si="75"/>
        <v>CAM2</v>
      </c>
      <c r="M184" s="192" t="str">
        <f t="shared" si="75"/>
        <v>LLO - Ligth</v>
      </c>
      <c r="N184" s="226">
        <v>2.0999999999999999E-3</v>
      </c>
      <c r="O184" s="16" t="s">
        <v>37</v>
      </c>
      <c r="U184" s="229">
        <v>2.0999999999999999E-3</v>
      </c>
      <c r="V184" s="230">
        <v>0.6</v>
      </c>
      <c r="W184" s="230">
        <v>0.32</v>
      </c>
      <c r="X184" s="230">
        <f t="shared" ref="X184:X188" si="76">100%-V184-W184</f>
        <v>8.0000000000000016E-2</v>
      </c>
      <c r="Y184" s="228">
        <v>2.1099999999999999E-3</v>
      </c>
      <c r="Z184" s="224"/>
      <c r="AA184" s="224"/>
      <c r="CV184" s="20"/>
      <c r="CW184" s="20"/>
      <c r="CX184" s="20"/>
      <c r="CY184" s="20"/>
      <c r="CZ184" s="20"/>
      <c r="DA184" s="20"/>
      <c r="DB184" s="20"/>
    </row>
    <row r="185" spans="1:121" ht="15.75" customHeight="1" x14ac:dyDescent="0.3">
      <c r="G185" s="16">
        <f>+G184/1000</f>
        <v>7.6042599999999991E-6</v>
      </c>
      <c r="J185" s="178" t="str">
        <f t="shared" si="75"/>
        <v>Llanos Orientales</v>
      </c>
      <c r="K185" s="178" t="str">
        <f t="shared" si="75"/>
        <v>Heavy Oil</v>
      </c>
      <c r="L185" s="179" t="str">
        <f t="shared" si="75"/>
        <v>CAM3</v>
      </c>
      <c r="M185" s="194" t="str">
        <f t="shared" si="75"/>
        <v>LLO - Heavy</v>
      </c>
      <c r="N185" s="226">
        <v>2.0999999999999999E-3</v>
      </c>
      <c r="O185" s="16" t="s">
        <v>37</v>
      </c>
      <c r="U185" s="229">
        <v>2.0999999999999999E-3</v>
      </c>
      <c r="V185" s="230">
        <v>0.6</v>
      </c>
      <c r="W185" s="230">
        <v>0.32</v>
      </c>
      <c r="X185" s="230">
        <f t="shared" si="76"/>
        <v>8.0000000000000016E-2</v>
      </c>
      <c r="Y185" s="228">
        <v>2.1099999999999999E-3</v>
      </c>
      <c r="CV185" s="20"/>
      <c r="CW185" s="20"/>
      <c r="CX185" s="20"/>
      <c r="CY185" s="20"/>
      <c r="CZ185" s="20"/>
      <c r="DA185" s="20"/>
      <c r="DB185" s="20"/>
    </row>
    <row r="186" spans="1:121" ht="15.75" customHeight="1" x14ac:dyDescent="0.3">
      <c r="G186" s="228">
        <f>+G185/0.0036</f>
        <v>2.1122944444444442E-3</v>
      </c>
      <c r="H186" s="16" t="s">
        <v>299</v>
      </c>
      <c r="J186" s="178" t="str">
        <f t="shared" si="75"/>
        <v>Putumayo</v>
      </c>
      <c r="K186" s="178" t="str">
        <f t="shared" si="75"/>
        <v>Light Oil</v>
      </c>
      <c r="L186" s="179" t="str">
        <f t="shared" si="75"/>
        <v>CAM4</v>
      </c>
      <c r="M186" s="194" t="str">
        <f t="shared" si="75"/>
        <v>PU - Ligth</v>
      </c>
      <c r="N186" s="226">
        <v>2.0999999999999999E-3</v>
      </c>
      <c r="O186" s="16" t="s">
        <v>37</v>
      </c>
      <c r="U186" s="229">
        <v>2.0999999999999999E-3</v>
      </c>
      <c r="V186" s="230">
        <v>0.6</v>
      </c>
      <c r="W186" s="230">
        <v>0.32</v>
      </c>
      <c r="X186" s="230">
        <f t="shared" si="76"/>
        <v>8.0000000000000016E-2</v>
      </c>
      <c r="Y186" s="228">
        <v>2.1099999999999999E-3</v>
      </c>
      <c r="CV186" s="20"/>
      <c r="CW186" s="20"/>
      <c r="CX186" s="20"/>
      <c r="CY186" s="20"/>
      <c r="CZ186" s="20"/>
      <c r="DA186" s="20"/>
      <c r="DB186" s="20"/>
    </row>
    <row r="187" spans="1:121" ht="15.75" customHeight="1" x14ac:dyDescent="0.3">
      <c r="J187" s="178" t="str">
        <f t="shared" si="75"/>
        <v>VMM</v>
      </c>
      <c r="K187" s="178" t="str">
        <f t="shared" si="75"/>
        <v>Medium Oil</v>
      </c>
      <c r="L187" s="179" t="str">
        <f t="shared" si="75"/>
        <v>CAM5</v>
      </c>
      <c r="M187" s="194" t="str">
        <f t="shared" si="75"/>
        <v>VMM - Medium</v>
      </c>
      <c r="N187" s="226">
        <v>2.0999999999999999E-3</v>
      </c>
      <c r="O187" s="16" t="s">
        <v>37</v>
      </c>
      <c r="U187" s="229">
        <v>2.0999999999999999E-3</v>
      </c>
      <c r="V187" s="230">
        <v>0.6</v>
      </c>
      <c r="W187" s="230">
        <v>0.32</v>
      </c>
      <c r="X187" s="230">
        <f t="shared" si="76"/>
        <v>8.0000000000000016E-2</v>
      </c>
      <c r="Y187" s="228">
        <v>2.1099999999999999E-3</v>
      </c>
      <c r="CV187" s="20"/>
      <c r="CW187" s="20"/>
      <c r="CX187" s="20"/>
      <c r="CY187" s="20"/>
      <c r="CZ187" s="20"/>
      <c r="DA187" s="20"/>
      <c r="DB187" s="20"/>
    </row>
    <row r="188" spans="1:121" ht="15.75" customHeight="1" x14ac:dyDescent="0.3">
      <c r="J188" s="178" t="str">
        <f t="shared" si="75"/>
        <v>VSM</v>
      </c>
      <c r="K188" s="178" t="str">
        <f t="shared" si="75"/>
        <v>Medium Oil</v>
      </c>
      <c r="L188" s="179" t="str">
        <f t="shared" si="75"/>
        <v>CAM6</v>
      </c>
      <c r="M188" s="192" t="str">
        <f t="shared" si="75"/>
        <v>VSM - Medium</v>
      </c>
      <c r="N188" s="226">
        <v>2.0999999999999999E-3</v>
      </c>
      <c r="O188" s="16" t="s">
        <v>37</v>
      </c>
      <c r="U188" s="229">
        <v>2.0999999999999999E-3</v>
      </c>
      <c r="V188" s="230">
        <v>0.6</v>
      </c>
      <c r="W188" s="230">
        <v>0.32</v>
      </c>
      <c r="X188" s="230">
        <f t="shared" si="76"/>
        <v>8.0000000000000016E-2</v>
      </c>
      <c r="Y188" s="228">
        <v>2.1099999999999999E-3</v>
      </c>
      <c r="CV188" s="20"/>
      <c r="CW188" s="20"/>
      <c r="CX188" s="20"/>
      <c r="CY188" s="20"/>
      <c r="CZ188" s="20"/>
      <c r="DA188" s="20"/>
      <c r="DB188" s="20"/>
    </row>
    <row r="189" spans="1:121" ht="15.75" customHeight="1" x14ac:dyDescent="0.3">
      <c r="J189" s="178" t="str">
        <f t="shared" si="75"/>
        <v>VIM</v>
      </c>
      <c r="K189" s="178" t="str">
        <f t="shared" si="75"/>
        <v>Doesn't Apply</v>
      </c>
      <c r="L189" s="179" t="str">
        <f t="shared" si="75"/>
        <v>CAM7</v>
      </c>
      <c r="M189" s="192" t="str">
        <f t="shared" si="75"/>
        <v>VIM - GAS</v>
      </c>
      <c r="N189" s="226">
        <v>2.0999999999999999E-3</v>
      </c>
      <c r="O189" s="16" t="s">
        <v>37</v>
      </c>
      <c r="U189" s="228"/>
      <c r="V189" s="230"/>
      <c r="W189" s="230"/>
      <c r="X189" s="26">
        <v>0.08</v>
      </c>
      <c r="CV189" s="20"/>
      <c r="CW189" s="20"/>
      <c r="CX189" s="20"/>
      <c r="CY189" s="20"/>
      <c r="CZ189" s="20"/>
      <c r="DA189" s="20"/>
      <c r="DB189" s="20"/>
    </row>
    <row r="190" spans="1:121" s="275" customFormat="1" ht="15.75" customHeight="1" x14ac:dyDescent="0.3">
      <c r="A190" s="279"/>
      <c r="B190" s="279"/>
      <c r="C190" s="279"/>
      <c r="D190" s="279"/>
      <c r="E190" s="279"/>
      <c r="F190" s="279"/>
      <c r="G190" s="279"/>
      <c r="H190" s="279"/>
      <c r="I190" s="279"/>
      <c r="J190" s="279"/>
      <c r="K190" s="279" t="s">
        <v>157</v>
      </c>
      <c r="L190" s="276" t="s">
        <v>328</v>
      </c>
      <c r="M190" s="279" t="s">
        <v>329</v>
      </c>
      <c r="N190" s="291">
        <f>N189</f>
        <v>2.0999999999999999E-3</v>
      </c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  <c r="AA190" s="279"/>
      <c r="AB190" s="279"/>
      <c r="AC190" s="279"/>
      <c r="AD190" s="279"/>
      <c r="AE190" s="279"/>
      <c r="AF190" s="279"/>
      <c r="AG190" s="279"/>
      <c r="AH190" s="279"/>
      <c r="AI190" s="279"/>
      <c r="AJ190" s="279"/>
      <c r="AK190" s="279"/>
      <c r="AL190" s="279"/>
      <c r="AM190" s="279"/>
      <c r="AN190" s="279"/>
      <c r="AO190" s="279"/>
      <c r="AP190" s="279"/>
      <c r="AQ190" s="279"/>
      <c r="AR190" s="279"/>
      <c r="AS190" s="279"/>
      <c r="AT190" s="279"/>
      <c r="AU190" s="279"/>
      <c r="AV190" s="279"/>
      <c r="AW190" s="279"/>
      <c r="AX190" s="279"/>
      <c r="AY190" s="279"/>
      <c r="AZ190" s="279"/>
      <c r="BA190" s="279"/>
      <c r="BB190" s="279"/>
      <c r="BC190" s="279"/>
      <c r="BD190" s="279"/>
      <c r="BE190" s="279"/>
      <c r="BF190" s="279"/>
      <c r="BG190" s="279"/>
      <c r="BH190" s="279"/>
      <c r="BI190" s="279"/>
      <c r="BJ190" s="279"/>
      <c r="BK190" s="279"/>
      <c r="BL190" s="279"/>
      <c r="BM190" s="279"/>
      <c r="BN190" s="279"/>
      <c r="BO190" s="279"/>
      <c r="BP190" s="279"/>
      <c r="BQ190" s="279"/>
      <c r="BR190" s="279"/>
      <c r="BS190" s="279"/>
      <c r="BT190" s="279"/>
      <c r="BU190" s="279"/>
      <c r="BV190" s="279"/>
      <c r="BW190" s="279"/>
      <c r="BX190" s="279"/>
      <c r="BY190" s="279"/>
      <c r="BZ190" s="279"/>
      <c r="CA190" s="279"/>
      <c r="CB190" s="279"/>
      <c r="CC190" s="279"/>
      <c r="CD190" s="279"/>
      <c r="CE190" s="279"/>
      <c r="CF190" s="279"/>
      <c r="CG190" s="279"/>
      <c r="CH190" s="279"/>
      <c r="CI190" s="279"/>
      <c r="CJ190" s="279"/>
      <c r="CK190" s="279"/>
      <c r="CL190" s="279"/>
      <c r="CM190" s="279"/>
      <c r="CN190" s="279"/>
      <c r="CO190" s="279"/>
      <c r="CP190" s="279"/>
      <c r="CQ190" s="279"/>
      <c r="CR190" s="279"/>
      <c r="CS190" s="279"/>
      <c r="CT190" s="279"/>
      <c r="CU190" s="279"/>
      <c r="CV190" s="279"/>
      <c r="CW190" s="279"/>
      <c r="CX190" s="279"/>
      <c r="CY190" s="279"/>
      <c r="CZ190" s="279"/>
      <c r="DA190" s="279"/>
      <c r="DB190" s="279"/>
      <c r="DC190" s="279"/>
      <c r="DD190" s="279"/>
      <c r="DE190" s="279"/>
      <c r="DF190" s="279"/>
      <c r="DG190" s="279"/>
      <c r="DH190" s="279"/>
      <c r="DI190" s="279"/>
      <c r="DJ190" s="279"/>
      <c r="DK190" s="279"/>
      <c r="DL190" s="279"/>
      <c r="DM190" s="279"/>
      <c r="DN190" s="279"/>
      <c r="DO190" s="279"/>
      <c r="DP190" s="279"/>
      <c r="DQ190" s="279"/>
    </row>
    <row r="191" spans="1:121" ht="15.75" customHeight="1" x14ac:dyDescent="0.3">
      <c r="CV191" s="20"/>
      <c r="CW191" s="20"/>
      <c r="CX191" s="20"/>
      <c r="CY191" s="20"/>
      <c r="CZ191" s="20"/>
      <c r="DA191" s="20"/>
      <c r="DB191" s="20"/>
    </row>
    <row r="192" spans="1:121" ht="30.6" customHeight="1" x14ac:dyDescent="0.3">
      <c r="J192" s="169" t="str">
        <f t="shared" ref="J192:M199" si="77">J182</f>
        <v>Basin</v>
      </c>
      <c r="K192" s="169" t="str">
        <f t="shared" si="77"/>
        <v>Type Fluid</v>
      </c>
      <c r="L192" s="169" t="str">
        <f t="shared" si="77"/>
        <v>CAM</v>
      </c>
      <c r="M192" s="169" t="str">
        <f t="shared" si="77"/>
        <v>Type of Oil producing</v>
      </c>
      <c r="N192" s="231" t="s">
        <v>300</v>
      </c>
      <c r="CV192" s="20"/>
      <c r="CW192" s="20"/>
      <c r="CX192" s="20"/>
      <c r="CY192" s="20"/>
      <c r="CZ192" s="20"/>
      <c r="DA192" s="20"/>
      <c r="DB192" s="20"/>
    </row>
    <row r="193" spans="1:121" ht="15.75" customHeight="1" x14ac:dyDescent="0.3">
      <c r="J193" s="178" t="str">
        <f t="shared" si="77"/>
        <v>Guajira</v>
      </c>
      <c r="K193" s="178" t="str">
        <f t="shared" si="77"/>
        <v>Doesn't Apply</v>
      </c>
      <c r="L193" s="179" t="str">
        <f t="shared" si="77"/>
        <v>CAM1</v>
      </c>
      <c r="M193" s="180" t="str">
        <f t="shared" si="77"/>
        <v>GU - Gas</v>
      </c>
      <c r="N193" s="212" t="s">
        <v>134</v>
      </c>
      <c r="Q193" s="221"/>
      <c r="R193" s="16"/>
      <c r="S193" s="16"/>
      <c r="T193" s="16"/>
      <c r="U193" s="16"/>
      <c r="CV193" s="20"/>
      <c r="CW193" s="20"/>
      <c r="CX193" s="20"/>
      <c r="CY193" s="20"/>
      <c r="CZ193" s="20"/>
      <c r="DA193" s="20"/>
      <c r="DB193" s="20"/>
    </row>
    <row r="194" spans="1:121" ht="15.75" customHeight="1" x14ac:dyDescent="0.3">
      <c r="J194" s="178" t="str">
        <f t="shared" si="77"/>
        <v>Llanos Orientales</v>
      </c>
      <c r="K194" s="178" t="str">
        <f t="shared" si="77"/>
        <v>Light Oil</v>
      </c>
      <c r="L194" s="179" t="str">
        <f t="shared" si="77"/>
        <v>CAM2</v>
      </c>
      <c r="M194" s="192" t="str">
        <f t="shared" si="77"/>
        <v>LLO - Ligth</v>
      </c>
      <c r="N194" s="232">
        <f>Q249</f>
        <v>0.54679802955665024</v>
      </c>
      <c r="Q194" s="221"/>
      <c r="R194" s="16"/>
      <c r="S194" s="16"/>
      <c r="T194" s="16"/>
      <c r="U194" s="16"/>
      <c r="CV194" s="20"/>
      <c r="CW194" s="20"/>
      <c r="CX194" s="20"/>
      <c r="CY194" s="20"/>
      <c r="CZ194" s="20"/>
      <c r="DA194" s="20"/>
      <c r="DB194" s="20"/>
    </row>
    <row r="195" spans="1:121" ht="15.75" customHeight="1" x14ac:dyDescent="0.3">
      <c r="J195" s="178" t="str">
        <f t="shared" si="77"/>
        <v>Llanos Orientales</v>
      </c>
      <c r="K195" s="178" t="str">
        <f t="shared" si="77"/>
        <v>Heavy Oil</v>
      </c>
      <c r="L195" s="179" t="str">
        <f t="shared" si="77"/>
        <v>CAM3</v>
      </c>
      <c r="M195" s="194" t="str">
        <f t="shared" si="77"/>
        <v>LLO - Heavy</v>
      </c>
      <c r="N195" s="232">
        <f t="shared" ref="N195:N200" si="78">Q250</f>
        <v>1.2857142857142856</v>
      </c>
      <c r="CV195" s="20"/>
      <c r="CW195" s="20"/>
      <c r="CX195" s="20"/>
      <c r="CY195" s="20"/>
      <c r="CZ195" s="20"/>
      <c r="DA195" s="20"/>
      <c r="DB195" s="20"/>
    </row>
    <row r="196" spans="1:121" ht="15.75" customHeight="1" x14ac:dyDescent="0.3">
      <c r="J196" s="178" t="str">
        <f t="shared" si="77"/>
        <v>Putumayo</v>
      </c>
      <c r="K196" s="178" t="str">
        <f t="shared" si="77"/>
        <v>Light Oil</v>
      </c>
      <c r="L196" s="179" t="str">
        <f t="shared" si="77"/>
        <v>CAM4</v>
      </c>
      <c r="M196" s="194" t="str">
        <f t="shared" si="77"/>
        <v>PU - Ligth</v>
      </c>
      <c r="N196" s="232">
        <f t="shared" si="78"/>
        <v>0.54679802955665024</v>
      </c>
      <c r="CV196" s="20"/>
      <c r="CW196" s="20"/>
      <c r="CX196" s="20"/>
      <c r="CY196" s="20"/>
      <c r="CZ196" s="20"/>
      <c r="DA196" s="20"/>
      <c r="DB196" s="20"/>
    </row>
    <row r="197" spans="1:121" ht="15.75" customHeight="1" x14ac:dyDescent="0.3">
      <c r="J197" s="178" t="str">
        <f t="shared" si="77"/>
        <v>VMM</v>
      </c>
      <c r="K197" s="178" t="str">
        <f t="shared" si="77"/>
        <v>Medium Oil</v>
      </c>
      <c r="L197" s="179" t="str">
        <f t="shared" si="77"/>
        <v>CAM5</v>
      </c>
      <c r="M197" s="194" t="str">
        <f t="shared" si="77"/>
        <v>VMM - Medium</v>
      </c>
      <c r="N197" s="232">
        <f t="shared" si="78"/>
        <v>1.2857142857142856</v>
      </c>
      <c r="S197" s="16"/>
      <c r="T197" s="16"/>
      <c r="U197" s="16"/>
      <c r="CV197" s="20"/>
      <c r="CW197" s="20"/>
      <c r="CX197" s="20"/>
      <c r="CY197" s="20"/>
      <c r="CZ197" s="20"/>
      <c r="DA197" s="20"/>
      <c r="DB197" s="20"/>
    </row>
    <row r="198" spans="1:121" ht="15.75" customHeight="1" x14ac:dyDescent="0.3">
      <c r="J198" s="178" t="str">
        <f t="shared" si="77"/>
        <v>VSM</v>
      </c>
      <c r="K198" s="178" t="str">
        <f t="shared" si="77"/>
        <v>Medium Oil</v>
      </c>
      <c r="L198" s="179" t="str">
        <f t="shared" si="77"/>
        <v>CAM6</v>
      </c>
      <c r="M198" s="192" t="str">
        <f t="shared" si="77"/>
        <v>VSM - Medium</v>
      </c>
      <c r="N198" s="232">
        <f t="shared" si="78"/>
        <v>1.2857142857142856</v>
      </c>
      <c r="U198" s="16"/>
      <c r="CV198" s="20"/>
      <c r="CW198" s="20"/>
      <c r="CX198" s="20"/>
      <c r="CY198" s="20"/>
      <c r="CZ198" s="20"/>
      <c r="DA198" s="20"/>
      <c r="DB198" s="20"/>
    </row>
    <row r="199" spans="1:121" ht="15.75" customHeight="1" x14ac:dyDescent="0.3">
      <c r="J199" s="178" t="str">
        <f t="shared" si="77"/>
        <v>VIM</v>
      </c>
      <c r="K199" s="178" t="str">
        <f t="shared" si="77"/>
        <v>Doesn't Apply</v>
      </c>
      <c r="L199" s="179" t="str">
        <f t="shared" si="77"/>
        <v>CAM7</v>
      </c>
      <c r="M199" s="192" t="str">
        <f t="shared" si="77"/>
        <v>VIM - GAS</v>
      </c>
      <c r="N199" s="232">
        <f t="shared" si="78"/>
        <v>0.54679802955665024</v>
      </c>
      <c r="CV199" s="20"/>
      <c r="CW199" s="20"/>
      <c r="CX199" s="20"/>
      <c r="CY199" s="20"/>
      <c r="CZ199" s="20"/>
      <c r="DA199" s="20"/>
      <c r="DB199" s="20"/>
    </row>
    <row r="200" spans="1:121" s="275" customFormat="1" ht="15.75" customHeight="1" x14ac:dyDescent="0.3">
      <c r="A200" s="279"/>
      <c r="B200" s="279"/>
      <c r="C200" s="279"/>
      <c r="D200" s="279"/>
      <c r="E200" s="279"/>
      <c r="F200" s="279"/>
      <c r="G200" s="279"/>
      <c r="H200" s="279"/>
      <c r="I200" s="279"/>
      <c r="J200" s="279"/>
      <c r="K200" s="279" t="s">
        <v>157</v>
      </c>
      <c r="L200" s="276" t="s">
        <v>328</v>
      </c>
      <c r="M200" s="279" t="s">
        <v>329</v>
      </c>
      <c r="N200" s="279">
        <f t="shared" si="78"/>
        <v>1.2857142857142856</v>
      </c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  <c r="AA200" s="279"/>
      <c r="AB200" s="279"/>
      <c r="AC200" s="279"/>
      <c r="AD200" s="279"/>
      <c r="AE200" s="279"/>
      <c r="AF200" s="279"/>
      <c r="AG200" s="279"/>
      <c r="AH200" s="279"/>
      <c r="AI200" s="279"/>
      <c r="AJ200" s="279"/>
      <c r="AK200" s="279"/>
      <c r="AL200" s="279"/>
      <c r="AM200" s="279"/>
      <c r="AN200" s="279"/>
      <c r="AO200" s="279"/>
      <c r="AP200" s="279"/>
      <c r="AQ200" s="279"/>
      <c r="AR200" s="279"/>
      <c r="AS200" s="279"/>
      <c r="AT200" s="279"/>
      <c r="AU200" s="279"/>
      <c r="AV200" s="279"/>
      <c r="AW200" s="279"/>
      <c r="AX200" s="279"/>
      <c r="AY200" s="279"/>
      <c r="AZ200" s="279"/>
      <c r="BA200" s="279"/>
      <c r="BB200" s="279"/>
      <c r="BC200" s="279"/>
      <c r="BD200" s="279"/>
      <c r="BE200" s="279"/>
      <c r="BF200" s="279"/>
      <c r="BG200" s="279"/>
      <c r="BH200" s="279"/>
      <c r="BI200" s="279"/>
      <c r="BJ200" s="279"/>
      <c r="BK200" s="279"/>
      <c r="BL200" s="279"/>
      <c r="BM200" s="279"/>
      <c r="BN200" s="279"/>
      <c r="BO200" s="279"/>
      <c r="BP200" s="279"/>
      <c r="BQ200" s="279"/>
      <c r="BR200" s="279"/>
      <c r="BS200" s="279"/>
      <c r="BT200" s="279"/>
      <c r="BU200" s="279"/>
      <c r="BV200" s="279"/>
      <c r="BW200" s="279"/>
      <c r="BX200" s="279"/>
      <c r="BY200" s="279"/>
      <c r="BZ200" s="279"/>
      <c r="CA200" s="279"/>
      <c r="CB200" s="279"/>
      <c r="CC200" s="279"/>
      <c r="CD200" s="279"/>
      <c r="CE200" s="279"/>
      <c r="CF200" s="279"/>
      <c r="CG200" s="279"/>
      <c r="CH200" s="279"/>
      <c r="CI200" s="279"/>
      <c r="CJ200" s="279"/>
      <c r="CK200" s="279"/>
      <c r="CL200" s="279"/>
      <c r="CM200" s="279"/>
      <c r="CN200" s="279"/>
      <c r="CO200" s="279"/>
      <c r="CP200" s="279"/>
      <c r="CQ200" s="279"/>
      <c r="CR200" s="279"/>
      <c r="CS200" s="279"/>
      <c r="CT200" s="279"/>
      <c r="CU200" s="279"/>
      <c r="CV200" s="279"/>
      <c r="CW200" s="279"/>
      <c r="CX200" s="279"/>
      <c r="CY200" s="279"/>
      <c r="CZ200" s="279"/>
      <c r="DA200" s="279"/>
      <c r="DB200" s="279"/>
      <c r="DC200" s="279"/>
      <c r="DD200" s="279"/>
      <c r="DE200" s="279"/>
      <c r="DF200" s="279"/>
      <c r="DG200" s="279"/>
      <c r="DH200" s="279"/>
      <c r="DI200" s="279"/>
      <c r="DJ200" s="279"/>
      <c r="DK200" s="279"/>
      <c r="DL200" s="279"/>
      <c r="DM200" s="279"/>
      <c r="DN200" s="279"/>
      <c r="DO200" s="279"/>
      <c r="DP200" s="279"/>
      <c r="DQ200" s="279"/>
    </row>
    <row r="201" spans="1:121" ht="15.75" customHeight="1" x14ac:dyDescent="0.3">
      <c r="CV201" s="20"/>
      <c r="CW201" s="20"/>
      <c r="CX201" s="20"/>
      <c r="CY201" s="20"/>
      <c r="CZ201" s="20"/>
      <c r="DA201" s="20"/>
      <c r="DB201" s="20"/>
    </row>
    <row r="202" spans="1:121" ht="15.75" customHeight="1" thickBot="1" x14ac:dyDescent="0.35">
      <c r="CV202" s="20"/>
      <c r="CW202" s="20"/>
      <c r="CX202" s="20"/>
      <c r="CY202" s="20"/>
      <c r="CZ202" s="20"/>
      <c r="DA202" s="20"/>
      <c r="DB202" s="20"/>
    </row>
    <row r="203" spans="1:121" ht="15.75" customHeight="1" thickBot="1" x14ac:dyDescent="0.4">
      <c r="J203" s="316" t="s">
        <v>303</v>
      </c>
      <c r="K203" s="317"/>
      <c r="L203" s="317"/>
      <c r="M203" s="317"/>
      <c r="N203" s="317"/>
      <c r="O203" s="317"/>
      <c r="P203" s="317"/>
      <c r="Q203" s="317"/>
      <c r="R203" s="317"/>
      <c r="S203" s="317"/>
      <c r="T203" s="317"/>
      <c r="U203" s="317"/>
      <c r="V203" s="317"/>
      <c r="W203" s="317"/>
      <c r="X203" s="317"/>
      <c r="Y203" s="317"/>
      <c r="Z203" s="317"/>
      <c r="AA203" s="317"/>
      <c r="AB203" s="317"/>
      <c r="AC203" s="317"/>
      <c r="AD203" s="317"/>
      <c r="AE203" s="317"/>
      <c r="AF203" s="317"/>
      <c r="AG203" s="318"/>
      <c r="CV203" s="20"/>
      <c r="CW203" s="20"/>
      <c r="CX203" s="20"/>
      <c r="CY203" s="20"/>
      <c r="CZ203" s="20"/>
      <c r="DA203" s="20"/>
      <c r="DB203" s="20"/>
    </row>
    <row r="204" spans="1:121" ht="15.75" customHeight="1" x14ac:dyDescent="0.3">
      <c r="CV204" s="20"/>
      <c r="CW204" s="20"/>
      <c r="CX204" s="20"/>
      <c r="CY204" s="20"/>
      <c r="CZ204" s="20"/>
      <c r="DA204" s="20"/>
      <c r="DB204" s="20"/>
    </row>
    <row r="205" spans="1:121" ht="15.75" customHeight="1" x14ac:dyDescent="0.3">
      <c r="S205" s="82"/>
      <c r="CV205" s="20"/>
      <c r="CW205" s="20"/>
      <c r="CX205" s="20"/>
      <c r="CY205" s="20"/>
      <c r="CZ205" s="20"/>
      <c r="DA205" s="20"/>
      <c r="DB205" s="20"/>
    </row>
    <row r="206" spans="1:121" ht="15.75" customHeight="1" x14ac:dyDescent="0.3">
      <c r="O206" s="320" t="s">
        <v>304</v>
      </c>
      <c r="P206" s="321"/>
      <c r="Q206" s="321"/>
      <c r="R206" s="321"/>
      <c r="T206" s="323" t="s">
        <v>305</v>
      </c>
      <c r="U206" s="321"/>
      <c r="V206" s="321"/>
      <c r="W206" s="321"/>
      <c r="Z206" s="324" t="s">
        <v>306</v>
      </c>
      <c r="AA206" s="306"/>
      <c r="AB206" s="306"/>
      <c r="AC206" s="306"/>
      <c r="CV206" s="20"/>
      <c r="CW206" s="20"/>
      <c r="CX206" s="20"/>
      <c r="CY206" s="20"/>
      <c r="CZ206" s="20"/>
      <c r="DA206" s="20"/>
      <c r="DB206" s="20"/>
    </row>
    <row r="207" spans="1:121" ht="15.75" customHeight="1" x14ac:dyDescent="0.3">
      <c r="J207" s="169" t="str">
        <f t="shared" ref="J207:M214" si="79">J192</f>
        <v>Basin</v>
      </c>
      <c r="K207" s="169" t="str">
        <f t="shared" si="79"/>
        <v>Type Fluid</v>
      </c>
      <c r="L207" s="169" t="str">
        <f t="shared" si="79"/>
        <v>CAM</v>
      </c>
      <c r="M207" s="169" t="str">
        <f t="shared" si="79"/>
        <v>Type of Oil producing</v>
      </c>
      <c r="N207" s="168"/>
      <c r="O207" s="168" t="s">
        <v>161</v>
      </c>
      <c r="P207" s="168" t="s">
        <v>296</v>
      </c>
      <c r="Q207" s="168" t="s">
        <v>307</v>
      </c>
      <c r="R207" s="168" t="s">
        <v>308</v>
      </c>
      <c r="T207" s="168" t="s">
        <v>161</v>
      </c>
      <c r="U207" s="168" t="s">
        <v>296</v>
      </c>
      <c r="V207" s="168" t="s">
        <v>307</v>
      </c>
      <c r="W207" s="168" t="s">
        <v>308</v>
      </c>
      <c r="Z207" s="233" t="s">
        <v>161</v>
      </c>
      <c r="AA207" s="233" t="s">
        <v>296</v>
      </c>
      <c r="AB207" s="233" t="s">
        <v>307</v>
      </c>
      <c r="AC207" s="233" t="s">
        <v>308</v>
      </c>
      <c r="CV207" s="20"/>
      <c r="CW207" s="20"/>
      <c r="CX207" s="20"/>
      <c r="CY207" s="20"/>
      <c r="CZ207" s="20"/>
      <c r="DA207" s="20"/>
      <c r="DB207" s="20"/>
    </row>
    <row r="208" spans="1:121" ht="15.75" customHeight="1" x14ac:dyDescent="0.3">
      <c r="J208" s="178" t="str">
        <f t="shared" si="79"/>
        <v>Guajira</v>
      </c>
      <c r="K208" s="178" t="str">
        <f t="shared" si="79"/>
        <v>Doesn't Apply</v>
      </c>
      <c r="L208" s="179" t="str">
        <f t="shared" si="79"/>
        <v>CAM1</v>
      </c>
      <c r="M208" s="180" t="str">
        <f t="shared" si="79"/>
        <v>GU - Gas</v>
      </c>
      <c r="O208" s="10">
        <v>0</v>
      </c>
      <c r="P208" s="234"/>
      <c r="Q208" s="10">
        <v>0</v>
      </c>
      <c r="R208" s="10">
        <v>0</v>
      </c>
      <c r="T208" s="26">
        <v>0.34</v>
      </c>
      <c r="U208" s="26">
        <v>0.36</v>
      </c>
      <c r="V208" s="26">
        <v>0.36</v>
      </c>
      <c r="W208" s="26">
        <v>0.37</v>
      </c>
      <c r="Z208" s="235">
        <f t="shared" ref="Z208" si="80">+(O208*24*365/1000)*0.0036</f>
        <v>0</v>
      </c>
      <c r="AA208" s="66"/>
      <c r="AB208" s="235">
        <f t="shared" ref="AB208:AC208" si="81">+(Q208*24*365/1000)*0.0036</f>
        <v>0</v>
      </c>
      <c r="AC208" s="235">
        <f t="shared" si="81"/>
        <v>0</v>
      </c>
      <c r="AD208">
        <v>1</v>
      </c>
      <c r="AE208" s="42">
        <f>+SUM(Z208:AC214)</f>
        <v>13.06868980179426</v>
      </c>
      <c r="CV208" s="20"/>
      <c r="CW208" s="20"/>
      <c r="CX208" s="20"/>
      <c r="CY208" s="20"/>
      <c r="CZ208" s="20"/>
      <c r="DA208" s="20"/>
      <c r="DB208" s="20"/>
    </row>
    <row r="209" spans="10:106" ht="15.75" customHeight="1" x14ac:dyDescent="0.3">
      <c r="J209" s="178" t="str">
        <f t="shared" si="79"/>
        <v>Llanos Orientales</v>
      </c>
      <c r="K209" s="178" t="str">
        <f t="shared" si="79"/>
        <v>Light Oil</v>
      </c>
      <c r="L209" s="179" t="str">
        <f t="shared" si="79"/>
        <v>CAM2</v>
      </c>
      <c r="M209" s="192" t="str">
        <f t="shared" si="79"/>
        <v>LLO - Ligth</v>
      </c>
      <c r="O209" s="10">
        <v>19.999999999999996</v>
      </c>
      <c r="P209" s="10">
        <v>150.07647247502405</v>
      </c>
      <c r="Q209" s="236">
        <v>0</v>
      </c>
      <c r="R209" s="237">
        <f>22.8/2</f>
        <v>11.4</v>
      </c>
      <c r="S209" s="82"/>
      <c r="T209" s="26">
        <v>0.34</v>
      </c>
      <c r="U209" s="26">
        <v>0.36</v>
      </c>
      <c r="V209" s="26">
        <v>0.36</v>
      </c>
      <c r="W209" s="26">
        <v>0.37</v>
      </c>
      <c r="Z209" s="235">
        <f>+(O209*24*365/1000)*0.0036</f>
        <v>0.63071999999999984</v>
      </c>
      <c r="AA209" s="235">
        <f t="shared" ref="AA209:AC210" si="82">+(P209*24*365/1000)*0.0036</f>
        <v>4.7328116359723582</v>
      </c>
      <c r="AB209" s="235">
        <f>+(Q210*24*365/1000)*0.0036</f>
        <v>1.5220623656853185</v>
      </c>
      <c r="AC209" s="235">
        <f t="shared" si="82"/>
        <v>0.35951040000000006</v>
      </c>
      <c r="AD209">
        <v>2</v>
      </c>
      <c r="CV209" s="20"/>
      <c r="CW209" s="20"/>
      <c r="CX209" s="20"/>
      <c r="CY209" s="20"/>
      <c r="CZ209" s="20"/>
      <c r="DA209" s="20"/>
      <c r="DB209" s="20"/>
    </row>
    <row r="210" spans="10:106" ht="15.75" customHeight="1" x14ac:dyDescent="0.3">
      <c r="J210" s="178" t="str">
        <f t="shared" si="79"/>
        <v>Llanos Orientales</v>
      </c>
      <c r="K210" s="178" t="str">
        <f t="shared" si="79"/>
        <v>Heavy Oil</v>
      </c>
      <c r="L210" s="179" t="str">
        <f t="shared" si="79"/>
        <v>CAM3</v>
      </c>
      <c r="M210" s="194" t="str">
        <f t="shared" si="79"/>
        <v>LLO - Heavy</v>
      </c>
      <c r="O210" s="238">
        <v>0</v>
      </c>
      <c r="P210" s="234"/>
      <c r="Q210" s="10">
        <v>48.264281002198075</v>
      </c>
      <c r="R210" s="237">
        <f>22.8/2</f>
        <v>11.4</v>
      </c>
      <c r="T210" s="26">
        <v>0.34</v>
      </c>
      <c r="U210" s="26">
        <v>0.36</v>
      </c>
      <c r="V210" s="26">
        <v>0.36</v>
      </c>
      <c r="W210" s="26">
        <v>0.37</v>
      </c>
      <c r="Z210" s="235">
        <f>+(O210*24*365/1000)*0.0036</f>
        <v>0</v>
      </c>
      <c r="AA210" s="66"/>
      <c r="AB210" s="235">
        <f>+(Q211*24*365/1000)*0.0036</f>
        <v>0.66944714800759952</v>
      </c>
      <c r="AC210" s="235">
        <f t="shared" si="82"/>
        <v>0.35951040000000006</v>
      </c>
      <c r="AD210">
        <v>3</v>
      </c>
      <c r="CV210" s="20"/>
      <c r="CW210" s="20"/>
      <c r="CX210" s="20"/>
      <c r="CY210" s="20"/>
      <c r="CZ210" s="20"/>
      <c r="DA210" s="20"/>
      <c r="DB210" s="20"/>
    </row>
    <row r="211" spans="10:106" ht="15.75" customHeight="1" x14ac:dyDescent="0.3">
      <c r="J211" s="178" t="str">
        <f t="shared" si="79"/>
        <v>Putumayo</v>
      </c>
      <c r="K211" s="178" t="str">
        <f t="shared" si="79"/>
        <v>Light Oil</v>
      </c>
      <c r="L211" s="179" t="str">
        <f t="shared" si="79"/>
        <v>CAM4</v>
      </c>
      <c r="M211" s="194" t="str">
        <f t="shared" si="79"/>
        <v>PU - Ligth</v>
      </c>
      <c r="O211" s="10">
        <v>0</v>
      </c>
      <c r="P211" s="10">
        <v>0</v>
      </c>
      <c r="Q211" s="10">
        <v>21.228029807445445</v>
      </c>
      <c r="R211" s="10">
        <v>10.032150192554559</v>
      </c>
      <c r="T211" s="26">
        <v>0.34</v>
      </c>
      <c r="U211" s="26">
        <v>0.36</v>
      </c>
      <c r="V211" s="26">
        <v>0.36</v>
      </c>
      <c r="W211" s="26">
        <v>0.37</v>
      </c>
      <c r="Z211" s="235">
        <f t="shared" ref="Z211:AC214" si="83">+(O211*24*365/1000)*0.0036</f>
        <v>0</v>
      </c>
      <c r="AA211" s="235">
        <f t="shared" si="83"/>
        <v>0</v>
      </c>
      <c r="AB211" s="235">
        <f t="shared" si="83"/>
        <v>0.66944714800759952</v>
      </c>
      <c r="AC211" s="235">
        <f t="shared" si="83"/>
        <v>0.3163738884724005</v>
      </c>
      <c r="AD211">
        <v>4</v>
      </c>
      <c r="CV211" s="20"/>
      <c r="CW211" s="20"/>
      <c r="CX211" s="20"/>
      <c r="CY211" s="20"/>
      <c r="CZ211" s="20"/>
      <c r="DA211" s="20"/>
      <c r="DB211" s="20"/>
    </row>
    <row r="212" spans="10:106" ht="15.75" customHeight="1" x14ac:dyDescent="0.3">
      <c r="J212" s="178" t="str">
        <f t="shared" si="79"/>
        <v>VMM</v>
      </c>
      <c r="K212" s="178" t="str">
        <f t="shared" si="79"/>
        <v>Medium Oil</v>
      </c>
      <c r="L212" s="179" t="str">
        <f t="shared" si="79"/>
        <v>CAM5</v>
      </c>
      <c r="M212" s="194" t="str">
        <f t="shared" si="79"/>
        <v>VMM - Medium</v>
      </c>
      <c r="O212" s="10">
        <v>0</v>
      </c>
      <c r="P212" s="10">
        <v>19.445743599518565</v>
      </c>
      <c r="Q212" s="10">
        <v>41.381229673754405</v>
      </c>
      <c r="R212" s="10">
        <v>19.556346726727035</v>
      </c>
      <c r="T212" s="26">
        <v>0.34</v>
      </c>
      <c r="U212" s="26">
        <v>0.36</v>
      </c>
      <c r="V212" s="26">
        <v>0.36</v>
      </c>
      <c r="W212" s="26">
        <v>0.37</v>
      </c>
      <c r="Z212" s="235">
        <f t="shared" si="83"/>
        <v>0</v>
      </c>
      <c r="AA212" s="235">
        <f t="shared" si="83"/>
        <v>0.61324097015441748</v>
      </c>
      <c r="AB212" s="235">
        <f t="shared" si="83"/>
        <v>1.3049984589915189</v>
      </c>
      <c r="AC212" s="235">
        <f t="shared" si="83"/>
        <v>0.61672895037406383</v>
      </c>
      <c r="AD212">
        <v>5</v>
      </c>
      <c r="CV212" s="20"/>
      <c r="CW212" s="20"/>
      <c r="CX212" s="20"/>
      <c r="CY212" s="20"/>
      <c r="CZ212" s="20"/>
      <c r="DA212" s="20"/>
      <c r="DB212" s="20"/>
    </row>
    <row r="213" spans="10:106" ht="15.75" customHeight="1" x14ac:dyDescent="0.3">
      <c r="J213" s="178" t="str">
        <f t="shared" si="79"/>
        <v>VSM</v>
      </c>
      <c r="K213" s="178" t="str">
        <f t="shared" si="79"/>
        <v>Medium Oil</v>
      </c>
      <c r="L213" s="179" t="str">
        <f t="shared" si="79"/>
        <v>CAM6</v>
      </c>
      <c r="M213" s="192" t="str">
        <f t="shared" si="79"/>
        <v>VSM - Medium</v>
      </c>
      <c r="O213" s="10">
        <v>0</v>
      </c>
      <c r="P213" s="10">
        <v>2.2835888766070749</v>
      </c>
      <c r="Q213" s="10">
        <v>19.677300005487623</v>
      </c>
      <c r="R213" s="10">
        <v>9.2992911179053053</v>
      </c>
      <c r="T213" s="26">
        <v>0.34</v>
      </c>
      <c r="U213" s="26">
        <v>0.36</v>
      </c>
      <c r="V213" s="26">
        <v>0.36</v>
      </c>
      <c r="W213" s="26">
        <v>0.37</v>
      </c>
      <c r="Z213" s="235">
        <f t="shared" si="83"/>
        <v>0</v>
      </c>
      <c r="AA213" s="235">
        <f t="shared" si="83"/>
        <v>7.2015258812680727E-2</v>
      </c>
      <c r="AB213" s="235">
        <f t="shared" si="83"/>
        <v>0.62054333297305764</v>
      </c>
      <c r="AC213" s="235">
        <f t="shared" si="83"/>
        <v>0.29326244469426171</v>
      </c>
      <c r="AD213">
        <v>6</v>
      </c>
      <c r="CV213" s="20"/>
      <c r="CW213" s="20"/>
      <c r="CX213" s="20"/>
      <c r="CY213" s="20"/>
      <c r="CZ213" s="20"/>
      <c r="DA213" s="20"/>
      <c r="DB213" s="20"/>
    </row>
    <row r="214" spans="10:106" ht="15.75" customHeight="1" x14ac:dyDescent="0.3">
      <c r="J214" s="178" t="str">
        <f t="shared" si="79"/>
        <v>VIM</v>
      </c>
      <c r="K214" s="178" t="str">
        <f t="shared" si="79"/>
        <v>Doesn't Apply</v>
      </c>
      <c r="L214" s="179" t="str">
        <f t="shared" si="79"/>
        <v>CAM7</v>
      </c>
      <c r="M214" s="192" t="str">
        <f t="shared" si="79"/>
        <v>VIM - GAS</v>
      </c>
      <c r="O214" s="10">
        <v>0</v>
      </c>
      <c r="P214" s="10">
        <v>0.25423007512003598</v>
      </c>
      <c r="Q214" s="10">
        <v>0</v>
      </c>
      <c r="R214" s="10">
        <v>8.8787417554540831</v>
      </c>
      <c r="T214" s="26">
        <v>0.34</v>
      </c>
      <c r="U214" s="26">
        <v>0.36</v>
      </c>
      <c r="V214" s="26">
        <v>0.36</v>
      </c>
      <c r="W214" s="26">
        <v>0.37</v>
      </c>
      <c r="Z214" s="235">
        <f t="shared" si="83"/>
        <v>0</v>
      </c>
      <c r="AA214" s="235">
        <f t="shared" si="83"/>
        <v>8.0173996489854554E-3</v>
      </c>
      <c r="AB214" s="235">
        <f t="shared" si="83"/>
        <v>0</v>
      </c>
      <c r="AC214" s="235">
        <f t="shared" si="83"/>
        <v>0.27999999999999997</v>
      </c>
      <c r="AD214">
        <v>7</v>
      </c>
      <c r="CV214" s="20"/>
      <c r="CW214" s="20"/>
      <c r="CX214" s="20"/>
      <c r="CY214" s="20"/>
      <c r="CZ214" s="20"/>
      <c r="DA214" s="20"/>
      <c r="DB214" s="20"/>
    </row>
    <row r="215" spans="10:106" ht="15.75" customHeight="1" x14ac:dyDescent="0.3">
      <c r="O215" s="4"/>
      <c r="P215" s="4"/>
      <c r="Q215" s="4"/>
      <c r="R215" s="4"/>
      <c r="Z215" s="96"/>
      <c r="AA215" s="96"/>
      <c r="AB215" s="96"/>
      <c r="AC215" s="96"/>
      <c r="CV215" s="20"/>
      <c r="CW215" s="20"/>
      <c r="CX215" s="20"/>
      <c r="CY215" s="20"/>
      <c r="CZ215" s="20"/>
      <c r="DA215" s="20"/>
      <c r="DB215" s="20"/>
    </row>
    <row r="216" spans="10:106" ht="15.75" customHeight="1" x14ac:dyDescent="0.3">
      <c r="Z216" s="96"/>
      <c r="AA216" s="96"/>
      <c r="AB216" s="96"/>
      <c r="AC216" s="96"/>
      <c r="CV216" s="20"/>
      <c r="CW216" s="20"/>
      <c r="CX216" s="20"/>
      <c r="CY216" s="20"/>
      <c r="CZ216" s="20"/>
      <c r="DA216" s="20"/>
      <c r="DB216" s="20"/>
    </row>
    <row r="217" spans="10:106" ht="15.75" customHeight="1" x14ac:dyDescent="0.3">
      <c r="Z217" s="96"/>
      <c r="AA217" s="96"/>
      <c r="AB217" s="96"/>
      <c r="AC217" s="96"/>
      <c r="CV217" s="20"/>
      <c r="CW217" s="20"/>
      <c r="CX217" s="20"/>
      <c r="CY217" s="20"/>
      <c r="CZ217" s="20"/>
      <c r="DA217" s="20"/>
      <c r="DB217" s="20"/>
    </row>
    <row r="218" spans="10:106" ht="15.75" customHeight="1" x14ac:dyDescent="0.3">
      <c r="O218" s="326" t="s">
        <v>309</v>
      </c>
      <c r="P218" s="306"/>
      <c r="Q218" s="306"/>
      <c r="T218" s="323" t="s">
        <v>305</v>
      </c>
      <c r="U218" s="321"/>
      <c r="V218" s="321"/>
      <c r="W218" s="321"/>
      <c r="Z218" s="307" t="s">
        <v>310</v>
      </c>
      <c r="AA218" s="306"/>
      <c r="AB218" s="306"/>
      <c r="AC218" s="96"/>
      <c r="CV218" s="20"/>
      <c r="CW218" s="20"/>
      <c r="CX218" s="20"/>
      <c r="CY218" s="20"/>
      <c r="CZ218" s="20"/>
      <c r="DA218" s="20"/>
      <c r="DB218" s="20"/>
    </row>
    <row r="219" spans="10:106" ht="24" customHeight="1" x14ac:dyDescent="0.3">
      <c r="J219" s="169" t="str">
        <f t="shared" ref="J219:M226" si="84">J207</f>
        <v>Basin</v>
      </c>
      <c r="K219" s="169" t="str">
        <f t="shared" si="84"/>
        <v>Type Fluid</v>
      </c>
      <c r="L219" s="169" t="str">
        <f t="shared" si="84"/>
        <v>CAM</v>
      </c>
      <c r="M219" s="169" t="str">
        <f t="shared" si="84"/>
        <v>Type of Oil producing</v>
      </c>
      <c r="O219" s="55" t="s">
        <v>140</v>
      </c>
      <c r="P219" s="55" t="s">
        <v>307</v>
      </c>
      <c r="Q219" s="55" t="s">
        <v>294</v>
      </c>
      <c r="T219" s="168" t="s">
        <v>161</v>
      </c>
      <c r="U219" s="168" t="s">
        <v>296</v>
      </c>
      <c r="V219" s="168" t="s">
        <v>307</v>
      </c>
      <c r="W219" s="168" t="s">
        <v>308</v>
      </c>
      <c r="Z219" s="239" t="s">
        <v>140</v>
      </c>
      <c r="AA219" s="239" t="s">
        <v>307</v>
      </c>
      <c r="AB219" s="239" t="s">
        <v>294</v>
      </c>
      <c r="AC219" s="96"/>
      <c r="CV219" s="20"/>
      <c r="CW219" s="20"/>
      <c r="CX219" s="20"/>
      <c r="CY219" s="20"/>
      <c r="CZ219" s="20"/>
      <c r="DA219" s="20"/>
      <c r="DB219" s="20"/>
    </row>
    <row r="220" spans="10:106" ht="15.75" customHeight="1" x14ac:dyDescent="0.3">
      <c r="J220" s="178" t="str">
        <f t="shared" si="84"/>
        <v>Guajira</v>
      </c>
      <c r="K220" s="178" t="str">
        <f t="shared" si="84"/>
        <v>Doesn't Apply</v>
      </c>
      <c r="L220" s="179" t="str">
        <f t="shared" si="84"/>
        <v>CAM1</v>
      </c>
      <c r="M220" s="180" t="str">
        <f t="shared" si="84"/>
        <v>GU - Gas</v>
      </c>
      <c r="O220" s="240"/>
      <c r="P220" s="241">
        <v>0</v>
      </c>
      <c r="Q220" s="241">
        <v>0</v>
      </c>
      <c r="T220" s="26">
        <v>0.34</v>
      </c>
      <c r="U220" s="26">
        <v>0.36</v>
      </c>
      <c r="V220" s="26">
        <v>0.36</v>
      </c>
      <c r="W220" s="26">
        <v>0.37</v>
      </c>
      <c r="Z220" s="66"/>
      <c r="AA220" s="242">
        <f t="shared" ref="AA220:AB222" si="85">+(P220*24*0.365)*0.0036</f>
        <v>0</v>
      </c>
      <c r="AB220" s="242">
        <f t="shared" si="85"/>
        <v>0</v>
      </c>
      <c r="AC220" s="96"/>
      <c r="AE220" s="34">
        <f>+SUM(Z220:AB227)</f>
        <v>2.0858923588608</v>
      </c>
      <c r="CV220" s="20"/>
      <c r="CW220" s="20"/>
      <c r="CX220" s="20"/>
      <c r="CY220" s="20"/>
      <c r="CZ220" s="20"/>
      <c r="DA220" s="20"/>
      <c r="DB220" s="20"/>
    </row>
    <row r="221" spans="10:106" ht="15.75" customHeight="1" x14ac:dyDescent="0.3">
      <c r="J221" s="178" t="str">
        <f t="shared" si="84"/>
        <v>Llanos Orientales</v>
      </c>
      <c r="K221" s="178" t="str">
        <f t="shared" si="84"/>
        <v>Light Oil</v>
      </c>
      <c r="L221" s="179" t="str">
        <f t="shared" si="84"/>
        <v>CAM2</v>
      </c>
      <c r="M221" s="192" t="str">
        <f t="shared" si="84"/>
        <v>LLO - Ligth</v>
      </c>
      <c r="O221" s="241">
        <v>2.7140832000000001</v>
      </c>
      <c r="P221" s="243">
        <v>0</v>
      </c>
      <c r="Q221" s="244">
        <f>20.355624/2</f>
        <v>10.177811999999999</v>
      </c>
      <c r="R221" s="245"/>
      <c r="T221" s="26">
        <v>0.34</v>
      </c>
      <c r="U221" s="26">
        <v>0.36</v>
      </c>
      <c r="V221" s="26">
        <v>0.36</v>
      </c>
      <c r="W221" s="26">
        <v>0.37</v>
      </c>
      <c r="Z221" s="242">
        <f>+(O221*24*0.365)*0.0036</f>
        <v>8.5591327795199984E-2</v>
      </c>
      <c r="AA221" s="242">
        <f>+(P222*24*0.365)*0.0036</f>
        <v>0.34236531118079994</v>
      </c>
      <c r="AB221" s="242">
        <f t="shared" si="85"/>
        <v>0.32096747923199992</v>
      </c>
      <c r="AC221" s="96"/>
      <c r="CV221" s="20"/>
      <c r="CW221" s="20"/>
      <c r="CX221" s="20"/>
      <c r="CY221" s="20"/>
      <c r="CZ221" s="20"/>
      <c r="DA221" s="20"/>
      <c r="DB221" s="20"/>
    </row>
    <row r="222" spans="10:106" ht="15.75" customHeight="1" x14ac:dyDescent="0.3">
      <c r="J222" s="178" t="str">
        <f t="shared" si="84"/>
        <v>Llanos Orientales</v>
      </c>
      <c r="K222" s="178" t="str">
        <f t="shared" si="84"/>
        <v>Heavy Oil</v>
      </c>
      <c r="L222" s="179" t="str">
        <f t="shared" si="84"/>
        <v>CAM3</v>
      </c>
      <c r="M222" s="194" t="str">
        <f t="shared" si="84"/>
        <v>LLO - Heavy</v>
      </c>
      <c r="O222" s="243">
        <v>0</v>
      </c>
      <c r="P222" s="241">
        <v>10.856332800000001</v>
      </c>
      <c r="Q222" s="244">
        <f>20.355624/2</f>
        <v>10.177811999999999</v>
      </c>
      <c r="T222" s="26">
        <v>0.34</v>
      </c>
      <c r="U222" s="26">
        <v>0.36</v>
      </c>
      <c r="V222" s="26">
        <v>0.36</v>
      </c>
      <c r="W222" s="26">
        <v>0.37</v>
      </c>
      <c r="Z222" s="242">
        <f>+(O222*24*0.365)*0.0036</f>
        <v>0</v>
      </c>
      <c r="AA222" s="242">
        <f t="shared" ref="AA222" si="86">+(P222*24*0.365)*0.0036</f>
        <v>0.34236531118079994</v>
      </c>
      <c r="AB222" s="242">
        <f t="shared" si="85"/>
        <v>0.32096747923199992</v>
      </c>
      <c r="AC222" s="96"/>
      <c r="CV222" s="20"/>
      <c r="CW222" s="20"/>
      <c r="CX222" s="20"/>
      <c r="CY222" s="20"/>
      <c r="CZ222" s="20"/>
      <c r="DA222" s="20"/>
      <c r="DB222" s="20"/>
    </row>
    <row r="223" spans="10:106" ht="15.75" customHeight="1" x14ac:dyDescent="0.3">
      <c r="J223" s="178" t="str">
        <f t="shared" si="84"/>
        <v>Putumayo</v>
      </c>
      <c r="K223" s="178" t="str">
        <f t="shared" si="84"/>
        <v>Light Oil</v>
      </c>
      <c r="L223" s="179" t="str">
        <f t="shared" si="84"/>
        <v>CAM4</v>
      </c>
      <c r="M223" s="194" t="str">
        <f t="shared" si="84"/>
        <v>PU - Ligth</v>
      </c>
      <c r="O223" s="241">
        <v>0.35182560000000013</v>
      </c>
      <c r="P223" s="241">
        <v>1.4073024000000005</v>
      </c>
      <c r="Q223" s="241">
        <v>2.6386920000000007</v>
      </c>
      <c r="T223" s="26">
        <v>0.34</v>
      </c>
      <c r="U223" s="26">
        <v>0.36</v>
      </c>
      <c r="V223" s="26">
        <v>0.36</v>
      </c>
      <c r="W223" s="26">
        <v>0.37</v>
      </c>
      <c r="Z223" s="242">
        <f t="shared" ref="Z223:AB226" si="87">+(O223*24*0.365)*0.0036</f>
        <v>1.1095172121600003E-2</v>
      </c>
      <c r="AA223" s="242">
        <f t="shared" si="87"/>
        <v>4.4380688486400012E-2</v>
      </c>
      <c r="AB223" s="242">
        <f t="shared" si="87"/>
        <v>8.3213790912000027E-2</v>
      </c>
      <c r="AC223" s="96"/>
      <c r="CV223" s="20"/>
      <c r="CW223" s="20"/>
      <c r="CX223" s="20"/>
      <c r="CY223" s="20"/>
      <c r="CZ223" s="20"/>
      <c r="DA223" s="20"/>
      <c r="DB223" s="20"/>
    </row>
    <row r="224" spans="10:106" ht="15.75" customHeight="1" x14ac:dyDescent="0.3">
      <c r="J224" s="178" t="str">
        <f t="shared" si="84"/>
        <v>VMM</v>
      </c>
      <c r="K224" s="178" t="str">
        <f t="shared" si="84"/>
        <v>Medium Oil</v>
      </c>
      <c r="L224" s="179" t="str">
        <f t="shared" si="84"/>
        <v>CAM5</v>
      </c>
      <c r="M224" s="194" t="str">
        <f t="shared" si="84"/>
        <v>VMM - Medium</v>
      </c>
      <c r="O224" s="241">
        <v>0.90469440000000012</v>
      </c>
      <c r="P224" s="241">
        <v>3.6187776000000005</v>
      </c>
      <c r="Q224" s="241">
        <v>6.7852079999999999</v>
      </c>
      <c r="T224" s="26">
        <v>0.34</v>
      </c>
      <c r="U224" s="26">
        <v>0.36</v>
      </c>
      <c r="V224" s="26">
        <v>0.36</v>
      </c>
      <c r="W224" s="26">
        <v>0.37</v>
      </c>
      <c r="Z224" s="242">
        <f t="shared" si="87"/>
        <v>2.8530442598399999E-2</v>
      </c>
      <c r="AA224" s="242">
        <f t="shared" si="87"/>
        <v>0.1141217703936</v>
      </c>
      <c r="AB224" s="242">
        <f t="shared" si="87"/>
        <v>0.21397831948799997</v>
      </c>
      <c r="AC224" s="96"/>
      <c r="CV224" s="20"/>
      <c r="CW224" s="20"/>
      <c r="CX224" s="20"/>
      <c r="CY224" s="20"/>
      <c r="CZ224" s="20"/>
      <c r="DA224" s="20"/>
      <c r="DB224" s="20"/>
    </row>
    <row r="225" spans="10:106" ht="15.75" customHeight="1" x14ac:dyDescent="0.3">
      <c r="J225" s="178" t="str">
        <f t="shared" si="84"/>
        <v>VSM</v>
      </c>
      <c r="K225" s="178" t="str">
        <f t="shared" si="84"/>
        <v>Medium Oil</v>
      </c>
      <c r="L225" s="179" t="str">
        <f t="shared" si="84"/>
        <v>CAM6</v>
      </c>
      <c r="M225" s="192" t="str">
        <f t="shared" si="84"/>
        <v>VSM - Medium</v>
      </c>
      <c r="O225" s="241">
        <v>0.35182560000000013</v>
      </c>
      <c r="P225" s="241">
        <v>1.4073024000000005</v>
      </c>
      <c r="Q225" s="241">
        <v>2.6386920000000007</v>
      </c>
      <c r="T225" s="26">
        <v>0.34</v>
      </c>
      <c r="U225" s="26">
        <v>0.36</v>
      </c>
      <c r="V225" s="26">
        <v>0.36</v>
      </c>
      <c r="W225" s="26">
        <v>0.37</v>
      </c>
      <c r="Z225" s="242">
        <f t="shared" si="87"/>
        <v>1.1095172121600003E-2</v>
      </c>
      <c r="AA225" s="242">
        <f t="shared" si="87"/>
        <v>4.4380688486400012E-2</v>
      </c>
      <c r="AB225" s="242">
        <f t="shared" si="87"/>
        <v>8.3213790912000027E-2</v>
      </c>
      <c r="AC225" s="96"/>
      <c r="CV225" s="20"/>
      <c r="CW225" s="20"/>
      <c r="CX225" s="20"/>
      <c r="CY225" s="20"/>
      <c r="CZ225" s="20"/>
      <c r="DA225" s="20"/>
      <c r="DB225" s="20"/>
    </row>
    <row r="226" spans="10:106" ht="15.75" customHeight="1" x14ac:dyDescent="0.3">
      <c r="J226" s="178" t="str">
        <f t="shared" si="84"/>
        <v>VIM</v>
      </c>
      <c r="K226" s="178" t="str">
        <f t="shared" si="84"/>
        <v>Doesn't Apply</v>
      </c>
      <c r="L226" s="179" t="str">
        <f t="shared" si="84"/>
        <v>CAM7</v>
      </c>
      <c r="M226" s="192" t="str">
        <f t="shared" si="84"/>
        <v>VIM - GAS</v>
      </c>
      <c r="O226" s="241">
        <v>0.1005216</v>
      </c>
      <c r="P226" s="241">
        <v>0.40208640000000001</v>
      </c>
      <c r="Q226" s="241">
        <v>0.75391200000000003</v>
      </c>
      <c r="T226" s="26">
        <v>0.34</v>
      </c>
      <c r="U226" s="26">
        <v>0.36</v>
      </c>
      <c r="V226" s="26">
        <v>0.36</v>
      </c>
      <c r="W226" s="26">
        <v>0.37</v>
      </c>
      <c r="Z226" s="242">
        <f t="shared" si="87"/>
        <v>3.1700491776000001E-3</v>
      </c>
      <c r="AA226" s="242">
        <f t="shared" si="87"/>
        <v>1.26801967104E-2</v>
      </c>
      <c r="AB226" s="242">
        <f t="shared" si="87"/>
        <v>2.3775368831999998E-2</v>
      </c>
      <c r="AC226" s="229"/>
      <c r="CV226" s="20"/>
      <c r="CW226" s="20"/>
      <c r="CX226" s="20"/>
      <c r="CY226" s="20"/>
      <c r="CZ226" s="20"/>
      <c r="DA226" s="20"/>
      <c r="DB226" s="20"/>
    </row>
    <row r="227" spans="10:106" ht="15.75" customHeight="1" x14ac:dyDescent="0.3">
      <c r="CV227" s="20"/>
      <c r="CW227" s="20"/>
      <c r="CX227" s="20"/>
      <c r="CY227" s="20"/>
      <c r="CZ227" s="20"/>
      <c r="DA227" s="20"/>
      <c r="DB227" s="20"/>
    </row>
    <row r="228" spans="10:106" ht="15.75" customHeight="1" x14ac:dyDescent="0.3">
      <c r="CV228" s="20"/>
      <c r="CW228" s="20"/>
      <c r="CX228" s="20"/>
      <c r="CY228" s="20"/>
      <c r="CZ228" s="20"/>
      <c r="DA228" s="20"/>
      <c r="DB228" s="20"/>
    </row>
    <row r="229" spans="10:106" ht="15.75" customHeight="1" x14ac:dyDescent="0.3">
      <c r="O229" s="34"/>
      <c r="CV229" s="20"/>
      <c r="CW229" s="20"/>
      <c r="CX229" s="20"/>
      <c r="CY229" s="20"/>
      <c r="CZ229" s="20"/>
      <c r="DA229" s="20"/>
      <c r="DB229" s="20"/>
    </row>
    <row r="233" spans="10:106" ht="15" customHeight="1" x14ac:dyDescent="0.3">
      <c r="L233" s="246" t="s">
        <v>311</v>
      </c>
      <c r="M233" s="247"/>
      <c r="N233" s="247"/>
      <c r="O233" s="248"/>
    </row>
    <row r="234" spans="10:106" ht="15" customHeight="1" x14ac:dyDescent="0.3">
      <c r="L234" s="249"/>
      <c r="M234" s="250" t="s">
        <v>312</v>
      </c>
      <c r="N234" s="250" t="s">
        <v>313</v>
      </c>
      <c r="O234" s="251" t="s">
        <v>301</v>
      </c>
    </row>
    <row r="235" spans="10:106" ht="15" customHeight="1" x14ac:dyDescent="0.3">
      <c r="L235" s="249" t="s">
        <v>314</v>
      </c>
      <c r="M235" s="252">
        <v>19.54</v>
      </c>
      <c r="N235" s="253">
        <v>3208538.5878489329</v>
      </c>
      <c r="O235" s="254">
        <v>3.208538587848933</v>
      </c>
    </row>
    <row r="236" spans="10:106" ht="15" customHeight="1" x14ac:dyDescent="0.3">
      <c r="L236" s="249" t="s">
        <v>315</v>
      </c>
      <c r="M236" s="252">
        <v>8</v>
      </c>
      <c r="N236" s="253">
        <v>1313628.8998357963</v>
      </c>
      <c r="O236" s="254">
        <v>1.3136288998357963</v>
      </c>
    </row>
    <row r="237" spans="10:106" ht="15" customHeight="1" x14ac:dyDescent="0.3">
      <c r="L237" s="249" t="s">
        <v>316</v>
      </c>
      <c r="M237" s="252">
        <v>8.66</v>
      </c>
      <c r="N237" s="253">
        <v>1422003.2840722497</v>
      </c>
      <c r="O237" s="254">
        <v>1.4220032840722496</v>
      </c>
    </row>
    <row r="238" spans="10:106" ht="15" customHeight="1" x14ac:dyDescent="0.3">
      <c r="L238" s="249" t="s">
        <v>317</v>
      </c>
      <c r="M238" s="252">
        <v>3.33</v>
      </c>
      <c r="N238" s="253">
        <v>546798.0295566502</v>
      </c>
      <c r="O238" s="254">
        <v>0.54679802955665024</v>
      </c>
    </row>
    <row r="239" spans="10:106" ht="15" customHeight="1" x14ac:dyDescent="0.3">
      <c r="L239" s="249" t="s">
        <v>318</v>
      </c>
      <c r="M239" s="252">
        <v>4.8099999999999996</v>
      </c>
      <c r="N239" s="253">
        <v>789819.37602627254</v>
      </c>
      <c r="O239" s="254">
        <v>0.7898193760262725</v>
      </c>
    </row>
    <row r="240" spans="10:106" ht="15" customHeight="1" x14ac:dyDescent="0.3">
      <c r="L240" s="249" t="s">
        <v>319</v>
      </c>
      <c r="M240" s="252">
        <v>4.5</v>
      </c>
      <c r="N240" s="253">
        <v>738916.25615763548</v>
      </c>
      <c r="O240" s="254">
        <v>0.73891625615763545</v>
      </c>
    </row>
    <row r="241" spans="11:23" ht="15" customHeight="1" x14ac:dyDescent="0.3">
      <c r="L241" s="249" t="s">
        <v>287</v>
      </c>
      <c r="M241" s="29">
        <v>48.84</v>
      </c>
      <c r="N241" s="253">
        <v>8019704.4334975369</v>
      </c>
      <c r="O241" s="254">
        <v>8.0197044334975374</v>
      </c>
    </row>
    <row r="242" spans="11:23" ht="15" customHeight="1" x14ac:dyDescent="0.3">
      <c r="L242" s="249" t="s">
        <v>302</v>
      </c>
      <c r="M242" s="29">
        <v>0.82</v>
      </c>
      <c r="N242" s="253">
        <v>134646.96223316912</v>
      </c>
      <c r="O242" s="254">
        <v>0.13464696223316913</v>
      </c>
    </row>
    <row r="243" spans="11:23" ht="15" customHeight="1" x14ac:dyDescent="0.3">
      <c r="L243" s="255" t="s">
        <v>320</v>
      </c>
      <c r="M243" s="256">
        <v>59.560975609756106</v>
      </c>
      <c r="N243" s="257">
        <v>9780127.3579238262</v>
      </c>
      <c r="O243" s="258">
        <v>9.7801273579238259</v>
      </c>
    </row>
    <row r="247" spans="11:23" ht="46.2" customHeight="1" x14ac:dyDescent="0.3">
      <c r="K247" s="259"/>
      <c r="L247" s="259"/>
      <c r="M247" s="259" t="s">
        <v>321</v>
      </c>
      <c r="N247" s="259" t="s">
        <v>322</v>
      </c>
      <c r="O247" s="259" t="s">
        <v>323</v>
      </c>
      <c r="P247" s="259" t="s">
        <v>324</v>
      </c>
      <c r="Q247" s="259" t="s">
        <v>325</v>
      </c>
      <c r="R247" s="259"/>
      <c r="S247" s="259">
        <f t="shared" ref="S247:W255" si="88">L247</f>
        <v>0</v>
      </c>
      <c r="T247" s="259" t="str">
        <f t="shared" si="88"/>
        <v>Cost of dilution</v>
      </c>
      <c r="U247" s="259" t="str">
        <f t="shared" si="88"/>
        <v>Cost of transport</v>
      </c>
      <c r="V247" s="259" t="str">
        <f t="shared" si="88"/>
        <v>Electricity consumption for GAS</v>
      </c>
      <c r="W247" s="259" t="str">
        <f t="shared" si="88"/>
        <v>Electricity consumption for OIL</v>
      </c>
    </row>
    <row r="248" spans="11:23" ht="15" customHeight="1" x14ac:dyDescent="0.3">
      <c r="K248" s="260" t="s">
        <v>223</v>
      </c>
      <c r="L248" t="s">
        <v>222</v>
      </c>
      <c r="M248" s="52">
        <v>0</v>
      </c>
      <c r="N248" s="245">
        <v>0.54679802955665024</v>
      </c>
      <c r="O248">
        <v>2.745E-3</v>
      </c>
      <c r="P248">
        <v>2.745E-3</v>
      </c>
      <c r="Q248" s="245">
        <f>N248+M248</f>
        <v>0.54679802955665024</v>
      </c>
      <c r="S248" s="250" t="str">
        <f t="shared" si="88"/>
        <v>CAM1</v>
      </c>
      <c r="T248" s="250">
        <f t="shared" si="88"/>
        <v>0</v>
      </c>
      <c r="U248" s="327">
        <f t="shared" si="88"/>
        <v>0.54679802955665024</v>
      </c>
      <c r="V248" s="328">
        <f t="shared" si="88"/>
        <v>2.745E-3</v>
      </c>
      <c r="W248" s="328">
        <f t="shared" si="88"/>
        <v>2.745E-3</v>
      </c>
    </row>
    <row r="249" spans="11:23" ht="15" customHeight="1" x14ac:dyDescent="0.3">
      <c r="K249" s="261" t="s">
        <v>225</v>
      </c>
      <c r="L249" t="s">
        <v>224</v>
      </c>
      <c r="M249" s="52">
        <v>0</v>
      </c>
      <c r="N249" s="245">
        <v>0.54679802955665024</v>
      </c>
      <c r="O249">
        <v>2.745E-3</v>
      </c>
      <c r="P249">
        <v>2.745E-3</v>
      </c>
      <c r="Q249" s="245">
        <f t="shared" ref="Q249:Q256" si="89">N249+M249</f>
        <v>0.54679802955665024</v>
      </c>
      <c r="S249" s="250" t="str">
        <f t="shared" si="88"/>
        <v>CAM2</v>
      </c>
      <c r="T249" s="250">
        <f t="shared" si="88"/>
        <v>0</v>
      </c>
      <c r="U249" s="327"/>
      <c r="V249" s="328"/>
      <c r="W249" s="328"/>
    </row>
    <row r="250" spans="11:23" ht="15" customHeight="1" x14ac:dyDescent="0.3">
      <c r="K250" s="261" t="s">
        <v>227</v>
      </c>
      <c r="L250" t="s">
        <v>226</v>
      </c>
      <c r="M250" s="29">
        <v>0.73891625615763545</v>
      </c>
      <c r="N250" s="245">
        <v>0.54679802955665024</v>
      </c>
      <c r="O250">
        <v>2.745E-3</v>
      </c>
      <c r="P250">
        <v>2.745E-3</v>
      </c>
      <c r="Q250" s="245">
        <f t="shared" si="89"/>
        <v>1.2857142857142856</v>
      </c>
      <c r="S250" s="250" t="str">
        <f t="shared" si="88"/>
        <v>CAM3</v>
      </c>
      <c r="T250" s="252">
        <f t="shared" si="88"/>
        <v>0.73891625615763545</v>
      </c>
      <c r="U250" s="327"/>
      <c r="V250" s="328"/>
      <c r="W250" s="328"/>
    </row>
    <row r="251" spans="11:23" ht="15" customHeight="1" x14ac:dyDescent="0.3">
      <c r="K251" s="261" t="s">
        <v>229</v>
      </c>
      <c r="L251" t="s">
        <v>228</v>
      </c>
      <c r="M251" s="52">
        <v>0</v>
      </c>
      <c r="N251" s="245">
        <v>0.54679802955665024</v>
      </c>
      <c r="O251">
        <v>2.745E-3</v>
      </c>
      <c r="P251">
        <v>2.745E-3</v>
      </c>
      <c r="Q251" s="245">
        <f t="shared" si="89"/>
        <v>0.54679802955665024</v>
      </c>
      <c r="S251" s="250" t="str">
        <f t="shared" si="88"/>
        <v>CAM4</v>
      </c>
      <c r="T251" s="250">
        <f t="shared" si="88"/>
        <v>0</v>
      </c>
      <c r="U251" s="327"/>
      <c r="V251" s="328"/>
      <c r="W251" s="328"/>
    </row>
    <row r="252" spans="11:23" ht="15" customHeight="1" x14ac:dyDescent="0.3">
      <c r="K252" s="261" t="s">
        <v>231</v>
      </c>
      <c r="L252" t="s">
        <v>230</v>
      </c>
      <c r="M252" s="29">
        <v>0.73891625615763545</v>
      </c>
      <c r="N252" s="245">
        <v>0.54679802955665024</v>
      </c>
      <c r="O252">
        <v>2.745E-3</v>
      </c>
      <c r="P252">
        <v>2.745E-3</v>
      </c>
      <c r="Q252" s="245">
        <f t="shared" si="89"/>
        <v>1.2857142857142856</v>
      </c>
      <c r="S252" s="250" t="str">
        <f t="shared" si="88"/>
        <v>CAM5</v>
      </c>
      <c r="T252" s="252">
        <f t="shared" si="88"/>
        <v>0.73891625615763545</v>
      </c>
      <c r="U252" s="327"/>
      <c r="V252" s="328"/>
      <c r="W252" s="328"/>
    </row>
    <row r="253" spans="11:23" ht="15" customHeight="1" x14ac:dyDescent="0.3">
      <c r="K253" s="261" t="s">
        <v>233</v>
      </c>
      <c r="L253" t="s">
        <v>232</v>
      </c>
      <c r="M253" s="29">
        <v>0.73891625615763545</v>
      </c>
      <c r="N253" s="245">
        <v>0.54679802955665024</v>
      </c>
      <c r="O253">
        <v>2.745E-3</v>
      </c>
      <c r="P253">
        <v>2.745E-3</v>
      </c>
      <c r="Q253" s="245">
        <f t="shared" si="89"/>
        <v>1.2857142857142856</v>
      </c>
      <c r="S253" s="250" t="str">
        <f t="shared" si="88"/>
        <v>CAM6</v>
      </c>
      <c r="T253" s="252">
        <f t="shared" si="88"/>
        <v>0.73891625615763545</v>
      </c>
      <c r="U253" s="327"/>
      <c r="V253" s="328"/>
      <c r="W253" s="328"/>
    </row>
    <row r="254" spans="11:23" ht="15" customHeight="1" x14ac:dyDescent="0.3">
      <c r="K254" s="261" t="s">
        <v>235</v>
      </c>
      <c r="L254" t="s">
        <v>234</v>
      </c>
      <c r="M254" s="52">
        <v>0</v>
      </c>
      <c r="N254" s="245">
        <v>0.54679802955665024</v>
      </c>
      <c r="O254">
        <v>2.745E-3</v>
      </c>
      <c r="P254">
        <v>2.745E-3</v>
      </c>
      <c r="Q254" s="245">
        <f t="shared" si="89"/>
        <v>0.54679802955665024</v>
      </c>
      <c r="S254" s="250" t="str">
        <f t="shared" si="88"/>
        <v>CAM7</v>
      </c>
      <c r="T254" s="250">
        <f t="shared" si="88"/>
        <v>0</v>
      </c>
      <c r="U254" s="327"/>
      <c r="V254" s="328"/>
      <c r="W254" s="328"/>
    </row>
    <row r="255" spans="11:23" ht="15" customHeight="1" x14ac:dyDescent="0.3">
      <c r="L255" t="s">
        <v>326</v>
      </c>
      <c r="M255" s="29">
        <v>0.73891625615763545</v>
      </c>
      <c r="N255" s="245">
        <v>0.54679802955665024</v>
      </c>
      <c r="O255">
        <v>2.745E-3</v>
      </c>
      <c r="P255">
        <v>2.745E-3</v>
      </c>
      <c r="Q255" s="245">
        <f t="shared" si="89"/>
        <v>1.2857142857142856</v>
      </c>
      <c r="S255" s="250" t="str">
        <f t="shared" si="88"/>
        <v>CAM8-L*</v>
      </c>
      <c r="T255" s="252">
        <f t="shared" si="88"/>
        <v>0.73891625615763545</v>
      </c>
      <c r="U255" s="327"/>
      <c r="V255" s="328"/>
      <c r="W255" s="328"/>
    </row>
    <row r="256" spans="11:23" ht="15" customHeight="1" x14ac:dyDescent="0.3">
      <c r="L256" t="s">
        <v>327</v>
      </c>
      <c r="M256" s="29">
        <v>0.73891625615763545</v>
      </c>
      <c r="N256" s="245">
        <v>0.54679802955665024</v>
      </c>
      <c r="O256">
        <v>2.745E-3</v>
      </c>
      <c r="P256">
        <v>2.745E-3</v>
      </c>
      <c r="Q256" s="245">
        <f t="shared" si="89"/>
        <v>1.2857142857142856</v>
      </c>
      <c r="S256" s="250"/>
      <c r="T256" s="252"/>
      <c r="U256" s="262"/>
      <c r="V256" s="263"/>
      <c r="W256" s="263"/>
    </row>
    <row r="264" spans="11:15" ht="15" customHeight="1" x14ac:dyDescent="0.3">
      <c r="K264" s="325" t="s">
        <v>339</v>
      </c>
      <c r="L264" s="325"/>
      <c r="M264" s="325"/>
      <c r="N264" s="325"/>
      <c r="O264" s="325"/>
    </row>
    <row r="265" spans="11:15" ht="15" customHeight="1" x14ac:dyDescent="0.3">
      <c r="N265" t="s">
        <v>330</v>
      </c>
    </row>
    <row r="266" spans="11:15" ht="15" customHeight="1" x14ac:dyDescent="0.3">
      <c r="M266" s="250" t="s">
        <v>331</v>
      </c>
      <c r="N266" s="250" t="s">
        <v>251</v>
      </c>
      <c r="O266" s="250" t="s">
        <v>332</v>
      </c>
    </row>
    <row r="267" spans="11:15" ht="15" customHeight="1" x14ac:dyDescent="0.3">
      <c r="K267" s="260" t="s">
        <v>223</v>
      </c>
      <c r="L267" t="s">
        <v>222</v>
      </c>
      <c r="M267" s="29">
        <v>1</v>
      </c>
      <c r="N267" s="283">
        <v>1.219E-3</v>
      </c>
      <c r="O267" s="29">
        <v>0.4</v>
      </c>
    </row>
    <row r="268" spans="11:15" ht="15" customHeight="1" x14ac:dyDescent="0.3">
      <c r="K268" s="261" t="s">
        <v>225</v>
      </c>
      <c r="L268" t="s">
        <v>224</v>
      </c>
      <c r="M268" s="29">
        <v>0.67306539361795925</v>
      </c>
      <c r="N268" s="283">
        <v>2.2642099366033848E-3</v>
      </c>
      <c r="O268" s="29">
        <v>0.43269346063820407</v>
      </c>
    </row>
    <row r="269" spans="11:15" ht="15" customHeight="1" x14ac:dyDescent="0.3">
      <c r="K269" s="261" t="s">
        <v>227</v>
      </c>
      <c r="L269" t="s">
        <v>226</v>
      </c>
      <c r="M269" s="29">
        <v>3.2813446738221236E-4</v>
      </c>
      <c r="N269" s="283">
        <v>4.4149509541077797E-3</v>
      </c>
      <c r="O269" s="29">
        <v>0.49996718655326178</v>
      </c>
    </row>
    <row r="270" spans="11:15" ht="15" customHeight="1" x14ac:dyDescent="0.3">
      <c r="K270" s="261" t="s">
        <v>229</v>
      </c>
      <c r="L270" t="s">
        <v>228</v>
      </c>
      <c r="M270" s="29">
        <v>0</v>
      </c>
      <c r="N270" s="283">
        <v>4.4160000000000007E-3</v>
      </c>
      <c r="O270" s="29">
        <v>0.5</v>
      </c>
    </row>
    <row r="271" spans="11:15" ht="15" customHeight="1" x14ac:dyDescent="0.3">
      <c r="K271" s="261" t="s">
        <v>231</v>
      </c>
      <c r="L271" t="s">
        <v>230</v>
      </c>
      <c r="M271" s="29">
        <v>1.3975177836484496E-2</v>
      </c>
      <c r="N271" s="283">
        <v>4.37132135645676E-3</v>
      </c>
      <c r="O271" s="29">
        <v>0.49860248221635156</v>
      </c>
    </row>
    <row r="272" spans="11:15" ht="15" customHeight="1" x14ac:dyDescent="0.3">
      <c r="K272" s="261" t="s">
        <v>233</v>
      </c>
      <c r="L272" t="s">
        <v>232</v>
      </c>
      <c r="M272" s="29">
        <v>2.1364383997043622E-2</v>
      </c>
      <c r="N272" s="283">
        <v>4.3476980643614525E-3</v>
      </c>
      <c r="O272" s="29">
        <v>0.4978635616002956</v>
      </c>
    </row>
    <row r="273" spans="11:15" ht="15" customHeight="1" x14ac:dyDescent="0.3">
      <c r="K273" s="261" t="s">
        <v>235</v>
      </c>
      <c r="L273" t="s">
        <v>234</v>
      </c>
      <c r="M273" s="29">
        <v>0.9944667846197508</v>
      </c>
      <c r="N273" s="283">
        <v>1.2366896895706567E-3</v>
      </c>
      <c r="O273" s="29">
        <v>0.40055332153802492</v>
      </c>
    </row>
    <row r="274" spans="11:15" ht="15" customHeight="1" x14ac:dyDescent="0.3">
      <c r="L274" t="s">
        <v>326</v>
      </c>
      <c r="M274" s="29">
        <v>1</v>
      </c>
      <c r="N274" s="283">
        <v>1.219E-3</v>
      </c>
      <c r="O274" s="29">
        <v>0.4</v>
      </c>
    </row>
    <row r="275" spans="11:15" ht="15" customHeight="1" x14ac:dyDescent="0.3">
      <c r="L275" t="s">
        <v>327</v>
      </c>
      <c r="M275" s="29">
        <v>0.17575570768233575</v>
      </c>
      <c r="N275" s="283">
        <v>3.8541090025395732E-3</v>
      </c>
      <c r="O275" s="29">
        <v>0.48242442923176643</v>
      </c>
    </row>
    <row r="278" spans="11:15" s="282" customFormat="1" ht="15" customHeight="1" x14ac:dyDescent="0.3">
      <c r="K278" s="325" t="s">
        <v>338</v>
      </c>
      <c r="L278" s="325"/>
      <c r="M278" s="325"/>
      <c r="N278" s="325"/>
      <c r="O278" s="325"/>
    </row>
    <row r="279" spans="11:15" s="282" customFormat="1" ht="15" customHeight="1" x14ac:dyDescent="0.3">
      <c r="K279" s="284"/>
      <c r="L279" s="285" t="s">
        <v>301</v>
      </c>
      <c r="M279" s="286" t="s">
        <v>333</v>
      </c>
      <c r="N279" s="285" t="s">
        <v>334</v>
      </c>
      <c r="O279" s="285" t="s">
        <v>335</v>
      </c>
    </row>
    <row r="280" spans="11:15" s="282" customFormat="1" ht="37.799999999999997" customHeight="1" x14ac:dyDescent="0.3">
      <c r="L280" s="259" t="s">
        <v>336</v>
      </c>
      <c r="M280" s="259" t="s">
        <v>251</v>
      </c>
      <c r="N280" s="259" t="s">
        <v>337</v>
      </c>
      <c r="O280" s="259" t="s">
        <v>332</v>
      </c>
    </row>
    <row r="281" spans="11:15" ht="15" customHeight="1" x14ac:dyDescent="0.3">
      <c r="K281" t="s">
        <v>222</v>
      </c>
      <c r="L281" s="29">
        <v>2.735632183908046</v>
      </c>
      <c r="M281" s="283">
        <v>1.0582000000000001E-2</v>
      </c>
      <c r="N281" s="287">
        <v>1.3536181760480828E-3</v>
      </c>
      <c r="O281">
        <v>0.3</v>
      </c>
    </row>
    <row r="282" spans="11:15" ht="15" customHeight="1" x14ac:dyDescent="0.3">
      <c r="K282" t="s">
        <v>224</v>
      </c>
      <c r="L282" s="29">
        <v>2.735632183908046</v>
      </c>
      <c r="M282" s="283">
        <v>1.0582000000000001E-2</v>
      </c>
      <c r="N282" s="287">
        <v>1.2121736274226792E-2</v>
      </c>
      <c r="O282">
        <v>0.3</v>
      </c>
    </row>
    <row r="283" spans="11:15" ht="15" customHeight="1" x14ac:dyDescent="0.3">
      <c r="K283" t="s">
        <v>226</v>
      </c>
      <c r="L283" s="29">
        <v>2.735632183908046</v>
      </c>
      <c r="M283" s="283">
        <v>1.0582000000000001E-2</v>
      </c>
      <c r="N283" s="287">
        <v>0.629546685042083</v>
      </c>
      <c r="O283">
        <v>0.3</v>
      </c>
    </row>
    <row r="284" spans="11:15" ht="15" customHeight="1" x14ac:dyDescent="0.3">
      <c r="K284" t="s">
        <v>228</v>
      </c>
      <c r="L284" s="29">
        <v>2.735632183908046</v>
      </c>
      <c r="M284" s="283">
        <v>1.0582000000000001E-2</v>
      </c>
      <c r="N284" s="287">
        <v>1</v>
      </c>
      <c r="O284">
        <v>0.3</v>
      </c>
    </row>
    <row r="285" spans="11:15" ht="15" customHeight="1" x14ac:dyDescent="0.3">
      <c r="K285" t="s">
        <v>230</v>
      </c>
      <c r="L285" s="29">
        <v>2.735632183908046</v>
      </c>
      <c r="M285" s="283">
        <v>1.0582000000000001E-2</v>
      </c>
      <c r="N285" s="287">
        <v>0.16043084496523574</v>
      </c>
      <c r="O285">
        <v>0.3</v>
      </c>
    </row>
    <row r="286" spans="11:15" ht="15" customHeight="1" x14ac:dyDescent="0.3">
      <c r="K286" t="s">
        <v>232</v>
      </c>
      <c r="L286" s="29">
        <v>2.735632183908046</v>
      </c>
      <c r="M286" s="283">
        <v>1.0582000000000001E-2</v>
      </c>
      <c r="N286" s="287">
        <v>0.16451371176757706</v>
      </c>
      <c r="O286">
        <v>0.3</v>
      </c>
    </row>
    <row r="287" spans="11:15" ht="15" customHeight="1" x14ac:dyDescent="0.3">
      <c r="K287" t="s">
        <v>234</v>
      </c>
      <c r="L287" s="29">
        <v>2.735632183908046</v>
      </c>
      <c r="M287" s="283">
        <v>1.0582000000000001E-2</v>
      </c>
      <c r="N287" s="287">
        <v>1.7651708152739327E-2</v>
      </c>
      <c r="O287">
        <v>0.3</v>
      </c>
    </row>
    <row r="288" spans="11:15" ht="15" customHeight="1" x14ac:dyDescent="0.3">
      <c r="K288" t="s">
        <v>326</v>
      </c>
      <c r="L288" s="288">
        <v>5.9441707717569789</v>
      </c>
      <c r="M288" s="283">
        <v>1.0582000000000001E-2</v>
      </c>
      <c r="N288" s="289">
        <v>1.9875330767175192E-2</v>
      </c>
      <c r="O288">
        <v>0.3</v>
      </c>
    </row>
    <row r="289" spans="11:15" ht="15" customHeight="1" x14ac:dyDescent="0.3">
      <c r="K289" t="s">
        <v>327</v>
      </c>
      <c r="L289" s="288">
        <v>5.9441707717569789</v>
      </c>
      <c r="M289" s="283">
        <v>1.0582000000000001E-2</v>
      </c>
      <c r="N289" s="289">
        <v>1.9875330767175192E-2</v>
      </c>
      <c r="O289">
        <v>0.3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2">
    <mergeCell ref="K264:O264"/>
    <mergeCell ref="K278:O278"/>
    <mergeCell ref="O218:Q218"/>
    <mergeCell ref="T218:W218"/>
    <mergeCell ref="Z218:AB218"/>
    <mergeCell ref="U248:U255"/>
    <mergeCell ref="V248:V255"/>
    <mergeCell ref="W248:W255"/>
    <mergeCell ref="J169:AG169"/>
    <mergeCell ref="J174:O174"/>
    <mergeCell ref="J203:AG203"/>
    <mergeCell ref="O206:R206"/>
    <mergeCell ref="T206:W206"/>
    <mergeCell ref="Z206:AC206"/>
    <mergeCell ref="BY97:CL97"/>
    <mergeCell ref="J116:AG116"/>
    <mergeCell ref="J138:AG138"/>
    <mergeCell ref="J152:AG152"/>
    <mergeCell ref="N155:O155"/>
    <mergeCell ref="P155:Q155"/>
    <mergeCell ref="BK65:BX65"/>
    <mergeCell ref="R96:V96"/>
    <mergeCell ref="W96:Z96"/>
    <mergeCell ref="AI97:AV97"/>
    <mergeCell ref="AW97:BJ97"/>
    <mergeCell ref="BK97:BX97"/>
    <mergeCell ref="AW65:BJ65"/>
    <mergeCell ref="AB3:AF3"/>
    <mergeCell ref="AA33:AM33"/>
    <mergeCell ref="R64:V64"/>
    <mergeCell ref="W64:Z64"/>
    <mergeCell ref="AI65:AV65"/>
  </mergeCells>
  <conditionalFormatting sqref="I5:I27">
    <cfRule type="containsBlanks" dxfId="33" priority="4">
      <formula>LEN(TRIM(I5))=0</formula>
    </cfRule>
  </conditionalFormatting>
  <conditionalFormatting sqref="I35:I57">
    <cfRule type="containsBlanks" dxfId="32" priority="12">
      <formula>LEN(TRIM(I35))=0</formula>
    </cfRule>
  </conditionalFormatting>
  <conditionalFormatting sqref="I67:I89">
    <cfRule type="containsBlanks" dxfId="31" priority="20">
      <formula>LEN(TRIM(I67))=0</formula>
    </cfRule>
  </conditionalFormatting>
  <conditionalFormatting sqref="K248">
    <cfRule type="containsBlanks" dxfId="30" priority="2">
      <formula>LEN(TRIM(K248))=0</formula>
    </cfRule>
  </conditionalFormatting>
  <conditionalFormatting sqref="K267">
    <cfRule type="containsBlanks" dxfId="29" priority="1">
      <formula>LEN(TRIM(K267))=0</formula>
    </cfRule>
  </conditionalFormatting>
  <conditionalFormatting sqref="K5:L27">
    <cfRule type="containsText" dxfId="28" priority="5" operator="containsText" text="Oil and Gas">
      <formula>NOT(ISERROR(SEARCH(("Oil and Gas"),(K5))))</formula>
    </cfRule>
    <cfRule type="containsText" dxfId="27" priority="6" operator="containsText" text="Gas">
      <formula>NOT(ISERROR(SEARCH(("Gas"),(K5))))</formula>
    </cfRule>
    <cfRule type="containsText" dxfId="26" priority="7" operator="containsText" text="Oil">
      <formula>NOT(ISERROR(SEARCH(("Oil"),(K5))))</formula>
    </cfRule>
  </conditionalFormatting>
  <conditionalFormatting sqref="K35:L60">
    <cfRule type="containsText" dxfId="25" priority="13" operator="containsText" text="Oil and Gas">
      <formula>NOT(ISERROR(SEARCH(("Oil and Gas"),(K35))))</formula>
    </cfRule>
    <cfRule type="containsText" dxfId="24" priority="14" operator="containsText" text="Gas">
      <formula>NOT(ISERROR(SEARCH(("Gas"),(K35))))</formula>
    </cfRule>
    <cfRule type="containsText" dxfId="23" priority="15" operator="containsText" text="Oil">
      <formula>NOT(ISERROR(SEARCH(("Oil"),(K35))))</formula>
    </cfRule>
  </conditionalFormatting>
  <conditionalFormatting sqref="K67:L92">
    <cfRule type="containsText" dxfId="22" priority="21" operator="containsText" text="Oil and Gas">
      <formula>NOT(ISERROR(SEARCH(("Oil and Gas"),(K67))))</formula>
    </cfRule>
    <cfRule type="containsText" dxfId="21" priority="22" operator="containsText" text="Gas">
      <formula>NOT(ISERROR(SEARCH(("Gas"),(K67))))</formula>
    </cfRule>
    <cfRule type="containsText" dxfId="20" priority="23" operator="containsText" text="Oil">
      <formula>NOT(ISERROR(SEARCH(("Oil"),(K67))))</formula>
    </cfRule>
  </conditionalFormatting>
  <conditionalFormatting sqref="M99">
    <cfRule type="containsBlanks" dxfId="19" priority="31">
      <formula>LEN(TRIM(M99))=0</formula>
    </cfRule>
  </conditionalFormatting>
  <conditionalFormatting sqref="M121">
    <cfRule type="containsBlanks" dxfId="18" priority="38">
      <formula>LEN(TRIM(M121))=0</formula>
    </cfRule>
  </conditionalFormatting>
  <conditionalFormatting sqref="M141">
    <cfRule type="containsBlanks" dxfId="17" priority="53">
      <formula>LEN(TRIM(M141))=0</formula>
    </cfRule>
  </conditionalFormatting>
  <conditionalFormatting sqref="M156">
    <cfRule type="containsBlanks" dxfId="16" priority="39">
      <formula>LEN(TRIM(M156))=0</formula>
    </cfRule>
  </conditionalFormatting>
  <conditionalFormatting sqref="M183">
    <cfRule type="containsBlanks" dxfId="15" priority="40">
      <formula>LEN(TRIM(M183))=0</formula>
    </cfRule>
  </conditionalFormatting>
  <conditionalFormatting sqref="M193">
    <cfRule type="containsBlanks" dxfId="14" priority="54">
      <formula>LEN(TRIM(M193))=0</formula>
    </cfRule>
  </conditionalFormatting>
  <conditionalFormatting sqref="M208">
    <cfRule type="containsBlanks" dxfId="13" priority="55">
      <formula>LEN(TRIM(M208))=0</formula>
    </cfRule>
  </conditionalFormatting>
  <conditionalFormatting sqref="M220">
    <cfRule type="containsBlanks" dxfId="12" priority="56">
      <formula>LEN(TRIM(M220))=0</formula>
    </cfRule>
  </conditionalFormatting>
  <conditionalFormatting sqref="N67:N92">
    <cfRule type="cellIs" dxfId="11" priority="27" operator="equal">
      <formula>0</formula>
    </cfRule>
  </conditionalFormatting>
  <conditionalFormatting sqref="N99:V112">
    <cfRule type="cellIs" dxfId="10" priority="32" operator="equal">
      <formula>0</formula>
    </cfRule>
  </conditionalFormatting>
  <conditionalFormatting sqref="Q5:Y27 P67:AA92">
    <cfRule type="cellIs" dxfId="9" priority="11" operator="equal">
      <formula>0</formula>
    </cfRule>
  </conditionalFormatting>
  <conditionalFormatting sqref="Q35:Y60">
    <cfRule type="cellIs" dxfId="8" priority="19" operator="equal">
      <formula>0</formula>
    </cfRule>
  </conditionalFormatting>
  <conditionalFormatting sqref="W99:Z105 W106 Y106:Z106 W107:Z112">
    <cfRule type="cellIs" dxfId="7" priority="33" operator="equal">
      <formula>0</formula>
    </cfRule>
  </conditionalFormatting>
  <conditionalFormatting sqref="X121">
    <cfRule type="containsBlanks" dxfId="6" priority="49">
      <formula>LEN(TRIM(X121))=0</formula>
    </cfRule>
  </conditionalFormatting>
  <conditionalFormatting sqref="Z121:Z127">
    <cfRule type="cellIs" dxfId="5" priority="50" operator="equal">
      <formula>0</formula>
    </cfRule>
  </conditionalFormatting>
  <conditionalFormatting sqref="AA99:AC112">
    <cfRule type="cellIs" dxfId="4" priority="34" operator="equal">
      <formula>0</formula>
    </cfRule>
  </conditionalFormatting>
  <conditionalFormatting sqref="AA121:AC127">
    <cfRule type="containsText" dxfId="3" priority="51" operator="containsText" text="No">
      <formula>NOT(ISERROR(SEARCH(("No"),(AA121))))</formula>
    </cfRule>
    <cfRule type="containsText" dxfId="2" priority="52" operator="containsText" text="Sí">
      <formula>NOT(ISERROR(SEARCH(("Sí"),(AA121))))</formula>
    </cfRule>
  </conditionalFormatting>
  <conditionalFormatting sqref="AH99:BX112">
    <cfRule type="cellIs" dxfId="1" priority="36" operator="equal">
      <formula>0</formula>
    </cfRule>
  </conditionalFormatting>
  <conditionalFormatting sqref="BY99:CL105">
    <cfRule type="cellIs" dxfId="0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10"/>
  <sheetViews>
    <sheetView showGridLines="0" topLeftCell="A89" workbookViewId="0">
      <selection activeCell="F117" sqref="F117"/>
    </sheetView>
  </sheetViews>
  <sheetFormatPr baseColWidth="10" defaultColWidth="8.88671875" defaultRowHeight="14.4" x14ac:dyDescent="0.3"/>
  <cols>
    <col min="2" max="2" width="25.33203125" customWidth="1"/>
    <col min="3" max="3" width="14" customWidth="1"/>
    <col min="4" max="4" width="14.88671875" customWidth="1"/>
    <col min="5" max="5" width="16.6640625" customWidth="1"/>
  </cols>
  <sheetData>
    <row r="4" spans="2:8" ht="21" x14ac:dyDescent="0.4">
      <c r="B4" s="329" t="s">
        <v>0</v>
      </c>
      <c r="C4" s="321"/>
      <c r="D4" s="321"/>
      <c r="E4" s="321"/>
      <c r="F4" s="321"/>
      <c r="G4" s="321"/>
    </row>
    <row r="7" spans="2:8" x14ac:dyDescent="0.3">
      <c r="B7" s="1" t="s">
        <v>1</v>
      </c>
      <c r="H7" s="1"/>
    </row>
    <row r="8" spans="2:8" x14ac:dyDescent="0.3">
      <c r="B8" s="2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03" t="s">
        <v>343</v>
      </c>
    </row>
    <row r="9" spans="2:8" x14ac:dyDescent="0.3">
      <c r="B9" s="4" t="s">
        <v>73</v>
      </c>
      <c r="C9" s="4" t="s">
        <v>74</v>
      </c>
      <c r="D9" s="5" t="s">
        <v>8</v>
      </c>
      <c r="E9" s="6">
        <f>DataCAM!AB106</f>
        <v>8767</v>
      </c>
      <c r="F9" s="7">
        <v>9.9999999999999995E-7</v>
      </c>
      <c r="G9" s="8">
        <v>1</v>
      </c>
      <c r="H9">
        <v>2023</v>
      </c>
    </row>
    <row r="14" spans="2:8" ht="21" x14ac:dyDescent="0.4">
      <c r="B14" s="329" t="s">
        <v>9</v>
      </c>
      <c r="C14" s="321"/>
      <c r="D14" s="321"/>
      <c r="E14" s="321"/>
      <c r="F14" s="321"/>
      <c r="G14" s="321"/>
    </row>
    <row r="17" spans="2:5" ht="15.6" x14ac:dyDescent="0.3">
      <c r="B17" s="330" t="s">
        <v>10</v>
      </c>
      <c r="C17" s="321"/>
      <c r="D17" s="321"/>
      <c r="E17" s="321"/>
    </row>
    <row r="19" spans="2:5" x14ac:dyDescent="0.3">
      <c r="B19" s="1" t="s">
        <v>1</v>
      </c>
    </row>
    <row r="20" spans="2:5" x14ac:dyDescent="0.3">
      <c r="B20" s="2" t="s">
        <v>2</v>
      </c>
      <c r="C20" s="9" t="s">
        <v>11</v>
      </c>
      <c r="D20" s="9" t="s">
        <v>12</v>
      </c>
      <c r="E20" s="9" t="s">
        <v>8</v>
      </c>
    </row>
    <row r="21" spans="2:5" x14ac:dyDescent="0.3">
      <c r="B21" s="5" t="s">
        <v>75</v>
      </c>
      <c r="C21" s="5" t="s">
        <v>13</v>
      </c>
      <c r="D21" s="5">
        <v>2019</v>
      </c>
      <c r="E21" s="10" cm="1">
        <f t="array" ref="E21:E34">TRANSPOSE(DataCAM!BY106:CL106)</f>
        <v>0</v>
      </c>
    </row>
    <row r="22" spans="2:5" x14ac:dyDescent="0.3">
      <c r="B22" s="5"/>
      <c r="C22" s="5" t="s">
        <v>13</v>
      </c>
      <c r="D22" s="5">
        <v>2020</v>
      </c>
      <c r="E22" s="10">
        <v>0</v>
      </c>
    </row>
    <row r="23" spans="2:5" x14ac:dyDescent="0.3">
      <c r="B23" s="5"/>
      <c r="C23" s="5" t="s">
        <v>13</v>
      </c>
      <c r="D23" s="5">
        <v>2023</v>
      </c>
      <c r="E23" s="10">
        <v>905.09830300408885</v>
      </c>
    </row>
    <row r="24" spans="2:5" x14ac:dyDescent="0.3">
      <c r="B24" s="5"/>
      <c r="C24" s="5" t="s">
        <v>13</v>
      </c>
      <c r="D24" s="5">
        <v>2025</v>
      </c>
      <c r="E24" s="10">
        <v>733.84566832987673</v>
      </c>
    </row>
    <row r="25" spans="2:5" x14ac:dyDescent="0.3">
      <c r="B25" s="5"/>
      <c r="C25" s="5" t="s">
        <v>13</v>
      </c>
      <c r="D25" s="5">
        <v>2027</v>
      </c>
      <c r="E25" s="10">
        <v>606.55624662350851</v>
      </c>
    </row>
    <row r="26" spans="2:5" x14ac:dyDescent="0.3">
      <c r="B26" s="5"/>
      <c r="C26" s="5" t="s">
        <v>13</v>
      </c>
      <c r="D26" s="5">
        <v>2030</v>
      </c>
      <c r="E26" s="10">
        <v>428.29336001378488</v>
      </c>
    </row>
    <row r="27" spans="2:5" x14ac:dyDescent="0.3">
      <c r="B27" s="5"/>
      <c r="C27" s="5" t="s">
        <v>13</v>
      </c>
      <c r="D27" s="5">
        <v>2033</v>
      </c>
      <c r="E27" s="10">
        <v>332.13678848606423</v>
      </c>
    </row>
    <row r="28" spans="2:5" x14ac:dyDescent="0.3">
      <c r="B28" s="5"/>
      <c r="C28" s="5" t="s">
        <v>13</v>
      </c>
      <c r="D28" s="5">
        <v>2035</v>
      </c>
      <c r="E28" s="10">
        <v>270.63626171418025</v>
      </c>
    </row>
    <row r="29" spans="2:5" x14ac:dyDescent="0.3">
      <c r="B29" s="5"/>
      <c r="C29" s="5" t="s">
        <v>13</v>
      </c>
      <c r="D29" s="5">
        <v>2037</v>
      </c>
      <c r="E29" s="10">
        <v>222.85752681517675</v>
      </c>
    </row>
    <row r="30" spans="2:5" x14ac:dyDescent="0.3">
      <c r="B30" s="5"/>
      <c r="C30" s="5" t="s">
        <v>13</v>
      </c>
      <c r="D30" s="5">
        <v>2040</v>
      </c>
      <c r="E30" s="10">
        <v>154.52785856636385</v>
      </c>
    </row>
    <row r="31" spans="2:5" x14ac:dyDescent="0.3">
      <c r="B31" s="5"/>
      <c r="C31" s="5" t="s">
        <v>13</v>
      </c>
      <c r="D31" s="5">
        <v>2043</v>
      </c>
      <c r="E31" s="10">
        <v>103.12251243318286</v>
      </c>
    </row>
    <row r="32" spans="2:5" x14ac:dyDescent="0.3">
      <c r="B32" s="5"/>
      <c r="C32" s="5" t="s">
        <v>13</v>
      </c>
      <c r="D32" s="5">
        <v>2045</v>
      </c>
      <c r="E32" s="10">
        <v>86.86829712629546</v>
      </c>
    </row>
    <row r="33" spans="2:5" x14ac:dyDescent="0.3">
      <c r="B33" s="5"/>
      <c r="C33" s="5" t="s">
        <v>13</v>
      </c>
      <c r="D33" s="5">
        <v>2047</v>
      </c>
      <c r="E33" s="10">
        <v>76.383517157336627</v>
      </c>
    </row>
    <row r="34" spans="2:5" x14ac:dyDescent="0.3">
      <c r="B34" s="5"/>
      <c r="C34" s="5" t="s">
        <v>13</v>
      </c>
      <c r="D34" s="5">
        <v>2050</v>
      </c>
      <c r="E34" s="10">
        <v>62.891408559620224</v>
      </c>
    </row>
    <row r="36" spans="2:5" ht="15.6" x14ac:dyDescent="0.3">
      <c r="B36" s="330" t="s">
        <v>14</v>
      </c>
      <c r="C36" s="321"/>
      <c r="D36" s="321"/>
    </row>
    <row r="38" spans="2:5" x14ac:dyDescent="0.3">
      <c r="B38" s="1" t="s">
        <v>1</v>
      </c>
    </row>
    <row r="39" spans="2:5" x14ac:dyDescent="0.3">
      <c r="B39" s="11" t="s">
        <v>2</v>
      </c>
      <c r="C39" s="3" t="s">
        <v>15</v>
      </c>
      <c r="D39" s="3" t="s">
        <v>16</v>
      </c>
    </row>
    <row r="40" spans="2:5" x14ac:dyDescent="0.3">
      <c r="B40" s="12" t="str">
        <f>B21</f>
        <v>PROF-CAM8</v>
      </c>
      <c r="C40" s="12" t="str">
        <f>C9</f>
        <v>R-CAM8</v>
      </c>
      <c r="D40" s="13">
        <f>100%-D41</f>
        <v>0.98952880617307648</v>
      </c>
    </row>
    <row r="41" spans="2:5" x14ac:dyDescent="0.3">
      <c r="B41" s="12"/>
      <c r="C41" s="12" t="s">
        <v>72</v>
      </c>
      <c r="D41" s="13">
        <f>DataCAM!N128/(1+DataCAM!N128)</f>
        <v>1.0471193826923495E-2</v>
      </c>
    </row>
    <row r="44" spans="2:5" ht="15.6" x14ac:dyDescent="0.3">
      <c r="B44" s="330" t="s">
        <v>17</v>
      </c>
      <c r="C44" s="321"/>
      <c r="D44" s="14"/>
    </row>
    <row r="46" spans="2:5" x14ac:dyDescent="0.3">
      <c r="B46" s="1" t="s">
        <v>1</v>
      </c>
    </row>
    <row r="47" spans="2:5" x14ac:dyDescent="0.3">
      <c r="B47" s="2" t="s">
        <v>2</v>
      </c>
      <c r="C47" s="15" t="s">
        <v>3</v>
      </c>
      <c r="D47" s="15" t="s">
        <v>7</v>
      </c>
    </row>
    <row r="48" spans="2:5" x14ac:dyDescent="0.3">
      <c r="B48" s="16" t="str">
        <f>B40</f>
        <v>PROF-CAM8</v>
      </c>
      <c r="C48" s="16" t="s">
        <v>76</v>
      </c>
      <c r="D48" s="17">
        <f>100%-D41-(D40*DataCAM!P106*DataCAM!X106)</f>
        <v>0.98555606113195027</v>
      </c>
    </row>
    <row r="51" spans="2:8" x14ac:dyDescent="0.3">
      <c r="B51" s="1" t="s">
        <v>1</v>
      </c>
      <c r="G51" s="4"/>
      <c r="H51" s="4" t="s">
        <v>19</v>
      </c>
    </row>
    <row r="52" spans="2:8" x14ac:dyDescent="0.3">
      <c r="B52" s="18" t="s">
        <v>2</v>
      </c>
      <c r="C52" s="18" t="s">
        <v>3</v>
      </c>
      <c r="D52" s="18" t="s">
        <v>18</v>
      </c>
      <c r="G52" s="4" t="s">
        <v>20</v>
      </c>
      <c r="H52" s="19">
        <v>55.54</v>
      </c>
    </row>
    <row r="53" spans="2:8" x14ac:dyDescent="0.3">
      <c r="B53" s="5" t="str">
        <f>B48</f>
        <v>PROF-CAM8</v>
      </c>
      <c r="C53" s="5" t="str">
        <f>'COMM&amp;PROCESS'!D12</f>
        <v>CO2e-CAM8</v>
      </c>
      <c r="D53" s="16">
        <f>DataCAM!N148+NewProduction!H52*(DataCAM!P106*DataCAM!X106*NewProduction!D40/NewProduction!D48)</f>
        <v>0.52387996815800686</v>
      </c>
    </row>
    <row r="57" spans="2:8" ht="15.6" x14ac:dyDescent="0.3">
      <c r="B57" s="331" t="s">
        <v>21</v>
      </c>
      <c r="C57" s="306"/>
      <c r="D57" s="306"/>
    </row>
    <row r="58" spans="2:8" x14ac:dyDescent="0.3">
      <c r="B58" s="20"/>
      <c r="C58" s="20"/>
      <c r="D58" s="20"/>
    </row>
    <row r="59" spans="2:8" x14ac:dyDescent="0.3">
      <c r="B59" s="1" t="s">
        <v>1</v>
      </c>
      <c r="C59" s="20"/>
      <c r="D59" s="20"/>
    </row>
    <row r="60" spans="2:8" x14ac:dyDescent="0.3">
      <c r="B60" s="2" t="s">
        <v>2</v>
      </c>
      <c r="C60" s="15" t="s">
        <v>6</v>
      </c>
      <c r="D60" s="21"/>
    </row>
    <row r="61" spans="2:8" x14ac:dyDescent="0.3">
      <c r="B61" s="294" t="str">
        <f>+B53</f>
        <v>PROF-CAM8</v>
      </c>
      <c r="C61" s="293">
        <f>DataCAM!O235+DataCAM!O236+DataCAM!O237</f>
        <v>5.9441707717569789</v>
      </c>
      <c r="D61" s="22"/>
    </row>
    <row r="62" spans="2:8" x14ac:dyDescent="0.3">
      <c r="B62" s="22"/>
      <c r="C62" s="23"/>
      <c r="D62" s="22"/>
    </row>
    <row r="63" spans="2:8" x14ac:dyDescent="0.3">
      <c r="B63" s="22"/>
      <c r="C63" s="23"/>
      <c r="D63" s="22"/>
    </row>
    <row r="64" spans="2:8" x14ac:dyDescent="0.3">
      <c r="B64" s="22"/>
      <c r="C64" s="23"/>
      <c r="D64" s="22"/>
    </row>
    <row r="67" spans="2:9" ht="21" x14ac:dyDescent="0.4">
      <c r="B67" s="329" t="s">
        <v>22</v>
      </c>
      <c r="C67" s="321"/>
      <c r="D67" s="321"/>
      <c r="E67" s="321"/>
      <c r="F67" s="321"/>
      <c r="G67" s="321"/>
      <c r="H67" s="321"/>
      <c r="I67" s="321"/>
    </row>
    <row r="70" spans="2:9" ht="15.6" x14ac:dyDescent="0.3">
      <c r="B70" s="330" t="s">
        <v>23</v>
      </c>
      <c r="C70" s="321"/>
      <c r="D70" s="321"/>
    </row>
    <row r="72" spans="2:9" x14ac:dyDescent="0.3">
      <c r="B72" s="1" t="s">
        <v>1</v>
      </c>
    </row>
    <row r="73" spans="2:9" x14ac:dyDescent="0.3">
      <c r="B73" s="24" t="s">
        <v>2</v>
      </c>
      <c r="C73" s="25" t="s">
        <v>15</v>
      </c>
      <c r="D73" s="25" t="s">
        <v>7</v>
      </c>
    </row>
    <row r="74" spans="2:9" x14ac:dyDescent="0.3">
      <c r="B74" s="16" t="s">
        <v>78</v>
      </c>
      <c r="C74" s="16" t="s">
        <v>76</v>
      </c>
      <c r="D74" s="26">
        <v>1</v>
      </c>
    </row>
    <row r="77" spans="2:9" ht="15.6" x14ac:dyDescent="0.3">
      <c r="B77" s="14" t="s">
        <v>24</v>
      </c>
    </row>
    <row r="79" spans="2:9" x14ac:dyDescent="0.3">
      <c r="B79" s="1" t="s">
        <v>1</v>
      </c>
    </row>
    <row r="80" spans="2:9" x14ac:dyDescent="0.3">
      <c r="B80" s="24" t="s">
        <v>2</v>
      </c>
      <c r="C80" s="25" t="s">
        <v>3</v>
      </c>
      <c r="D80" s="27" t="s">
        <v>25</v>
      </c>
    </row>
    <row r="81" spans="2:5" x14ac:dyDescent="0.3">
      <c r="B81" s="16" t="str">
        <f>B74</f>
        <v>SEP-CAM8</v>
      </c>
      <c r="C81" s="16" t="s">
        <v>79</v>
      </c>
      <c r="D81" s="28">
        <f>(DataCAM!O106-DataCAM!S106)/(DataCAM!AH106-DataCAM!S106)</f>
        <v>0.19878166154490301</v>
      </c>
    </row>
    <row r="82" spans="2:5" x14ac:dyDescent="0.3">
      <c r="B82" s="16"/>
      <c r="C82" s="16" t="s">
        <v>80</v>
      </c>
      <c r="D82" s="28">
        <f>100%-D81</f>
        <v>0.80121833845509705</v>
      </c>
    </row>
    <row r="86" spans="2:5" x14ac:dyDescent="0.3">
      <c r="B86" s="1" t="s">
        <v>1</v>
      </c>
    </row>
    <row r="87" spans="2:5" x14ac:dyDescent="0.3">
      <c r="B87" s="18" t="s">
        <v>2</v>
      </c>
      <c r="C87" s="18" t="s">
        <v>3</v>
      </c>
      <c r="D87" s="18" t="s">
        <v>18</v>
      </c>
    </row>
    <row r="88" spans="2:5" x14ac:dyDescent="0.3">
      <c r="B88" s="5" t="s">
        <v>78</v>
      </c>
      <c r="C88" s="5" t="str">
        <f>C53</f>
        <v>CO2e-CAM8</v>
      </c>
      <c r="D88" s="29">
        <v>0.9</v>
      </c>
    </row>
    <row r="90" spans="2:5" ht="21" x14ac:dyDescent="0.4">
      <c r="B90" s="30" t="s">
        <v>26</v>
      </c>
    </row>
    <row r="92" spans="2:5" ht="15.6" x14ac:dyDescent="0.3">
      <c r="B92" s="14" t="s">
        <v>27</v>
      </c>
      <c r="C92" s="14"/>
      <c r="D92" s="14"/>
      <c r="E92" s="14"/>
    </row>
    <row r="94" spans="2:5" x14ac:dyDescent="0.3">
      <c r="B94" s="1" t="s">
        <v>1</v>
      </c>
    </row>
    <row r="95" spans="2:5" x14ac:dyDescent="0.3">
      <c r="B95" s="24" t="s">
        <v>2</v>
      </c>
      <c r="C95" s="31" t="s">
        <v>15</v>
      </c>
      <c r="D95" s="31" t="s">
        <v>3</v>
      </c>
      <c r="E95" s="27" t="s">
        <v>7</v>
      </c>
    </row>
    <row r="96" spans="2:5" x14ac:dyDescent="0.3">
      <c r="B96" s="16" t="s">
        <v>81</v>
      </c>
      <c r="C96" s="16" t="s">
        <v>28</v>
      </c>
      <c r="D96" s="28" t="s">
        <v>72</v>
      </c>
      <c r="E96" s="32">
        <v>1</v>
      </c>
    </row>
    <row r="98" spans="2:5" x14ac:dyDescent="0.3">
      <c r="B98" s="1" t="s">
        <v>1</v>
      </c>
    </row>
    <row r="99" spans="2:5" x14ac:dyDescent="0.3">
      <c r="B99" s="18" t="s">
        <v>2</v>
      </c>
      <c r="C99" s="18" t="s">
        <v>3</v>
      </c>
      <c r="D99" s="18" t="s">
        <v>29</v>
      </c>
    </row>
    <row r="100" spans="2:5" x14ac:dyDescent="0.3">
      <c r="B100" s="16" t="s">
        <v>81</v>
      </c>
      <c r="C100" s="16" t="str">
        <f>C53</f>
        <v>CO2e-CAM8</v>
      </c>
      <c r="D100" s="33">
        <v>49.01709401709401</v>
      </c>
      <c r="E100" s="295"/>
    </row>
    <row r="102" spans="2:5" ht="15.6" x14ac:dyDescent="0.3">
      <c r="B102" s="14" t="s">
        <v>342</v>
      </c>
      <c r="C102" s="14"/>
      <c r="D102" s="14"/>
      <c r="E102" s="14"/>
    </row>
    <row r="104" spans="2:5" x14ac:dyDescent="0.3">
      <c r="B104" s="1" t="s">
        <v>1</v>
      </c>
    </row>
    <row r="105" spans="2:5" x14ac:dyDescent="0.3">
      <c r="B105" s="24" t="s">
        <v>2</v>
      </c>
      <c r="C105" s="31" t="s">
        <v>15</v>
      </c>
      <c r="D105" s="31" t="s">
        <v>3</v>
      </c>
      <c r="E105" s="27" t="s">
        <v>7</v>
      </c>
    </row>
    <row r="106" spans="2:5" x14ac:dyDescent="0.3">
      <c r="B106" s="16" t="str">
        <f>'COMM&amp;PROCESS'!O12</f>
        <v>COMPRA-ELC-COL-CAM8</v>
      </c>
      <c r="C106" s="4" t="s">
        <v>30</v>
      </c>
      <c r="D106" s="28" t="str">
        <f>'COMM&amp;PROCESS'!D13</f>
        <v>ELC-COL-CAM8</v>
      </c>
      <c r="E106" s="32">
        <v>1</v>
      </c>
    </row>
    <row r="108" spans="2:5" x14ac:dyDescent="0.3">
      <c r="B108" s="1" t="s">
        <v>1</v>
      </c>
    </row>
    <row r="109" spans="2:5" x14ac:dyDescent="0.3">
      <c r="B109" s="18" t="s">
        <v>2</v>
      </c>
      <c r="C109" s="18" t="s">
        <v>3</v>
      </c>
      <c r="D109" s="18" t="s">
        <v>18</v>
      </c>
    </row>
    <row r="110" spans="2:5" x14ac:dyDescent="0.3">
      <c r="B110" s="16" t="str">
        <f>B106</f>
        <v>COMPRA-ELC-COL-CAM8</v>
      </c>
      <c r="C110" s="16" t="str">
        <f>C100</f>
        <v>CO2e-CAM8</v>
      </c>
      <c r="D110" s="33">
        <v>49.01709401709401</v>
      </c>
      <c r="E110" s="295"/>
    </row>
  </sheetData>
  <mergeCells count="8">
    <mergeCell ref="B67:I67"/>
    <mergeCell ref="B70:D70"/>
    <mergeCell ref="B4:G4"/>
    <mergeCell ref="B14:G14"/>
    <mergeCell ref="B17:E17"/>
    <mergeCell ref="B36:D36"/>
    <mergeCell ref="B44:C44"/>
    <mergeCell ref="B57:D5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9D81-0AA0-4361-87B8-BD4E8E10C305}">
  <dimension ref="B4:I51"/>
  <sheetViews>
    <sheetView showGridLines="0" workbookViewId="0">
      <selection activeCell="D16" sqref="D16"/>
    </sheetView>
  </sheetViews>
  <sheetFormatPr baseColWidth="10" defaultRowHeight="14.4" x14ac:dyDescent="0.3"/>
  <cols>
    <col min="2" max="2" width="20.109375" customWidth="1"/>
    <col min="3" max="3" width="19.33203125" customWidth="1"/>
    <col min="4" max="4" width="18.109375" customWidth="1"/>
    <col min="5" max="5" width="17.33203125" customWidth="1"/>
  </cols>
  <sheetData>
    <row r="4" spans="2:8" ht="23.4" x14ac:dyDescent="0.45">
      <c r="C4" s="36" t="s">
        <v>31</v>
      </c>
    </row>
    <row r="7" spans="2:8" ht="15.6" x14ac:dyDescent="0.3">
      <c r="B7" s="332" t="s">
        <v>32</v>
      </c>
      <c r="C7" s="334"/>
      <c r="D7" s="334"/>
      <c r="E7" s="334"/>
      <c r="F7" s="334"/>
      <c r="G7" s="334"/>
      <c r="H7" s="334"/>
    </row>
    <row r="9" spans="2:8" x14ac:dyDescent="0.3">
      <c r="B9" s="1" t="s">
        <v>1</v>
      </c>
      <c r="C9" s="52"/>
      <c r="D9" s="52"/>
      <c r="E9" s="52"/>
      <c r="F9" s="52"/>
      <c r="G9" s="52"/>
      <c r="H9" s="52"/>
    </row>
    <row r="10" spans="2:8" x14ac:dyDescent="0.3">
      <c r="B10" s="37" t="s">
        <v>2</v>
      </c>
      <c r="C10" s="298" t="s">
        <v>15</v>
      </c>
      <c r="D10" s="37" t="s">
        <v>33</v>
      </c>
      <c r="E10" s="52"/>
      <c r="F10" s="52"/>
      <c r="G10" s="52"/>
      <c r="H10" s="52"/>
    </row>
    <row r="11" spans="2:8" x14ac:dyDescent="0.3">
      <c r="B11" s="212" t="str">
        <f>'COMM&amp;PROCESS'!O13</f>
        <v>COL-OIL-CAM8</v>
      </c>
      <c r="C11" s="212" t="s">
        <v>80</v>
      </c>
      <c r="D11" s="38">
        <f>D16</f>
        <v>0.99726251439797753</v>
      </c>
      <c r="E11" s="52"/>
      <c r="F11" s="52"/>
      <c r="G11" s="52"/>
      <c r="H11" s="52"/>
    </row>
    <row r="12" spans="2:8" x14ac:dyDescent="0.3">
      <c r="B12" s="52"/>
      <c r="C12" s="299" t="str">
        <f>NewProduction!D106</f>
        <v>ELC-COL-CAM8</v>
      </c>
      <c r="D12" s="38">
        <f>100%-D11</f>
        <v>2.7374856020224714E-3</v>
      </c>
      <c r="E12" s="52"/>
      <c r="F12" s="52"/>
      <c r="G12" s="52"/>
      <c r="H12" s="52"/>
    </row>
    <row r="13" spans="2:8" x14ac:dyDescent="0.3">
      <c r="B13" s="52"/>
      <c r="C13" s="52"/>
      <c r="D13" s="52"/>
      <c r="E13" s="52"/>
      <c r="F13" s="52"/>
      <c r="G13" s="52"/>
      <c r="H13" s="52"/>
    </row>
    <row r="14" spans="2:8" x14ac:dyDescent="0.3">
      <c r="B14" s="1" t="s">
        <v>1</v>
      </c>
      <c r="C14" s="52"/>
      <c r="D14" s="52"/>
      <c r="E14" s="52"/>
      <c r="F14" s="52"/>
      <c r="G14" s="52"/>
      <c r="H14" s="52"/>
    </row>
    <row r="15" spans="2:8" x14ac:dyDescent="0.3">
      <c r="B15" s="39" t="s">
        <v>2</v>
      </c>
      <c r="C15" s="298" t="s">
        <v>3</v>
      </c>
      <c r="D15" s="40" t="s">
        <v>7</v>
      </c>
      <c r="E15" s="52"/>
      <c r="F15" s="52"/>
      <c r="G15" s="52"/>
      <c r="H15" s="52"/>
    </row>
    <row r="16" spans="2:8" x14ac:dyDescent="0.3">
      <c r="B16" s="132" t="str">
        <f>B11</f>
        <v>COL-OIL-CAM8</v>
      </c>
      <c r="C16" s="132" t="s">
        <v>82</v>
      </c>
      <c r="D16" s="38">
        <f>1/(1+DataCAM!P255)</f>
        <v>0.99726251439797753</v>
      </c>
      <c r="E16" s="52"/>
      <c r="F16" s="52"/>
      <c r="G16" s="52"/>
      <c r="H16" s="52"/>
    </row>
    <row r="17" spans="2:9" x14ac:dyDescent="0.3">
      <c r="B17" s="52"/>
      <c r="C17" s="52"/>
      <c r="D17" s="52"/>
      <c r="E17" s="52"/>
      <c r="F17" s="52"/>
      <c r="G17" s="52"/>
      <c r="H17" s="52"/>
    </row>
    <row r="18" spans="2:9" ht="15.6" x14ac:dyDescent="0.3">
      <c r="B18" s="335" t="s">
        <v>35</v>
      </c>
      <c r="C18" s="336"/>
      <c r="D18" s="336"/>
      <c r="E18" s="336"/>
      <c r="F18" s="336"/>
      <c r="G18" s="336"/>
      <c r="H18" s="336"/>
    </row>
    <row r="19" spans="2:9" x14ac:dyDescent="0.3">
      <c r="B19" s="52"/>
      <c r="C19" s="52"/>
      <c r="D19" s="52"/>
      <c r="E19" s="52"/>
      <c r="F19" s="52"/>
      <c r="G19" s="52"/>
      <c r="H19" s="52"/>
    </row>
    <row r="20" spans="2:9" x14ac:dyDescent="0.3">
      <c r="B20" s="1" t="s">
        <v>1</v>
      </c>
      <c r="C20" s="52"/>
      <c r="D20" s="52"/>
      <c r="E20" s="1" t="s">
        <v>1</v>
      </c>
      <c r="H20" s="52"/>
    </row>
    <row r="21" spans="2:9" x14ac:dyDescent="0.3">
      <c r="B21" s="24" t="s">
        <v>2</v>
      </c>
      <c r="C21" s="300" t="s">
        <v>6</v>
      </c>
      <c r="D21" s="52"/>
      <c r="E21" s="18" t="s">
        <v>2</v>
      </c>
      <c r="F21" s="18" t="s">
        <v>3</v>
      </c>
      <c r="G21" s="18" t="s">
        <v>29</v>
      </c>
      <c r="H21" s="52"/>
    </row>
    <row r="22" spans="2:9" x14ac:dyDescent="0.3">
      <c r="B22" s="301" t="str">
        <f>B16</f>
        <v>COL-OIL-CAM8</v>
      </c>
      <c r="C22" s="19">
        <f>+DataCAM!Q255</f>
        <v>1.2857142857142856</v>
      </c>
      <c r="D22" s="52"/>
      <c r="E22" s="304" t="str">
        <f>B22</f>
        <v>COL-OIL-CAM8</v>
      </c>
      <c r="F22" s="16" t="s">
        <v>77</v>
      </c>
      <c r="G22" s="33">
        <v>0.4</v>
      </c>
      <c r="H22" s="52"/>
    </row>
    <row r="23" spans="2:9" x14ac:dyDescent="0.3">
      <c r="B23" s="26"/>
      <c r="C23" s="42"/>
    </row>
    <row r="26" spans="2:9" ht="21" x14ac:dyDescent="0.4">
      <c r="B26" s="329" t="s">
        <v>36</v>
      </c>
      <c r="C26" s="321"/>
      <c r="D26" s="321"/>
      <c r="E26" s="321"/>
      <c r="F26" s="321"/>
      <c r="G26" s="321"/>
      <c r="H26" s="321"/>
    </row>
    <row r="29" spans="2:9" ht="15.6" x14ac:dyDescent="0.3">
      <c r="B29" s="330" t="s">
        <v>32</v>
      </c>
      <c r="C29" s="306"/>
      <c r="D29" s="306"/>
      <c r="E29" s="306"/>
      <c r="F29" s="306"/>
      <c r="G29" s="306"/>
      <c r="H29" s="306"/>
      <c r="I29" s="306"/>
    </row>
    <row r="32" spans="2:9" x14ac:dyDescent="0.3">
      <c r="B32" s="1" t="s">
        <v>1</v>
      </c>
      <c r="C32" s="52"/>
      <c r="D32" s="52"/>
    </row>
    <row r="33" spans="2:8" x14ac:dyDescent="0.3">
      <c r="B33" s="43" t="s">
        <v>2</v>
      </c>
      <c r="C33" s="44" t="s">
        <v>15</v>
      </c>
      <c r="D33" s="52"/>
    </row>
    <row r="34" spans="2:8" x14ac:dyDescent="0.3">
      <c r="B34" s="212" t="str">
        <f>'COMM&amp;PROCESS'!O14</f>
        <v>COL-GAS-CAM8</v>
      </c>
      <c r="C34" s="212" t="s">
        <v>79</v>
      </c>
      <c r="D34" s="52"/>
    </row>
    <row r="35" spans="2:8" x14ac:dyDescent="0.3">
      <c r="B35" s="52"/>
      <c r="C35" s="302" t="s">
        <v>84</v>
      </c>
      <c r="D35" s="52"/>
    </row>
    <row r="36" spans="2:8" x14ac:dyDescent="0.3">
      <c r="B36" s="52"/>
      <c r="C36" s="52"/>
      <c r="D36" s="52"/>
    </row>
    <row r="37" spans="2:8" x14ac:dyDescent="0.3">
      <c r="B37" s="52"/>
      <c r="C37" s="52"/>
      <c r="D37" s="52"/>
    </row>
    <row r="38" spans="2:8" x14ac:dyDescent="0.3">
      <c r="B38" s="1" t="s">
        <v>1</v>
      </c>
      <c r="C38" s="52"/>
      <c r="D38" s="52"/>
    </row>
    <row r="39" spans="2:8" x14ac:dyDescent="0.3">
      <c r="B39" s="43" t="s">
        <v>2</v>
      </c>
      <c r="C39" s="44" t="s">
        <v>15</v>
      </c>
      <c r="D39" s="296" t="s">
        <v>33</v>
      </c>
    </row>
    <row r="40" spans="2:8" x14ac:dyDescent="0.3">
      <c r="B40" s="212" t="str">
        <f>B34</f>
        <v>COL-GAS-CAM8</v>
      </c>
      <c r="C40" s="302" t="str">
        <f>C12</f>
        <v>ELC-COL-CAM8</v>
      </c>
      <c r="D40" s="297">
        <f>100%-D44</f>
        <v>2.7374856020224714E-3</v>
      </c>
    </row>
    <row r="41" spans="2:8" x14ac:dyDescent="0.3">
      <c r="B41" s="52"/>
      <c r="C41" s="52"/>
      <c r="D41" s="52"/>
    </row>
    <row r="42" spans="2:8" x14ac:dyDescent="0.3">
      <c r="B42" s="1" t="s">
        <v>1</v>
      </c>
      <c r="C42" s="1"/>
      <c r="D42" s="52"/>
    </row>
    <row r="43" spans="2:8" x14ac:dyDescent="0.3">
      <c r="B43" s="43" t="s">
        <v>2</v>
      </c>
      <c r="C43" s="44" t="s">
        <v>3</v>
      </c>
      <c r="D43" s="44" t="s">
        <v>7</v>
      </c>
    </row>
    <row r="44" spans="2:8" x14ac:dyDescent="0.3">
      <c r="B44" s="5" t="str">
        <f>B40</f>
        <v>COL-GAS-CAM8</v>
      </c>
      <c r="C44" s="212" t="s">
        <v>37</v>
      </c>
      <c r="D44" s="45">
        <f>1/(1+DataCAM!P248)</f>
        <v>0.99726251439797753</v>
      </c>
    </row>
    <row r="47" spans="2:8" ht="15.6" x14ac:dyDescent="0.3">
      <c r="B47" s="332" t="s">
        <v>35</v>
      </c>
      <c r="C47" s="333"/>
      <c r="D47" s="333"/>
      <c r="E47" s="333"/>
      <c r="F47" s="333"/>
      <c r="G47" s="333"/>
      <c r="H47" s="333"/>
    </row>
    <row r="49" spans="2:7" x14ac:dyDescent="0.3">
      <c r="B49" s="1" t="s">
        <v>1</v>
      </c>
      <c r="E49" s="1" t="s">
        <v>1</v>
      </c>
    </row>
    <row r="50" spans="2:7" x14ac:dyDescent="0.3">
      <c r="B50" s="24" t="s">
        <v>2</v>
      </c>
      <c r="C50" s="41" t="s">
        <v>6</v>
      </c>
      <c r="E50" s="18" t="s">
        <v>2</v>
      </c>
      <c r="F50" s="18" t="s">
        <v>3</v>
      </c>
      <c r="G50" s="18" t="s">
        <v>29</v>
      </c>
    </row>
    <row r="51" spans="2:7" x14ac:dyDescent="0.3">
      <c r="B51" s="301" t="str">
        <f>B44</f>
        <v>COL-GAS-CAM8</v>
      </c>
      <c r="C51" s="19">
        <f>DataCAM!N251</f>
        <v>0.54679802955665024</v>
      </c>
      <c r="E51" s="304" t="str">
        <f>B51</f>
        <v>COL-GAS-CAM8</v>
      </c>
      <c r="F51" s="16" t="s">
        <v>77</v>
      </c>
      <c r="G51" s="33">
        <v>0.4</v>
      </c>
    </row>
  </sheetData>
  <mergeCells count="5">
    <mergeCell ref="B47:H47"/>
    <mergeCell ref="B7:H7"/>
    <mergeCell ref="B18:H18"/>
    <mergeCell ref="B26:H26"/>
    <mergeCell ref="B29:I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7FBD-8C59-4CBE-A4EE-736E74476F46}">
  <dimension ref="B4:U26"/>
  <sheetViews>
    <sheetView showGridLines="0" zoomScale="85" zoomScaleNormal="85" workbookViewId="0">
      <selection activeCell="O14" sqref="O14"/>
    </sheetView>
  </sheetViews>
  <sheetFormatPr baseColWidth="10" defaultRowHeight="14.4" x14ac:dyDescent="0.3"/>
  <cols>
    <col min="4" max="4" width="20.6640625" customWidth="1"/>
    <col min="5" max="5" width="26.6640625" customWidth="1"/>
    <col min="15" max="15" width="23.6640625" customWidth="1"/>
    <col min="16" max="16" width="36.5546875" customWidth="1"/>
  </cols>
  <sheetData>
    <row r="4" spans="2:21" x14ac:dyDescent="0.3">
      <c r="B4" s="46" t="s">
        <v>38</v>
      </c>
      <c r="C4" s="46"/>
      <c r="D4" s="47"/>
      <c r="E4" s="47"/>
      <c r="F4" s="47"/>
      <c r="G4" s="47"/>
      <c r="H4" s="47"/>
      <c r="I4" s="47"/>
      <c r="J4" s="47"/>
      <c r="M4" s="51" t="s">
        <v>55</v>
      </c>
      <c r="N4" s="20"/>
      <c r="O4" s="20"/>
      <c r="P4" s="20"/>
      <c r="Q4" s="20"/>
      <c r="R4" s="20"/>
      <c r="S4" s="20"/>
      <c r="T4" s="20"/>
      <c r="U4" s="20"/>
    </row>
    <row r="5" spans="2:21" x14ac:dyDescent="0.3">
      <c r="B5" s="48" t="s">
        <v>39</v>
      </c>
      <c r="C5" s="49" t="s">
        <v>40</v>
      </c>
      <c r="D5" s="48" t="s">
        <v>41</v>
      </c>
      <c r="E5" s="48" t="s">
        <v>42</v>
      </c>
      <c r="F5" s="48" t="s">
        <v>43</v>
      </c>
      <c r="G5" s="48" t="s">
        <v>4</v>
      </c>
      <c r="H5" s="48" t="s">
        <v>44</v>
      </c>
      <c r="I5" s="48" t="s">
        <v>45</v>
      </c>
      <c r="J5" s="48" t="s">
        <v>46</v>
      </c>
      <c r="M5" s="48" t="s">
        <v>56</v>
      </c>
      <c r="N5" s="49" t="s">
        <v>40</v>
      </c>
      <c r="O5" s="48" t="s">
        <v>2</v>
      </c>
      <c r="P5" s="48" t="s">
        <v>57</v>
      </c>
      <c r="Q5" s="48" t="s">
        <v>58</v>
      </c>
      <c r="R5" s="48" t="s">
        <v>59</v>
      </c>
      <c r="S5" s="48" t="s">
        <v>60</v>
      </c>
      <c r="T5" s="48" t="s">
        <v>61</v>
      </c>
      <c r="U5" s="48" t="s">
        <v>62</v>
      </c>
    </row>
    <row r="6" spans="2:21" ht="32.4" thickBot="1" x14ac:dyDescent="0.35">
      <c r="B6" s="50" t="s">
        <v>47</v>
      </c>
      <c r="C6" s="50" t="s">
        <v>48</v>
      </c>
      <c r="D6" s="50" t="s">
        <v>49</v>
      </c>
      <c r="E6" s="50" t="s">
        <v>50</v>
      </c>
      <c r="F6" s="50" t="s">
        <v>43</v>
      </c>
      <c r="G6" s="50" t="s">
        <v>51</v>
      </c>
      <c r="H6" s="50" t="s">
        <v>52</v>
      </c>
      <c r="I6" s="50" t="s">
        <v>53</v>
      </c>
      <c r="J6" s="50" t="s">
        <v>54</v>
      </c>
      <c r="M6" s="50" t="s">
        <v>63</v>
      </c>
      <c r="N6" s="50" t="s">
        <v>48</v>
      </c>
      <c r="O6" s="50" t="s">
        <v>64</v>
      </c>
      <c r="P6" s="50" t="s">
        <v>65</v>
      </c>
      <c r="Q6" s="50" t="s">
        <v>66</v>
      </c>
      <c r="R6" s="50" t="s">
        <v>67</v>
      </c>
      <c r="S6" s="50" t="s">
        <v>68</v>
      </c>
      <c r="T6" s="50" t="s">
        <v>69</v>
      </c>
      <c r="U6" s="50" t="s">
        <v>70</v>
      </c>
    </row>
    <row r="7" spans="2:21" ht="15" thickBot="1" x14ac:dyDescent="0.35">
      <c r="B7" t="s">
        <v>85</v>
      </c>
      <c r="D7" t="str">
        <f>NewProduction!C9</f>
        <v>R-CAM8</v>
      </c>
      <c r="E7" t="s">
        <v>89</v>
      </c>
      <c r="F7" s="52" t="s">
        <v>97</v>
      </c>
      <c r="M7" s="50" t="s">
        <v>71</v>
      </c>
      <c r="N7" s="50"/>
      <c r="O7" s="50"/>
      <c r="P7" s="50"/>
      <c r="Q7" s="50"/>
      <c r="R7" s="50"/>
      <c r="S7" s="50"/>
      <c r="T7" s="50"/>
      <c r="U7" s="50"/>
    </row>
    <row r="8" spans="2:21" x14ac:dyDescent="0.3">
      <c r="D8" t="str">
        <f>NewTransport!C35</f>
        <v>GAS-plt-CAM8</v>
      </c>
      <c r="E8" t="s">
        <v>96</v>
      </c>
      <c r="F8" s="52" t="s">
        <v>97</v>
      </c>
      <c r="M8" t="s">
        <v>86</v>
      </c>
      <c r="O8" t="str">
        <f>NewProduction!B9</f>
        <v>MIN-CAM8</v>
      </c>
      <c r="P8" t="s">
        <v>99</v>
      </c>
      <c r="Q8" s="52" t="s">
        <v>97</v>
      </c>
      <c r="R8" s="52" t="s">
        <v>98</v>
      </c>
    </row>
    <row r="9" spans="2:21" x14ac:dyDescent="0.3">
      <c r="D9" t="str">
        <f>NewProduction!C48</f>
        <v>FLU-CAM8</v>
      </c>
      <c r="E9" t="s">
        <v>91</v>
      </c>
      <c r="F9" s="52" t="s">
        <v>97</v>
      </c>
      <c r="M9" t="s">
        <v>87</v>
      </c>
      <c r="O9" t="str">
        <f>NewProduction!B40</f>
        <v>PROF-CAM8</v>
      </c>
      <c r="P9" t="s">
        <v>100</v>
      </c>
      <c r="Q9" s="52" t="s">
        <v>97</v>
      </c>
      <c r="R9" s="52" t="s">
        <v>98</v>
      </c>
    </row>
    <row r="10" spans="2:21" x14ac:dyDescent="0.3">
      <c r="D10" t="str">
        <f>NewProduction!C81</f>
        <v>GAS-CAM8</v>
      </c>
      <c r="E10" t="s">
        <v>93</v>
      </c>
      <c r="F10" s="52" t="s">
        <v>97</v>
      </c>
      <c r="O10" t="str">
        <f>NewProduction!B74</f>
        <v>SEP-CAM8</v>
      </c>
      <c r="P10" t="s">
        <v>101</v>
      </c>
      <c r="Q10" s="52" t="s">
        <v>97</v>
      </c>
      <c r="R10" s="52" t="s">
        <v>98</v>
      </c>
    </row>
    <row r="11" spans="2:21" x14ac:dyDescent="0.3">
      <c r="D11" t="str">
        <f>NewProduction!C82</f>
        <v>HOIL-CAM8</v>
      </c>
      <c r="E11" t="s">
        <v>94</v>
      </c>
      <c r="F11" s="52" t="s">
        <v>97</v>
      </c>
      <c r="O11" t="str">
        <f>NewProduction!B96</f>
        <v>COMPRA-ELC-CAM8</v>
      </c>
      <c r="P11" t="s">
        <v>102</v>
      </c>
      <c r="Q11" s="52" t="s">
        <v>97</v>
      </c>
      <c r="R11" s="52" t="s">
        <v>98</v>
      </c>
    </row>
    <row r="12" spans="2:21" x14ac:dyDescent="0.3">
      <c r="B12" t="s">
        <v>88</v>
      </c>
      <c r="D12" t="s">
        <v>77</v>
      </c>
      <c r="E12" t="s">
        <v>92</v>
      </c>
      <c r="F12" s="52" t="s">
        <v>347</v>
      </c>
      <c r="O12" t="s">
        <v>340</v>
      </c>
      <c r="P12" t="s">
        <v>103</v>
      </c>
      <c r="Q12" s="52" t="s">
        <v>97</v>
      </c>
      <c r="R12" s="52" t="s">
        <v>98</v>
      </c>
    </row>
    <row r="13" spans="2:21" x14ac:dyDescent="0.3">
      <c r="B13" t="s">
        <v>85</v>
      </c>
      <c r="D13" t="s">
        <v>83</v>
      </c>
      <c r="E13" t="s">
        <v>95</v>
      </c>
      <c r="F13" s="52" t="s">
        <v>97</v>
      </c>
      <c r="J13" t="s">
        <v>351</v>
      </c>
      <c r="O13" t="s">
        <v>356</v>
      </c>
      <c r="P13" t="s">
        <v>104</v>
      </c>
      <c r="Q13" s="52" t="s">
        <v>97</v>
      </c>
      <c r="R13" s="52" t="s">
        <v>98</v>
      </c>
    </row>
    <row r="14" spans="2:21" x14ac:dyDescent="0.3">
      <c r="D14" t="str">
        <f>NewProduction!C41</f>
        <v>ELC-CAM8</v>
      </c>
      <c r="E14" t="s">
        <v>90</v>
      </c>
      <c r="F14" s="52" t="s">
        <v>97</v>
      </c>
      <c r="J14" t="s">
        <v>351</v>
      </c>
      <c r="O14" t="s">
        <v>341</v>
      </c>
      <c r="P14" t="s">
        <v>105</v>
      </c>
      <c r="Q14" s="52" t="s">
        <v>97</v>
      </c>
      <c r="R14" s="52" t="s">
        <v>98</v>
      </c>
    </row>
    <row r="23" spans="2:18" x14ac:dyDescent="0.3">
      <c r="B23" t="s">
        <v>88</v>
      </c>
      <c r="D23" t="s">
        <v>352</v>
      </c>
      <c r="E23" t="s">
        <v>353</v>
      </c>
      <c r="F23" s="52" t="s">
        <v>347</v>
      </c>
    </row>
    <row r="24" spans="2:18" x14ac:dyDescent="0.3">
      <c r="D24" t="s">
        <v>344</v>
      </c>
      <c r="E24" t="s">
        <v>348</v>
      </c>
      <c r="F24" s="52" t="s">
        <v>347</v>
      </c>
      <c r="O24" t="s">
        <v>354</v>
      </c>
      <c r="P24" t="s">
        <v>355</v>
      </c>
      <c r="Q24" s="52" t="s">
        <v>347</v>
      </c>
      <c r="R24" s="52" t="s">
        <v>347</v>
      </c>
    </row>
    <row r="25" spans="2:18" x14ac:dyDescent="0.3">
      <c r="D25" t="s">
        <v>345</v>
      </c>
      <c r="E25" t="s">
        <v>350</v>
      </c>
      <c r="F25" s="52" t="s">
        <v>347</v>
      </c>
    </row>
    <row r="26" spans="2:18" x14ac:dyDescent="0.3">
      <c r="D26" t="s">
        <v>346</v>
      </c>
      <c r="E26" t="s">
        <v>349</v>
      </c>
      <c r="F26" s="52" t="s">
        <v>347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DataCAM</vt:lpstr>
      <vt:lpstr>NewProduction</vt:lpstr>
      <vt:lpstr>NewTransport</vt:lpstr>
      <vt:lpstr>COMM&amp;PROCESS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2023-05-04T20:23:39Z</dcterms:modified>
</cp:coreProperties>
</file>