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comments7.xml" ContentType="application/vnd.openxmlformats-officedocument.spreadsheetml.comments+xml"/>
  <Override PartName="/xl/drawings/drawing2.xml" ContentType="application/vnd.openxmlformats-officedocument.drawing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comments9.xml" ContentType="application/vnd.openxmlformats-officedocument.spreadsheetml.comments+xml"/>
  <Override PartName="/xl/drawings/drawing4.xml" ContentType="application/vnd.openxmlformats-officedocument.drawing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57314\Music\ModeloTIMESOG\"/>
    </mc:Choice>
  </mc:AlternateContent>
  <xr:revisionPtr revIDLastSave="0" documentId="13_ncr:1_{A937C8C2-E566-4AA7-92FC-B765248C30BD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BASE1" sheetId="18" r:id="rId1"/>
    <sheet name="COMM" sheetId="1" r:id="rId2"/>
    <sheet name="PROCESS" sheetId="2" r:id="rId3"/>
    <sheet name="Fuels" sheetId="3" r:id="rId4"/>
    <sheet name="Exp_Imp" sheetId="4" r:id="rId5"/>
    <sheet name="Demand" sheetId="5" r:id="rId6"/>
    <sheet name="R_Car" sheetId="6" r:id="rId7"/>
    <sheet name="REF2" sheetId="17" r:id="rId8"/>
    <sheet name="R_Bar" sheetId="7" r:id="rId9"/>
    <sheet name="DataCAM" sheetId="12" r:id="rId10"/>
    <sheet name="Upstream" sheetId="9" r:id="rId11"/>
    <sheet name="Midstream" sheetId="11" r:id="rId12"/>
    <sheet name="GenerationUP" sheetId="13" r:id="rId13"/>
    <sheet name="GenerationMID" sheetId="14" r:id="rId14"/>
    <sheet name="ENV" sheetId="15" r:id="rId15"/>
  </sheets>
  <definedNames>
    <definedName name="_xlnm._FilterDatabase" localSheetId="9" hidden="1">DataCAM!$J$98:$AA$98</definedName>
    <definedName name="solver_adj" localSheetId="7" hidden="1">'REF2'!$H$35:$H$36</definedName>
    <definedName name="solver_cvg" localSheetId="7" hidden="1">0.0001</definedName>
    <definedName name="solver_drv" localSheetId="7" hidden="1">2</definedName>
    <definedName name="solver_eng" localSheetId="7" hidden="1">1</definedName>
    <definedName name="solver_est" localSheetId="7" hidden="1">1</definedName>
    <definedName name="solver_itr" localSheetId="7" hidden="1">2147483647</definedName>
    <definedName name="solver_lhs1" localSheetId="7" hidden="1">'REF2'!$H$38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7" hidden="1">1</definedName>
    <definedName name="solver_nod" localSheetId="7" hidden="1">2147483647</definedName>
    <definedName name="solver_num" localSheetId="7" hidden="1">1</definedName>
    <definedName name="solver_nwt" localSheetId="7" hidden="1">1</definedName>
    <definedName name="solver_opt" localSheetId="7" hidden="1">'REF2'!$J$38</definedName>
    <definedName name="solver_pre" localSheetId="7" hidden="1">0.000001</definedName>
    <definedName name="solver_rbv" localSheetId="7" hidden="1">2</definedName>
    <definedName name="solver_rel1" localSheetId="7" hidden="1">2</definedName>
    <definedName name="solver_rhs1" localSheetId="7" hidden="1">100</definedName>
    <definedName name="solver_rlx" localSheetId="7" hidden="1">2</definedName>
    <definedName name="solver_rsd" localSheetId="7" hidden="1">0</definedName>
    <definedName name="solver_scl" localSheetId="7" hidden="1">2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7" hidden="1">3</definedName>
    <definedName name="solver_val" localSheetId="7" hidden="1">31836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9" i="7" l="1"/>
  <c r="N180" i="6"/>
  <c r="L188" i="7"/>
  <c r="G222" i="17"/>
  <c r="K186" i="7"/>
  <c r="K187" i="7"/>
  <c r="F221" i="17"/>
  <c r="F220" i="17"/>
  <c r="L174" i="7"/>
  <c r="L175" i="7"/>
  <c r="L176" i="7"/>
  <c r="L177" i="7"/>
  <c r="L178" i="7"/>
  <c r="L179" i="7"/>
  <c r="L173" i="7"/>
  <c r="J179" i="7"/>
  <c r="J174" i="7"/>
  <c r="J175" i="7"/>
  <c r="J176" i="7"/>
  <c r="J177" i="7"/>
  <c r="J178" i="7"/>
  <c r="J173" i="7"/>
  <c r="M164" i="7"/>
  <c r="K164" i="7"/>
  <c r="Q152" i="7"/>
  <c r="P152" i="7"/>
  <c r="O152" i="7"/>
  <c r="N152" i="7"/>
  <c r="K139" i="7"/>
  <c r="K138" i="7"/>
  <c r="K137" i="7"/>
  <c r="E124" i="7"/>
  <c r="F97" i="7"/>
  <c r="G97" i="7"/>
  <c r="E93" i="7"/>
  <c r="E92" i="7"/>
  <c r="E72" i="7"/>
  <c r="E68" i="7"/>
  <c r="E62" i="7"/>
  <c r="E61" i="7"/>
  <c r="E51" i="7"/>
  <c r="J39" i="7"/>
  <c r="J37" i="7"/>
  <c r="I38" i="7"/>
  <c r="I35" i="7"/>
  <c r="Q111" i="7"/>
  <c r="S107" i="7" s="1"/>
  <c r="I111" i="7"/>
  <c r="E111" i="7"/>
  <c r="F111" i="7" s="1"/>
  <c r="S110" i="7"/>
  <c r="M110" i="7"/>
  <c r="M109" i="7"/>
  <c r="E109" i="7"/>
  <c r="F109" i="7" s="1"/>
  <c r="S108" i="7"/>
  <c r="M108" i="7"/>
  <c r="E108" i="7"/>
  <c r="F108" i="7" s="1"/>
  <c r="M107" i="7"/>
  <c r="B107" i="7"/>
  <c r="M106" i="7"/>
  <c r="E103" i="7"/>
  <c r="G102" i="7"/>
  <c r="E86" i="7"/>
  <c r="G86" i="7" s="1"/>
  <c r="H86" i="7" s="1"/>
  <c r="I86" i="7" s="1"/>
  <c r="K86" i="7" s="1"/>
  <c r="E85" i="7"/>
  <c r="G85" i="7" s="1"/>
  <c r="H85" i="7" s="1"/>
  <c r="I85" i="7" s="1"/>
  <c r="K85" i="7" s="1"/>
  <c r="E84" i="7"/>
  <c r="F74" i="7" s="1"/>
  <c r="E74" i="7" s="1"/>
  <c r="E83" i="7"/>
  <c r="F112" i="7" s="1"/>
  <c r="F76" i="7"/>
  <c r="E64" i="7"/>
  <c r="J59" i="7"/>
  <c r="E82" i="7" s="1"/>
  <c r="J58" i="7"/>
  <c r="J93" i="7" s="1"/>
  <c r="J94" i="7" s="1"/>
  <c r="J95" i="7" s="1"/>
  <c r="E52" i="7"/>
  <c r="E53" i="7" s="1"/>
  <c r="G47" i="7"/>
  <c r="I46" i="7"/>
  <c r="G46" i="7" s="1"/>
  <c r="H46" i="7"/>
  <c r="G45" i="7"/>
  <c r="I45" i="7" s="1"/>
  <c r="J45" i="7" s="1"/>
  <c r="E45" i="7"/>
  <c r="G39" i="7"/>
  <c r="G38" i="7"/>
  <c r="H38" i="7"/>
  <c r="E38" i="7"/>
  <c r="I37" i="7"/>
  <c r="G37" i="7"/>
  <c r="G36" i="7"/>
  <c r="I36" i="7" s="1"/>
  <c r="J36" i="7" s="1"/>
  <c r="E36" i="7"/>
  <c r="G35" i="7"/>
  <c r="G43" i="7" s="1"/>
  <c r="I43" i="7" s="1"/>
  <c r="J43" i="7" s="1"/>
  <c r="E35" i="7"/>
  <c r="N179" i="6"/>
  <c r="M178" i="6"/>
  <c r="M177" i="6"/>
  <c r="L164" i="6"/>
  <c r="L165" i="6"/>
  <c r="L166" i="6"/>
  <c r="L167" i="6"/>
  <c r="L168" i="6"/>
  <c r="L163" i="6"/>
  <c r="N154" i="6"/>
  <c r="L154" i="6"/>
  <c r="T143" i="6"/>
  <c r="S143" i="6"/>
  <c r="R143" i="6"/>
  <c r="Q143" i="6"/>
  <c r="L146" i="6"/>
  <c r="L145" i="6"/>
  <c r="L144" i="6"/>
  <c r="L143" i="6"/>
  <c r="L142" i="6"/>
  <c r="M133" i="6"/>
  <c r="M132" i="6"/>
  <c r="M131" i="6"/>
  <c r="E120" i="6"/>
  <c r="I86" i="6"/>
  <c r="H86" i="6"/>
  <c r="G86" i="6"/>
  <c r="F104" i="6"/>
  <c r="G97" i="6"/>
  <c r="F74" i="6"/>
  <c r="E75" i="6"/>
  <c r="E73" i="6"/>
  <c r="E69" i="6"/>
  <c r="E62" i="6"/>
  <c r="E54" i="6"/>
  <c r="E52" i="6"/>
  <c r="G35" i="6"/>
  <c r="G43" i="6" s="1"/>
  <c r="I43" i="6" s="1"/>
  <c r="J43" i="6" s="1"/>
  <c r="F108" i="6"/>
  <c r="F107" i="6"/>
  <c r="F106" i="6"/>
  <c r="F105" i="6"/>
  <c r="E104" i="6"/>
  <c r="F97" i="6"/>
  <c r="G80" i="6"/>
  <c r="F75" i="6" s="1"/>
  <c r="F77" i="6"/>
  <c r="F73" i="6"/>
  <c r="E65" i="6"/>
  <c r="E63" i="6"/>
  <c r="E53" i="6"/>
  <c r="G47" i="6"/>
  <c r="I46" i="6" s="1"/>
  <c r="H46" i="6"/>
  <c r="E46" i="6"/>
  <c r="G39" i="6"/>
  <c r="I38" i="6" s="1"/>
  <c r="H38" i="6"/>
  <c r="G37" i="6"/>
  <c r="G45" i="6" s="1"/>
  <c r="I45" i="6" s="1"/>
  <c r="J45" i="6" s="1"/>
  <c r="E37" i="6"/>
  <c r="G36" i="6"/>
  <c r="G44" i="6" s="1"/>
  <c r="E36" i="6"/>
  <c r="T18" i="13"/>
  <c r="G45" i="18"/>
  <c r="G44" i="18"/>
  <c r="D45" i="18"/>
  <c r="D44" i="18"/>
  <c r="C44" i="18"/>
  <c r="C45" i="18" s="1"/>
  <c r="B44" i="18"/>
  <c r="B45" i="18" s="1"/>
  <c r="C38" i="18"/>
  <c r="C39" i="18"/>
  <c r="C40" i="18"/>
  <c r="C41" i="18"/>
  <c r="C42" i="18" s="1"/>
  <c r="C43" i="18" s="1"/>
  <c r="C37" i="18"/>
  <c r="C36" i="18"/>
  <c r="E38" i="18"/>
  <c r="E39" i="18"/>
  <c r="E40" i="18" s="1"/>
  <c r="E41" i="18" s="1"/>
  <c r="E42" i="18" s="1"/>
  <c r="E43" i="18" s="1"/>
  <c r="E37" i="18"/>
  <c r="G36" i="18" a="1"/>
  <c r="G36" i="18" s="1"/>
  <c r="D36" i="18" a="1"/>
  <c r="D36" i="18" s="1"/>
  <c r="E36" i="18"/>
  <c r="D3" i="18"/>
  <c r="D4" i="18"/>
  <c r="D5" i="18"/>
  <c r="D6" i="18"/>
  <c r="D7" i="18"/>
  <c r="D8" i="18"/>
  <c r="D9" i="18"/>
  <c r="E56" i="4"/>
  <c r="G35" i="18"/>
  <c r="E35" i="18"/>
  <c r="G34" i="18"/>
  <c r="E34" i="18"/>
  <c r="C34" i="18"/>
  <c r="C35" i="18" s="1"/>
  <c r="B34" i="18"/>
  <c r="B35" i="18" s="1"/>
  <c r="G33" i="18"/>
  <c r="C33" i="18"/>
  <c r="B33" i="18"/>
  <c r="G32" i="18"/>
  <c r="C32" i="18"/>
  <c r="B32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G18" i="18"/>
  <c r="C18" i="18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B18" i="18"/>
  <c r="B11" i="18"/>
  <c r="B12" i="18"/>
  <c r="B13" i="18"/>
  <c r="B14" i="18"/>
  <c r="B15" i="18"/>
  <c r="B16" i="18"/>
  <c r="B17" i="18"/>
  <c r="B10" i="18"/>
  <c r="G10" i="18" a="1"/>
  <c r="G10" i="18" s="1"/>
  <c r="C10" i="18" a="1"/>
  <c r="C10" i="18" s="1"/>
  <c r="D10" i="18" s="1"/>
  <c r="G4" i="18" a="1"/>
  <c r="G4" i="18" s="1"/>
  <c r="C4" i="18" a="1"/>
  <c r="C4" i="18" s="1"/>
  <c r="G3" i="18"/>
  <c r="C3" i="18"/>
  <c r="B49" i="4"/>
  <c r="B2" i="18" s="1"/>
  <c r="B3" i="18" s="1"/>
  <c r="B4" i="18" s="1"/>
  <c r="B5" i="18" s="1"/>
  <c r="B6" i="18" s="1"/>
  <c r="B7" i="18" s="1"/>
  <c r="B8" i="18" s="1"/>
  <c r="B9" i="18" s="1"/>
  <c r="H2" i="18"/>
  <c r="H3" i="18" s="1"/>
  <c r="H4" i="18" s="1"/>
  <c r="H5" i="18" s="1"/>
  <c r="H6" i="18" s="1"/>
  <c r="H7" i="18" s="1"/>
  <c r="H8" i="18" s="1"/>
  <c r="H9" i="18" s="1"/>
  <c r="G2" i="18"/>
  <c r="C2" i="18"/>
  <c r="D2" i="18" s="1"/>
  <c r="J142" i="6"/>
  <c r="B5" i="5"/>
  <c r="B51" i="4"/>
  <c r="B52" i="4"/>
  <c r="B53" i="4"/>
  <c r="B54" i="4"/>
  <c r="B55" i="4"/>
  <c r="B56" i="4"/>
  <c r="B57" i="4"/>
  <c r="B58" i="4"/>
  <c r="B50" i="4"/>
  <c r="N63" i="5"/>
  <c r="O63" i="5"/>
  <c r="P63" i="5"/>
  <c r="Q63" i="5"/>
  <c r="R63" i="5"/>
  <c r="S63" i="5"/>
  <c r="T63" i="5"/>
  <c r="M63" i="5"/>
  <c r="M62" i="5" a="1"/>
  <c r="M62" i="5" s="1"/>
  <c r="K46" i="5" a="1"/>
  <c r="K46" i="5" s="1"/>
  <c r="V54" i="13"/>
  <c r="O68" i="13" s="1"/>
  <c r="J47" i="7" l="1"/>
  <c r="F72" i="7"/>
  <c r="E87" i="7"/>
  <c r="G82" i="7"/>
  <c r="H82" i="7" s="1"/>
  <c r="I82" i="7" s="1"/>
  <c r="K82" i="7" s="1"/>
  <c r="E110" i="7"/>
  <c r="E117" i="7"/>
  <c r="E118" i="7"/>
  <c r="E120" i="7"/>
  <c r="E112" i="7"/>
  <c r="E121" i="7"/>
  <c r="G44" i="7"/>
  <c r="I44" i="7" s="1"/>
  <c r="J44" i="7" s="1"/>
  <c r="J46" i="7" s="1"/>
  <c r="J35" i="7"/>
  <c r="J38" i="7" s="1"/>
  <c r="F73" i="7"/>
  <c r="E73" i="7" s="1"/>
  <c r="F75" i="7"/>
  <c r="E75" i="7" s="1"/>
  <c r="G83" i="7"/>
  <c r="H83" i="7" s="1"/>
  <c r="I83" i="7" s="1"/>
  <c r="G84" i="7"/>
  <c r="H84" i="7" s="1"/>
  <c r="I84" i="7" s="1"/>
  <c r="S109" i="7"/>
  <c r="E107" i="7"/>
  <c r="I44" i="6"/>
  <c r="J44" i="6" s="1"/>
  <c r="J46" i="6" s="1"/>
  <c r="H73" i="6"/>
  <c r="E115" i="6"/>
  <c r="I36" i="6"/>
  <c r="E38" i="6"/>
  <c r="E103" i="6"/>
  <c r="E116" i="6"/>
  <c r="E87" i="6"/>
  <c r="G87" i="6" s="1"/>
  <c r="H87" i="6" s="1"/>
  <c r="I87" i="6" s="1"/>
  <c r="E90" i="6"/>
  <c r="G90" i="6" s="1"/>
  <c r="H90" i="6" s="1"/>
  <c r="I90" i="6" s="1"/>
  <c r="K90" i="6" s="1"/>
  <c r="E117" i="6"/>
  <c r="E86" i="6"/>
  <c r="K86" i="6" s="1"/>
  <c r="E88" i="6"/>
  <c r="G88" i="6" s="1"/>
  <c r="H88" i="6" s="1"/>
  <c r="I88" i="6" s="1"/>
  <c r="E114" i="6"/>
  <c r="G38" i="6"/>
  <c r="J39" i="6"/>
  <c r="E113" i="6"/>
  <c r="G46" i="6"/>
  <c r="J47" i="6"/>
  <c r="I35" i="6"/>
  <c r="J35" i="6" s="1"/>
  <c r="J36" i="6"/>
  <c r="I37" i="6"/>
  <c r="J37" i="6" s="1"/>
  <c r="F109" i="6"/>
  <c r="H108" i="6" s="1"/>
  <c r="D17" i="18"/>
  <c r="D13" i="18"/>
  <c r="D16" i="18"/>
  <c r="D12" i="18"/>
  <c r="D14" i="18"/>
  <c r="D15" i="18"/>
  <c r="D11" i="18"/>
  <c r="V12" i="13"/>
  <c r="AE11" i="13"/>
  <c r="V11" i="13"/>
  <c r="AE8" i="13"/>
  <c r="AE12" i="13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11" i="14"/>
  <c r="A107" i="7" l="1"/>
  <c r="B109" i="7" s="1"/>
  <c r="F107" i="7"/>
  <c r="E106" i="7"/>
  <c r="I110" i="7"/>
  <c r="I106" i="7" s="1"/>
  <c r="F110" i="7"/>
  <c r="E91" i="6"/>
  <c r="J92" i="6" s="1"/>
  <c r="H106" i="6"/>
  <c r="H109" i="6"/>
  <c r="E118" i="6"/>
  <c r="E109" i="6"/>
  <c r="F103" i="6"/>
  <c r="J38" i="6"/>
  <c r="H105" i="6"/>
  <c r="H104" i="6"/>
  <c r="H107" i="6"/>
  <c r="J15" i="14"/>
  <c r="E116" i="7" l="1"/>
  <c r="F106" i="7"/>
  <c r="H107" i="7" s="1"/>
  <c r="H110" i="7"/>
  <c r="E119" i="7"/>
  <c r="H110" i="6"/>
  <c r="P157" i="12"/>
  <c r="N157" i="12"/>
  <c r="N158" i="12"/>
  <c r="G113" i="12"/>
  <c r="G111" i="12"/>
  <c r="G110" i="12"/>
  <c r="S22" i="9"/>
  <c r="H100" i="12"/>
  <c r="H101" i="12"/>
  <c r="H102" i="12"/>
  <c r="H103" i="12"/>
  <c r="H104" i="12"/>
  <c r="H105" i="12"/>
  <c r="H99" i="12"/>
  <c r="S10" i="9"/>
  <c r="H109" i="7" l="1"/>
  <c r="H108" i="7"/>
  <c r="H106" i="7" s="1"/>
  <c r="H111" i="7"/>
  <c r="H112" i="7"/>
  <c r="I209" i="17"/>
  <c r="I208" i="17"/>
  <c r="I207" i="17"/>
  <c r="I206" i="17"/>
  <c r="I205" i="17"/>
  <c r="G206" i="17"/>
  <c r="G207" i="17"/>
  <c r="G208" i="17"/>
  <c r="G209" i="17"/>
  <c r="G210" i="17"/>
  <c r="G205" i="17"/>
  <c r="I203" i="17" l="1"/>
  <c r="K209" i="17" s="1"/>
  <c r="C223" i="17"/>
  <c r="C222" i="17"/>
  <c r="C221" i="17"/>
  <c r="C220" i="17"/>
  <c r="C193" i="17"/>
  <c r="C192" i="17"/>
  <c r="C198" i="17" s="1"/>
  <c r="D182" i="17"/>
  <c r="E198" i="17" s="1"/>
  <c r="K180" i="17"/>
  <c r="F168" i="17"/>
  <c r="E167" i="17"/>
  <c r="D181" i="17" s="1"/>
  <c r="C167" i="17"/>
  <c r="C173" i="17" s="1"/>
  <c r="E159" i="17"/>
  <c r="J180" i="17" s="1"/>
  <c r="C159" i="17"/>
  <c r="E158" i="17"/>
  <c r="D185" i="17" s="1"/>
  <c r="C158" i="17"/>
  <c r="E157" i="17"/>
  <c r="D186" i="17" s="1"/>
  <c r="C157" i="17"/>
  <c r="E156" i="17"/>
  <c r="D183" i="17" s="1"/>
  <c r="D198" i="17" s="1"/>
  <c r="C156" i="17"/>
  <c r="Q111" i="17"/>
  <c r="S109" i="17" s="1"/>
  <c r="E111" i="17"/>
  <c r="F111" i="17" s="1"/>
  <c r="S110" i="17"/>
  <c r="M110" i="17"/>
  <c r="M109" i="17"/>
  <c r="S108" i="17"/>
  <c r="M108" i="17"/>
  <c r="S107" i="17"/>
  <c r="M107" i="17"/>
  <c r="B107" i="17"/>
  <c r="M106" i="17"/>
  <c r="E103" i="17"/>
  <c r="E109" i="17" s="1"/>
  <c r="F109" i="17" s="1"/>
  <c r="G102" i="17"/>
  <c r="F97" i="17"/>
  <c r="G97" i="17" s="1"/>
  <c r="G193" i="17" s="1"/>
  <c r="E92" i="17"/>
  <c r="E85" i="17"/>
  <c r="E84" i="17"/>
  <c r="E83" i="17"/>
  <c r="E68" i="17"/>
  <c r="G223" i="17" s="1"/>
  <c r="E64" i="17"/>
  <c r="E173" i="17"/>
  <c r="G47" i="17"/>
  <c r="H46" i="17"/>
  <c r="E45" i="17"/>
  <c r="G39" i="17"/>
  <c r="H38" i="17"/>
  <c r="E38" i="17"/>
  <c r="E36" i="17"/>
  <c r="F169" i="17" s="1"/>
  <c r="E35" i="17"/>
  <c r="F167" i="17" s="1"/>
  <c r="F76" i="17"/>
  <c r="E61" i="17"/>
  <c r="I46" i="17"/>
  <c r="K206" i="17" l="1"/>
  <c r="K205" i="17"/>
  <c r="K207" i="17"/>
  <c r="K208" i="17"/>
  <c r="F112" i="17"/>
  <c r="E121" i="17" s="1"/>
  <c r="E118" i="17"/>
  <c r="G35" i="17"/>
  <c r="E120" i="17"/>
  <c r="J47" i="17"/>
  <c r="G46" i="17"/>
  <c r="E107" i="17"/>
  <c r="E51" i="17"/>
  <c r="E52" i="17" s="1"/>
  <c r="E53" i="17" s="1"/>
  <c r="J59" i="17"/>
  <c r="J58" i="17" s="1"/>
  <c r="E93" i="17" s="1"/>
  <c r="J93" i="17" s="1"/>
  <c r="J94" i="17" s="1"/>
  <c r="J95" i="17" s="1"/>
  <c r="F75" i="17"/>
  <c r="E75" i="17" s="1"/>
  <c r="G83" i="17"/>
  <c r="H83" i="17" s="1"/>
  <c r="I83" i="17" s="1"/>
  <c r="G84" i="17"/>
  <c r="H84" i="17" s="1"/>
  <c r="I84" i="17" s="1"/>
  <c r="E108" i="17"/>
  <c r="F108" i="17" s="1"/>
  <c r="I111" i="17"/>
  <c r="D184" i="17"/>
  <c r="G36" i="17"/>
  <c r="I38" i="17"/>
  <c r="E112" i="17" l="1"/>
  <c r="G44" i="17"/>
  <c r="I44" i="17" s="1"/>
  <c r="J44" i="17" s="1"/>
  <c r="I36" i="17"/>
  <c r="J36" i="17" s="1"/>
  <c r="G43" i="17"/>
  <c r="I43" i="17" s="1"/>
  <c r="J43" i="17" s="1"/>
  <c r="I35" i="17"/>
  <c r="J35" i="17" s="1"/>
  <c r="G37" i="17"/>
  <c r="E117" i="17"/>
  <c r="E110" i="17"/>
  <c r="E62" i="17"/>
  <c r="J39" i="17"/>
  <c r="G38" i="17"/>
  <c r="G85" i="17"/>
  <c r="H85" i="17" s="1"/>
  <c r="I85" i="17" s="1"/>
  <c r="K85" i="17" s="1"/>
  <c r="F73" i="17"/>
  <c r="E73" i="17" s="1"/>
  <c r="A107" i="17"/>
  <c r="B109" i="17" s="1"/>
  <c r="F107" i="17"/>
  <c r="F74" i="17"/>
  <c r="E74" i="17" s="1"/>
  <c r="E82" i="17"/>
  <c r="F72" i="17" l="1"/>
  <c r="E72" i="17" s="1"/>
  <c r="E87" i="17"/>
  <c r="G82" i="17"/>
  <c r="H82" i="17" s="1"/>
  <c r="I82" i="17" s="1"/>
  <c r="K82" i="17" s="1"/>
  <c r="E183" i="17"/>
  <c r="F110" i="17"/>
  <c r="E106" i="17"/>
  <c r="I110" i="17" s="1"/>
  <c r="I106" i="17" s="1"/>
  <c r="E116" i="17"/>
  <c r="F106" i="17"/>
  <c r="E86" i="17"/>
  <c r="E181" i="17" s="1"/>
  <c r="G45" i="17"/>
  <c r="I45" i="17" s="1"/>
  <c r="J45" i="17" s="1"/>
  <c r="J46" i="17" s="1"/>
  <c r="I37" i="17"/>
  <c r="J37" i="17" s="1"/>
  <c r="J38" i="17" s="1"/>
  <c r="E124" i="17" l="1"/>
  <c r="H109" i="17"/>
  <c r="E207" i="17" s="1"/>
  <c r="H112" i="17"/>
  <c r="E210" i="17" s="1"/>
  <c r="H111" i="17"/>
  <c r="E208" i="17" s="1"/>
  <c r="H108" i="17"/>
  <c r="E206" i="17" s="1"/>
  <c r="H110" i="17"/>
  <c r="E209" i="17" s="1"/>
  <c r="E119" i="17"/>
  <c r="E186" i="17"/>
  <c r="E182" i="17"/>
  <c r="H107" i="17"/>
  <c r="E185" i="17"/>
  <c r="G86" i="17"/>
  <c r="H86" i="17" s="1"/>
  <c r="I86" i="17" s="1"/>
  <c r="K86" i="17" s="1"/>
  <c r="E184" i="17"/>
  <c r="H106" i="17" l="1"/>
  <c r="E205" i="17"/>
  <c r="E212" i="17" s="1"/>
  <c r="E69" i="4" l="1"/>
  <c r="E65" i="4"/>
  <c r="Y41" i="11"/>
  <c r="Y42" i="11"/>
  <c r="Y43" i="11"/>
  <c r="Y44" i="11"/>
  <c r="Y45" i="11"/>
  <c r="Y40" i="11"/>
  <c r="J26" i="11"/>
  <c r="J27" i="11"/>
  <c r="J28" i="11"/>
  <c r="J29" i="11"/>
  <c r="J25" i="11"/>
  <c r="BD64" i="9"/>
  <c r="BD41" i="9" s="1"/>
  <c r="BG41" i="9" s="1"/>
  <c r="BG42" i="9" s="1"/>
  <c r="BG43" i="9" s="1"/>
  <c r="BG44" i="9" s="1"/>
  <c r="AJ27" i="9"/>
  <c r="L68" i="13" l="1"/>
  <c r="M68" i="13" s="1"/>
  <c r="N68" i="13" s="1"/>
  <c r="AJ26" i="9" l="1"/>
  <c r="N88" i="5"/>
  <c r="N90" i="5" s="1"/>
  <c r="O88" i="5"/>
  <c r="O90" i="5" s="1"/>
  <c r="P88" i="5"/>
  <c r="P90" i="5" s="1"/>
  <c r="Q88" i="5"/>
  <c r="Q90" i="5" s="1"/>
  <c r="R88" i="5"/>
  <c r="R90" i="5" s="1"/>
  <c r="S88" i="5"/>
  <c r="S90" i="5" s="1"/>
  <c r="T88" i="5"/>
  <c r="T90" i="5" s="1"/>
  <c r="U92" i="5" s="1"/>
  <c r="M88" i="5"/>
  <c r="M90" i="5" s="1"/>
  <c r="AJ28" i="9"/>
  <c r="AJ29" i="9"/>
  <c r="AJ30" i="9"/>
  <c r="AJ31" i="9"/>
  <c r="AJ32" i="9"/>
  <c r="AP10" i="9" l="1"/>
  <c r="AP11" i="9"/>
  <c r="E62" i="4"/>
  <c r="O191" i="6"/>
  <c r="Q188" i="7" l="1"/>
  <c r="N198" i="7" s="1"/>
  <c r="N197" i="7" l="1"/>
  <c r="O190" i="6" l="1"/>
  <c r="S266" i="12" l="1"/>
  <c r="S265" i="12"/>
  <c r="S261" i="12"/>
  <c r="S260" i="12"/>
  <c r="T14" i="13" l="1"/>
  <c r="J17" i="14" l="1"/>
  <c r="E73" i="4"/>
  <c r="E74" i="4"/>
  <c r="BY99" i="12"/>
  <c r="J14" i="14"/>
  <c r="J11" i="14"/>
  <c r="J12" i="14"/>
  <c r="J18" i="14"/>
  <c r="Z28" i="12"/>
  <c r="Q28" i="12"/>
  <c r="R28" i="12"/>
  <c r="S28" i="12"/>
  <c r="T28" i="12"/>
  <c r="U28" i="12"/>
  <c r="V28" i="12"/>
  <c r="W28" i="12"/>
  <c r="X28" i="12"/>
  <c r="P11" i="12"/>
  <c r="O28" i="12"/>
  <c r="W6" i="15" l="1"/>
  <c r="M17" i="15"/>
  <c r="Z49" i="1"/>
  <c r="Z48" i="1"/>
  <c r="Z39" i="1"/>
  <c r="Z40" i="1"/>
  <c r="Z41" i="1"/>
  <c r="Z42" i="1"/>
  <c r="Z43" i="1"/>
  <c r="Z44" i="1"/>
  <c r="Z45" i="1"/>
  <c r="Z46" i="1"/>
  <c r="Z47" i="1"/>
  <c r="Z38" i="1"/>
  <c r="I18" i="5"/>
  <c r="I16" i="5"/>
  <c r="I17" i="5"/>
  <c r="I15" i="5"/>
  <c r="I14" i="5"/>
  <c r="I12" i="5"/>
  <c r="I13" i="5"/>
  <c r="I11" i="5"/>
  <c r="I30" i="5"/>
  <c r="I29" i="5"/>
  <c r="I28" i="5"/>
  <c r="I27" i="5"/>
  <c r="G28" i="5" l="1"/>
  <c r="G29" i="5"/>
  <c r="G30" i="5"/>
  <c r="G27" i="5"/>
  <c r="C28" i="5"/>
  <c r="C29" i="5"/>
  <c r="C30" i="5"/>
  <c r="C27" i="5"/>
  <c r="H12" i="5"/>
  <c r="H13" i="5"/>
  <c r="H14" i="5"/>
  <c r="H15" i="5"/>
  <c r="H16" i="5"/>
  <c r="H17" i="5"/>
  <c r="H18" i="5"/>
  <c r="H11" i="5"/>
  <c r="H28" i="5" s="1"/>
  <c r="G16" i="5"/>
  <c r="D142" i="2" s="1"/>
  <c r="G17" i="5"/>
  <c r="D143" i="2" s="1"/>
  <c r="G15" i="5"/>
  <c r="D141" i="2" s="1"/>
  <c r="G18" i="5"/>
  <c r="D144" i="2" s="1"/>
  <c r="G14" i="5"/>
  <c r="D140" i="2" s="1"/>
  <c r="G13" i="5"/>
  <c r="D139" i="2" s="1"/>
  <c r="G12" i="5"/>
  <c r="D138" i="2" s="1"/>
  <c r="G11" i="5"/>
  <c r="D137" i="2" s="1"/>
  <c r="C12" i="5"/>
  <c r="C13" i="5"/>
  <c r="C14" i="5"/>
  <c r="C15" i="5"/>
  <c r="C18" i="5"/>
  <c r="C11" i="5"/>
  <c r="F73" i="4"/>
  <c r="G73" i="4"/>
  <c r="H73" i="4"/>
  <c r="I73" i="4"/>
  <c r="J73" i="4"/>
  <c r="K73" i="4"/>
  <c r="L73" i="4"/>
  <c r="D114" i="4"/>
  <c r="T13" i="13"/>
  <c r="T15" i="13"/>
  <c r="T17" i="13"/>
  <c r="AO14" i="13"/>
  <c r="AP14" i="13" s="1"/>
  <c r="AN14" i="13"/>
  <c r="AP9" i="9"/>
  <c r="S164" i="12"/>
  <c r="R164" i="12"/>
  <c r="R157" i="12"/>
  <c r="P164" i="12"/>
  <c r="N164" i="12"/>
  <c r="G37" i="13"/>
  <c r="G38" i="13" s="1"/>
  <c r="D145" i="2" l="1" a="1"/>
  <c r="D145" i="2" s="1"/>
  <c r="H27" i="5"/>
  <c r="H30" i="5"/>
  <c r="H29" i="5"/>
  <c r="C29" i="15" a="1"/>
  <c r="C29" i="15" s="1"/>
  <c r="U6" i="15" s="1"/>
  <c r="C24" i="15" a="1"/>
  <c r="C24" i="15" s="1"/>
  <c r="B30" i="15"/>
  <c r="B25" i="15"/>
  <c r="B18" i="15"/>
  <c r="M6" i="15" a="1"/>
  <c r="M6" i="15" s="1"/>
  <c r="B7" i="15"/>
  <c r="H10" i="5"/>
  <c r="H9" i="5"/>
  <c r="H8" i="5"/>
  <c r="H7" i="5"/>
  <c r="H6" i="5"/>
  <c r="H5" i="5"/>
  <c r="G6" i="5"/>
  <c r="G7" i="5"/>
  <c r="G8" i="5"/>
  <c r="G9" i="5"/>
  <c r="G10" i="5"/>
  <c r="G5" i="5"/>
  <c r="F95" i="5"/>
  <c r="AH114" i="12"/>
  <c r="U121" i="12"/>
  <c r="G68" i="13"/>
  <c r="V6" i="15" l="1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BC9" i="9"/>
  <c r="BC21" i="9" s="1"/>
  <c r="X10" i="11"/>
  <c r="T27" i="11" s="1"/>
  <c r="X11" i="11"/>
  <c r="T28" i="11" s="1"/>
  <c r="X12" i="11"/>
  <c r="T29" i="11" s="1"/>
  <c r="X13" i="11"/>
  <c r="T17" i="11" s="1"/>
  <c r="X14" i="11"/>
  <c r="T31" i="11" s="1"/>
  <c r="X15" i="11"/>
  <c r="T32" i="11" s="1"/>
  <c r="X9" i="11"/>
  <c r="T26" i="11" s="1"/>
  <c r="T9" i="11"/>
  <c r="I17" i="11"/>
  <c r="M13" i="11" s="1"/>
  <c r="M29" i="11" s="1"/>
  <c r="I29" i="11" s="1"/>
  <c r="I15" i="11"/>
  <c r="M12" i="11" s="1"/>
  <c r="M28" i="11" s="1"/>
  <c r="I28" i="11" s="1"/>
  <c r="I13" i="11"/>
  <c r="M11" i="11" s="1"/>
  <c r="M27" i="11" s="1"/>
  <c r="I27" i="11" s="1"/>
  <c r="I11" i="11"/>
  <c r="M10" i="11" s="1"/>
  <c r="M26" i="11" s="1"/>
  <c r="I26" i="11" s="1"/>
  <c r="I9" i="11"/>
  <c r="M9" i="11" s="1"/>
  <c r="M25" i="11" s="1"/>
  <c r="I25" i="11" s="1"/>
  <c r="N26" i="11"/>
  <c r="N27" i="11"/>
  <c r="N28" i="11"/>
  <c r="N29" i="11"/>
  <c r="N25" i="11"/>
  <c r="U27" i="11"/>
  <c r="D8" i="11" s="1"/>
  <c r="U28" i="11"/>
  <c r="D9" i="11" s="1"/>
  <c r="U29" i="11"/>
  <c r="D10" i="11" s="1"/>
  <c r="J14" i="11" s="1"/>
  <c r="U30" i="11"/>
  <c r="D11" i="11" s="1"/>
  <c r="J16" i="11" s="1"/>
  <c r="U31" i="11"/>
  <c r="D12" i="11" s="1"/>
  <c r="U32" i="11"/>
  <c r="D13" i="11" s="1"/>
  <c r="U26" i="11"/>
  <c r="B8" i="11"/>
  <c r="B21" i="11" s="1"/>
  <c r="B9" i="11"/>
  <c r="B22" i="11" s="1"/>
  <c r="B10" i="11"/>
  <c r="B23" i="11" s="1"/>
  <c r="B11" i="11"/>
  <c r="B24" i="11" s="1"/>
  <c r="B12" i="11"/>
  <c r="B25" i="11" s="1"/>
  <c r="B13" i="11"/>
  <c r="B26" i="11" s="1"/>
  <c r="T13" i="11" l="1"/>
  <c r="T21" i="11"/>
  <c r="T30" i="11"/>
  <c r="T15" i="11"/>
  <c r="T11" i="11"/>
  <c r="T19" i="11"/>
  <c r="J10" i="11"/>
  <c r="J18" i="11"/>
  <c r="J12" i="11"/>
  <c r="F31" i="14"/>
  <c r="F28" i="14"/>
  <c r="F25" i="14"/>
  <c r="F22" i="14"/>
  <c r="F19" i="14"/>
  <c r="F16" i="14"/>
  <c r="F13" i="14"/>
  <c r="P32" i="13"/>
  <c r="P29" i="13"/>
  <c r="P26" i="13"/>
  <c r="P23" i="13"/>
  <c r="P20" i="13"/>
  <c r="P16" i="13"/>
  <c r="P13" i="13"/>
  <c r="D73" i="1"/>
  <c r="D72" i="1"/>
  <c r="D136" i="2"/>
  <c r="D135" i="2"/>
  <c r="AO26" i="9" l="1"/>
  <c r="AO25" i="9"/>
  <c r="AO24" i="9"/>
  <c r="F69" i="4"/>
  <c r="G69" i="4"/>
  <c r="H69" i="4"/>
  <c r="I69" i="4"/>
  <c r="J69" i="4"/>
  <c r="K69" i="4"/>
  <c r="L69" i="4"/>
  <c r="D180" i="4"/>
  <c r="D179" i="4"/>
  <c r="D178" i="4"/>
  <c r="G171" i="4"/>
  <c r="F171" i="4"/>
  <c r="E171" i="4"/>
  <c r="D171" i="4"/>
  <c r="G170" i="4"/>
  <c r="F170" i="4"/>
  <c r="E170" i="4"/>
  <c r="D170" i="4"/>
  <c r="G169" i="4"/>
  <c r="F169" i="4"/>
  <c r="E169" i="4"/>
  <c r="D169" i="4"/>
  <c r="G168" i="4"/>
  <c r="F168" i="4"/>
  <c r="E168" i="4"/>
  <c r="D168" i="4"/>
  <c r="E156" i="4"/>
  <c r="F156" i="4"/>
  <c r="G156" i="4"/>
  <c r="H156" i="4"/>
  <c r="I156" i="4"/>
  <c r="J156" i="4"/>
  <c r="K156" i="4"/>
  <c r="L156" i="4"/>
  <c r="E157" i="4"/>
  <c r="F157" i="4"/>
  <c r="G157" i="4"/>
  <c r="H157" i="4"/>
  <c r="I157" i="4"/>
  <c r="J157" i="4"/>
  <c r="K157" i="4"/>
  <c r="L157" i="4"/>
  <c r="E158" i="4"/>
  <c r="F158" i="4"/>
  <c r="G158" i="4"/>
  <c r="H158" i="4"/>
  <c r="I158" i="4"/>
  <c r="J158" i="4"/>
  <c r="K158" i="4"/>
  <c r="L158" i="4"/>
  <c r="E159" i="4"/>
  <c r="F159" i="4"/>
  <c r="G159" i="4"/>
  <c r="H159" i="4"/>
  <c r="I159" i="4"/>
  <c r="J159" i="4"/>
  <c r="K159" i="4"/>
  <c r="L159" i="4"/>
  <c r="E160" i="4"/>
  <c r="F160" i="4"/>
  <c r="G160" i="4"/>
  <c r="H160" i="4"/>
  <c r="I160" i="4"/>
  <c r="J160" i="4"/>
  <c r="K160" i="4"/>
  <c r="L160" i="4"/>
  <c r="E161" i="4"/>
  <c r="F161" i="4"/>
  <c r="G161" i="4"/>
  <c r="H161" i="4"/>
  <c r="I161" i="4"/>
  <c r="J161" i="4"/>
  <c r="K161" i="4"/>
  <c r="L161" i="4"/>
  <c r="D161" i="4"/>
  <c r="D160" i="4"/>
  <c r="D159" i="4"/>
  <c r="D158" i="4"/>
  <c r="D157" i="4"/>
  <c r="D156" i="4"/>
  <c r="AA221" i="12"/>
  <c r="AA222" i="12"/>
  <c r="AA220" i="12"/>
  <c r="Q31" i="14"/>
  <c r="I31" i="14"/>
  <c r="J31" i="14" s="1"/>
  <c r="Q30" i="14"/>
  <c r="I30" i="14"/>
  <c r="J30" i="14" s="1"/>
  <c r="Q29" i="14"/>
  <c r="I29" i="14"/>
  <c r="J29" i="14" s="1"/>
  <c r="Q28" i="14"/>
  <c r="I28" i="14"/>
  <c r="J28" i="14" s="1"/>
  <c r="Q27" i="14"/>
  <c r="I27" i="14"/>
  <c r="J27" i="14" s="1"/>
  <c r="Q26" i="14"/>
  <c r="I26" i="14"/>
  <c r="J26" i="14" s="1"/>
  <c r="AA51" i="14"/>
  <c r="Q25" i="14"/>
  <c r="I25" i="14"/>
  <c r="J25" i="14" s="1"/>
  <c r="AA50" i="14"/>
  <c r="Q24" i="14"/>
  <c r="I24" i="14"/>
  <c r="J24" i="14" s="1"/>
  <c r="Q23" i="14"/>
  <c r="I23" i="14"/>
  <c r="J23" i="14" s="1"/>
  <c r="Q22" i="14"/>
  <c r="I22" i="14"/>
  <c r="J22" i="14" s="1"/>
  <c r="Q21" i="14"/>
  <c r="I21" i="14"/>
  <c r="J21" i="14" s="1"/>
  <c r="Q20" i="14"/>
  <c r="I20" i="14"/>
  <c r="J20" i="14" s="1"/>
  <c r="Q19" i="14"/>
  <c r="I19" i="14"/>
  <c r="J19" i="14" s="1"/>
  <c r="Q18" i="14"/>
  <c r="I18" i="14"/>
  <c r="AF43" i="14"/>
  <c r="AG43" i="14" s="1"/>
  <c r="Q17" i="14"/>
  <c r="I17" i="14"/>
  <c r="Q16" i="14"/>
  <c r="I16" i="14"/>
  <c r="J16" i="14" s="1"/>
  <c r="Q15" i="14"/>
  <c r="I15" i="14"/>
  <c r="Q14" i="14"/>
  <c r="I14" i="14"/>
  <c r="S13" i="14"/>
  <c r="Q13" i="14"/>
  <c r="I13" i="14"/>
  <c r="J13" i="14" s="1"/>
  <c r="S12" i="14"/>
  <c r="Q12" i="14"/>
  <c r="I12" i="14"/>
  <c r="AF36" i="14"/>
  <c r="AG36" i="14" s="1"/>
  <c r="S11" i="14"/>
  <c r="Q11" i="14"/>
  <c r="I11" i="14"/>
  <c r="AC17" i="13" l="1"/>
  <c r="AC13" i="13"/>
  <c r="AC12" i="13"/>
  <c r="AC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11" i="13"/>
  <c r="AO18" i="13" l="1"/>
  <c r="AP18" i="13" s="1"/>
  <c r="AO11" i="13"/>
  <c r="AP11" i="13" s="1"/>
  <c r="T11" i="13" s="1"/>
  <c r="AK14" i="13" l="1"/>
  <c r="AK13" i="13"/>
  <c r="T12" i="13"/>
  <c r="AQ14" i="13"/>
  <c r="T19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20" i="13" l="1"/>
  <c r="T16" i="13"/>
  <c r="AA7" i="13" s="1"/>
  <c r="E57" i="4"/>
  <c r="F59" i="4"/>
  <c r="Z9" i="9"/>
  <c r="N194" i="12"/>
  <c r="N195" i="12"/>
  <c r="N196" i="12"/>
  <c r="N197" i="12"/>
  <c r="N198" i="12"/>
  <c r="N199" i="12"/>
  <c r="N193" i="12"/>
  <c r="O49" i="4"/>
  <c r="E71" i="4" l="1"/>
  <c r="O58" i="4" s="1"/>
  <c r="BD42" i="9"/>
  <c r="BD43" i="9" s="1"/>
  <c r="BD44" i="9" s="1"/>
  <c r="BE21" i="9" s="1"/>
  <c r="AI79" i="5"/>
  <c r="T79" i="5" s="1"/>
  <c r="T78" i="5" s="1"/>
  <c r="AH79" i="5"/>
  <c r="S79" i="5" s="1"/>
  <c r="S78" i="5" s="1"/>
  <c r="AG79" i="5"/>
  <c r="R79" i="5" s="1"/>
  <c r="R78" i="5" s="1"/>
  <c r="AF79" i="5"/>
  <c r="Q79" i="5" s="1"/>
  <c r="Q78" i="5" s="1"/>
  <c r="AE79" i="5"/>
  <c r="P79" i="5" s="1"/>
  <c r="P78" i="5" s="1"/>
  <c r="AD79" i="5"/>
  <c r="O79" i="5" s="1"/>
  <c r="O78" i="5" s="1"/>
  <c r="AC79" i="5"/>
  <c r="N79" i="5" s="1"/>
  <c r="N78" i="5" s="1"/>
  <c r="AB79" i="5"/>
  <c r="M79" i="5" s="1"/>
  <c r="M78" i="5" s="1"/>
  <c r="AI77" i="5"/>
  <c r="T77" i="5" s="1"/>
  <c r="T76" i="5" s="1"/>
  <c r="AH77" i="5"/>
  <c r="S77" i="5" s="1"/>
  <c r="S76" i="5" s="1"/>
  <c r="AG77" i="5"/>
  <c r="R77" i="5" s="1"/>
  <c r="R76" i="5" s="1"/>
  <c r="AF77" i="5"/>
  <c r="Q77" i="5" s="1"/>
  <c r="Q76" i="5" s="1"/>
  <c r="AE77" i="5"/>
  <c r="P77" i="5" s="1"/>
  <c r="P76" i="5" s="1"/>
  <c r="AD77" i="5"/>
  <c r="O77" i="5" s="1"/>
  <c r="O76" i="5" s="1"/>
  <c r="AC77" i="5"/>
  <c r="N77" i="5" s="1"/>
  <c r="N76" i="5" s="1"/>
  <c r="AB77" i="5"/>
  <c r="M77" i="5" s="1"/>
  <c r="M76" i="5" s="1"/>
  <c r="AI69" i="5"/>
  <c r="T69" i="5" s="1"/>
  <c r="T68" i="5" s="1"/>
  <c r="AH69" i="5"/>
  <c r="S69" i="5" s="1"/>
  <c r="S68" i="5" s="1"/>
  <c r="AG69" i="5"/>
  <c r="R69" i="5" s="1"/>
  <c r="R68" i="5" s="1"/>
  <c r="AF69" i="5"/>
  <c r="Q69" i="5" s="1"/>
  <c r="Q68" i="5" s="1"/>
  <c r="AE69" i="5"/>
  <c r="P69" i="5" s="1"/>
  <c r="P68" i="5" s="1"/>
  <c r="AD69" i="5"/>
  <c r="O69" i="5" s="1"/>
  <c r="O68" i="5" s="1"/>
  <c r="AC69" i="5"/>
  <c r="N69" i="5" s="1"/>
  <c r="N68" i="5" s="1"/>
  <c r="AB69" i="5"/>
  <c r="M69" i="5" s="1"/>
  <c r="M68" i="5" s="1"/>
  <c r="AI67" i="5"/>
  <c r="T67" i="5" s="1"/>
  <c r="T66" i="5" s="1"/>
  <c r="AH67" i="5"/>
  <c r="S67" i="5" s="1"/>
  <c r="S66" i="5" s="1"/>
  <c r="AG67" i="5"/>
  <c r="R67" i="5" s="1"/>
  <c r="R66" i="5" s="1"/>
  <c r="AF67" i="5"/>
  <c r="Q67" i="5" s="1"/>
  <c r="Q66" i="5" s="1"/>
  <c r="AE67" i="5"/>
  <c r="P67" i="5" s="1"/>
  <c r="P66" i="5" s="1"/>
  <c r="AD67" i="5"/>
  <c r="O67" i="5" s="1"/>
  <c r="O66" i="5" s="1"/>
  <c r="AC67" i="5"/>
  <c r="N67" i="5" s="1"/>
  <c r="N66" i="5" s="1"/>
  <c r="AB67" i="5"/>
  <c r="M67" i="5" s="1"/>
  <c r="M66" i="5" s="1"/>
  <c r="AI60" i="5"/>
  <c r="T60" i="5" s="1"/>
  <c r="T59" i="5" s="1"/>
  <c r="AH60" i="5"/>
  <c r="S60" i="5" s="1"/>
  <c r="S59" i="5" s="1"/>
  <c r="AG60" i="5"/>
  <c r="R60" i="5" s="1"/>
  <c r="R59" i="5" s="1"/>
  <c r="AF60" i="5"/>
  <c r="Q60" i="5" s="1"/>
  <c r="Q59" i="5" s="1"/>
  <c r="AE60" i="5"/>
  <c r="P60" i="5" s="1"/>
  <c r="P59" i="5" s="1"/>
  <c r="AD60" i="5"/>
  <c r="O60" i="5" s="1"/>
  <c r="O59" i="5" s="1"/>
  <c r="AC60" i="5"/>
  <c r="N60" i="5" s="1"/>
  <c r="N59" i="5" s="1"/>
  <c r="AB60" i="5"/>
  <c r="M60" i="5" s="1"/>
  <c r="M59" i="5" s="1"/>
  <c r="AI58" i="5"/>
  <c r="T58" i="5" s="1"/>
  <c r="AH58" i="5"/>
  <c r="S58" i="5" s="1"/>
  <c r="AG58" i="5"/>
  <c r="R58" i="5" s="1"/>
  <c r="AF58" i="5"/>
  <c r="Q57" i="5" s="1"/>
  <c r="AE58" i="5"/>
  <c r="P58" i="5" s="1"/>
  <c r="AD58" i="5"/>
  <c r="O58" i="5" s="1"/>
  <c r="AC58" i="5"/>
  <c r="N58" i="5" s="1"/>
  <c r="AB58" i="5"/>
  <c r="M57" i="5" s="1"/>
  <c r="Q58" i="5" l="1"/>
  <c r="O57" i="5"/>
  <c r="S57" i="5"/>
  <c r="T57" i="5"/>
  <c r="P57" i="5"/>
  <c r="M58" i="5"/>
  <c r="R57" i="5"/>
  <c r="N57" i="5"/>
  <c r="O137" i="7"/>
  <c r="N137" i="7"/>
  <c r="P131" i="6"/>
  <c r="Q130" i="6"/>
  <c r="U40" i="11"/>
  <c r="U41" i="11"/>
  <c r="U42" i="11"/>
  <c r="U43" i="11"/>
  <c r="U44" i="11"/>
  <c r="U45" i="11"/>
  <c r="U39" i="11"/>
  <c r="T45" i="11"/>
  <c r="X45" i="11" s="1"/>
  <c r="T40" i="11"/>
  <c r="X40" i="11" s="1"/>
  <c r="T41" i="11"/>
  <c r="X41" i="11" s="1"/>
  <c r="T42" i="11"/>
  <c r="X42" i="11" s="1"/>
  <c r="T43" i="11"/>
  <c r="X43" i="11" s="1"/>
  <c r="T44" i="11"/>
  <c r="X44" i="11" s="1"/>
  <c r="T39" i="11"/>
  <c r="X39" i="11" s="1"/>
  <c r="Q249" i="12"/>
  <c r="Q250" i="12"/>
  <c r="Q251" i="12"/>
  <c r="Q252" i="12"/>
  <c r="Q253" i="12"/>
  <c r="Q254" i="12"/>
  <c r="Q255" i="12"/>
  <c r="Q256" i="12"/>
  <c r="Q248" i="12"/>
  <c r="T255" i="12"/>
  <c r="T254" i="12"/>
  <c r="T253" i="12"/>
  <c r="T252" i="12"/>
  <c r="T251" i="12"/>
  <c r="T250" i="12"/>
  <c r="T249" i="12"/>
  <c r="U248" i="12"/>
  <c r="T248" i="12"/>
  <c r="S255" i="12"/>
  <c r="S254" i="12"/>
  <c r="S253" i="12"/>
  <c r="S252" i="12"/>
  <c r="S251" i="12"/>
  <c r="S250" i="12"/>
  <c r="S249" i="12"/>
  <c r="S248" i="12"/>
  <c r="W247" i="12"/>
  <c r="V247" i="12"/>
  <c r="U247" i="12"/>
  <c r="T247" i="12"/>
  <c r="S247" i="12"/>
  <c r="BE23" i="9" l="1"/>
  <c r="BE22" i="9"/>
  <c r="BE26" i="9"/>
  <c r="BE25" i="9"/>
  <c r="BE24" i="9"/>
  <c r="AW9" i="9"/>
  <c r="AW11" i="9"/>
  <c r="AW13" i="9"/>
  <c r="AI20" i="9" l="1"/>
  <c r="Z10" i="9"/>
  <c r="Z11" i="9"/>
  <c r="Z12" i="9"/>
  <c r="Z13" i="9"/>
  <c r="Z14" i="9"/>
  <c r="Z15" i="9"/>
  <c r="AI16" i="9" l="1"/>
  <c r="AI10" i="9"/>
  <c r="AI18" i="9"/>
  <c r="AI14" i="9"/>
  <c r="AI12" i="9"/>
  <c r="AI9" i="9" l="1"/>
  <c r="V19" i="9" l="1"/>
  <c r="S20" i="9"/>
  <c r="S18" i="9"/>
  <c r="S16" i="9"/>
  <c r="S14" i="9"/>
  <c r="S12" i="9"/>
  <c r="O93" i="9" l="1" a="1"/>
  <c r="O93" i="9" s="1"/>
  <c r="O79" i="9" a="1"/>
  <c r="O79" i="9" s="1"/>
  <c r="O65" i="9" a="1"/>
  <c r="O65" i="9" s="1"/>
  <c r="O51" i="9" a="1"/>
  <c r="O51" i="9" s="1"/>
  <c r="O37" i="9" a="1"/>
  <c r="O37" i="9" s="1"/>
  <c r="O23" i="9" a="1"/>
  <c r="O23" i="9" s="1"/>
  <c r="O9" i="9" a="1"/>
  <c r="O9" i="9" s="1"/>
  <c r="Q19" i="9" l="1"/>
  <c r="U14" i="9" s="1"/>
  <c r="Q17" i="9"/>
  <c r="U13" i="9" s="1"/>
  <c r="Q15" i="9"/>
  <c r="U12" i="9" s="1"/>
  <c r="Q13" i="9"/>
  <c r="U11" i="9" s="1"/>
  <c r="S21" i="9"/>
  <c r="Q21" i="9"/>
  <c r="U15" i="9" s="1"/>
  <c r="S19" i="9"/>
  <c r="S17" i="9"/>
  <c r="S15" i="9"/>
  <c r="S13" i="9"/>
  <c r="S11" i="9"/>
  <c r="Q11" i="9"/>
  <c r="U10" i="9" s="1"/>
  <c r="S9" i="9"/>
  <c r="W9" i="9" s="1"/>
  <c r="Q9" i="9"/>
  <c r="U9" i="9" s="1"/>
  <c r="AB226" i="12"/>
  <c r="AA226" i="12"/>
  <c r="Z226" i="12"/>
  <c r="AB225" i="12"/>
  <c r="AA225" i="12"/>
  <c r="Z225" i="12"/>
  <c r="AB224" i="12"/>
  <c r="AA224" i="12"/>
  <c r="Z224" i="12"/>
  <c r="AB223" i="12"/>
  <c r="AA223" i="12"/>
  <c r="Z223" i="12"/>
  <c r="Z222" i="12"/>
  <c r="Q222" i="12"/>
  <c r="AB222" i="12" s="1"/>
  <c r="Z221" i="12"/>
  <c r="Q221" i="12"/>
  <c r="AB221" i="12" s="1"/>
  <c r="AE220" i="12" s="1"/>
  <c r="AB220" i="12"/>
  <c r="AC214" i="12"/>
  <c r="AB214" i="12"/>
  <c r="AA214" i="12"/>
  <c r="Z214" i="12"/>
  <c r="AC213" i="12"/>
  <c r="AB213" i="12"/>
  <c r="AA213" i="12"/>
  <c r="Z213" i="12"/>
  <c r="AC212" i="12"/>
  <c r="AB212" i="12"/>
  <c r="AA212" i="12"/>
  <c r="Z212" i="12"/>
  <c r="AC211" i="12"/>
  <c r="AB211" i="12"/>
  <c r="AA211" i="12"/>
  <c r="Z211" i="12"/>
  <c r="AC210" i="12"/>
  <c r="AB210" i="12"/>
  <c r="Z210" i="12"/>
  <c r="R210" i="12"/>
  <c r="AB209" i="12"/>
  <c r="AA209" i="12"/>
  <c r="Z209" i="12"/>
  <c r="R209" i="12"/>
  <c r="AC209" i="12" s="1"/>
  <c r="AC208" i="12"/>
  <c r="AB208" i="12"/>
  <c r="Z208" i="12"/>
  <c r="X188" i="12"/>
  <c r="X187" i="12"/>
  <c r="X186" i="12"/>
  <c r="X185" i="12"/>
  <c r="X184" i="12"/>
  <c r="G184" i="12"/>
  <c r="G185" i="12" s="1"/>
  <c r="G186" i="12" s="1"/>
  <c r="K179" i="12"/>
  <c r="K178" i="12"/>
  <c r="M176" i="12"/>
  <c r="AB164" i="12"/>
  <c r="N161" i="12" s="1"/>
  <c r="P161" i="12" s="1"/>
  <c r="BE163" i="12"/>
  <c r="BD163" i="12"/>
  <c r="BC163" i="12"/>
  <c r="BB163" i="12"/>
  <c r="BA163" i="12"/>
  <c r="AZ163" i="12"/>
  <c r="AY163" i="12"/>
  <c r="AT163" i="12"/>
  <c r="AS163" i="12"/>
  <c r="AR163" i="12"/>
  <c r="AP163" i="12"/>
  <c r="AO163" i="12"/>
  <c r="BE162" i="12"/>
  <c r="BD162" i="12"/>
  <c r="BC162" i="12"/>
  <c r="BB162" i="12"/>
  <c r="BA162" i="12"/>
  <c r="AZ162" i="12"/>
  <c r="AY162" i="12"/>
  <c r="AT162" i="12"/>
  <c r="AS162" i="12"/>
  <c r="AR162" i="12"/>
  <c r="AP162" i="12"/>
  <c r="AO162" i="12"/>
  <c r="P162" i="12"/>
  <c r="K162" i="12"/>
  <c r="K189" i="12" s="1"/>
  <c r="K199" i="12" s="1"/>
  <c r="K214" i="12" s="1"/>
  <c r="K226" i="12" s="1"/>
  <c r="J162" i="12"/>
  <c r="J189" i="12" s="1"/>
  <c r="J199" i="12" s="1"/>
  <c r="J214" i="12" s="1"/>
  <c r="J226" i="12" s="1"/>
  <c r="BE161" i="12"/>
  <c r="BD161" i="12"/>
  <c r="BC161" i="12"/>
  <c r="BB161" i="12"/>
  <c r="BA161" i="12"/>
  <c r="AZ161" i="12"/>
  <c r="AY161" i="12"/>
  <c r="AT161" i="12"/>
  <c r="AS161" i="12"/>
  <c r="AR161" i="12"/>
  <c r="AQ161" i="12"/>
  <c r="AP161" i="12"/>
  <c r="AO161" i="12"/>
  <c r="L161" i="12"/>
  <c r="L188" i="12" s="1"/>
  <c r="L198" i="12" s="1"/>
  <c r="L213" i="12" s="1"/>
  <c r="L225" i="12" s="1"/>
  <c r="BE160" i="12"/>
  <c r="BD160" i="12"/>
  <c r="BC160" i="12"/>
  <c r="BB160" i="12"/>
  <c r="BA160" i="12"/>
  <c r="AZ160" i="12"/>
  <c r="AY160" i="12"/>
  <c r="AT160" i="12"/>
  <c r="AS160" i="12"/>
  <c r="AR160" i="12"/>
  <c r="AQ160" i="12"/>
  <c r="AP160" i="12"/>
  <c r="AO160" i="12"/>
  <c r="P160" i="12"/>
  <c r="BE159" i="12"/>
  <c r="BD159" i="12"/>
  <c r="BC159" i="12"/>
  <c r="BB159" i="12"/>
  <c r="BA159" i="12"/>
  <c r="AZ159" i="12"/>
  <c r="AY159" i="12"/>
  <c r="AT159" i="12"/>
  <c r="AS159" i="12"/>
  <c r="AR159" i="12"/>
  <c r="AQ159" i="12"/>
  <c r="AP159" i="12"/>
  <c r="AO159" i="12"/>
  <c r="BE158" i="12"/>
  <c r="BD158" i="12"/>
  <c r="BC158" i="12"/>
  <c r="BB158" i="12"/>
  <c r="BA158" i="12"/>
  <c r="AZ158" i="12"/>
  <c r="AY158" i="12"/>
  <c r="AU158" i="12"/>
  <c r="AT158" i="12"/>
  <c r="AS158" i="12"/>
  <c r="AR158" i="12"/>
  <c r="AQ158" i="12"/>
  <c r="AP158" i="12"/>
  <c r="AO158" i="12"/>
  <c r="P158" i="12"/>
  <c r="M158" i="12"/>
  <c r="M185" i="12" s="1"/>
  <c r="M195" i="12" s="1"/>
  <c r="M210" i="12" s="1"/>
  <c r="M222" i="12" s="1"/>
  <c r="BE157" i="12"/>
  <c r="BD157" i="12"/>
  <c r="BC157" i="12"/>
  <c r="BB157" i="12"/>
  <c r="BA157" i="12"/>
  <c r="AZ157" i="12"/>
  <c r="AY157" i="12"/>
  <c r="AU157" i="12"/>
  <c r="AT157" i="12"/>
  <c r="AS157" i="12"/>
  <c r="AR157" i="12"/>
  <c r="AQ157" i="12"/>
  <c r="AP157" i="12"/>
  <c r="AO157" i="12"/>
  <c r="BE156" i="12"/>
  <c r="BD156" i="12"/>
  <c r="BC156" i="12"/>
  <c r="BB156" i="12"/>
  <c r="BA156" i="12"/>
  <c r="AZ156" i="12"/>
  <c r="AY156" i="12"/>
  <c r="AT156" i="12"/>
  <c r="AS156" i="12"/>
  <c r="AR156" i="12"/>
  <c r="AQ156" i="12"/>
  <c r="AP156" i="12"/>
  <c r="AO156" i="12"/>
  <c r="P156" i="12"/>
  <c r="K147" i="12"/>
  <c r="J147" i="12"/>
  <c r="L146" i="12"/>
  <c r="M145" i="12"/>
  <c r="L145" i="12"/>
  <c r="J144" i="12"/>
  <c r="J143" i="12"/>
  <c r="L142" i="12"/>
  <c r="M141" i="12"/>
  <c r="AD127" i="12"/>
  <c r="M134" i="12"/>
  <c r="L134" i="12"/>
  <c r="K134" i="12"/>
  <c r="J134" i="12"/>
  <c r="M133" i="12"/>
  <c r="L133" i="12"/>
  <c r="K133" i="12"/>
  <c r="J133" i="12"/>
  <c r="M132" i="12"/>
  <c r="L132" i="12"/>
  <c r="K132" i="12"/>
  <c r="J132" i="12"/>
  <c r="M131" i="12"/>
  <c r="L131" i="12"/>
  <c r="K131" i="12"/>
  <c r="J131" i="12"/>
  <c r="M130" i="12"/>
  <c r="L130" i="12"/>
  <c r="K130" i="12"/>
  <c r="J130" i="12"/>
  <c r="M129" i="12"/>
  <c r="L129" i="12"/>
  <c r="K129" i="12"/>
  <c r="J129" i="12"/>
  <c r="M128" i="12"/>
  <c r="L128" i="12"/>
  <c r="K128" i="12"/>
  <c r="J128" i="12"/>
  <c r="U127" i="12"/>
  <c r="M127" i="12"/>
  <c r="M162" i="12" s="1"/>
  <c r="M189" i="12" s="1"/>
  <c r="M199" i="12" s="1"/>
  <c r="M214" i="12" s="1"/>
  <c r="M226" i="12" s="1"/>
  <c r="L127" i="12"/>
  <c r="L162" i="12" s="1"/>
  <c r="L189" i="12" s="1"/>
  <c r="L199" i="12" s="1"/>
  <c r="L214" i="12" s="1"/>
  <c r="L226" i="12" s="1"/>
  <c r="K127" i="12"/>
  <c r="U126" i="12"/>
  <c r="M126" i="12"/>
  <c r="M161" i="12" s="1"/>
  <c r="M188" i="12" s="1"/>
  <c r="M198" i="12" s="1"/>
  <c r="M213" i="12" s="1"/>
  <c r="M225" i="12" s="1"/>
  <c r="L126" i="12"/>
  <c r="K126" i="12"/>
  <c r="K161" i="12" s="1"/>
  <c r="K188" i="12" s="1"/>
  <c r="K198" i="12" s="1"/>
  <c r="K213" i="12" s="1"/>
  <c r="K225" i="12" s="1"/>
  <c r="J126" i="12"/>
  <c r="J161" i="12" s="1"/>
  <c r="J188" i="12" s="1"/>
  <c r="J198" i="12" s="1"/>
  <c r="J213" i="12" s="1"/>
  <c r="J225" i="12" s="1"/>
  <c r="U125" i="12"/>
  <c r="M125" i="12"/>
  <c r="M160" i="12" s="1"/>
  <c r="M187" i="12" s="1"/>
  <c r="M197" i="12" s="1"/>
  <c r="M212" i="12" s="1"/>
  <c r="M224" i="12" s="1"/>
  <c r="L125" i="12"/>
  <c r="L160" i="12" s="1"/>
  <c r="L187" i="12" s="1"/>
  <c r="L197" i="12" s="1"/>
  <c r="L212" i="12" s="1"/>
  <c r="L224" i="12" s="1"/>
  <c r="K125" i="12"/>
  <c r="K145" i="12" s="1"/>
  <c r="J125" i="12"/>
  <c r="J160" i="12" s="1"/>
  <c r="J187" i="12" s="1"/>
  <c r="J197" i="12" s="1"/>
  <c r="J212" i="12" s="1"/>
  <c r="J224" i="12" s="1"/>
  <c r="AD124" i="12"/>
  <c r="U124" i="12"/>
  <c r="M124" i="12"/>
  <c r="M144" i="12" s="1"/>
  <c r="L124" i="12"/>
  <c r="L144" i="12" s="1"/>
  <c r="K124" i="12"/>
  <c r="K144" i="12" s="1"/>
  <c r="J124" i="12"/>
  <c r="J159" i="12" s="1"/>
  <c r="J186" i="12" s="1"/>
  <c r="J196" i="12" s="1"/>
  <c r="J211" i="12" s="1"/>
  <c r="J223" i="12" s="1"/>
  <c r="AD123" i="12"/>
  <c r="U123" i="12"/>
  <c r="M123" i="12"/>
  <c r="M143" i="12" s="1"/>
  <c r="L123" i="12"/>
  <c r="L158" i="12" s="1"/>
  <c r="L185" i="12" s="1"/>
  <c r="L195" i="12" s="1"/>
  <c r="L210" i="12" s="1"/>
  <c r="L222" i="12" s="1"/>
  <c r="K123" i="12"/>
  <c r="K158" i="12" s="1"/>
  <c r="K185" i="12" s="1"/>
  <c r="K195" i="12" s="1"/>
  <c r="K210" i="12" s="1"/>
  <c r="K222" i="12" s="1"/>
  <c r="J123" i="12"/>
  <c r="J158" i="12" s="1"/>
  <c r="J185" i="12" s="1"/>
  <c r="J195" i="12" s="1"/>
  <c r="J210" i="12" s="1"/>
  <c r="J222" i="12" s="1"/>
  <c r="U122" i="12"/>
  <c r="M122" i="12"/>
  <c r="M157" i="12" s="1"/>
  <c r="M184" i="12" s="1"/>
  <c r="M194" i="12" s="1"/>
  <c r="M209" i="12" s="1"/>
  <c r="M221" i="12" s="1"/>
  <c r="L122" i="12"/>
  <c r="L157" i="12" s="1"/>
  <c r="L184" i="12" s="1"/>
  <c r="L194" i="12" s="1"/>
  <c r="L209" i="12" s="1"/>
  <c r="L221" i="12" s="1"/>
  <c r="K122" i="12"/>
  <c r="K142" i="12" s="1"/>
  <c r="J122" i="12"/>
  <c r="J157" i="12" s="1"/>
  <c r="J184" i="12" s="1"/>
  <c r="J194" i="12" s="1"/>
  <c r="J209" i="12" s="1"/>
  <c r="J221" i="12" s="1"/>
  <c r="AD121" i="12"/>
  <c r="M121" i="12"/>
  <c r="M156" i="12" s="1"/>
  <c r="M183" i="12" s="1"/>
  <c r="M193" i="12" s="1"/>
  <c r="M208" i="12" s="1"/>
  <c r="M220" i="12" s="1"/>
  <c r="L121" i="12"/>
  <c r="L141" i="12" s="1"/>
  <c r="K121" i="12"/>
  <c r="K141" i="12" s="1"/>
  <c r="J121" i="12"/>
  <c r="J141" i="12" s="1"/>
  <c r="L120" i="12"/>
  <c r="L140" i="12" s="1"/>
  <c r="K120" i="12"/>
  <c r="K140" i="12" s="1"/>
  <c r="J120" i="12"/>
  <c r="J140" i="12" s="1"/>
  <c r="AV105" i="12"/>
  <c r="AU105" i="12"/>
  <c r="AT105" i="12"/>
  <c r="AS105" i="12"/>
  <c r="AR105" i="12"/>
  <c r="AQ105" i="12"/>
  <c r="AP105" i="12"/>
  <c r="AO105" i="12"/>
  <c r="AN105" i="12"/>
  <c r="AM105" i="12"/>
  <c r="AL105" i="12"/>
  <c r="AK105" i="12"/>
  <c r="AJ105" i="12"/>
  <c r="AI105" i="12"/>
  <c r="BJ92" i="12"/>
  <c r="BI92" i="12"/>
  <c r="BH92" i="12"/>
  <c r="BG92" i="12"/>
  <c r="BF92" i="12"/>
  <c r="BE92" i="12"/>
  <c r="BD92" i="12"/>
  <c r="BC92" i="12"/>
  <c r="BB92" i="12"/>
  <c r="BA92" i="12"/>
  <c r="AZ92" i="12"/>
  <c r="AY92" i="12"/>
  <c r="AX92" i="12"/>
  <c r="AW92" i="12"/>
  <c r="AA86" i="12"/>
  <c r="K83" i="12"/>
  <c r="M82" i="12"/>
  <c r="M79" i="12"/>
  <c r="AT102" i="12" s="1"/>
  <c r="T78" i="12"/>
  <c r="AA78" i="12" s="1"/>
  <c r="S77" i="12"/>
  <c r="T76" i="12"/>
  <c r="AA76" i="12" s="1"/>
  <c r="K76" i="12"/>
  <c r="S75" i="12"/>
  <c r="V74" i="12"/>
  <c r="R74" i="12"/>
  <c r="N74" i="12"/>
  <c r="K74" i="12"/>
  <c r="S73" i="12"/>
  <c r="K73" i="12"/>
  <c r="T72" i="12"/>
  <c r="AA72" i="12" s="1"/>
  <c r="U71" i="12"/>
  <c r="M71" i="12"/>
  <c r="V70" i="12"/>
  <c r="N70" i="12"/>
  <c r="Z69" i="12"/>
  <c r="V69" i="12"/>
  <c r="R69" i="12"/>
  <c r="N69" i="12"/>
  <c r="U68" i="12"/>
  <c r="M68" i="12"/>
  <c r="V67" i="12"/>
  <c r="U67" i="12"/>
  <c r="R67" i="12"/>
  <c r="N67" i="12"/>
  <c r="AE67" i="12" s="1"/>
  <c r="V65" i="12"/>
  <c r="U65" i="12"/>
  <c r="T65" i="12"/>
  <c r="S65" i="12"/>
  <c r="R65" i="12"/>
  <c r="O65" i="12"/>
  <c r="N65" i="12"/>
  <c r="Y57" i="12"/>
  <c r="N89" i="12" s="1"/>
  <c r="X57" i="12"/>
  <c r="V89" i="12" s="1"/>
  <c r="Q89" i="12" s="1"/>
  <c r="W57" i="12"/>
  <c r="U89" i="12" s="1"/>
  <c r="V57" i="12"/>
  <c r="T89" i="12" s="1"/>
  <c r="AA89" i="12" s="1"/>
  <c r="U57" i="12"/>
  <c r="S89" i="12" s="1"/>
  <c r="T57" i="12"/>
  <c r="R89" i="12" s="1"/>
  <c r="S57" i="12"/>
  <c r="R57" i="12"/>
  <c r="Q57" i="12"/>
  <c r="P57" i="12"/>
  <c r="O57" i="12"/>
  <c r="N57" i="12"/>
  <c r="Z57" i="12" s="1"/>
  <c r="O89" i="12" s="1"/>
  <c r="Y56" i="12"/>
  <c r="N88" i="12" s="1"/>
  <c r="X56" i="12"/>
  <c r="V88" i="12" s="1"/>
  <c r="W56" i="12"/>
  <c r="U88" i="12" s="1"/>
  <c r="V56" i="12"/>
  <c r="T88" i="12" s="1"/>
  <c r="AA88" i="12" s="1"/>
  <c r="U56" i="12"/>
  <c r="S88" i="12" s="1"/>
  <c r="T56" i="12"/>
  <c r="R88" i="12" s="1"/>
  <c r="S56" i="12"/>
  <c r="R56" i="12"/>
  <c r="Q56" i="12"/>
  <c r="P56" i="12"/>
  <c r="O56" i="12"/>
  <c r="N56" i="12"/>
  <c r="Z56" i="12" s="1"/>
  <c r="O88" i="12" s="1"/>
  <c r="Y55" i="12"/>
  <c r="N87" i="12" s="1"/>
  <c r="X55" i="12"/>
  <c r="V87" i="12" s="1"/>
  <c r="W55" i="12"/>
  <c r="U87" i="12" s="1"/>
  <c r="U105" i="12" s="1"/>
  <c r="V55" i="12"/>
  <c r="T87" i="12" s="1"/>
  <c r="U55" i="12"/>
  <c r="S87" i="12" s="1"/>
  <c r="T55" i="12"/>
  <c r="R87" i="12" s="1"/>
  <c r="R105" i="12" s="1"/>
  <c r="S55" i="12"/>
  <c r="R55" i="12"/>
  <c r="Q55" i="12"/>
  <c r="P55" i="12"/>
  <c r="O55" i="12"/>
  <c r="N55" i="12"/>
  <c r="Z55" i="12" s="1"/>
  <c r="O87" i="12" s="1"/>
  <c r="Y54" i="12"/>
  <c r="N86" i="12" s="1"/>
  <c r="X54" i="12"/>
  <c r="V86" i="12" s="1"/>
  <c r="Q86" i="12" s="1"/>
  <c r="W54" i="12"/>
  <c r="U86" i="12" s="1"/>
  <c r="V54" i="12"/>
  <c r="T86" i="12" s="1"/>
  <c r="U54" i="12"/>
  <c r="S86" i="12" s="1"/>
  <c r="T54" i="12"/>
  <c r="R86" i="12" s="1"/>
  <c r="S54" i="12"/>
  <c r="R54" i="12"/>
  <c r="Q54" i="12"/>
  <c r="P54" i="12"/>
  <c r="M86" i="12"/>
  <c r="Z53" i="12"/>
  <c r="O85" i="12" s="1"/>
  <c r="Y53" i="12"/>
  <c r="N85" i="12" s="1"/>
  <c r="X53" i="12"/>
  <c r="V85" i="12" s="1"/>
  <c r="W53" i="12"/>
  <c r="U85" i="12" s="1"/>
  <c r="V53" i="12"/>
  <c r="T85" i="12" s="1"/>
  <c r="AA85" i="12" s="1"/>
  <c r="U53" i="12"/>
  <c r="S85" i="12" s="1"/>
  <c r="T53" i="12"/>
  <c r="R85" i="12" s="1"/>
  <c r="S53" i="12"/>
  <c r="R53" i="12"/>
  <c r="Q53" i="12"/>
  <c r="N53" i="12"/>
  <c r="M85" i="12"/>
  <c r="Y52" i="12"/>
  <c r="N84" i="12" s="1"/>
  <c r="X52" i="12"/>
  <c r="V84" i="12" s="1"/>
  <c r="Q84" i="12" s="1"/>
  <c r="W52" i="12"/>
  <c r="U84" i="12" s="1"/>
  <c r="V52" i="12"/>
  <c r="T84" i="12" s="1"/>
  <c r="U52" i="12"/>
  <c r="S84" i="12" s="1"/>
  <c r="T52" i="12"/>
  <c r="R84" i="12" s="1"/>
  <c r="S52" i="12"/>
  <c r="R52" i="12"/>
  <c r="Q52" i="12"/>
  <c r="P52" i="12"/>
  <c r="N52" i="12"/>
  <c r="Z52" i="12" s="1"/>
  <c r="O84" i="12" s="1"/>
  <c r="M84" i="12"/>
  <c r="AV104" i="12" s="1"/>
  <c r="Z51" i="12"/>
  <c r="O83" i="12" s="1"/>
  <c r="Y51" i="12"/>
  <c r="N83" i="12" s="1"/>
  <c r="X51" i="12"/>
  <c r="V83" i="12" s="1"/>
  <c r="W51" i="12"/>
  <c r="U83" i="12" s="1"/>
  <c r="V51" i="12"/>
  <c r="T83" i="12" s="1"/>
  <c r="AA83" i="12" s="1"/>
  <c r="U51" i="12"/>
  <c r="S83" i="12" s="1"/>
  <c r="T51" i="12"/>
  <c r="R83" i="12" s="1"/>
  <c r="S51" i="12"/>
  <c r="R51" i="12"/>
  <c r="Q51" i="12"/>
  <c r="N51" i="12"/>
  <c r="M83" i="12"/>
  <c r="K51" i="12"/>
  <c r="Y50" i="12"/>
  <c r="N82" i="12" s="1"/>
  <c r="X50" i="12"/>
  <c r="V82" i="12" s="1"/>
  <c r="Q82" i="12" s="1"/>
  <c r="W50" i="12"/>
  <c r="U82" i="12" s="1"/>
  <c r="V50" i="12"/>
  <c r="T82" i="12" s="1"/>
  <c r="AA82" i="12" s="1"/>
  <c r="U50" i="12"/>
  <c r="S82" i="12" s="1"/>
  <c r="T50" i="12"/>
  <c r="R82" i="12" s="1"/>
  <c r="S50" i="12"/>
  <c r="R50" i="12"/>
  <c r="Q50" i="12"/>
  <c r="Y49" i="12"/>
  <c r="N81" i="12" s="1"/>
  <c r="X49" i="12"/>
  <c r="V81" i="12" s="1"/>
  <c r="W49" i="12"/>
  <c r="U81" i="12" s="1"/>
  <c r="V49" i="12"/>
  <c r="T81" i="12" s="1"/>
  <c r="AA81" i="12" s="1"/>
  <c r="U49" i="12"/>
  <c r="S81" i="12" s="1"/>
  <c r="T49" i="12"/>
  <c r="R81" i="12" s="1"/>
  <c r="S49" i="12"/>
  <c r="R49" i="12"/>
  <c r="Q49" i="12"/>
  <c r="O49" i="12"/>
  <c r="M81" i="12"/>
  <c r="Y48" i="12"/>
  <c r="N80" i="12" s="1"/>
  <c r="X48" i="12"/>
  <c r="V80" i="12" s="1"/>
  <c r="W48" i="12"/>
  <c r="U80" i="12" s="1"/>
  <c r="V48" i="12"/>
  <c r="T80" i="12" s="1"/>
  <c r="AA80" i="12" s="1"/>
  <c r="U48" i="12"/>
  <c r="S80" i="12" s="1"/>
  <c r="T48" i="12"/>
  <c r="R80" i="12" s="1"/>
  <c r="S48" i="12"/>
  <c r="R48" i="12"/>
  <c r="Q48" i="12"/>
  <c r="P48" i="12"/>
  <c r="M80" i="12"/>
  <c r="Y47" i="12"/>
  <c r="N79" i="12" s="1"/>
  <c r="X47" i="12"/>
  <c r="V79" i="12" s="1"/>
  <c r="W47" i="12"/>
  <c r="U79" i="12" s="1"/>
  <c r="V47" i="12"/>
  <c r="T79" i="12" s="1"/>
  <c r="AA79" i="12" s="1"/>
  <c r="U47" i="12"/>
  <c r="S79" i="12" s="1"/>
  <c r="T47" i="12"/>
  <c r="R79" i="12" s="1"/>
  <c r="S47" i="12"/>
  <c r="R47" i="12"/>
  <c r="Q47" i="12"/>
  <c r="O47" i="12"/>
  <c r="Y46" i="12"/>
  <c r="N78" i="12" s="1"/>
  <c r="X46" i="12"/>
  <c r="V78" i="12" s="1"/>
  <c r="W46" i="12"/>
  <c r="U78" i="12" s="1"/>
  <c r="V46" i="12"/>
  <c r="U46" i="12"/>
  <c r="S78" i="12" s="1"/>
  <c r="T46" i="12"/>
  <c r="R78" i="12" s="1"/>
  <c r="S46" i="12"/>
  <c r="R46" i="12"/>
  <c r="Q46" i="12"/>
  <c r="M78" i="12"/>
  <c r="Y45" i="12"/>
  <c r="N77" i="12" s="1"/>
  <c r="X45" i="12"/>
  <c r="V77" i="12" s="1"/>
  <c r="W45" i="12"/>
  <c r="U77" i="12" s="1"/>
  <c r="V45" i="12"/>
  <c r="T77" i="12" s="1"/>
  <c r="AA77" i="12" s="1"/>
  <c r="U45" i="12"/>
  <c r="T45" i="12"/>
  <c r="R77" i="12" s="1"/>
  <c r="S45" i="12"/>
  <c r="R45" i="12"/>
  <c r="Q45" i="12"/>
  <c r="O45" i="12"/>
  <c r="M77" i="12"/>
  <c r="Y44" i="12"/>
  <c r="N76" i="12" s="1"/>
  <c r="X44" i="12"/>
  <c r="V76" i="12" s="1"/>
  <c r="W44" i="12"/>
  <c r="U76" i="12" s="1"/>
  <c r="V44" i="12"/>
  <c r="U44" i="12"/>
  <c r="S76" i="12" s="1"/>
  <c r="T44" i="12"/>
  <c r="R76" i="12" s="1"/>
  <c r="S44" i="12"/>
  <c r="R44" i="12"/>
  <c r="Q44" i="12"/>
  <c r="P44" i="12"/>
  <c r="M76" i="12"/>
  <c r="K44" i="12"/>
  <c r="Y43" i="12"/>
  <c r="N75" i="12" s="1"/>
  <c r="X43" i="12"/>
  <c r="V75" i="12" s="1"/>
  <c r="W43" i="12"/>
  <c r="U75" i="12" s="1"/>
  <c r="V43" i="12"/>
  <c r="T75" i="12" s="1"/>
  <c r="AA75" i="12" s="1"/>
  <c r="U43" i="12"/>
  <c r="T43" i="12"/>
  <c r="R75" i="12" s="1"/>
  <c r="S43" i="12"/>
  <c r="R43" i="12"/>
  <c r="Q43" i="12"/>
  <c r="P43" i="12"/>
  <c r="N43" i="12"/>
  <c r="Z43" i="12" s="1"/>
  <c r="O75" i="12" s="1"/>
  <c r="M75" i="12"/>
  <c r="Y42" i="12"/>
  <c r="X42" i="12"/>
  <c r="W42" i="12"/>
  <c r="U74" i="12" s="1"/>
  <c r="V42" i="12"/>
  <c r="T74" i="12" s="1"/>
  <c r="AA74" i="12" s="1"/>
  <c r="U42" i="12"/>
  <c r="S74" i="12" s="1"/>
  <c r="T42" i="12"/>
  <c r="S42" i="12"/>
  <c r="R42" i="12"/>
  <c r="Q42" i="12"/>
  <c r="M74" i="12"/>
  <c r="K42" i="12"/>
  <c r="Y41" i="12"/>
  <c r="N73" i="12" s="1"/>
  <c r="X41" i="12"/>
  <c r="V73" i="12" s="1"/>
  <c r="W41" i="12"/>
  <c r="U73" i="12" s="1"/>
  <c r="V41" i="12"/>
  <c r="T73" i="12" s="1"/>
  <c r="AA73" i="12" s="1"/>
  <c r="U41" i="12"/>
  <c r="T41" i="12"/>
  <c r="R73" i="12" s="1"/>
  <c r="S41" i="12"/>
  <c r="R41" i="12"/>
  <c r="Q41" i="12"/>
  <c r="M73" i="12"/>
  <c r="K41" i="12"/>
  <c r="Y40" i="12"/>
  <c r="N72" i="12" s="1"/>
  <c r="X40" i="12"/>
  <c r="V72" i="12" s="1"/>
  <c r="W40" i="12"/>
  <c r="U72" i="12" s="1"/>
  <c r="V40" i="12"/>
  <c r="U40" i="12"/>
  <c r="S72" i="12" s="1"/>
  <c r="T40" i="12"/>
  <c r="R72" i="12" s="1"/>
  <c r="S40" i="12"/>
  <c r="R40" i="12"/>
  <c r="Q40" i="12"/>
  <c r="P40" i="12"/>
  <c r="O40" i="12"/>
  <c r="M72" i="12"/>
  <c r="Y39" i="12"/>
  <c r="N71" i="12" s="1"/>
  <c r="X39" i="12"/>
  <c r="V71" i="12" s="1"/>
  <c r="Q71" i="12" s="1"/>
  <c r="W39" i="12"/>
  <c r="V39" i="12"/>
  <c r="T71" i="12" s="1"/>
  <c r="AA71" i="12" s="1"/>
  <c r="U39" i="12"/>
  <c r="S71" i="12" s="1"/>
  <c r="T39" i="12"/>
  <c r="R71" i="12" s="1"/>
  <c r="S39" i="12"/>
  <c r="R39" i="12"/>
  <c r="Q39" i="12"/>
  <c r="P39" i="12"/>
  <c r="Y38" i="12"/>
  <c r="X38" i="12"/>
  <c r="W38" i="12"/>
  <c r="U70" i="12" s="1"/>
  <c r="V38" i="12"/>
  <c r="T70" i="12" s="1"/>
  <c r="U38" i="12"/>
  <c r="S70" i="12" s="1"/>
  <c r="T38" i="12"/>
  <c r="R70" i="12" s="1"/>
  <c r="S38" i="12"/>
  <c r="R38" i="12"/>
  <c r="Q38" i="12"/>
  <c r="M70" i="12"/>
  <c r="Z37" i="12"/>
  <c r="O69" i="12" s="1"/>
  <c r="AH69" i="12" s="1"/>
  <c r="Y37" i="12"/>
  <c r="X37" i="12"/>
  <c r="W37" i="12"/>
  <c r="U69" i="12" s="1"/>
  <c r="V37" i="12"/>
  <c r="T69" i="12" s="1"/>
  <c r="U37" i="12"/>
  <c r="S69" i="12" s="1"/>
  <c r="T37" i="12"/>
  <c r="S37" i="12"/>
  <c r="R37" i="12"/>
  <c r="Q37" i="12"/>
  <c r="N37" i="12"/>
  <c r="Y36" i="12"/>
  <c r="N68" i="12" s="1"/>
  <c r="X36" i="12"/>
  <c r="V68" i="12" s="1"/>
  <c r="W36" i="12"/>
  <c r="V36" i="12"/>
  <c r="T68" i="12" s="1"/>
  <c r="AA68" i="12" s="1"/>
  <c r="U36" i="12"/>
  <c r="S68" i="12" s="1"/>
  <c r="T36" i="12"/>
  <c r="R68" i="12" s="1"/>
  <c r="S36" i="12"/>
  <c r="R36" i="12"/>
  <c r="Q36" i="12"/>
  <c r="P36" i="12"/>
  <c r="O36" i="12"/>
  <c r="Y35" i="12"/>
  <c r="X35" i="12"/>
  <c r="W35" i="12"/>
  <c r="V35" i="12"/>
  <c r="T67" i="12" s="1"/>
  <c r="U35" i="12"/>
  <c r="S67" i="12" s="1"/>
  <c r="T35" i="12"/>
  <c r="S35" i="12"/>
  <c r="R35" i="12"/>
  <c r="Q35" i="12"/>
  <c r="P35" i="12"/>
  <c r="N35" i="12"/>
  <c r="Z35" i="12" s="1"/>
  <c r="O67" i="12" s="1"/>
  <c r="M67" i="12"/>
  <c r="M66" i="12"/>
  <c r="M98" i="12" s="1"/>
  <c r="M120" i="12" s="1"/>
  <c r="Y28" i="12"/>
  <c r="AE27" i="12"/>
  <c r="AC27" i="12"/>
  <c r="AF27" i="12" s="1"/>
  <c r="AB27" i="12"/>
  <c r="Z27" i="12"/>
  <c r="AE26" i="12"/>
  <c r="AB26" i="12"/>
  <c r="Z26" i="12"/>
  <c r="AC26" i="12" s="1"/>
  <c r="AF26" i="12" s="1"/>
  <c r="AB25" i="12"/>
  <c r="AE25" i="12" s="1"/>
  <c r="Z25" i="12"/>
  <c r="AC25" i="12" s="1"/>
  <c r="AF25" i="12" s="1"/>
  <c r="AB24" i="12"/>
  <c r="AE24" i="12" s="1"/>
  <c r="P24" i="12"/>
  <c r="O24" i="12"/>
  <c r="O54" i="12" s="1"/>
  <c r="N24" i="12"/>
  <c r="N54" i="12" s="1"/>
  <c r="Z54" i="12" s="1"/>
  <c r="O86" i="12" s="1"/>
  <c r="P23" i="12"/>
  <c r="O23" i="12"/>
  <c r="O53" i="12" s="1"/>
  <c r="N23" i="12"/>
  <c r="Z23" i="12" s="1"/>
  <c r="AC23" i="12" s="1"/>
  <c r="AF23" i="12" s="1"/>
  <c r="AF22" i="12"/>
  <c r="Z22" i="12"/>
  <c r="AC22" i="12" s="1"/>
  <c r="P22" i="12"/>
  <c r="AB22" i="12" s="1"/>
  <c r="AE22" i="12" s="1"/>
  <c r="O22" i="12"/>
  <c r="O52" i="12" s="1"/>
  <c r="N22" i="12"/>
  <c r="AB21" i="12"/>
  <c r="AE21" i="12" s="1"/>
  <c r="P21" i="12"/>
  <c r="P51" i="12" s="1"/>
  <c r="O21" i="12"/>
  <c r="O51" i="12" s="1"/>
  <c r="N21" i="12"/>
  <c r="Z21" i="12" s="1"/>
  <c r="AC21" i="12" s="1"/>
  <c r="AF21" i="12" s="1"/>
  <c r="K21" i="12"/>
  <c r="D21" i="12"/>
  <c r="Z20" i="12"/>
  <c r="AC20" i="12" s="1"/>
  <c r="AF20" i="12" s="1"/>
  <c r="P20" i="12"/>
  <c r="P50" i="12" s="1"/>
  <c r="O20" i="12"/>
  <c r="O50" i="12" s="1"/>
  <c r="N20" i="12"/>
  <c r="N50" i="12" s="1"/>
  <c r="Z50" i="12" s="1"/>
  <c r="O82" i="12" s="1"/>
  <c r="AB19" i="12"/>
  <c r="AE19" i="12" s="1"/>
  <c r="P19" i="12"/>
  <c r="P49" i="12" s="1"/>
  <c r="O19" i="12"/>
  <c r="N19" i="12"/>
  <c r="AB18" i="12"/>
  <c r="AE18" i="12" s="1"/>
  <c r="P18" i="12"/>
  <c r="O18" i="12"/>
  <c r="O48" i="12" s="1"/>
  <c r="N18" i="12"/>
  <c r="Z18" i="12" s="1"/>
  <c r="AC18" i="12" s="1"/>
  <c r="AF18" i="12" s="1"/>
  <c r="P17" i="12"/>
  <c r="O17" i="12"/>
  <c r="N17" i="12"/>
  <c r="N47" i="12" s="1"/>
  <c r="Z47" i="12" s="1"/>
  <c r="O79" i="12" s="1"/>
  <c r="Z16" i="12"/>
  <c r="AC16" i="12" s="1"/>
  <c r="AF16" i="12" s="1"/>
  <c r="P16" i="12"/>
  <c r="P46" i="12" s="1"/>
  <c r="O16" i="12"/>
  <c r="O46" i="12" s="1"/>
  <c r="N16" i="12"/>
  <c r="N46" i="12" s="1"/>
  <c r="Z46" i="12" s="1"/>
  <c r="O78" i="12" s="1"/>
  <c r="AB15" i="12"/>
  <c r="AE15" i="12" s="1"/>
  <c r="P15" i="12"/>
  <c r="P45" i="12" s="1"/>
  <c r="O15" i="12"/>
  <c r="N15" i="12"/>
  <c r="AB14" i="12"/>
  <c r="AE14" i="12" s="1"/>
  <c r="P14" i="12"/>
  <c r="O14" i="12"/>
  <c r="O44" i="12" s="1"/>
  <c r="N14" i="12"/>
  <c r="Z14" i="12" s="1"/>
  <c r="AC14" i="12" s="1"/>
  <c r="AF14" i="12" s="1"/>
  <c r="K14" i="12"/>
  <c r="Z13" i="12"/>
  <c r="AC13" i="12" s="1"/>
  <c r="AF13" i="12" s="1"/>
  <c r="P13" i="12"/>
  <c r="AB13" i="12" s="1"/>
  <c r="AE13" i="12" s="1"/>
  <c r="O13" i="12"/>
  <c r="O43" i="12" s="1"/>
  <c r="N13" i="12"/>
  <c r="AB12" i="12"/>
  <c r="AE12" i="12" s="1"/>
  <c r="P12" i="12"/>
  <c r="P42" i="12" s="1"/>
  <c r="O12" i="12"/>
  <c r="O42" i="12" s="1"/>
  <c r="N12" i="12"/>
  <c r="Z12" i="12" s="1"/>
  <c r="AC12" i="12" s="1"/>
  <c r="AF12" i="12" s="1"/>
  <c r="K12" i="12"/>
  <c r="O11" i="12"/>
  <c r="O41" i="12" s="1"/>
  <c r="N11" i="12"/>
  <c r="N41" i="12" s="1"/>
  <c r="Z41" i="12" s="1"/>
  <c r="O73" i="12" s="1"/>
  <c r="K11" i="12"/>
  <c r="AB10" i="12"/>
  <c r="AE10" i="12" s="1"/>
  <c r="P10" i="12"/>
  <c r="O10" i="12"/>
  <c r="N10" i="12"/>
  <c r="N40" i="12" s="1"/>
  <c r="Z40" i="12" s="1"/>
  <c r="O72" i="12" s="1"/>
  <c r="X72" i="12" s="1"/>
  <c r="AB9" i="12"/>
  <c r="AE9" i="12" s="1"/>
  <c r="P9" i="12"/>
  <c r="O9" i="12"/>
  <c r="O39" i="12" s="1"/>
  <c r="N9" i="12"/>
  <c r="Z9" i="12" s="1"/>
  <c r="AC9" i="12" s="1"/>
  <c r="AF9" i="12" s="1"/>
  <c r="P8" i="12"/>
  <c r="AB8" i="12" s="1"/>
  <c r="AE8" i="12" s="1"/>
  <c r="O8" i="12"/>
  <c r="O38" i="12" s="1"/>
  <c r="N8" i="12"/>
  <c r="N38" i="12" s="1"/>
  <c r="Z38" i="12" s="1"/>
  <c r="O70" i="12" s="1"/>
  <c r="Z70" i="12" s="1"/>
  <c r="AF7" i="12"/>
  <c r="Z7" i="12"/>
  <c r="AC7" i="12" s="1"/>
  <c r="P7" i="12"/>
  <c r="O7" i="12"/>
  <c r="O37" i="12" s="1"/>
  <c r="N7" i="12"/>
  <c r="AB6" i="12"/>
  <c r="AE6" i="12" s="1"/>
  <c r="P6" i="12"/>
  <c r="O6" i="12"/>
  <c r="N6" i="12"/>
  <c r="N36" i="12" s="1"/>
  <c r="Z36" i="12" s="1"/>
  <c r="O68" i="12" s="1"/>
  <c r="Y68" i="12" s="1"/>
  <c r="AB5" i="12"/>
  <c r="AE5" i="12" s="1"/>
  <c r="P5" i="12"/>
  <c r="O5" i="12"/>
  <c r="N5" i="12"/>
  <c r="O248" i="12" l="1"/>
  <c r="P248" i="12"/>
  <c r="W248" i="12" s="1"/>
  <c r="P249" i="12"/>
  <c r="O9" i="11" s="1"/>
  <c r="K9" i="11" s="1"/>
  <c r="K10" i="11" s="1"/>
  <c r="O249" i="12"/>
  <c r="Z10" i="11" s="1"/>
  <c r="V27" i="11" s="1"/>
  <c r="P251" i="12"/>
  <c r="O11" i="11" s="1"/>
  <c r="K13" i="11" s="1"/>
  <c r="K14" i="11" s="1"/>
  <c r="P253" i="12"/>
  <c r="O13" i="11" s="1"/>
  <c r="K17" i="11" s="1"/>
  <c r="K18" i="11" s="1"/>
  <c r="P255" i="12"/>
  <c r="O255" i="12"/>
  <c r="O250" i="12"/>
  <c r="Z11" i="11" s="1"/>
  <c r="V28" i="11" s="1"/>
  <c r="O252" i="12"/>
  <c r="Z13" i="11" s="1"/>
  <c r="V30" i="11" s="1"/>
  <c r="O254" i="12"/>
  <c r="Z15" i="11" s="1"/>
  <c r="V32" i="11" s="1"/>
  <c r="O256" i="12"/>
  <c r="O251" i="12"/>
  <c r="Z12" i="11" s="1"/>
  <c r="V29" i="11" s="1"/>
  <c r="P250" i="12"/>
  <c r="O10" i="11" s="1"/>
  <c r="K11" i="11" s="1"/>
  <c r="K12" i="11" s="1"/>
  <c r="P252" i="12"/>
  <c r="O12" i="11" s="1"/>
  <c r="K15" i="11" s="1"/>
  <c r="K16" i="11" s="1"/>
  <c r="P254" i="12"/>
  <c r="P256" i="12"/>
  <c r="O253" i="12"/>
  <c r="Z14" i="11" s="1"/>
  <c r="V31" i="11" s="1"/>
  <c r="K143" i="12"/>
  <c r="K159" i="12"/>
  <c r="K186" i="12" s="1"/>
  <c r="K196" i="12" s="1"/>
  <c r="K211" i="12" s="1"/>
  <c r="K223" i="12" s="1"/>
  <c r="U100" i="12"/>
  <c r="K160" i="12"/>
  <c r="K187" i="12" s="1"/>
  <c r="K197" i="12" s="1"/>
  <c r="K212" i="12" s="1"/>
  <c r="K224" i="12" s="1"/>
  <c r="Y9" i="9" a="1"/>
  <c r="U25" i="9" a="1"/>
  <c r="U128" i="12"/>
  <c r="U129" i="12" s="1"/>
  <c r="AU103" i="12"/>
  <c r="AQ99" i="12"/>
  <c r="BG69" i="12"/>
  <c r="BC69" i="12"/>
  <c r="AY69" i="12"/>
  <c r="BJ69" i="12"/>
  <c r="BF69" i="12"/>
  <c r="BB69" i="12"/>
  <c r="AX69" i="12"/>
  <c r="BI69" i="12"/>
  <c r="BE69" i="12"/>
  <c r="BA69" i="12"/>
  <c r="AW69" i="12"/>
  <c r="AZ69" i="12"/>
  <c r="BD69" i="12"/>
  <c r="BH69" i="12"/>
  <c r="Z75" i="12"/>
  <c r="AG75" i="12"/>
  <c r="Y75" i="12"/>
  <c r="X75" i="12"/>
  <c r="P75" i="12"/>
  <c r="W75" i="12"/>
  <c r="W88" i="12"/>
  <c r="Z88" i="12"/>
  <c r="Y88" i="12"/>
  <c r="X88" i="12"/>
  <c r="P88" i="12"/>
  <c r="Y67" i="12"/>
  <c r="X67" i="12"/>
  <c r="P67" i="12"/>
  <c r="W67" i="12"/>
  <c r="Z67" i="12"/>
  <c r="Z73" i="12"/>
  <c r="Y73" i="12"/>
  <c r="X73" i="12"/>
  <c r="P73" i="12"/>
  <c r="W73" i="12"/>
  <c r="N49" i="12"/>
  <c r="Z49" i="12" s="1"/>
  <c r="O81" i="12" s="1"/>
  <c r="Z19" i="12"/>
  <c r="AC19" i="12" s="1"/>
  <c r="AF19" i="12" s="1"/>
  <c r="AT106" i="12"/>
  <c r="AV106" i="12"/>
  <c r="AR106" i="12"/>
  <c r="AN106" i="12"/>
  <c r="AJ106" i="12"/>
  <c r="AB106" i="12"/>
  <c r="T106" i="12"/>
  <c r="AA106" i="12" s="1"/>
  <c r="P106" i="12"/>
  <c r="AG106" i="12" s="1"/>
  <c r="AQ106" i="12"/>
  <c r="AL106" i="12"/>
  <c r="V106" i="12"/>
  <c r="Q106" i="12"/>
  <c r="AV101" i="12"/>
  <c r="AR101" i="12"/>
  <c r="AN101" i="12"/>
  <c r="AJ101" i="12"/>
  <c r="T101" i="12"/>
  <c r="AU100" i="12"/>
  <c r="AQ100" i="12"/>
  <c r="AM100" i="12"/>
  <c r="AI100" i="12"/>
  <c r="AP106" i="12"/>
  <c r="AK106" i="12"/>
  <c r="U106" i="12"/>
  <c r="O106" i="12"/>
  <c r="AU101" i="12"/>
  <c r="AQ101" i="12"/>
  <c r="AM101" i="12"/>
  <c r="AI101" i="12"/>
  <c r="S101" i="12"/>
  <c r="AT100" i="12"/>
  <c r="AP100" i="12"/>
  <c r="AL100" i="12"/>
  <c r="AU106" i="12"/>
  <c r="AO106" i="12"/>
  <c r="AI106" i="12"/>
  <c r="S106" i="12"/>
  <c r="N106" i="12"/>
  <c r="AE106" i="12" s="1"/>
  <c r="AT101" i="12"/>
  <c r="AP101" i="12"/>
  <c r="AL101" i="12"/>
  <c r="V101" i="12"/>
  <c r="R101" i="12"/>
  <c r="N101" i="12"/>
  <c r="AS100" i="12"/>
  <c r="AO100" i="12"/>
  <c r="AK100" i="12"/>
  <c r="AC106" i="12"/>
  <c r="AO101" i="12"/>
  <c r="AN100" i="12"/>
  <c r="AS106" i="12"/>
  <c r="AK101" i="12"/>
  <c r="U101" i="12"/>
  <c r="AJ100" i="12"/>
  <c r="AM106" i="12"/>
  <c r="R106" i="12"/>
  <c r="AV100" i="12"/>
  <c r="N39" i="12"/>
  <c r="Z39" i="12" s="1"/>
  <c r="O71" i="12" s="1"/>
  <c r="Y83" i="12"/>
  <c r="X83" i="12"/>
  <c r="P83" i="12"/>
  <c r="W83" i="12"/>
  <c r="AH84" i="12"/>
  <c r="W85" i="12"/>
  <c r="Z85" i="12"/>
  <c r="Y85" i="12"/>
  <c r="X85" i="12"/>
  <c r="P85" i="12"/>
  <c r="Q68" i="12"/>
  <c r="Q70" i="12"/>
  <c r="P37" i="12"/>
  <c r="AB7" i="12"/>
  <c r="AE7" i="12" s="1"/>
  <c r="Z10" i="12"/>
  <c r="AC10" i="12" s="1"/>
  <c r="AF10" i="12" s="1"/>
  <c r="W79" i="12"/>
  <c r="Z79" i="12"/>
  <c r="Y79" i="12"/>
  <c r="X79" i="12"/>
  <c r="P79" i="12"/>
  <c r="X82" i="12"/>
  <c r="P82" i="12"/>
  <c r="W82" i="12"/>
  <c r="Z82" i="12"/>
  <c r="Y82" i="12"/>
  <c r="Z86" i="12"/>
  <c r="Y86" i="12"/>
  <c r="X86" i="12"/>
  <c r="P86" i="12"/>
  <c r="W86" i="12"/>
  <c r="T61" i="12"/>
  <c r="P38" i="12"/>
  <c r="Q73" i="12"/>
  <c r="N42" i="12"/>
  <c r="Z42" i="12" s="1"/>
  <c r="O74" i="12" s="1"/>
  <c r="Q77" i="12"/>
  <c r="Q80" i="12"/>
  <c r="Q103" i="12" s="1"/>
  <c r="X89" i="12"/>
  <c r="P89" i="12"/>
  <c r="W89" i="12"/>
  <c r="Z89" i="12"/>
  <c r="Y89" i="12"/>
  <c r="N100" i="12"/>
  <c r="AE69" i="12"/>
  <c r="AD78" i="12"/>
  <c r="AF78" i="12"/>
  <c r="AV108" i="12"/>
  <c r="AR108" i="12"/>
  <c r="AN108" i="12"/>
  <c r="AJ108" i="12"/>
  <c r="AB108" i="12"/>
  <c r="T108" i="12"/>
  <c r="AA108" i="12" s="1"/>
  <c r="P108" i="12"/>
  <c r="AG108" i="12" s="1"/>
  <c r="AU107" i="12"/>
  <c r="AQ107" i="12"/>
  <c r="AM107" i="12"/>
  <c r="AI107" i="12"/>
  <c r="S107" i="12"/>
  <c r="O107" i="12"/>
  <c r="AU108" i="12"/>
  <c r="AQ108" i="12"/>
  <c r="AM108" i="12"/>
  <c r="AI108" i="12"/>
  <c r="S108" i="12"/>
  <c r="O108" i="12"/>
  <c r="AT107" i="12"/>
  <c r="AP107" i="12"/>
  <c r="AL107" i="12"/>
  <c r="AH107" i="12"/>
  <c r="V107" i="12"/>
  <c r="R107" i="12"/>
  <c r="N107" i="12"/>
  <c r="AE107" i="12" s="1"/>
  <c r="AT108" i="12"/>
  <c r="AP108" i="12"/>
  <c r="AL108" i="12"/>
  <c r="AH108" i="12"/>
  <c r="V108" i="12"/>
  <c r="R108" i="12"/>
  <c r="N108" i="12"/>
  <c r="AE108" i="12" s="1"/>
  <c r="AS107" i="12"/>
  <c r="AO107" i="12"/>
  <c r="AK107" i="12"/>
  <c r="AC107" i="12"/>
  <c r="U107" i="12"/>
  <c r="Q107" i="12"/>
  <c r="AS108" i="12"/>
  <c r="AC108" i="12"/>
  <c r="AR107" i="12"/>
  <c r="AB107" i="12"/>
  <c r="AS102" i="12"/>
  <c r="AO102" i="12"/>
  <c r="AK102" i="12"/>
  <c r="U102" i="12"/>
  <c r="AO108" i="12"/>
  <c r="AN107" i="12"/>
  <c r="AV102" i="12"/>
  <c r="AR102" i="12"/>
  <c r="AN102" i="12"/>
  <c r="AJ102" i="12"/>
  <c r="T102" i="12"/>
  <c r="AK108" i="12"/>
  <c r="U108" i="12"/>
  <c r="AJ107" i="12"/>
  <c r="T107" i="12"/>
  <c r="AA107" i="12" s="1"/>
  <c r="AU102" i="12"/>
  <c r="AQ102" i="12"/>
  <c r="AM102" i="12"/>
  <c r="AI102" i="12"/>
  <c r="S102" i="12"/>
  <c r="O102" i="12"/>
  <c r="AP102" i="12"/>
  <c r="Q108" i="12"/>
  <c r="P107" i="12"/>
  <c r="AG107" i="12" s="1"/>
  <c r="AL102" i="12"/>
  <c r="V102" i="12"/>
  <c r="R102" i="12"/>
  <c r="AV107" i="12"/>
  <c r="N102" i="12"/>
  <c r="AD85" i="12"/>
  <c r="AE85" i="12" s="1"/>
  <c r="AF85" i="12"/>
  <c r="AG85" i="12" s="1"/>
  <c r="AH106" i="12"/>
  <c r="AH78" i="12"/>
  <c r="AE78" i="12"/>
  <c r="Q74" i="12"/>
  <c r="Q101" i="12" s="1"/>
  <c r="Y70" i="12"/>
  <c r="X70" i="12"/>
  <c r="P70" i="12"/>
  <c r="W70" i="12"/>
  <c r="W72" i="12"/>
  <c r="Z72" i="12"/>
  <c r="Y72" i="12"/>
  <c r="N45" i="12"/>
  <c r="Z45" i="12" s="1"/>
  <c r="O77" i="12" s="1"/>
  <c r="Z15" i="12"/>
  <c r="AC15" i="12" s="1"/>
  <c r="AF15" i="12" s="1"/>
  <c r="P53" i="12"/>
  <c r="AB23" i="12"/>
  <c r="AE23" i="12" s="1"/>
  <c r="M155" i="12"/>
  <c r="M182" i="12" s="1"/>
  <c r="M192" i="12" s="1"/>
  <c r="M207" i="12" s="1"/>
  <c r="M219" i="12" s="1"/>
  <c r="M140" i="12"/>
  <c r="S100" i="12"/>
  <c r="Q72" i="12"/>
  <c r="AC72" i="12" s="1"/>
  <c r="AH73" i="12"/>
  <c r="Q75" i="12"/>
  <c r="Q76" i="12"/>
  <c r="AH77" i="12"/>
  <c r="Q79" i="12"/>
  <c r="Q102" i="12" s="1"/>
  <c r="Q83" i="12"/>
  <c r="Y84" i="12"/>
  <c r="X84" i="12"/>
  <c r="P84" i="12"/>
  <c r="W84" i="12"/>
  <c r="Z84" i="12"/>
  <c r="V105" i="12"/>
  <c r="Q87" i="12"/>
  <c r="Q105" i="12" s="1"/>
  <c r="AH67" i="12"/>
  <c r="R100" i="12"/>
  <c r="AD72" i="12"/>
  <c r="AE72" i="12" s="1"/>
  <c r="AC76" i="12"/>
  <c r="AR100" i="12"/>
  <c r="X68" i="12"/>
  <c r="P68" i="12"/>
  <c r="W68" i="12"/>
  <c r="Z68" i="12"/>
  <c r="P41" i="12"/>
  <c r="AB11" i="12"/>
  <c r="AE11" i="12" s="1"/>
  <c r="P28" i="12"/>
  <c r="AT110" i="12"/>
  <c r="AP110" i="12"/>
  <c r="AL110" i="12"/>
  <c r="V110" i="12"/>
  <c r="R110" i="12"/>
  <c r="N110" i="12"/>
  <c r="AS109" i="12"/>
  <c r="AO109" i="12"/>
  <c r="AK109" i="12"/>
  <c r="AC109" i="12"/>
  <c r="U109" i="12"/>
  <c r="Q109" i="12"/>
  <c r="AS110" i="12"/>
  <c r="AO110" i="12"/>
  <c r="AK110" i="12"/>
  <c r="U110" i="12"/>
  <c r="AV109" i="12"/>
  <c r="AR109" i="12"/>
  <c r="AN109" i="12"/>
  <c r="AJ109" i="12"/>
  <c r="AB109" i="12"/>
  <c r="T109" i="12"/>
  <c r="AA109" i="12" s="1"/>
  <c r="P109" i="12"/>
  <c r="AG109" i="12" s="1"/>
  <c r="AV110" i="12"/>
  <c r="AR110" i="12"/>
  <c r="AN110" i="12"/>
  <c r="AJ110" i="12"/>
  <c r="T110" i="12"/>
  <c r="AA110" i="12" s="1"/>
  <c r="AU109" i="12"/>
  <c r="AQ109" i="12"/>
  <c r="AM109" i="12"/>
  <c r="AI109" i="12"/>
  <c r="S109" i="12"/>
  <c r="O109" i="12"/>
  <c r="AU110" i="12"/>
  <c r="O110" i="12"/>
  <c r="AT109" i="12"/>
  <c r="N109" i="12"/>
  <c r="AE109" i="12" s="1"/>
  <c r="AT103" i="12"/>
  <c r="AP103" i="12"/>
  <c r="AL103" i="12"/>
  <c r="V103" i="12"/>
  <c r="R103" i="12"/>
  <c r="N103" i="12"/>
  <c r="AQ110" i="12"/>
  <c r="AP109" i="12"/>
  <c r="AS103" i="12"/>
  <c r="AO103" i="12"/>
  <c r="AK103" i="12"/>
  <c r="U103" i="12"/>
  <c r="AM110" i="12"/>
  <c r="AL109" i="12"/>
  <c r="V109" i="12"/>
  <c r="AV103" i="12"/>
  <c r="AR103" i="12"/>
  <c r="AN103" i="12"/>
  <c r="AJ103" i="12"/>
  <c r="T103" i="12"/>
  <c r="AA103" i="12" s="1"/>
  <c r="R160" i="12" s="1"/>
  <c r="AI110" i="12"/>
  <c r="AH109" i="12"/>
  <c r="AQ103" i="12"/>
  <c r="S110" i="12"/>
  <c r="R109" i="12"/>
  <c r="AM103" i="12"/>
  <c r="AI103" i="12"/>
  <c r="S103" i="12"/>
  <c r="Q81" i="12"/>
  <c r="Q110" i="12" s="1"/>
  <c r="O105" i="12"/>
  <c r="Y87" i="12"/>
  <c r="X87" i="12"/>
  <c r="P87" i="12"/>
  <c r="W87" i="12"/>
  <c r="AH89" i="12"/>
  <c r="N28" i="12"/>
  <c r="Z5" i="12"/>
  <c r="AC5" i="12" s="1"/>
  <c r="AF5" i="12" s="1"/>
  <c r="O35" i="12"/>
  <c r="Z6" i="12"/>
  <c r="AC6" i="12" s="1"/>
  <c r="AF6" i="12" s="1"/>
  <c r="Z78" i="12"/>
  <c r="AG78" i="12"/>
  <c r="Y78" i="12"/>
  <c r="X78" i="12"/>
  <c r="P78" i="12"/>
  <c r="W78" i="12"/>
  <c r="AB17" i="12"/>
  <c r="AE17" i="12" s="1"/>
  <c r="P47" i="12"/>
  <c r="AT99" i="12"/>
  <c r="AP99" i="12"/>
  <c r="AL99" i="12"/>
  <c r="AH99" i="12"/>
  <c r="V99" i="12"/>
  <c r="R99" i="12"/>
  <c r="N99" i="12"/>
  <c r="AS99" i="12"/>
  <c r="AO99" i="12"/>
  <c r="AK99" i="12"/>
  <c r="U99" i="12"/>
  <c r="Q99" i="12"/>
  <c r="AV99" i="12"/>
  <c r="AR99" i="12"/>
  <c r="AN99" i="12"/>
  <c r="AJ99" i="12"/>
  <c r="T99" i="12"/>
  <c r="AM99" i="12"/>
  <c r="AI99" i="12"/>
  <c r="S99" i="12"/>
  <c r="AU99" i="12"/>
  <c r="O99" i="12"/>
  <c r="AA67" i="12"/>
  <c r="AE68" i="12"/>
  <c r="AH68" i="12"/>
  <c r="T100" i="12"/>
  <c r="AA100" i="12" s="1"/>
  <c r="AA69" i="12"/>
  <c r="Y69" i="12"/>
  <c r="X69" i="12"/>
  <c r="P69" i="12"/>
  <c r="W69" i="12"/>
  <c r="AA70" i="12"/>
  <c r="AH72" i="12"/>
  <c r="AH75" i="12"/>
  <c r="AH82" i="12"/>
  <c r="AH83" i="12"/>
  <c r="N105" i="12"/>
  <c r="AE87" i="12"/>
  <c r="AH87" i="12"/>
  <c r="Q67" i="12"/>
  <c r="V100" i="12"/>
  <c r="Q69" i="12"/>
  <c r="AH70" i="12"/>
  <c r="P72" i="12"/>
  <c r="AF72" i="12"/>
  <c r="AG72" i="12" s="1"/>
  <c r="Z83" i="12"/>
  <c r="Z87" i="12"/>
  <c r="AS101" i="12"/>
  <c r="Z8" i="12"/>
  <c r="AC8" i="12" s="1"/>
  <c r="AF8" i="12" s="1"/>
  <c r="Z11" i="12"/>
  <c r="AC11" i="12" s="1"/>
  <c r="AF11" i="12" s="1"/>
  <c r="AB16" i="12"/>
  <c r="AE16" i="12" s="1"/>
  <c r="Z17" i="12"/>
  <c r="AC17" i="12" s="1"/>
  <c r="AF17" i="12" s="1"/>
  <c r="AB20" i="12"/>
  <c r="AE20" i="12" s="1"/>
  <c r="N44" i="12"/>
  <c r="Z44" i="12" s="1"/>
  <c r="O76" i="12" s="1"/>
  <c r="AD76" i="12" s="1"/>
  <c r="AE76" i="12" s="1"/>
  <c r="N48" i="12"/>
  <c r="Z48" i="12" s="1"/>
  <c r="O80" i="12" s="1"/>
  <c r="AH80" i="12" s="1"/>
  <c r="AT112" i="12"/>
  <c r="AP112" i="12"/>
  <c r="AL112" i="12"/>
  <c r="AH112" i="12"/>
  <c r="AS112" i="12"/>
  <c r="AO112" i="12"/>
  <c r="AV112" i="12"/>
  <c r="AU112" i="12"/>
  <c r="AQ112" i="12"/>
  <c r="AM112" i="12"/>
  <c r="AI112" i="12"/>
  <c r="S112" i="12"/>
  <c r="AJ112" i="12"/>
  <c r="AB112" i="12"/>
  <c r="U112" i="12"/>
  <c r="P112" i="12"/>
  <c r="AG112" i="12" s="1"/>
  <c r="AU111" i="12"/>
  <c r="AQ111" i="12"/>
  <c r="AM111" i="12"/>
  <c r="AI111" i="12"/>
  <c r="S111" i="12"/>
  <c r="O111" i="12"/>
  <c r="AR112" i="12"/>
  <c r="T112" i="12"/>
  <c r="AA112" i="12" s="1"/>
  <c r="O112" i="12"/>
  <c r="AT111" i="12"/>
  <c r="AP111" i="12"/>
  <c r="AL111" i="12"/>
  <c r="AH111" i="12"/>
  <c r="V111" i="12"/>
  <c r="R111" i="12"/>
  <c r="N111" i="12"/>
  <c r="AE111" i="12" s="1"/>
  <c r="AN112" i="12"/>
  <c r="R112" i="12"/>
  <c r="N112" i="12"/>
  <c r="AE112" i="12" s="1"/>
  <c r="AS111" i="12"/>
  <c r="AO111" i="12"/>
  <c r="AK111" i="12"/>
  <c r="AC111" i="12"/>
  <c r="U111" i="12"/>
  <c r="Q111" i="12"/>
  <c r="Q112" i="12"/>
  <c r="AV111" i="12"/>
  <c r="P111" i="12"/>
  <c r="AG111" i="12" s="1"/>
  <c r="AU104" i="12"/>
  <c r="AQ104" i="12"/>
  <c r="AM104" i="12"/>
  <c r="AI104" i="12"/>
  <c r="S104" i="12"/>
  <c r="O104" i="12"/>
  <c r="AK112" i="12"/>
  <c r="AR111" i="12"/>
  <c r="AB111" i="12"/>
  <c r="AT104" i="12"/>
  <c r="AP104" i="12"/>
  <c r="AL104" i="12"/>
  <c r="V104" i="12"/>
  <c r="R104" i="12"/>
  <c r="N104" i="12"/>
  <c r="AC112" i="12"/>
  <c r="AN111" i="12"/>
  <c r="AS104" i="12"/>
  <c r="AO104" i="12"/>
  <c r="AK104" i="12"/>
  <c r="U104" i="12"/>
  <c r="AJ111" i="12"/>
  <c r="AR104" i="12"/>
  <c r="AB104" i="12"/>
  <c r="V112" i="12"/>
  <c r="T111" i="12"/>
  <c r="AA111" i="12" s="1"/>
  <c r="AN104" i="12"/>
  <c r="AJ104" i="12"/>
  <c r="T104" i="12"/>
  <c r="AA104" i="12" s="1"/>
  <c r="R161" i="12" s="1"/>
  <c r="AY14" i="9" s="1"/>
  <c r="AY13" i="9" s="1"/>
  <c r="AH86" i="12"/>
  <c r="Z24" i="12"/>
  <c r="AC24" i="12" s="1"/>
  <c r="AF24" i="12" s="1"/>
  <c r="AH79" i="12"/>
  <c r="AH102" i="12" s="1"/>
  <c r="AH81" i="12"/>
  <c r="AA84" i="12"/>
  <c r="Q85" i="12"/>
  <c r="Q104" i="12" s="1"/>
  <c r="S105" i="12"/>
  <c r="Q88" i="12"/>
  <c r="AB101" i="12"/>
  <c r="Q78" i="12"/>
  <c r="AC78" i="12" s="1"/>
  <c r="AH85" i="12"/>
  <c r="AH104" i="12" s="1"/>
  <c r="T105" i="12"/>
  <c r="AA105" i="12" s="1"/>
  <c r="R162" i="12" s="1"/>
  <c r="AA87" i="12"/>
  <c r="AH88" i="12"/>
  <c r="AE208" i="12"/>
  <c r="S161" i="12"/>
  <c r="J155" i="12"/>
  <c r="J182" i="12" s="1"/>
  <c r="J192" i="12" s="1"/>
  <c r="J207" i="12" s="1"/>
  <c r="J219" i="12" s="1"/>
  <c r="J156" i="12"/>
  <c r="J183" i="12" s="1"/>
  <c r="J193" i="12" s="1"/>
  <c r="J208" i="12" s="1"/>
  <c r="J220" i="12" s="1"/>
  <c r="K157" i="12"/>
  <c r="K184" i="12" s="1"/>
  <c r="K194" i="12" s="1"/>
  <c r="K209" i="12" s="1"/>
  <c r="K221" i="12" s="1"/>
  <c r="AD122" i="12"/>
  <c r="AD126" i="12"/>
  <c r="M142" i="12"/>
  <c r="L143" i="12"/>
  <c r="J145" i="12"/>
  <c r="M146" i="12"/>
  <c r="L147" i="12"/>
  <c r="K155" i="12"/>
  <c r="K182" i="12" s="1"/>
  <c r="K192" i="12" s="1"/>
  <c r="K207" i="12" s="1"/>
  <c r="K219" i="12" s="1"/>
  <c r="K156" i="12"/>
  <c r="K183" i="12" s="1"/>
  <c r="K193" i="12" s="1"/>
  <c r="K208" i="12" s="1"/>
  <c r="K220" i="12" s="1"/>
  <c r="L159" i="12"/>
  <c r="L186" i="12" s="1"/>
  <c r="L196" i="12" s="1"/>
  <c r="L211" i="12" s="1"/>
  <c r="L223" i="12" s="1"/>
  <c r="AD125" i="12"/>
  <c r="J142" i="12"/>
  <c r="J146" i="12"/>
  <c r="M147" i="12"/>
  <c r="L155" i="12"/>
  <c r="L182" i="12" s="1"/>
  <c r="L192" i="12" s="1"/>
  <c r="L207" i="12" s="1"/>
  <c r="L219" i="12" s="1"/>
  <c r="L156" i="12"/>
  <c r="L183" i="12" s="1"/>
  <c r="L193" i="12" s="1"/>
  <c r="L208" i="12" s="1"/>
  <c r="L220" i="12" s="1"/>
  <c r="M159" i="12"/>
  <c r="M186" i="12" s="1"/>
  <c r="M196" i="12" s="1"/>
  <c r="M211" i="12" s="1"/>
  <c r="M223" i="12" s="1"/>
  <c r="K146" i="12"/>
  <c r="Z9" i="11" l="1"/>
  <c r="V26" i="11" s="1"/>
  <c r="V248" i="12"/>
  <c r="AA99" i="12"/>
  <c r="R156" i="12" s="1"/>
  <c r="AK14" i="9"/>
  <c r="AK15" i="9" s="1"/>
  <c r="S157" i="12"/>
  <c r="AY10" i="9"/>
  <c r="AY9" i="9" s="1"/>
  <c r="AK9" i="9"/>
  <c r="AK18" i="9"/>
  <c r="AK19" i="9" s="1"/>
  <c r="U30" i="9"/>
  <c r="U26" i="9"/>
  <c r="U29" i="9"/>
  <c r="U25" i="9"/>
  <c r="U28" i="9"/>
  <c r="U31" i="9"/>
  <c r="U27" i="9"/>
  <c r="Y15" i="9"/>
  <c r="Y11" i="9"/>
  <c r="Y13" i="9"/>
  <c r="Y9" i="9"/>
  <c r="Y14" i="9"/>
  <c r="Y10" i="9"/>
  <c r="Y12" i="9"/>
  <c r="AA101" i="12"/>
  <c r="R158" i="12" s="1"/>
  <c r="BI80" i="12"/>
  <c r="BE80" i="12"/>
  <c r="BA80" i="12"/>
  <c r="AW80" i="12"/>
  <c r="BH80" i="12"/>
  <c r="BD80" i="12"/>
  <c r="AZ80" i="12"/>
  <c r="BG80" i="12"/>
  <c r="AY80" i="12"/>
  <c r="BF80" i="12"/>
  <c r="AX80" i="12"/>
  <c r="BC80" i="12"/>
  <c r="BJ80" i="12"/>
  <c r="BB80" i="12"/>
  <c r="AH103" i="12"/>
  <c r="BM112" i="12"/>
  <c r="AY112" i="12"/>
  <c r="BR111" i="12"/>
  <c r="BD111" i="12"/>
  <c r="BN112" i="12"/>
  <c r="AZ112" i="12"/>
  <c r="AB105" i="12"/>
  <c r="AC87" i="12"/>
  <c r="AF87" i="12"/>
  <c r="AG87" i="12" s="1"/>
  <c r="AD87" i="12"/>
  <c r="AH105" i="12"/>
  <c r="AK20" i="9" s="1"/>
  <c r="AK21" i="9" s="1"/>
  <c r="BG87" i="12"/>
  <c r="BC87" i="12"/>
  <c r="AY87" i="12"/>
  <c r="BJ87" i="12"/>
  <c r="BF87" i="12"/>
  <c r="BB87" i="12"/>
  <c r="AX87" i="12"/>
  <c r="BI87" i="12"/>
  <c r="BE87" i="12"/>
  <c r="BA87" i="12"/>
  <c r="AW87" i="12"/>
  <c r="AZ87" i="12"/>
  <c r="BH87" i="12"/>
  <c r="BD87" i="12"/>
  <c r="BI109" i="12"/>
  <c r="BW109" i="12"/>
  <c r="BP109" i="12"/>
  <c r="BB109" i="12"/>
  <c r="BM109" i="12"/>
  <c r="AY109" i="12"/>
  <c r="BG77" i="12"/>
  <c r="BC77" i="12"/>
  <c r="AY77" i="12"/>
  <c r="BF77" i="12"/>
  <c r="BA77" i="12"/>
  <c r="BJ77" i="12"/>
  <c r="BE77" i="12"/>
  <c r="AZ77" i="12"/>
  <c r="BI77" i="12"/>
  <c r="BD77" i="12"/>
  <c r="AX77" i="12"/>
  <c r="BH77" i="12"/>
  <c r="BB77" i="12"/>
  <c r="AW77" i="12"/>
  <c r="AC85" i="12"/>
  <c r="AZ108" i="12"/>
  <c r="BN108" i="12"/>
  <c r="BK108" i="12"/>
  <c r="AW108" i="12"/>
  <c r="BX108" i="12"/>
  <c r="BJ108" i="12"/>
  <c r="X71" i="12"/>
  <c r="P71" i="12"/>
  <c r="W71" i="12"/>
  <c r="Z71" i="12"/>
  <c r="Y71" i="12"/>
  <c r="BJ106" i="12"/>
  <c r="BX106" i="12"/>
  <c r="AD79" i="12"/>
  <c r="AE79" i="12" s="1"/>
  <c r="AF79" i="12"/>
  <c r="AG79" i="12" s="1"/>
  <c r="AC79" i="12"/>
  <c r="AD80" i="12"/>
  <c r="AE80" i="12" s="1"/>
  <c r="AC80" i="12"/>
  <c r="AF80" i="12"/>
  <c r="AC67" i="12"/>
  <c r="AF67" i="12"/>
  <c r="AD67" i="12"/>
  <c r="AD75" i="12"/>
  <c r="AE75" i="12" s="1"/>
  <c r="AC75" i="12"/>
  <c r="AF75" i="12"/>
  <c r="BB111" i="12"/>
  <c r="BP111" i="12"/>
  <c r="W104" i="12"/>
  <c r="Z104" i="12"/>
  <c r="Y104" i="12"/>
  <c r="X104" i="12"/>
  <c r="P104" i="12"/>
  <c r="AY111" i="12"/>
  <c r="BM111" i="12"/>
  <c r="BV111" i="12"/>
  <c r="BH111" i="12"/>
  <c r="W111" i="12"/>
  <c r="Z111" i="12"/>
  <c r="Y111" i="12"/>
  <c r="X111" i="12"/>
  <c r="BS111" i="12"/>
  <c r="BE111" i="12"/>
  <c r="AD112" i="12"/>
  <c r="AF112" i="12"/>
  <c r="BA112" i="12"/>
  <c r="BO112" i="12"/>
  <c r="BQ112" i="12"/>
  <c r="BC112" i="12"/>
  <c r="BR112" i="12"/>
  <c r="BD112" i="12"/>
  <c r="AD86" i="12"/>
  <c r="AE86" i="12" s="1"/>
  <c r="AC86" i="12"/>
  <c r="AF86" i="12"/>
  <c r="AG86" i="12" s="1"/>
  <c r="AF81" i="12"/>
  <c r="AG81" i="12" s="1"/>
  <c r="AD81" i="12"/>
  <c r="AE81" i="12" s="1"/>
  <c r="AC81" i="12"/>
  <c r="AC110" i="12" s="1"/>
  <c r="Q100" i="12"/>
  <c r="BJ82" i="12"/>
  <c r="BF82" i="12"/>
  <c r="BB82" i="12"/>
  <c r="AX82" i="12"/>
  <c r="BI82" i="12"/>
  <c r="BE82" i="12"/>
  <c r="BA82" i="12"/>
  <c r="AW82" i="12"/>
  <c r="BH82" i="12"/>
  <c r="BD82" i="12"/>
  <c r="AZ82" i="12"/>
  <c r="BC82" i="12"/>
  <c r="AY82" i="12"/>
  <c r="BG82" i="12"/>
  <c r="BH75" i="12"/>
  <c r="BD75" i="12"/>
  <c r="AZ75" i="12"/>
  <c r="BG75" i="12"/>
  <c r="BC75" i="12"/>
  <c r="AY75" i="12"/>
  <c r="BJ75" i="12"/>
  <c r="BF75" i="12"/>
  <c r="BB75" i="12"/>
  <c r="AX75" i="12"/>
  <c r="AW75" i="12"/>
  <c r="BA75" i="12"/>
  <c r="BI75" i="12"/>
  <c r="BE75" i="12"/>
  <c r="BJ68" i="12"/>
  <c r="BF68" i="12"/>
  <c r="BB68" i="12"/>
  <c r="AX68" i="12"/>
  <c r="BI68" i="12"/>
  <c r="BE68" i="12"/>
  <c r="BA68" i="12"/>
  <c r="AW68" i="12"/>
  <c r="BH68" i="12"/>
  <c r="BD68" i="12"/>
  <c r="AZ68" i="12"/>
  <c r="BG68" i="12"/>
  <c r="BC68" i="12"/>
  <c r="AY68" i="12"/>
  <c r="Z99" i="12"/>
  <c r="Y99" i="12"/>
  <c r="X99" i="12"/>
  <c r="P99" i="12"/>
  <c r="W99" i="12"/>
  <c r="AE99" i="12"/>
  <c r="AZ99" i="12"/>
  <c r="X105" i="12"/>
  <c r="P105" i="12"/>
  <c r="W15" i="9" s="1"/>
  <c r="W31" i="9" s="1"/>
  <c r="W105" i="12"/>
  <c r="Z105" i="12"/>
  <c r="Y105" i="12"/>
  <c r="AB103" i="12"/>
  <c r="Z110" i="12"/>
  <c r="Y110" i="12"/>
  <c r="X110" i="12"/>
  <c r="W110" i="12"/>
  <c r="AW109" i="12"/>
  <c r="BK109" i="12"/>
  <c r="BT109" i="12"/>
  <c r="BF109" i="12"/>
  <c r="BQ109" i="12"/>
  <c r="BC109" i="12"/>
  <c r="AH71" i="12"/>
  <c r="Z77" i="12"/>
  <c r="Y77" i="12"/>
  <c r="X77" i="12"/>
  <c r="P77" i="12"/>
  <c r="W77" i="12"/>
  <c r="BH78" i="12"/>
  <c r="BD78" i="12"/>
  <c r="AZ78" i="12"/>
  <c r="BG78" i="12"/>
  <c r="BC78" i="12"/>
  <c r="AY78" i="12"/>
  <c r="BE78" i="12"/>
  <c r="AW78" i="12"/>
  <c r="BJ78" i="12"/>
  <c r="BB78" i="12"/>
  <c r="BI78" i="12"/>
  <c r="BA78" i="12"/>
  <c r="BF78" i="12"/>
  <c r="AX78" i="12"/>
  <c r="N159" i="12"/>
  <c r="P159" i="12" s="1"/>
  <c r="AA102" i="12"/>
  <c r="R159" i="12" s="1"/>
  <c r="BG108" i="12"/>
  <c r="BU108" i="12"/>
  <c r="AY107" i="12"/>
  <c r="BM107" i="12"/>
  <c r="BD108" i="12"/>
  <c r="BR108" i="12"/>
  <c r="BV107" i="12"/>
  <c r="BH107" i="12"/>
  <c r="BO108" i="12"/>
  <c r="BA108" i="12"/>
  <c r="BW107" i="12"/>
  <c r="BI107" i="12"/>
  <c r="BL108" i="12"/>
  <c r="AX108" i="12"/>
  <c r="BG84" i="12"/>
  <c r="BC84" i="12"/>
  <c r="AY84" i="12"/>
  <c r="BJ84" i="12"/>
  <c r="BF84" i="12"/>
  <c r="BB84" i="12"/>
  <c r="AX84" i="12"/>
  <c r="BI84" i="12"/>
  <c r="BE84" i="12"/>
  <c r="BA84" i="12"/>
  <c r="AW84" i="12"/>
  <c r="BH84" i="12"/>
  <c r="BD84" i="12"/>
  <c r="AZ84" i="12"/>
  <c r="BC106" i="12"/>
  <c r="BQ106" i="12"/>
  <c r="BE106" i="12"/>
  <c r="BS106" i="12"/>
  <c r="AX106" i="12"/>
  <c r="BL106" i="12"/>
  <c r="BV106" i="12"/>
  <c r="BH106" i="12"/>
  <c r="AD88" i="12"/>
  <c r="AE88" i="12" s="1"/>
  <c r="AF88" i="12"/>
  <c r="AG88" i="12" s="1"/>
  <c r="AC88" i="12"/>
  <c r="BA104" i="12"/>
  <c r="BF112" i="12"/>
  <c r="BT112" i="12"/>
  <c r="BJ112" i="12"/>
  <c r="BX112" i="12"/>
  <c r="W76" i="12"/>
  <c r="Z76" i="12"/>
  <c r="Y76" i="12"/>
  <c r="AF76" i="12"/>
  <c r="AG76" i="12" s="1"/>
  <c r="P76" i="12"/>
  <c r="X76" i="12"/>
  <c r="BG70" i="12"/>
  <c r="BC70" i="12"/>
  <c r="AY70" i="12"/>
  <c r="BJ70" i="12"/>
  <c r="BF70" i="12"/>
  <c r="BB70" i="12"/>
  <c r="AX70" i="12"/>
  <c r="BI70" i="12"/>
  <c r="BE70" i="12"/>
  <c r="BA70" i="12"/>
  <c r="AW70" i="12"/>
  <c r="BH70" i="12"/>
  <c r="AZ70" i="12"/>
  <c r="BD70" i="12"/>
  <c r="Z121" i="12" a="1"/>
  <c r="AY108" i="12"/>
  <c r="BM108" i="12"/>
  <c r="BR107" i="12"/>
  <c r="BD107" i="12"/>
  <c r="BS107" i="12"/>
  <c r="BE107" i="12"/>
  <c r="BG106" i="12"/>
  <c r="BU106" i="12"/>
  <c r="BN106" i="12"/>
  <c r="AZ106" i="12"/>
  <c r="AF71" i="12"/>
  <c r="AG71" i="12" s="1"/>
  <c r="AD71" i="12"/>
  <c r="AE71" i="12" s="1"/>
  <c r="AC71" i="12"/>
  <c r="AC74" i="12"/>
  <c r="AF74" i="12"/>
  <c r="AD74" i="12"/>
  <c r="AE74" i="12" s="1"/>
  <c r="BJ81" i="12"/>
  <c r="BF81" i="12"/>
  <c r="BB81" i="12"/>
  <c r="AX81" i="12"/>
  <c r="BI81" i="12"/>
  <c r="BE81" i="12"/>
  <c r="BA81" i="12"/>
  <c r="AW81" i="12"/>
  <c r="BH81" i="12"/>
  <c r="BD81" i="12"/>
  <c r="AZ81" i="12"/>
  <c r="BG81" i="12"/>
  <c r="BC81" i="12"/>
  <c r="AY81" i="12"/>
  <c r="AD73" i="12"/>
  <c r="AE73" i="12" s="1"/>
  <c r="AC73" i="12"/>
  <c r="AF73" i="12"/>
  <c r="AG73" i="12" s="1"/>
  <c r="BB104" i="12"/>
  <c r="AY104" i="12"/>
  <c r="AD111" i="12"/>
  <c r="AF111" i="12"/>
  <c r="BW104" i="12"/>
  <c r="BC111" i="12"/>
  <c r="BQ111" i="12"/>
  <c r="BB112" i="12"/>
  <c r="BP112" i="12"/>
  <c r="Z112" i="12"/>
  <c r="W112" i="12"/>
  <c r="Y112" i="12"/>
  <c r="X112" i="12"/>
  <c r="BW111" i="12"/>
  <c r="BI111" i="12"/>
  <c r="AX112" i="12"/>
  <c r="BL112" i="12"/>
  <c r="BE112" i="12"/>
  <c r="BS112" i="12"/>
  <c r="BU112" i="12"/>
  <c r="BG112" i="12"/>
  <c r="BV112" i="12"/>
  <c r="BH112" i="12"/>
  <c r="AC83" i="12"/>
  <c r="AF83" i="12"/>
  <c r="AG83" i="12" s="1"/>
  <c r="AD83" i="12"/>
  <c r="AE83" i="12" s="1"/>
  <c r="AF82" i="12"/>
  <c r="AG82" i="12" s="1"/>
  <c r="AD82" i="12"/>
  <c r="AE82" i="12" s="1"/>
  <c r="AC82" i="12"/>
  <c r="AC105" i="12"/>
  <c r="BI72" i="12"/>
  <c r="BE72" i="12"/>
  <c r="BA72" i="12"/>
  <c r="AW72" i="12"/>
  <c r="BH72" i="12"/>
  <c r="BD72" i="12"/>
  <c r="AZ72" i="12"/>
  <c r="BG72" i="12"/>
  <c r="BC72" i="12"/>
  <c r="AY72" i="12"/>
  <c r="BJ72" i="12"/>
  <c r="BF72" i="12"/>
  <c r="AX72" i="12"/>
  <c r="BB72" i="12"/>
  <c r="O100" i="12"/>
  <c r="BJ89" i="12"/>
  <c r="BF89" i="12"/>
  <c r="BB89" i="12"/>
  <c r="AX89" i="12"/>
  <c r="BI89" i="12"/>
  <c r="BE89" i="12"/>
  <c r="BA89" i="12"/>
  <c r="AW89" i="12"/>
  <c r="BG89" i="12"/>
  <c r="AY89" i="12"/>
  <c r="BD89" i="12"/>
  <c r="BC89" i="12"/>
  <c r="BH89" i="12"/>
  <c r="AZ89" i="12"/>
  <c r="BD109" i="12"/>
  <c r="BR109" i="12"/>
  <c r="BA109" i="12"/>
  <c r="BO109" i="12"/>
  <c r="AF109" i="12"/>
  <c r="AD109" i="12"/>
  <c r="BX109" i="12"/>
  <c r="BJ109" i="12"/>
  <c r="BU109" i="12"/>
  <c r="BG109" i="12"/>
  <c r="AH110" i="12"/>
  <c r="AX107" i="12"/>
  <c r="BL107" i="12"/>
  <c r="AB102" i="12"/>
  <c r="AD107" i="12"/>
  <c r="AF107" i="12"/>
  <c r="BC107" i="12"/>
  <c r="BQ107" i="12"/>
  <c r="BH108" i="12"/>
  <c r="BV108" i="12"/>
  <c r="X108" i="12"/>
  <c r="W108" i="12"/>
  <c r="Z108" i="12"/>
  <c r="Y108" i="12"/>
  <c r="BS108" i="12"/>
  <c r="BE108" i="12"/>
  <c r="BK107" i="12"/>
  <c r="AW107" i="12"/>
  <c r="BP108" i="12"/>
  <c r="BB108" i="12"/>
  <c r="AG74" i="12"/>
  <c r="Y74" i="12"/>
  <c r="X74" i="12"/>
  <c r="P74" i="12"/>
  <c r="W74" i="12"/>
  <c r="AH74" i="12"/>
  <c r="Z74" i="12"/>
  <c r="BW106" i="12"/>
  <c r="BI106" i="12"/>
  <c r="O101" i="12"/>
  <c r="AY106" i="12"/>
  <c r="BM106" i="12"/>
  <c r="BB106" i="12"/>
  <c r="BP106" i="12"/>
  <c r="BI88" i="12"/>
  <c r="BE88" i="12"/>
  <c r="BA88" i="12"/>
  <c r="AW88" i="12"/>
  <c r="BH88" i="12"/>
  <c r="BD88" i="12"/>
  <c r="AZ88" i="12"/>
  <c r="BC88" i="12"/>
  <c r="BJ88" i="12"/>
  <c r="BB88" i="12"/>
  <c r="BG88" i="12"/>
  <c r="AY88" i="12"/>
  <c r="AX88" i="12"/>
  <c r="BF88" i="12"/>
  <c r="BI85" i="12"/>
  <c r="BE85" i="12"/>
  <c r="BA85" i="12"/>
  <c r="AW85" i="12"/>
  <c r="BH85" i="12"/>
  <c r="BD85" i="12"/>
  <c r="AZ85" i="12"/>
  <c r="BG85" i="12"/>
  <c r="BC85" i="12"/>
  <c r="AY85" i="12"/>
  <c r="BB85" i="12"/>
  <c r="AX85" i="12"/>
  <c r="BJ85" i="12"/>
  <c r="BF85" i="12"/>
  <c r="AB100" i="12"/>
  <c r="AC69" i="12"/>
  <c r="AF69" i="12"/>
  <c r="AG69" i="12" s="1"/>
  <c r="AD69" i="12"/>
  <c r="BI79" i="12"/>
  <c r="BE79" i="12"/>
  <c r="BA79" i="12"/>
  <c r="AW79" i="12"/>
  <c r="BH79" i="12"/>
  <c r="BD79" i="12"/>
  <c r="AZ79" i="12"/>
  <c r="BF79" i="12"/>
  <c r="AX79" i="12"/>
  <c r="BC79" i="12"/>
  <c r="BJ79" i="12"/>
  <c r="BB79" i="12"/>
  <c r="BG79" i="12"/>
  <c r="AY79" i="12"/>
  <c r="AD77" i="12"/>
  <c r="AE77" i="12" s="1"/>
  <c r="AC77" i="12"/>
  <c r="AF77" i="12"/>
  <c r="AG77" i="12" s="1"/>
  <c r="BR104" i="12"/>
  <c r="BJ111" i="12"/>
  <c r="BX111" i="12"/>
  <c r="BO111" i="12"/>
  <c r="BA111" i="12"/>
  <c r="AW112" i="12"/>
  <c r="BK112" i="12"/>
  <c r="BH109" i="12"/>
  <c r="BV109" i="12"/>
  <c r="BC108" i="12"/>
  <c r="BQ108" i="12"/>
  <c r="W107" i="12"/>
  <c r="Z107" i="12"/>
  <c r="Y107" i="12"/>
  <c r="X107" i="12"/>
  <c r="AF108" i="12"/>
  <c r="AD108" i="12"/>
  <c r="BO106" i="12"/>
  <c r="BA106" i="12"/>
  <c r="AW106" i="12"/>
  <c r="BK106" i="12"/>
  <c r="X106" i="12"/>
  <c r="Z106" i="12"/>
  <c r="Y106" i="12"/>
  <c r="W106" i="12"/>
  <c r="AF106" i="12"/>
  <c r="AD106" i="12"/>
  <c r="AF68" i="12"/>
  <c r="AG68" i="12" s="1"/>
  <c r="AD68" i="12"/>
  <c r="AC68" i="12"/>
  <c r="AC70" i="12"/>
  <c r="AF70" i="12"/>
  <c r="AG70" i="12" s="1"/>
  <c r="AD70" i="12"/>
  <c r="AE70" i="12" s="1"/>
  <c r="BH86" i="12"/>
  <c r="BD86" i="12"/>
  <c r="AZ86" i="12"/>
  <c r="BG86" i="12"/>
  <c r="BC86" i="12"/>
  <c r="AY86" i="12"/>
  <c r="BJ86" i="12"/>
  <c r="BF86" i="12"/>
  <c r="BB86" i="12"/>
  <c r="AX86" i="12"/>
  <c r="BA86" i="12"/>
  <c r="AW86" i="12"/>
  <c r="BI86" i="12"/>
  <c r="BE86" i="12"/>
  <c r="AX111" i="12"/>
  <c r="BL111" i="12"/>
  <c r="BC104" i="12"/>
  <c r="AC104" i="12"/>
  <c r="BN104" i="12"/>
  <c r="BF111" i="12"/>
  <c r="BT111" i="12"/>
  <c r="BK104" i="12"/>
  <c r="BG111" i="12"/>
  <c r="BU111" i="12"/>
  <c r="BN111" i="12"/>
  <c r="AZ111" i="12"/>
  <c r="BK111" i="12"/>
  <c r="AW111" i="12"/>
  <c r="BI112" i="12"/>
  <c r="BW112" i="12"/>
  <c r="W80" i="12"/>
  <c r="Z80" i="12"/>
  <c r="AG80" i="12"/>
  <c r="Y80" i="12"/>
  <c r="P80" i="12"/>
  <c r="X80" i="12"/>
  <c r="AC84" i="12"/>
  <c r="AF84" i="12"/>
  <c r="AG84" i="12" s="1"/>
  <c r="AD84" i="12"/>
  <c r="AE84" i="12" s="1"/>
  <c r="AF89" i="12"/>
  <c r="AG89" i="12" s="1"/>
  <c r="AC89" i="12"/>
  <c r="AD89" i="12"/>
  <c r="AE89" i="12" s="1"/>
  <c r="BG83" i="12"/>
  <c r="BC83" i="12"/>
  <c r="AY83" i="12"/>
  <c r="BJ83" i="12"/>
  <c r="BF83" i="12"/>
  <c r="BB83" i="12"/>
  <c r="AX83" i="12"/>
  <c r="BI83" i="12"/>
  <c r="BE83" i="12"/>
  <c r="BA83" i="12"/>
  <c r="AW83" i="12"/>
  <c r="AZ83" i="12"/>
  <c r="BH83" i="12"/>
  <c r="BD83" i="12"/>
  <c r="AH76" i="12"/>
  <c r="AB99" i="12"/>
  <c r="O103" i="12"/>
  <c r="AK16" i="9" s="1"/>
  <c r="AK17" i="9" s="1"/>
  <c r="AZ109" i="12"/>
  <c r="BN109" i="12"/>
  <c r="Y109" i="12"/>
  <c r="X109" i="12"/>
  <c r="W109" i="12"/>
  <c r="Z109" i="12"/>
  <c r="BE109" i="12"/>
  <c r="BS109" i="12"/>
  <c r="AB110" i="12"/>
  <c r="BL109" i="12"/>
  <c r="AX109" i="12"/>
  <c r="BG67" i="12"/>
  <c r="BC67" i="12"/>
  <c r="AY67" i="12"/>
  <c r="BJ67" i="12"/>
  <c r="BF67" i="12"/>
  <c r="BB67" i="12"/>
  <c r="AX67" i="12"/>
  <c r="BI67" i="12"/>
  <c r="BE67" i="12"/>
  <c r="BA67" i="12"/>
  <c r="AW67" i="12"/>
  <c r="AZ67" i="12"/>
  <c r="BD67" i="12"/>
  <c r="BH67" i="12"/>
  <c r="BH73" i="12"/>
  <c r="BD73" i="12"/>
  <c r="AZ73" i="12"/>
  <c r="BG73" i="12"/>
  <c r="BC73" i="12"/>
  <c r="AY73" i="12"/>
  <c r="BJ73" i="12"/>
  <c r="BF73" i="12"/>
  <c r="BB73" i="12"/>
  <c r="AX73" i="12"/>
  <c r="BI73" i="12"/>
  <c r="BE73" i="12"/>
  <c r="AW73" i="12"/>
  <c r="BA73" i="12"/>
  <c r="BJ107" i="12"/>
  <c r="BX107" i="12"/>
  <c r="Y102" i="12"/>
  <c r="X102" i="12"/>
  <c r="P102" i="12"/>
  <c r="BM102" i="12" s="1"/>
  <c r="W102" i="12"/>
  <c r="Z102" i="12"/>
  <c r="BB107" i="12"/>
  <c r="BP107" i="12"/>
  <c r="BF107" i="12"/>
  <c r="BT107" i="12"/>
  <c r="BG107" i="12"/>
  <c r="BU107" i="12"/>
  <c r="BN107" i="12"/>
  <c r="AZ107" i="12"/>
  <c r="BW108" i="12"/>
  <c r="BI108" i="12"/>
  <c r="BO107" i="12"/>
  <c r="BA107" i="12"/>
  <c r="BT108" i="12"/>
  <c r="BF108" i="12"/>
  <c r="BR106" i="12"/>
  <c r="BD106" i="12"/>
  <c r="BF106" i="12"/>
  <c r="BT106" i="12"/>
  <c r="X81" i="12"/>
  <c r="P81" i="12"/>
  <c r="P110" i="12" s="1"/>
  <c r="BP110" i="12" s="1"/>
  <c r="W81" i="12"/>
  <c r="Z81" i="12"/>
  <c r="Y81" i="12"/>
  <c r="AH100" i="12"/>
  <c r="S158" i="12" l="1"/>
  <c r="AY12" i="9"/>
  <c r="AY11" i="9" s="1"/>
  <c r="BP99" i="12"/>
  <c r="W25" i="9"/>
  <c r="BU102" i="12"/>
  <c r="W12" i="9"/>
  <c r="W28" i="9" s="1"/>
  <c r="BJ110" i="12"/>
  <c r="BS110" i="12"/>
  <c r="BQ99" i="12"/>
  <c r="AY99" i="12"/>
  <c r="BK99" i="12"/>
  <c r="BW99" i="12"/>
  <c r="BB99" i="12"/>
  <c r="BQ110" i="12"/>
  <c r="AC101" i="12"/>
  <c r="AK10" i="9"/>
  <c r="AK11" i="9" s="1"/>
  <c r="W14" i="9"/>
  <c r="W30" i="9" s="1"/>
  <c r="AC100" i="12"/>
  <c r="BS102" i="12"/>
  <c r="BO110" i="12"/>
  <c r="BE102" i="12"/>
  <c r="BH99" i="12"/>
  <c r="BX99" i="12"/>
  <c r="BI102" i="12"/>
  <c r="AW99" i="12"/>
  <c r="BD102" i="12"/>
  <c r="AY110" i="12"/>
  <c r="BW110" i="12"/>
  <c r="BM99" i="12"/>
  <c r="BI99" i="12"/>
  <c r="BL110" i="12"/>
  <c r="BN99" i="12"/>
  <c r="BO99" i="12"/>
  <c r="BL99" i="12"/>
  <c r="BJ102" i="12"/>
  <c r="AZ110" i="12"/>
  <c r="BV99" i="12"/>
  <c r="BJ99" i="12"/>
  <c r="BR110" i="12"/>
  <c r="BG99" i="12"/>
  <c r="BT110" i="12"/>
  <c r="BD99" i="12"/>
  <c r="BT99" i="12"/>
  <c r="BC102" i="12"/>
  <c r="AW102" i="12"/>
  <c r="BA99" i="12"/>
  <c r="AX99" i="12"/>
  <c r="BA102" i="12"/>
  <c r="BL102" i="12"/>
  <c r="BN102" i="12"/>
  <c r="BC110" i="12"/>
  <c r="BX110" i="12"/>
  <c r="BK110" i="12"/>
  <c r="BC99" i="12"/>
  <c r="BU110" i="12"/>
  <c r="BU99" i="12"/>
  <c r="BR99" i="12"/>
  <c r="BF99" i="12"/>
  <c r="BT102" i="12"/>
  <c r="AF102" i="12"/>
  <c r="AG102" i="12" s="1"/>
  <c r="AD102" i="12"/>
  <c r="AE102" i="12" s="1"/>
  <c r="BJ104" i="12"/>
  <c r="BX104" i="12"/>
  <c r="AX104" i="12"/>
  <c r="BP102" i="12"/>
  <c r="AY102" i="12"/>
  <c r="AX102" i="12"/>
  <c r="BN110" i="12"/>
  <c r="AD110" i="12"/>
  <c r="AE110" i="12" s="1"/>
  <c r="AF110" i="12"/>
  <c r="AG110" i="12" s="1"/>
  <c r="BE110" i="12"/>
  <c r="AW110" i="12"/>
  <c r="AD99" i="12"/>
  <c r="AF99" i="12"/>
  <c r="AW104" i="12"/>
  <c r="AZ104" i="12"/>
  <c r="BQ104" i="12"/>
  <c r="BD110" i="12"/>
  <c r="BR102" i="12"/>
  <c r="BM110" i="12"/>
  <c r="BT104" i="12"/>
  <c r="BQ102" i="12"/>
  <c r="AX110" i="12"/>
  <c r="BO104" i="12"/>
  <c r="BG102" i="12"/>
  <c r="BJ71" i="12"/>
  <c r="BF71" i="12"/>
  <c r="BB71" i="12"/>
  <c r="AX71" i="12"/>
  <c r="BI71" i="12"/>
  <c r="BE71" i="12"/>
  <c r="BA71" i="12"/>
  <c r="AW71" i="12"/>
  <c r="BH71" i="12"/>
  <c r="BD71" i="12"/>
  <c r="AZ71" i="12"/>
  <c r="BC71" i="12"/>
  <c r="AY71" i="12"/>
  <c r="BG71" i="12"/>
  <c r="BB110" i="12"/>
  <c r="BE99" i="12"/>
  <c r="BS99" i="12"/>
  <c r="BH104" i="12"/>
  <c r="AF104" i="12"/>
  <c r="AG104" i="12" s="1"/>
  <c r="AG92" i="12"/>
  <c r="AG91" i="12"/>
  <c r="AG67" i="12"/>
  <c r="AH92" i="12"/>
  <c r="BA110" i="12"/>
  <c r="BU104" i="12"/>
  <c r="X101" i="12"/>
  <c r="P101" i="12"/>
  <c r="W11" i="9" s="1"/>
  <c r="W27" i="9" s="1"/>
  <c r="W101" i="12"/>
  <c r="Z101" i="12"/>
  <c r="Y101" i="12"/>
  <c r="BG74" i="12"/>
  <c r="BC74" i="12"/>
  <c r="AY74" i="12"/>
  <c r="BJ74" i="12"/>
  <c r="BF74" i="12"/>
  <c r="BB74" i="12"/>
  <c r="AX74" i="12"/>
  <c r="BI74" i="12"/>
  <c r="BE74" i="12"/>
  <c r="BA74" i="12"/>
  <c r="AW74" i="12"/>
  <c r="AZ74" i="12"/>
  <c r="BH74" i="12"/>
  <c r="BD74" i="12"/>
  <c r="AH101" i="12"/>
  <c r="AK12" i="9" s="1"/>
  <c r="AK13" i="9" s="1"/>
  <c r="AC102" i="12"/>
  <c r="W100" i="12"/>
  <c r="Z100" i="12"/>
  <c r="Y100" i="12"/>
  <c r="X100" i="12"/>
  <c r="P100" i="12"/>
  <c r="BF104" i="12"/>
  <c r="Z125" i="12"/>
  <c r="Z121" i="12"/>
  <c r="Z124" i="12"/>
  <c r="Z127" i="12"/>
  <c r="Z123" i="12"/>
  <c r="Z126" i="12"/>
  <c r="Z122" i="12"/>
  <c r="BH110" i="12"/>
  <c r="BV105" i="12"/>
  <c r="BA105" i="12"/>
  <c r="BE105" i="12"/>
  <c r="AZ105" i="12"/>
  <c r="BI105" i="12"/>
  <c r="BR105" i="12"/>
  <c r="AW105" i="12"/>
  <c r="BH105" i="12"/>
  <c r="BX105" i="12"/>
  <c r="BB105" i="12"/>
  <c r="BM105" i="12"/>
  <c r="BD105" i="12"/>
  <c r="BJ105" i="12"/>
  <c r="BG105" i="12"/>
  <c r="BK105" i="12"/>
  <c r="BN105" i="12"/>
  <c r="BF105" i="12"/>
  <c r="BW105" i="12"/>
  <c r="BL105" i="12"/>
  <c r="AY105" i="12"/>
  <c r="BU105" i="12"/>
  <c r="BO105" i="12"/>
  <c r="BQ105" i="12"/>
  <c r="BP105" i="12"/>
  <c r="BC105" i="12"/>
  <c r="AX105" i="12"/>
  <c r="BS105" i="12"/>
  <c r="BT105" i="12"/>
  <c r="BE104" i="12"/>
  <c r="BV104" i="12"/>
  <c r="AD104" i="12"/>
  <c r="AE104" i="12" s="1"/>
  <c r="AF105" i="12"/>
  <c r="AG105" i="12" s="1"/>
  <c r="AD105" i="12"/>
  <c r="AE105" i="12" s="1"/>
  <c r="BG104" i="12"/>
  <c r="Z103" i="12"/>
  <c r="Y103" i="12"/>
  <c r="X103" i="12"/>
  <c r="P103" i="12"/>
  <c r="W103" i="12"/>
  <c r="BI76" i="12"/>
  <c r="BE76" i="12"/>
  <c r="BA76" i="12"/>
  <c r="AW76" i="12"/>
  <c r="BH76" i="12"/>
  <c r="BD76" i="12"/>
  <c r="AZ76" i="12"/>
  <c r="BG76" i="12"/>
  <c r="BC76" i="12"/>
  <c r="AY76" i="12"/>
  <c r="BJ76" i="12"/>
  <c r="BF76" i="12"/>
  <c r="AX76" i="12"/>
  <c r="BB76" i="12"/>
  <c r="BV102" i="12"/>
  <c r="BH102" i="12"/>
  <c r="AZ102" i="12"/>
  <c r="BW102" i="12"/>
  <c r="BG110" i="12"/>
  <c r="BD104" i="12"/>
  <c r="BX102" i="12"/>
  <c r="BO102" i="12"/>
  <c r="BF110" i="12"/>
  <c r="BI110" i="12"/>
  <c r="BI104" i="12"/>
  <c r="BM104" i="12"/>
  <c r="BP104" i="12"/>
  <c r="AC103" i="12"/>
  <c r="BF102" i="12"/>
  <c r="BK102" i="12"/>
  <c r="BV110" i="12"/>
  <c r="AC99" i="12"/>
  <c r="BS104" i="12"/>
  <c r="BL104" i="12"/>
  <c r="BB102" i="12"/>
  <c r="AF100" i="12" l="1"/>
  <c r="AG100" i="12" s="1"/>
  <c r="W10" i="9"/>
  <c r="W26" i="9" s="1"/>
  <c r="W13" i="9"/>
  <c r="W29" i="9" s="1"/>
  <c r="BI103" i="12"/>
  <c r="BW103" i="12"/>
  <c r="BN103" i="12"/>
  <c r="BS103" i="12"/>
  <c r="BU103" i="12"/>
  <c r="BA103" i="12"/>
  <c r="BC103" i="12"/>
  <c r="BB103" i="12"/>
  <c r="BM103" i="12"/>
  <c r="BQ103" i="12"/>
  <c r="AZ103" i="12"/>
  <c r="AW103" i="12"/>
  <c r="BG103" i="12"/>
  <c r="BO103" i="12"/>
  <c r="BP103" i="12"/>
  <c r="AY103" i="12"/>
  <c r="BL103" i="12"/>
  <c r="BK103" i="12"/>
  <c r="BJ103" i="12"/>
  <c r="BR103" i="12"/>
  <c r="BF103" i="12"/>
  <c r="AX103" i="12"/>
  <c r="BV103" i="12"/>
  <c r="BE103" i="12"/>
  <c r="BX103" i="12"/>
  <c r="BD103" i="12"/>
  <c r="BT103" i="12"/>
  <c r="BH103" i="12"/>
  <c r="AF101" i="12"/>
  <c r="AG101" i="12" s="1"/>
  <c r="BF101" i="12"/>
  <c r="BA101" i="12"/>
  <c r="BJ101" i="12"/>
  <c r="BK101" i="12"/>
  <c r="BS101" i="12"/>
  <c r="BM101" i="12"/>
  <c r="BN101" i="12"/>
  <c r="BI101" i="12"/>
  <c r="BP101" i="12"/>
  <c r="BR101" i="12"/>
  <c r="AX101" i="12"/>
  <c r="AZ101" i="12"/>
  <c r="AD101" i="12"/>
  <c r="AE101" i="12" s="1"/>
  <c r="BH101" i="12"/>
  <c r="AW101" i="12"/>
  <c r="BC101" i="12"/>
  <c r="BE101" i="12"/>
  <c r="BW101" i="12"/>
  <c r="BG101" i="12"/>
  <c r="BV101" i="12"/>
  <c r="BD101" i="12"/>
  <c r="BQ101" i="12"/>
  <c r="BL101" i="12"/>
  <c r="BB101" i="12"/>
  <c r="BT101" i="12"/>
  <c r="BU101" i="12"/>
  <c r="BO101" i="12"/>
  <c r="BX101" i="12"/>
  <c r="AY101" i="12"/>
  <c r="BD100" i="12"/>
  <c r="BL100" i="12"/>
  <c r="BQ100" i="12"/>
  <c r="BU100" i="12"/>
  <c r="BS100" i="12"/>
  <c r="BF100" i="12"/>
  <c r="BI100" i="12"/>
  <c r="BI117" i="12" s="1"/>
  <c r="BI118" i="12" s="1"/>
  <c r="BN100" i="12"/>
  <c r="AY100" i="12"/>
  <c r="BK100" i="12"/>
  <c r="BJ100" i="12"/>
  <c r="BB100" i="12"/>
  <c r="BV100" i="12"/>
  <c r="BO100" i="12"/>
  <c r="BE100" i="12"/>
  <c r="BT100" i="12"/>
  <c r="BT117" i="12" s="1"/>
  <c r="BT118" i="12" s="1"/>
  <c r="BG100" i="12"/>
  <c r="BM100" i="12"/>
  <c r="AW100" i="12"/>
  <c r="BX100" i="12"/>
  <c r="BP100" i="12"/>
  <c r="BH100" i="12"/>
  <c r="BH117" i="12" s="1"/>
  <c r="BH118" i="12" s="1"/>
  <c r="BA100" i="12"/>
  <c r="AZ100" i="12"/>
  <c r="BR100" i="12"/>
  <c r="AX100" i="12"/>
  <c r="BC100" i="12"/>
  <c r="BC117" i="12" s="1"/>
  <c r="BC118" i="12" s="1"/>
  <c r="BW100" i="12"/>
  <c r="BW117" i="12" s="1"/>
  <c r="BW118" i="12" s="1"/>
  <c r="Y121" i="12" a="1"/>
  <c r="AD100" i="12"/>
  <c r="AE100" i="12" s="1"/>
  <c r="AF103" i="12"/>
  <c r="AG103" i="12" s="1"/>
  <c r="AD103" i="12"/>
  <c r="AE103" i="12" s="1"/>
  <c r="AG99" i="12"/>
  <c r="BM117" i="12" l="1"/>
  <c r="BM118" i="12" s="1"/>
  <c r="BL117" i="12"/>
  <c r="BL118" i="12" s="1"/>
  <c r="BV117" i="12"/>
  <c r="BV118" i="12" s="1"/>
  <c r="AZ117" i="12"/>
  <c r="AZ118" i="12" s="1"/>
  <c r="BX117" i="12"/>
  <c r="BX118" i="12" s="1"/>
  <c r="BU117" i="12"/>
  <c r="BU118" i="12" s="1"/>
  <c r="BA117" i="12"/>
  <c r="BA118" i="12" s="1"/>
  <c r="AX117" i="12"/>
  <c r="AX118" i="12" s="1"/>
  <c r="BK117" i="12"/>
  <c r="BK118" i="12" s="1"/>
  <c r="BE117" i="12"/>
  <c r="BE118" i="12" s="1"/>
  <c r="BS117" i="12"/>
  <c r="BS118" i="12" s="1"/>
  <c r="BO117" i="12"/>
  <c r="BO118" i="12" s="1"/>
  <c r="BF117" i="12"/>
  <c r="BF118" i="12" s="1"/>
  <c r="Y125" i="12"/>
  <c r="Y121" i="12"/>
  <c r="Y124" i="12"/>
  <c r="Y127" i="12"/>
  <c r="Y123" i="12"/>
  <c r="Y126" i="12"/>
  <c r="Y122" i="12"/>
  <c r="BR117" i="12"/>
  <c r="BR118" i="12" s="1"/>
  <c r="BP117" i="12"/>
  <c r="BP118" i="12" s="1"/>
  <c r="BG117" i="12"/>
  <c r="BG118" i="12" s="1"/>
  <c r="AY117" i="12"/>
  <c r="AY118" i="12" s="1"/>
  <c r="BD117" i="12"/>
  <c r="BD118" i="12" s="1"/>
  <c r="BB117" i="12"/>
  <c r="BB118" i="12" s="1"/>
  <c r="BN117" i="12"/>
  <c r="BN118" i="12" s="1"/>
  <c r="AF117" i="12"/>
  <c r="AF118" i="12" s="1"/>
  <c r="AW117" i="12"/>
  <c r="AW118" i="12" s="1"/>
  <c r="BJ117" i="12"/>
  <c r="BJ118" i="12" s="1"/>
  <c r="BQ117" i="12"/>
  <c r="BQ118" i="12" s="1"/>
  <c r="N17" i="3" l="1"/>
  <c r="S95" i="5"/>
  <c r="I10" i="5" s="1"/>
  <c r="O95" i="5"/>
  <c r="P95" i="5" s="1"/>
  <c r="Q95" i="5" s="1"/>
  <c r="I9" i="5" s="1"/>
  <c r="N95" i="5"/>
  <c r="I8" i="5" s="1"/>
  <c r="M95" i="5"/>
  <c r="I7" i="5" s="1"/>
  <c r="L95" i="5"/>
  <c r="I6" i="5" s="1"/>
  <c r="K95" i="5"/>
  <c r="I5" i="5" s="1"/>
  <c r="J95" i="5"/>
  <c r="I95" i="5"/>
  <c r="H95" i="5"/>
  <c r="G95" i="5"/>
  <c r="O60" i="4"/>
  <c r="F62" i="4"/>
  <c r="G62" i="4"/>
  <c r="H62" i="4"/>
  <c r="I62" i="4"/>
  <c r="J62" i="4"/>
  <c r="K62" i="4"/>
  <c r="L62" i="4"/>
  <c r="F63" i="4"/>
  <c r="G63" i="4"/>
  <c r="H63" i="4"/>
  <c r="I63" i="4"/>
  <c r="J63" i="4"/>
  <c r="K63" i="4"/>
  <c r="L63" i="4"/>
  <c r="F64" i="4"/>
  <c r="G64" i="4"/>
  <c r="H64" i="4"/>
  <c r="I64" i="4"/>
  <c r="J64" i="4"/>
  <c r="K64" i="4"/>
  <c r="L64" i="4"/>
  <c r="F65" i="4"/>
  <c r="G65" i="4"/>
  <c r="H65" i="4"/>
  <c r="I65" i="4"/>
  <c r="J65" i="4"/>
  <c r="K65" i="4"/>
  <c r="L65" i="4"/>
  <c r="F66" i="4"/>
  <c r="G66" i="4"/>
  <c r="H66" i="4"/>
  <c r="I66" i="4"/>
  <c r="J66" i="4"/>
  <c r="K66" i="4"/>
  <c r="L66" i="4"/>
  <c r="F67" i="4"/>
  <c r="G67" i="4"/>
  <c r="H67" i="4"/>
  <c r="I67" i="4"/>
  <c r="J67" i="4"/>
  <c r="K67" i="4"/>
  <c r="L67" i="4"/>
  <c r="F68" i="4"/>
  <c r="G68" i="4"/>
  <c r="H68" i="4"/>
  <c r="I68" i="4"/>
  <c r="J68" i="4"/>
  <c r="K68" i="4"/>
  <c r="L68" i="4"/>
  <c r="F70" i="4"/>
  <c r="G70" i="4"/>
  <c r="H70" i="4"/>
  <c r="I70" i="4"/>
  <c r="J70" i="4"/>
  <c r="K70" i="4"/>
  <c r="L70" i="4"/>
  <c r="F71" i="4"/>
  <c r="G71" i="4"/>
  <c r="H71" i="4"/>
  <c r="I71" i="4"/>
  <c r="J71" i="4"/>
  <c r="K71" i="4"/>
  <c r="L71" i="4"/>
  <c r="F72" i="4"/>
  <c r="G72" i="4"/>
  <c r="H72" i="4"/>
  <c r="I72" i="4"/>
  <c r="J72" i="4"/>
  <c r="K72" i="4"/>
  <c r="L72" i="4"/>
  <c r="F74" i="4"/>
  <c r="G74" i="4"/>
  <c r="H74" i="4"/>
  <c r="I74" i="4"/>
  <c r="J74" i="4"/>
  <c r="K74" i="4"/>
  <c r="L74" i="4"/>
  <c r="E63" i="4"/>
  <c r="O50" i="4" s="1"/>
  <c r="E64" i="4"/>
  <c r="O51" i="4" s="1"/>
  <c r="O52" i="4"/>
  <c r="E66" i="4"/>
  <c r="O53" i="4" s="1"/>
  <c r="E67" i="4"/>
  <c r="O54" i="4" s="1"/>
  <c r="E68" i="4"/>
  <c r="O55" i="4" s="1"/>
  <c r="O56" i="4"/>
  <c r="E70" i="4"/>
  <c r="O57" i="4" s="1"/>
  <c r="E72" i="4"/>
  <c r="O59" i="4" s="1"/>
  <c r="F61" i="4"/>
  <c r="G61" i="4"/>
  <c r="H61" i="4"/>
  <c r="I61" i="4"/>
  <c r="J61" i="4"/>
  <c r="K61" i="4"/>
  <c r="L61" i="4"/>
  <c r="F49" i="4"/>
  <c r="G49" i="4"/>
  <c r="H49" i="4"/>
  <c r="I49" i="4"/>
  <c r="J49" i="4"/>
  <c r="K49" i="4"/>
  <c r="L49" i="4"/>
  <c r="F50" i="4"/>
  <c r="G50" i="4"/>
  <c r="H50" i="4"/>
  <c r="I50" i="4"/>
  <c r="J50" i="4"/>
  <c r="K50" i="4"/>
  <c r="L50" i="4"/>
  <c r="F51" i="4"/>
  <c r="G51" i="4"/>
  <c r="H51" i="4"/>
  <c r="I51" i="4"/>
  <c r="J51" i="4"/>
  <c r="K51" i="4"/>
  <c r="L51" i="4"/>
  <c r="F52" i="4"/>
  <c r="G52" i="4"/>
  <c r="H52" i="4"/>
  <c r="I52" i="4"/>
  <c r="J52" i="4"/>
  <c r="K52" i="4"/>
  <c r="L52" i="4"/>
  <c r="F53" i="4"/>
  <c r="G53" i="4"/>
  <c r="H53" i="4"/>
  <c r="I53" i="4"/>
  <c r="J53" i="4"/>
  <c r="K53" i="4"/>
  <c r="L53" i="4"/>
  <c r="F54" i="4"/>
  <c r="G54" i="4"/>
  <c r="H54" i="4"/>
  <c r="I54" i="4"/>
  <c r="J54" i="4"/>
  <c r="K54" i="4"/>
  <c r="L54" i="4"/>
  <c r="F55" i="4"/>
  <c r="G55" i="4"/>
  <c r="H55" i="4"/>
  <c r="I55" i="4"/>
  <c r="J55" i="4"/>
  <c r="K55" i="4"/>
  <c r="L55" i="4"/>
  <c r="F56" i="4"/>
  <c r="G56" i="4"/>
  <c r="H56" i="4"/>
  <c r="I56" i="4"/>
  <c r="J56" i="4"/>
  <c r="K56" i="4"/>
  <c r="L56" i="4"/>
  <c r="F57" i="4"/>
  <c r="G57" i="4"/>
  <c r="H57" i="4"/>
  <c r="I57" i="4"/>
  <c r="J57" i="4"/>
  <c r="K57" i="4"/>
  <c r="L57" i="4"/>
  <c r="F58" i="4"/>
  <c r="G58" i="4"/>
  <c r="H58" i="4"/>
  <c r="I58" i="4"/>
  <c r="J58" i="4"/>
  <c r="K58" i="4"/>
  <c r="L58" i="4"/>
  <c r="G59" i="4"/>
  <c r="H59" i="4"/>
  <c r="I59" i="4"/>
  <c r="J59" i="4"/>
  <c r="K59" i="4"/>
  <c r="L59" i="4"/>
  <c r="E61" i="4"/>
  <c r="E58" i="4"/>
  <c r="E59" i="4"/>
  <c r="E55" i="4"/>
  <c r="E52" i="4"/>
  <c r="E53" i="4"/>
  <c r="E54" i="4"/>
  <c r="E50" i="4"/>
  <c r="E51" i="4"/>
  <c r="E4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D119" i="4"/>
  <c r="B124" i="4"/>
  <c r="B125" i="4" s="1"/>
  <c r="B126" i="4" s="1"/>
  <c r="C120" i="4" s="1"/>
  <c r="E60" i="4" s="1"/>
  <c r="D113" i="4"/>
  <c r="D112" i="4"/>
  <c r="D109" i="4"/>
  <c r="D108" i="4"/>
  <c r="D107" i="4"/>
  <c r="D106" i="4"/>
  <c r="D105" i="4"/>
  <c r="D104" i="4"/>
  <c r="D103" i="4"/>
  <c r="D102" i="4"/>
  <c r="D101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D93" i="4"/>
  <c r="D111" i="4" s="1"/>
  <c r="D92" i="4"/>
  <c r="D110" i="4" s="1"/>
  <c r="K113" i="4"/>
  <c r="J113" i="4"/>
  <c r="I113" i="4"/>
  <c r="H113" i="4"/>
  <c r="G113" i="4"/>
  <c r="F113" i="4"/>
  <c r="E113" i="4"/>
  <c r="K112" i="4"/>
  <c r="J112" i="4"/>
  <c r="I112" i="4"/>
  <c r="H112" i="4"/>
  <c r="G112" i="4"/>
  <c r="F112" i="4"/>
  <c r="E112" i="4"/>
  <c r="K108" i="4"/>
  <c r="J108" i="4"/>
  <c r="I108" i="4"/>
  <c r="H108" i="4"/>
  <c r="G108" i="4"/>
  <c r="F108" i="4"/>
  <c r="E108" i="4"/>
  <c r="K107" i="4"/>
  <c r="J107" i="4"/>
  <c r="I107" i="4"/>
  <c r="H107" i="4"/>
  <c r="G107" i="4"/>
  <c r="F107" i="4"/>
  <c r="E107" i="4"/>
  <c r="K106" i="4"/>
  <c r="J106" i="4"/>
  <c r="I106" i="4"/>
  <c r="H106" i="4"/>
  <c r="G106" i="4"/>
  <c r="F106" i="4"/>
  <c r="E106" i="4"/>
  <c r="K105" i="4"/>
  <c r="J105" i="4"/>
  <c r="I105" i="4"/>
  <c r="H105" i="4"/>
  <c r="G105" i="4"/>
  <c r="F105" i="4"/>
  <c r="E105" i="4"/>
  <c r="K104" i="4"/>
  <c r="J104" i="4"/>
  <c r="I104" i="4"/>
  <c r="H104" i="4"/>
  <c r="G104" i="4"/>
  <c r="F104" i="4"/>
  <c r="E104" i="4"/>
  <c r="K103" i="4"/>
  <c r="J103" i="4"/>
  <c r="I103" i="4"/>
  <c r="H103" i="4"/>
  <c r="G103" i="4"/>
  <c r="F103" i="4"/>
  <c r="E103" i="4"/>
  <c r="K102" i="4"/>
  <c r="J102" i="4"/>
  <c r="I102" i="4"/>
  <c r="H102" i="4"/>
  <c r="G102" i="4"/>
  <c r="F102" i="4"/>
  <c r="E102" i="4"/>
  <c r="K101" i="4"/>
  <c r="J101" i="4"/>
  <c r="I101" i="4"/>
  <c r="H101" i="4"/>
  <c r="G101" i="4"/>
  <c r="F101" i="4"/>
  <c r="E101" i="4"/>
  <c r="K109" i="4"/>
  <c r="I109" i="4"/>
  <c r="H109" i="4"/>
  <c r="G109" i="4"/>
  <c r="E109" i="4"/>
  <c r="B75" i="4"/>
  <c r="B73" i="4"/>
  <c r="B72" i="4"/>
  <c r="D72" i="4" s="1"/>
  <c r="B71" i="4"/>
  <c r="D71" i="4" s="1"/>
  <c r="B70" i="4"/>
  <c r="D70" i="4" s="1"/>
  <c r="B69" i="4"/>
  <c r="D69" i="4" s="1"/>
  <c r="B68" i="4"/>
  <c r="D68" i="4" s="1"/>
  <c r="B67" i="4"/>
  <c r="D67" i="4" s="1"/>
  <c r="B66" i="4"/>
  <c r="D66" i="4" s="1"/>
  <c r="B65" i="4"/>
  <c r="D65" i="4" s="1"/>
  <c r="B64" i="4"/>
  <c r="D64" i="4" s="1"/>
  <c r="B63" i="4"/>
  <c r="D63" i="4" s="1"/>
  <c r="B62" i="4"/>
  <c r="D62" i="4" s="1"/>
  <c r="B60" i="4"/>
  <c r="B59" i="4"/>
  <c r="R120" i="4" l="1"/>
  <c r="AD120" i="4"/>
  <c r="N120" i="4"/>
  <c r="G114" i="4" s="1"/>
  <c r="H60" i="4" s="1"/>
  <c r="AH120" i="4"/>
  <c r="K114" i="4" s="1"/>
  <c r="L60" i="4" s="1"/>
  <c r="Z120" i="4"/>
  <c r="J120" i="4"/>
  <c r="V120" i="4"/>
  <c r="F120" i="4"/>
  <c r="H75" i="4"/>
  <c r="AG120" i="4"/>
  <c r="AC120" i="4"/>
  <c r="J114" i="4" s="1"/>
  <c r="K60" i="4" s="1"/>
  <c r="Y120" i="4"/>
  <c r="U120" i="4"/>
  <c r="Q120" i="4"/>
  <c r="M120" i="4"/>
  <c r="I120" i="4"/>
  <c r="F114" i="4" s="1"/>
  <c r="G60" i="4" s="1"/>
  <c r="E120" i="4"/>
  <c r="E75" i="4"/>
  <c r="AF120" i="4"/>
  <c r="AB120" i="4"/>
  <c r="X120" i="4"/>
  <c r="I114" i="4" s="1"/>
  <c r="J60" i="4" s="1"/>
  <c r="T120" i="4"/>
  <c r="P120" i="4"/>
  <c r="L120" i="4"/>
  <c r="H120" i="4"/>
  <c r="D120" i="4"/>
  <c r="E114" i="4" s="1"/>
  <c r="F60" i="4" s="1"/>
  <c r="AE120" i="4"/>
  <c r="AA120" i="4"/>
  <c r="W120" i="4"/>
  <c r="S120" i="4"/>
  <c r="H114" i="4" s="1"/>
  <c r="I60" i="4" s="1"/>
  <c r="O120" i="4"/>
  <c r="K120" i="4"/>
  <c r="G120" i="4"/>
  <c r="F109" i="4"/>
  <c r="J109" i="4"/>
  <c r="L75" i="4" l="1"/>
  <c r="J75" i="4"/>
  <c r="G75" i="4"/>
  <c r="K75" i="4"/>
  <c r="I75" i="4"/>
  <c r="F75" i="4"/>
  <c r="F111" i="4"/>
  <c r="K111" i="4"/>
  <c r="I111" i="4"/>
  <c r="I110" i="4"/>
  <c r="G110" i="4"/>
  <c r="G111" i="4"/>
  <c r="H110" i="4"/>
  <c r="J110" i="4"/>
  <c r="E111" i="4"/>
  <c r="E110" i="4"/>
  <c r="K110" i="4"/>
  <c r="J111" i="4"/>
  <c r="F110" i="4"/>
  <c r="H111" i="4"/>
  <c r="L26" i="3" l="1"/>
  <c r="H36" i="3"/>
  <c r="O6" i="3"/>
  <c r="O7" i="3"/>
  <c r="O8" i="3"/>
  <c r="O9" i="3"/>
  <c r="O10" i="3"/>
  <c r="O11" i="3"/>
  <c r="O12" i="3"/>
  <c r="O13" i="3"/>
  <c r="O14" i="3"/>
  <c r="O15" i="3"/>
  <c r="O16" i="3"/>
  <c r="O17" i="3"/>
  <c r="O5" i="3"/>
  <c r="S25" i="3"/>
  <c r="M6" i="3"/>
  <c r="M7" i="3"/>
  <c r="M8" i="3"/>
  <c r="M9" i="3"/>
  <c r="M10" i="3"/>
  <c r="M11" i="3"/>
  <c r="M12" i="3"/>
  <c r="M13" i="3"/>
  <c r="M14" i="3"/>
  <c r="M15" i="3"/>
  <c r="M16" i="3"/>
  <c r="M17" i="3"/>
  <c r="M5" i="3"/>
  <c r="N16" i="3"/>
  <c r="H37" i="3"/>
  <c r="N6" i="3"/>
  <c r="N7" i="3"/>
  <c r="N8" i="3"/>
  <c r="N9" i="3"/>
  <c r="N10" i="3"/>
  <c r="N11" i="3"/>
  <c r="N12" i="3"/>
  <c r="N13" i="3"/>
  <c r="N14" i="3"/>
  <c r="N15" i="3"/>
  <c r="N5" i="3"/>
  <c r="L6" i="3" l="1"/>
  <c r="L7" i="3"/>
  <c r="L8" i="3"/>
  <c r="L9" i="3"/>
  <c r="L10" i="3"/>
  <c r="L11" i="3"/>
  <c r="L12" i="3"/>
  <c r="L13" i="3"/>
  <c r="L14" i="3"/>
  <c r="L15" i="3"/>
  <c r="L16" i="3"/>
  <c r="L17" i="3"/>
  <c r="L5" i="3"/>
  <c r="O41" i="3"/>
  <c r="H41" i="3" s="1"/>
  <c r="A40" i="3"/>
  <c r="O38" i="3"/>
  <c r="Q38" i="3" s="1"/>
  <c r="S38" i="3" s="1"/>
  <c r="H38" i="3" s="1"/>
  <c r="L38" i="3" s="1"/>
  <c r="I38" i="3"/>
  <c r="O37" i="3"/>
  <c r="Q37" i="3" s="1"/>
  <c r="S37" i="3" s="1"/>
  <c r="L37" i="3" s="1"/>
  <c r="I37" i="3"/>
  <c r="O35" i="3"/>
  <c r="Q35" i="3" s="1"/>
  <c r="S35" i="3" s="1"/>
  <c r="H35" i="3" s="1"/>
  <c r="O34" i="3"/>
  <c r="Q34" i="3" s="1"/>
  <c r="S34" i="3" s="1"/>
  <c r="H34" i="3" s="1"/>
  <c r="L34" i="3" s="1"/>
  <c r="I34" i="3"/>
  <c r="O33" i="3"/>
  <c r="Q33" i="3" s="1"/>
  <c r="S33" i="3" s="1"/>
  <c r="H33" i="3" s="1"/>
  <c r="L33" i="3" s="1"/>
  <c r="I33" i="3"/>
  <c r="Q32" i="3"/>
  <c r="S32" i="3" s="1"/>
  <c r="H32" i="3" s="1"/>
  <c r="L32" i="3" s="1"/>
  <c r="O32" i="3"/>
  <c r="I32" i="3"/>
  <c r="O31" i="3"/>
  <c r="Q31" i="3" s="1"/>
  <c r="S31" i="3" s="1"/>
  <c r="H31" i="3" s="1"/>
  <c r="L31" i="3" s="1"/>
  <c r="I31" i="3"/>
  <c r="O30" i="3"/>
  <c r="Q30" i="3" s="1"/>
  <c r="S30" i="3" s="1"/>
  <c r="H30" i="3" s="1"/>
  <c r="L30" i="3" s="1"/>
  <c r="I30" i="3"/>
  <c r="B30" i="3"/>
  <c r="O29" i="3"/>
  <c r="Q29" i="3" s="1"/>
  <c r="S29" i="3" s="1"/>
  <c r="H29" i="3" s="1"/>
  <c r="L29" i="3" s="1"/>
  <c r="I29" i="3"/>
  <c r="B29" i="3"/>
  <c r="O28" i="3"/>
  <c r="Q28" i="3" s="1"/>
  <c r="S28" i="3" s="1"/>
  <c r="H28" i="3" s="1"/>
  <c r="L28" i="3" s="1"/>
  <c r="I28" i="3"/>
  <c r="B28" i="3"/>
  <c r="Q27" i="3"/>
  <c r="S27" i="3" s="1"/>
  <c r="H27" i="3" s="1"/>
  <c r="L27" i="3" s="1"/>
  <c r="O27" i="3"/>
  <c r="I27" i="3"/>
  <c r="B27" i="3"/>
  <c r="Q26" i="3"/>
  <c r="S26" i="3" s="1"/>
  <c r="H26" i="3" s="1"/>
  <c r="O26" i="3"/>
  <c r="I26" i="3"/>
  <c r="B26" i="3"/>
  <c r="O25" i="3"/>
  <c r="Q25" i="3" s="1"/>
  <c r="H25" i="3" s="1"/>
  <c r="H40" i="3" s="1"/>
  <c r="I25" i="3"/>
  <c r="I35" i="3" s="1"/>
  <c r="B25" i="3"/>
  <c r="B24" i="3"/>
  <c r="L23" i="3"/>
  <c r="B2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CARMEN</author>
  </authors>
  <commentList>
    <comment ref="E1" authorId="0" shapeId="0" xr:uid="{BC7441FF-D6EE-4F04-B76D-6A7E852E7A89}">
      <text>
        <r>
          <rPr>
            <b/>
            <sz val="9"/>
            <color indexed="81"/>
            <rFont val="Tahoma"/>
            <family val="2"/>
          </rPr>
          <t>JULIAN:
Solo cuando Attribute es Share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8" authorId="0" shapeId="0" xr:uid="{364DB149-BB7D-40C5-BFD6-C4224E293E54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G18" authorId="0" shapeId="0" xr:uid="{44D458B4-EE35-465D-888F-15CF55492B06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H18" authorId="0" shapeId="0" xr:uid="{459AA988-16CD-4CE9-96E7-9A22D7E79D8C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I18" authorId="0" shapeId="0" xr:uid="{09C77DFD-38DA-406B-8415-F5892BBBDF9D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J18" authorId="0" shapeId="0" xr:uid="{1314EB5F-6B98-4BB3-87B2-A4420FB1D501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M18" authorId="0" shapeId="0" xr:uid="{B1960CB2-2797-489C-8CA4-8C163438BA48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R18" authorId="0" shapeId="0" xr:uid="{3454698B-2469-468A-B558-12F612C4C5E3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S18" authorId="0" shapeId="0" xr:uid="{5610E1C0-BA80-4542-8A18-71F92AF5F694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T18" authorId="0" shapeId="0" xr:uid="{A0B34523-3F73-43A4-95E6-AC6DAAF3C31F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U18" authorId="0" shapeId="0" xr:uid="{F459738E-5427-4706-8B58-F6794D72A706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X18" authorId="0" shapeId="0" xr:uid="{7872D20F-7C5E-4E74-9101-C1060FF2BB7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C18" authorId="0" shapeId="0" xr:uid="{6337D0D8-0A94-4C06-B5AF-972E60730FF0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D18" authorId="0" shapeId="0" xr:uid="{911E24F2-E00C-475F-9D78-65BEE130F3D2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E18" authorId="0" shapeId="0" xr:uid="{B945F1B1-569A-4BF8-B3B9-E1DE4277B5BB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F18" authorId="0" shapeId="0" xr:uid="{492E5834-1311-470D-961B-660AB9E5C3E8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AI18" authorId="0" shapeId="0" xr:uid="{C603C5D7-48A7-4A28-ACA8-6FA54A822E03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N18" authorId="0" shapeId="0" xr:uid="{FE869EB6-354F-45E7-86FD-E116D40128D4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O18" authorId="0" shapeId="0" xr:uid="{5B206BE0-9206-4613-B1BE-17E930F8332F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P18" authorId="0" shapeId="0" xr:uid="{AFADF059-0BCC-414E-93DE-99772AB26F09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Q18" authorId="0" shapeId="0" xr:uid="{8825AE8A-7383-46F1-AAC9-FE688C7709ED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AU18" authorId="0" shapeId="0" xr:uid="{6AAEF006-9F24-4F95-96E8-BBB9958065AA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1" authorId="0" shapeId="0" xr:uid="{D5003224-33FF-4E9F-A957-0501D29F50CA}">
      <text>
        <r>
          <rPr>
            <sz val="11"/>
            <color theme="1"/>
            <rFont val="Calibri"/>
            <family val="2"/>
            <scheme val="minor"/>
          </rPr>
          <t>Allowed TsLvl
ANNUAL (Annual level)
SEASON (Seasonal level)
WEEKLY (Weekly level)
DAYNITE (day and night level)
	-Maurizio Gargiulo</t>
        </r>
      </text>
    </comment>
    <comment ref="I21" authorId="0" shapeId="0" xr:uid="{7789D2FC-D2C7-4852-A56D-76978B5FD0FF}">
      <text>
        <r>
          <rPr>
            <sz val="11"/>
            <color theme="1"/>
            <rFont val="Calibri"/>
            <family val="2"/>
            <scheme val="minor"/>
          </rPr>
          <t>Needed only when one wants to override the VEDA default assignment
	-Amit Kanudia</t>
        </r>
      </text>
    </comment>
    <comment ref="J21" authorId="0" shapeId="0" xr:uid="{97E56AB4-E411-4586-A454-F265AEEFBF3F}">
      <text>
        <r>
          <rPr>
            <sz val="11"/>
            <color theme="1"/>
            <rFont val="Calibri"/>
            <family val="2"/>
            <scheme val="minor"/>
          </rPr>
          <t>Allowed Vintage
NO (if empty by default mean NO)
YES
	-Maurizio Gargiulo</t>
        </r>
      </text>
    </comment>
    <comment ref="B22" authorId="0" shapeId="0" xr:uid="{6D1C2655-0EA5-4993-AB29-1A68BE97B9F6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  <comment ref="N23" authorId="0" shapeId="0" xr:uid="{F712ACE5-1E83-402A-A3E3-617321F7CCC3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9" authorId="0" shapeId="0" xr:uid="{3B3E5DC6-6CD1-4DD8-A0AC-5AE15AD0DC8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120,1 MJ/kg</t>
        </r>
      </text>
    </comment>
    <comment ref="A36" authorId="0" shapeId="0" xr:uid="{FF639AD0-67F9-4257-9EBE-8515342287C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investing https://es.investing.com/currencies/usd-cop-historical-data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C6AD67AF-1E09-435C-B811-33088B40309B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G3" authorId="0" shapeId="0" xr:uid="{02FE36E1-E737-4E32-B7E8-62268F2BB66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C2" authorId="0" shapeId="0" xr:uid="{A507B7DA-F4E2-4229-9E8D-65EA7B802ECC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S13" authorId="0" shapeId="0" xr:uid="{B4D8FEA9-0560-48F5-97B6-288B6034D2D0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S14" authorId="0" shapeId="0" xr:uid="{512FBBFA-7F97-424C-B182-97974B30F5CC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S15" authorId="0" shapeId="0" xr:uid="{0D684BF3-1007-4B81-A546-587073CE5672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S17" authorId="0" shapeId="0" xr:uid="{29F77276-104B-41A0-AAD5-7371E6D58792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S20" authorId="0" shapeId="0" xr:uid="{FCE8F0AA-4769-46A6-9429-3460C0F88959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S21" authorId="0" shapeId="0" xr:uid="{74238570-2CDA-4B5B-BBA1-74C3B99086F4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S22" authorId="0" shapeId="0" xr:uid="{1A86D28E-9612-4B6E-A6EA-0242F9990147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60" authorId="0" shapeId="0" xr:uid="{5D1AB6FD-9D93-4EAF-AD82-4FE818F9B331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1" authorId="0" shapeId="0" xr:uid="{52879B61-8AC8-4FC9-BA7B-1F848033A9A6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9" authorId="1" shapeId="0" xr:uid="{766E26B7-C7A6-49FA-B120-709DEFA3DA5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7" authorId="0" shapeId="0" xr:uid="{BA086F4E-3708-45BC-ADEA-64BF4A27E731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P129" authorId="1" shapeId="0" xr:uid="{87D72BB2-6D95-4C5B-842C-7B2208668FC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A138" authorId="0" shapeId="0" xr:uid="{DA4DCA30-544C-4A96-9E71-E8065DA533E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Q153" authorId="1" shapeId="0" xr:uid="{531D3B9A-7EC8-4818-92BF-1953A99601C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C2" authorId="0" shapeId="0" xr:uid="{29F6BBB9-5562-4432-A2CA-D1E4F89E3CA7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FE257A74-1804-4667-BEE0-10E5CA27EAB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56E20A6E-BDDA-44C0-B163-9262F15CB0E5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1D1B6380-84BD-4FD0-A5BB-14B63E005629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E144404D-2F1C-40B4-B7C3-B413184C2569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B6042F87-9E36-4684-92D1-0C7FB87A7E47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81908320-D09C-4A70-A1D1-31C8EE117BE7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E271DFF2-BB2E-4859-9641-02877DBC5FC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261BB261-A86C-41F1-B95B-A5EC37231EF6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79F7F29B-2A9D-4A19-A868-D230E6B5A683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22F9CD35-55E0-4BE5-B794-3E552F5EDB7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7" authorId="0" shapeId="0" xr:uid="{F5B753D3-040D-4957-843F-9CA11C1DC6A8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A144" authorId="0" shapeId="0" xr:uid="{898682A3-0CC3-4960-B535-36D7CFD2970A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C2" authorId="0" shapeId="0" xr:uid="{D063D0E1-C894-4878-AE37-B3AC27A0362B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B5101DF4-E99B-40F8-8E08-0C4795775836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0CA54F2D-28BD-4528-A8FD-1B4B1CBBDC97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9ED56588-B6AF-4C4D-96C0-EB1794EDCD6D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36AA40BD-E0D8-4043-AFFD-50E220908DEB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A24A8A6E-B388-4B55-8F5B-92027620059F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AD8209D9-3663-4E3A-B959-FC3A8E1DC523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7F5A638E-A016-485B-9DE1-803ECEE8AFC9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CA4A5E31-D697-4331-8A17-FB1173B48443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03A20A26-4539-48CF-89BA-6FD5C81B228C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97FD7698-4CA8-499A-84BA-DC7C051EFC17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7" authorId="0" shapeId="0" xr:uid="{C74FC12D-610E-49EA-AE42-B6667D12B100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N135" authorId="1" shapeId="0" xr:uid="{DA377D29-2657-43FB-B248-12BC8BD3972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A146" authorId="0" shapeId="0" xr:uid="{E4650B2A-021C-4FD6-9EC5-7340BFD6CBA5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P163" authorId="1" shapeId="0" xr:uid="{E4677CE3-01F7-493B-BC0C-EF0437B31DB4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5" authorId="0" shapeId="0" xr:uid="{4596BBEB-DC87-42E7-B0FD-A9A5FD5108C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6" authorId="0" shapeId="0" xr:uid="{FDACE423-87DA-4474-902A-38BCDC46CB98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7" authorId="0" shapeId="0" xr:uid="{E18BF5DE-D450-445C-A29E-9A59D94B28AE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AF17" authorId="0" shapeId="0" xr:uid="{A91E64DC-B28C-4EBC-A9DB-21871B299A9C}">
      <text>
        <r>
          <rPr>
            <sz val="11"/>
            <color theme="1"/>
            <rFont val="Calibri"/>
            <family val="2"/>
            <scheme val="minor"/>
          </rPr>
          <t>Puede ser la diferencia 23% de ANH y 10% en Global Data de GOR
	-JULIAN</t>
        </r>
      </text>
    </comment>
    <comment ref="K19" authorId="0" shapeId="0" xr:uid="{FABC9AD9-D139-4F64-BD73-06272F59A62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2" authorId="0" shapeId="0" xr:uid="{0C8DED4C-8F29-4FBD-8E00-598EDFB983D8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23" authorId="0" shapeId="0" xr:uid="{7252504E-AF52-43B7-9490-6B2621A4982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23" authorId="0" shapeId="0" xr:uid="{D8115430-E88A-4D67-95F7-4A23CAD9E44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4" authorId="0" shapeId="0" xr:uid="{83E5B8DB-B9CC-4E25-A0D6-CD6929F849B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27" authorId="0" shapeId="0" xr:uid="{7128CE70-B875-4DAD-8A75-FF68CB2A3BB8}">
      <text>
        <r>
          <rPr>
            <sz val="11"/>
            <color theme="1"/>
            <rFont val="Calibri"/>
            <family val="2"/>
            <scheme val="minor"/>
          </rPr>
          <t>Las producciones son de 0, 6 y 24 Bpd respectivamente, por eso no se incluyen.
	-JULIAN</t>
        </r>
      </text>
    </comment>
    <comment ref="K45" authorId="0" shapeId="0" xr:uid="{D2C99F84-B613-4888-8B89-87E0C3389FF2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46" authorId="0" shapeId="0" xr:uid="{029D856B-0151-4DD7-A421-268A06EE749F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47" authorId="0" shapeId="0" xr:uid="{71DB6852-46D5-485F-9EEC-7C8F948DCF01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49" authorId="0" shapeId="0" xr:uid="{0966B624-8294-47DF-92B7-C063A5CA8B5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52" authorId="0" shapeId="0" xr:uid="{31A64FB9-F74C-4A56-AA2F-26A918229CC2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53" authorId="0" shapeId="0" xr:uid="{FC5E76FD-8C96-4A64-9FDA-80E14200F8A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53" authorId="0" shapeId="0" xr:uid="{9FCF2006-873D-4BBC-B08E-8D5A200E139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54" authorId="0" shapeId="0" xr:uid="{6AD40673-AD5F-4783-BCB7-28379993CE85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K77" authorId="0" shapeId="0" xr:uid="{A12FEA1C-6D3B-46FF-B5A8-45637AC985CC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78" authorId="0" shapeId="0" xr:uid="{12E2B4B2-CE91-4759-8A5A-A8522983FFE2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79" authorId="0" shapeId="0" xr:uid="{A06A6C54-F0CC-404F-84C3-B33E665E0010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P79" authorId="0" shapeId="0" xr:uid="{51EA8516-7DEF-4834-88A6-922696728D3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GlobalData es 10%
	-tc={D0885B34-4AE8-4094-B4E9-2688FE72BF6A}</t>
        </r>
      </text>
    </comment>
    <comment ref="K81" authorId="0" shapeId="0" xr:uid="{6E4BE78C-5408-4A18-8C09-C068BDC1F1CE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84" authorId="0" shapeId="0" xr:uid="{DC97C831-BFB3-4C9B-9204-CD9E9E11F919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85" authorId="0" shapeId="0" xr:uid="{17CEFA66-995A-40FE-9B0B-88419742BA14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85" authorId="0" shapeId="0" xr:uid="{5CB8C7C7-6E14-4EF8-8EFF-C5DF54292DD3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86" authorId="0" shapeId="0" xr:uid="{07D1C344-342A-4F01-9387-8471D9E0E64C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164" authorId="0" shapeId="0" xr:uid="{76515697-A965-4A80-B3D9-78CB0B981BA5}">
      <text>
        <r>
          <rPr>
            <sz val="11"/>
            <color theme="1"/>
            <rFont val="Calibri"/>
            <family val="2"/>
            <scheme val="minor"/>
          </rPr>
          <t>YP23252/
	-JULIAN</t>
        </r>
      </text>
    </comment>
    <comment ref="Z164" authorId="0" shapeId="0" xr:uid="{25C9A720-FABF-426A-9C8A-2990181FE2DF}">
      <text>
        <r>
          <rPr>
            <sz val="11"/>
            <color theme="1"/>
            <rFont val="Calibri"/>
            <family val="2"/>
            <scheme val="minor"/>
          </rPr>
          <t>https://www.bnamericas.com/es/noticias/ecopetrol-pone-en-marcha-nueva-planta-de-glp-en-cupiagua-casanare
	-JULIAN</t>
        </r>
      </text>
    </comment>
    <comment ref="AA164" authorId="0" shapeId="0" xr:uid="{186A20DA-0886-4BF5-819B-F0616616A0BC}">
      <text>
        <r>
          <rPr>
            <sz val="11"/>
            <color theme="1"/>
            <rFont val="Calibri"/>
            <family val="2"/>
            <scheme val="minor"/>
          </rPr>
          <t>https://www.portafolio.co/negocios/empresas/comenzo-operar-nueva-planta-glp-cusiana-152324
	-JULIAN</t>
        </r>
      </text>
    </comment>
    <comment ref="AC164" authorId="0" shapeId="0" xr:uid="{53B196F0-8BD6-419E-B991-141753353EBC}">
      <text>
        <r>
          <rPr>
            <sz val="11"/>
            <color theme="1"/>
            <rFont val="Calibri"/>
            <family val="2"/>
            <scheme val="minor"/>
          </rPr>
          <t>TY-GAS S.A.
file:///C:/Users/JULIAN/OneDrive%20-%20UNIVERSIDAD%20INDUSTRIAL%20DE%20SANTANDER/0%20T%20E%20S%20I%20S%20%20%20%20D%20E%20%20%20%20M%20A%20E%20S%20T%20R%20I%20A/0%20Documentacion%20Modelo/BAS%201%20Petroleo%20Y%20Gas/1%20Tecnologias%20Produccion/Gasfield/Florena/FLO%204%20-%20TESIS%202014%20Liquid%20hydrocarbons.pdf
	-JULIAN</t>
        </r>
      </text>
    </comment>
    <comment ref="N183" authorId="0" shapeId="0" xr:uid="{D268150A-64B2-4B15-9EF3-C88BEA8946A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=(1,8+((2,7-1,8)/2))/1000
TGI 2020 Cartilla de emisiones
	-JULIAN</t>
        </r>
      </text>
    </comment>
    <comment ref="U183" authorId="0" shapeId="0" xr:uid="{F0AE7A0A-FE36-4214-BEAA-8DC450EB1555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N184" authorId="0" shapeId="0" xr:uid="{8559C416-F6B8-46A8-815E-F0872B140CCA}">
      <text>
        <r>
          <rPr>
            <sz val="11"/>
            <color theme="1"/>
            <rFont val="Calibri"/>
            <family val="2"/>
            <scheme val="minor"/>
          </rPr>
          <t>Edgar, Tesis, p. 45.
Unravelling the…
Unidades, MJ/GJ oil
R1: 4,6 Orinoquia
R2: 3,9 Central
R3: 1,1 Sur
Alrededor de 5, según https://iea-etsap.org/E-TechDS/PDF/P03_oilgaslogistics_PS_revised_GSOK2.pdf
	-JULIAN</t>
        </r>
      </text>
    </comment>
    <comment ref="U184" authorId="0" shapeId="0" xr:uid="{F8C4760C-FE89-452D-8924-4890E64BBD8A}">
      <text>
        <r>
          <rPr>
            <sz val="11"/>
            <color theme="1"/>
            <rFont val="Calibri"/>
            <family val="2"/>
            <scheme val="minor"/>
          </rPr>
          <t>Cenit, 0,00264 PJ/PJ
Electricidad 0,00211
1,24667 Kwh/bl
Edgar, Tesis, p. 45.
Unravelling the…
Unidades, MJ/GJ oil
R1: 4,6 Orinoquia
R2: 3,9 Central
R3: 1,1 Sur
Alrededor de 5, según https://iea-etsap.org/E-TechDS/PDF/P03_oilgaslogistics_PS_revised_GSOK2.pdf
	-JULIAN</t>
        </r>
      </text>
    </comment>
    <comment ref="N189" authorId="0" shapeId="0" xr:uid="{367C5FF4-7CB6-4447-8A15-62503B923F79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U189" authorId="0" shapeId="0" xr:uid="{F2E5E08F-EFFA-4200-8F4D-8E9CB0A1187C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Q193" authorId="0" shapeId="0" xr:uid="{8F6412FE-BE96-446B-936E-B6ED1163C813}">
      <text>
        <r>
          <rPr>
            <sz val="11"/>
            <color theme="1"/>
            <rFont val="Calibri"/>
            <family val="2"/>
            <scheme val="minor"/>
          </rPr>
          <t>Edgar tesis
	-JULIAN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S6" authorId="0" shapeId="0" xr:uid="{9F864B69-C964-4652-8FC0-E912D45C2A0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G9" authorId="0" shapeId="0" xr:uid="{86A64BD7-B1DD-46FC-ADAA-41C9BDEB9BA1}">
      <text>
        <r>
          <rPr>
            <sz val="11"/>
            <color theme="1"/>
            <rFont val="Calibri"/>
            <family val="2"/>
            <scheme val="minor"/>
          </rPr>
          <t>JULIAN
Valor ficticio, ayuda a que el modelo no produzca todas las reservas en el primer año.
Esto sucede porque es una commodity importante que no tendría ningún costo.
	-JULIAN</t>
        </r>
      </text>
    </comment>
    <comment ref="W25" authorId="0" shapeId="0" xr:uid="{CE85C5D1-CEA1-4328-84F3-81F2C9DD35F5}">
      <text>
        <r>
          <rPr>
            <sz val="11"/>
            <color theme="1"/>
            <rFont val="Calibri"/>
            <family val="2"/>
            <scheme val="minor"/>
          </rPr>
          <t>GOR*%Flaring * Share-I-(Rcam)*FE(gas)/EFF(proceso)
	-JULIAN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/>
  </authors>
  <commentList>
    <comment ref="V10" authorId="0" shapeId="0" xr:uid="{6A01AE7F-6A5E-4EEC-B400-A4371073C61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  <comment ref="G45" authorId="1" shapeId="0" xr:uid="{C4DC6C3A-5154-4191-815D-E1347250A840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U54" authorId="0" shapeId="0" xr:uid="{3F81FC45-59DE-454D-A7B9-8887F3B38AB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Castilla La Nueva, San Fernando.</t>
        </r>
      </text>
    </comment>
    <comment ref="Q67" authorId="0" shapeId="0" xr:uid="{7AD043F1-2E7D-4BF0-9EDD-1AC22702DF8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L10" authorId="0" shapeId="0" xr:uid="{FAC3427F-555D-4759-B4BD-6CD557C85FE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B5" authorId="0" shapeId="0" xr:uid="{44CB95EE-ACC3-49B0-A561-C032C46162CD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B16" authorId="0" shapeId="0" xr:uid="{13652D68-D6B8-44FE-9C50-3CE9E31969A9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<sst xmlns="http://schemas.openxmlformats.org/spreadsheetml/2006/main" count="5894" uniqueCount="1393">
  <si>
    <t>Campos</t>
  </si>
  <si>
    <t>Primary Energy</t>
  </si>
  <si>
    <t>Secondary Energy</t>
  </si>
  <si>
    <t>Electricidad</t>
  </si>
  <si>
    <t>Emisiones eq</t>
  </si>
  <si>
    <t>Sectores</t>
  </si>
  <si>
    <t>CAM1</t>
  </si>
  <si>
    <t>GAS</t>
  </si>
  <si>
    <t>GSL</t>
  </si>
  <si>
    <t>ELC</t>
  </si>
  <si>
    <t>CO2e</t>
  </si>
  <si>
    <t>AGR</t>
  </si>
  <si>
    <t>CAM2</t>
  </si>
  <si>
    <t>LOIL</t>
  </si>
  <si>
    <t>DSL</t>
  </si>
  <si>
    <t>TER</t>
  </si>
  <si>
    <t>CAM3</t>
  </si>
  <si>
    <t>MOIL</t>
  </si>
  <si>
    <t>KER</t>
  </si>
  <si>
    <t>RSD</t>
  </si>
  <si>
    <t>CAM4</t>
  </si>
  <si>
    <t>HOIL</t>
  </si>
  <si>
    <t>LPG</t>
  </si>
  <si>
    <t>IND</t>
  </si>
  <si>
    <t>CAM5</t>
  </si>
  <si>
    <t>FLU</t>
  </si>
  <si>
    <t>HFO</t>
  </si>
  <si>
    <t>TRA</t>
  </si>
  <si>
    <t>CAM6</t>
  </si>
  <si>
    <t>GAS-plt</t>
  </si>
  <si>
    <t>ETH</t>
  </si>
  <si>
    <t>CAM7</t>
  </si>
  <si>
    <t>BDSL</t>
  </si>
  <si>
    <t>CAM8</t>
  </si>
  <si>
    <t>CAM9</t>
  </si>
  <si>
    <t>CAM10</t>
  </si>
  <si>
    <t>EMISIONES</t>
  </si>
  <si>
    <t>~FI_Comm</t>
  </si>
  <si>
    <t>Csets</t>
  </si>
  <si>
    <t>Region</t>
  </si>
  <si>
    <t>CommName</t>
  </si>
  <si>
    <t>CommDesc</t>
  </si>
  <si>
    <t>Unit</t>
  </si>
  <si>
    <t>LimType</t>
  </si>
  <si>
    <t>CTSLvl</t>
  </si>
  <si>
    <t>PeakTS</t>
  </si>
  <si>
    <t>Ctype</t>
  </si>
  <si>
    <t>*Commodity Set Membership</t>
  </si>
  <si>
    <t>Region Name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</si>
  <si>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</si>
  <si>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</si>
  <si>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</si>
  <si>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</si>
  <si>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</si>
  <si>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</si>
  <si>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NRG</t>
  </si>
  <si>
    <t>PJ</t>
  </si>
  <si>
    <t>Gasolina</t>
  </si>
  <si>
    <t>ENV</t>
  </si>
  <si>
    <t>kt</t>
  </si>
  <si>
    <t>Diesel</t>
  </si>
  <si>
    <t>Keroseno-Jet</t>
  </si>
  <si>
    <t>Biodiesel</t>
  </si>
  <si>
    <t>DH2</t>
  </si>
  <si>
    <t>GAS-CAM1</t>
  </si>
  <si>
    <t>DEM</t>
  </si>
  <si>
    <t>GAS-CAM2</t>
  </si>
  <si>
    <t>GAS-CAM3</t>
  </si>
  <si>
    <t>GAS-CAM4</t>
  </si>
  <si>
    <t>AVG</t>
  </si>
  <si>
    <t>Aviation gasoline</t>
  </si>
  <si>
    <t>GAS-CAM5</t>
  </si>
  <si>
    <t>RFG</t>
  </si>
  <si>
    <t>Refinery Gas</t>
  </si>
  <si>
    <t>GAS-CAM6</t>
  </si>
  <si>
    <t>DAVG</t>
  </si>
  <si>
    <t>GAS-CAM7</t>
  </si>
  <si>
    <t>DBDSL</t>
  </si>
  <si>
    <t>LOIL-CAM2</t>
  </si>
  <si>
    <t>RFG1</t>
  </si>
  <si>
    <t>Refinery Gas de la refineria 1</t>
  </si>
  <si>
    <t>DETH</t>
  </si>
  <si>
    <t>LOIL-CAM4</t>
  </si>
  <si>
    <t>RFG2</t>
  </si>
  <si>
    <t>Refinery Gas de la refineria 2</t>
  </si>
  <si>
    <t>LOIL-CAM7</t>
  </si>
  <si>
    <t>MOIL-CAM5</t>
  </si>
  <si>
    <t>MOIL-CAM6</t>
  </si>
  <si>
    <t>CO2e-DAVG</t>
  </si>
  <si>
    <t>HOIL-CAM3</t>
  </si>
  <si>
    <t>CO2e-Scope3</t>
  </si>
  <si>
    <t>CO2e-REF1</t>
  </si>
  <si>
    <t>CO2e-REF2</t>
  </si>
  <si>
    <t>ELC-CAM1</t>
  </si>
  <si>
    <t>ELC-CAM2</t>
  </si>
  <si>
    <t>ELC-CAM3</t>
  </si>
  <si>
    <t>ELC-CAM4</t>
  </si>
  <si>
    <t>ELC-CAM5</t>
  </si>
  <si>
    <t>ELC-CAM6</t>
  </si>
  <si>
    <t>ELC-CAM7</t>
  </si>
  <si>
    <t>FUEL-GAS-CAM1</t>
  </si>
  <si>
    <t>FUEL-GAS-CAM2</t>
  </si>
  <si>
    <t>FUEL-GAS-CAM3</t>
  </si>
  <si>
    <t>FUEL-GAS-CAM4</t>
  </si>
  <si>
    <t>FUEL-GAS-CAM5</t>
  </si>
  <si>
    <t>FUEL-GAS-CAM6</t>
  </si>
  <si>
    <t>FUEL-GAS-CAM7</t>
  </si>
  <si>
    <t>FUEL-OIL-CAM1</t>
  </si>
  <si>
    <t>FUEL-OIL-CAM2</t>
  </si>
  <si>
    <t>FUEL-OIL-CAM3</t>
  </si>
  <si>
    <t>FUEL-OIL-CAM4</t>
  </si>
  <si>
    <t>FUEL-OIL-CAM5</t>
  </si>
  <si>
    <t>FUEL-OIL-CAM6</t>
  </si>
  <si>
    <t>FUEL-OIL-CAM7</t>
  </si>
  <si>
    <t>FUEL-LPG-CAM2</t>
  </si>
  <si>
    <t>ELC-SIN-TRA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</si>
  <si>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</si>
  <si>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</si>
  <si>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</si>
  <si>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</si>
  <si>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</si>
  <si>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</si>
  <si>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</si>
  <si>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ELC-SIN</t>
  </si>
  <si>
    <t>Procesos</t>
  </si>
  <si>
    <t>Fluidos</t>
  </si>
  <si>
    <t>Ventas/Compras</t>
  </si>
  <si>
    <t>MIN</t>
  </si>
  <si>
    <t>IMP</t>
  </si>
  <si>
    <t>PROF</t>
  </si>
  <si>
    <t>EXP</t>
  </si>
  <si>
    <t>COL</t>
  </si>
  <si>
    <t>REF</t>
  </si>
  <si>
    <t>AUTO-G</t>
  </si>
  <si>
    <t>PROSF</t>
  </si>
  <si>
    <t>AUTO-O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</si>
  <si>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</si>
  <si>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</si>
  <si>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</si>
  <si>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</si>
  <si>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</si>
  <si>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</si>
  <si>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</si>
  <si>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</si>
  <si>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</si>
  <si>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</si>
  <si>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</si>
  <si>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</si>
  <si>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</si>
  <si>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</si>
  <si>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</si>
  <si>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</si>
  <si>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</si>
  <si>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</si>
  <si>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Pja</t>
  </si>
  <si>
    <t>PRE</t>
  </si>
  <si>
    <t>PJa</t>
  </si>
  <si>
    <t>FTE-FUEL-LPG-CAM2</t>
  </si>
  <si>
    <t>AUTO-GAS-CAM1</t>
  </si>
  <si>
    <t>AUTO-OIL-CAM1</t>
  </si>
  <si>
    <t>AUTO-DSL-CAM1</t>
  </si>
  <si>
    <t>AUTO-GAS-CAM2</t>
  </si>
  <si>
    <t>AUTO-OIL-CAM2</t>
  </si>
  <si>
    <t>AUTO-DSL-CAM2</t>
  </si>
  <si>
    <t>AUTO-LPG-CAM2</t>
  </si>
  <si>
    <t>AUTO-GAS-CAM3</t>
  </si>
  <si>
    <t>AUTO-OIL-CAM3</t>
  </si>
  <si>
    <t>AUTO-DSL-CAM3</t>
  </si>
  <si>
    <t>AUTO-LPG-CAM3</t>
  </si>
  <si>
    <t>AUTO-GAS-CAM4</t>
  </si>
  <si>
    <t>AUTO-OIL-CAM4</t>
  </si>
  <si>
    <t>AUTO-DSL-CAM4</t>
  </si>
  <si>
    <t>AUTO-GAS-CAM5</t>
  </si>
  <si>
    <t>AUTO-OIL-CAM5</t>
  </si>
  <si>
    <t>AUTO-DSL-CAM5</t>
  </si>
  <si>
    <t>AUTO-GAS-CAM6</t>
  </si>
  <si>
    <t>AUTO-OIL-CAM6</t>
  </si>
  <si>
    <t>AUTO-DSL-CAM6</t>
  </si>
  <si>
    <t>AUTO-GAS-CAM7</t>
  </si>
  <si>
    <t>AUTO-OIL-CAM7</t>
  </si>
  <si>
    <t>AUTO-DSL-CAM7</t>
  </si>
  <si>
    <t>COMPRA-ELC-CAM2</t>
  </si>
  <si>
    <t>Compra de electricidad para CAM2</t>
  </si>
  <si>
    <t>COMPRA-ELC-CAM3</t>
  </si>
  <si>
    <t>Compra de electricidad para CAM3</t>
  </si>
  <si>
    <t>COMPRA-ELC-CAM4</t>
  </si>
  <si>
    <t>Compra de electricidad para campo 4</t>
  </si>
  <si>
    <t>COMPRA-ELC-CAM5</t>
  </si>
  <si>
    <t>Compra de electricidad para campo 5</t>
  </si>
  <si>
    <t>COMPRA-ELC-CAM6</t>
  </si>
  <si>
    <t>Compra de electricidad para campo 6</t>
  </si>
  <si>
    <t>COMPRA-ELC-CAM7</t>
  </si>
  <si>
    <t>Compra de electricidad para campo 7</t>
  </si>
  <si>
    <t>R-CAM1</t>
  </si>
  <si>
    <t>DGSL</t>
  </si>
  <si>
    <t>CO2e-CAM1</t>
  </si>
  <si>
    <t>R-CAM2</t>
  </si>
  <si>
    <t>DDSL</t>
  </si>
  <si>
    <t>CO2e-CAM2</t>
  </si>
  <si>
    <t>R-CAM3</t>
  </si>
  <si>
    <t>DKER</t>
  </si>
  <si>
    <t>CO2e-CAM3</t>
  </si>
  <si>
    <t>R-CAM4</t>
  </si>
  <si>
    <t>DLPG</t>
  </si>
  <si>
    <t>CO2e-CAM4</t>
  </si>
  <si>
    <t>R-CAM5</t>
  </si>
  <si>
    <t>DHFO</t>
  </si>
  <si>
    <t>CO2e-CAM5</t>
  </si>
  <si>
    <t>R-CAM6</t>
  </si>
  <si>
    <t>DGAS</t>
  </si>
  <si>
    <t>CO2e-CAM6</t>
  </si>
  <si>
    <t>R-CAM7</t>
  </si>
  <si>
    <t>DLOIL</t>
  </si>
  <si>
    <t>CO2e-CAM7</t>
  </si>
  <si>
    <t>DMOIL</t>
  </si>
  <si>
    <t>CO2e-CAM8</t>
  </si>
  <si>
    <t>CO2eq del CAM8</t>
  </si>
  <si>
    <t>DHOIL</t>
  </si>
  <si>
    <t>DAGR</t>
  </si>
  <si>
    <t>DTER</t>
  </si>
  <si>
    <t>DRSD</t>
  </si>
  <si>
    <t>CO2e-DGSL</t>
  </si>
  <si>
    <t>DIND</t>
  </si>
  <si>
    <t>CO2e-DDSL</t>
  </si>
  <si>
    <t>DTRA</t>
  </si>
  <si>
    <t>CO2e-DKER</t>
  </si>
  <si>
    <t>CO2e-DLPG</t>
  </si>
  <si>
    <t>CO2e-DHFO</t>
  </si>
  <si>
    <t>CO2e-DGAS</t>
  </si>
  <si>
    <t>CO2e-DLOIL</t>
  </si>
  <si>
    <t>CO2e-DMOIL</t>
  </si>
  <si>
    <t>CO2e-DHOIL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</si>
  <si>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</si>
  <si>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</si>
  <si>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</si>
  <si>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</si>
  <si>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</si>
  <si>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</si>
  <si>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</si>
  <si>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FLU-CAM1</t>
  </si>
  <si>
    <t>FLU-CAM2</t>
  </si>
  <si>
    <t>FLU-CAM3</t>
  </si>
  <si>
    <t>FLU-CAM4</t>
  </si>
  <si>
    <t>FLU-CAM5</t>
  </si>
  <si>
    <t>FLU-CAM6</t>
  </si>
  <si>
    <t>FLU-CAM7</t>
  </si>
  <si>
    <t>MIN-CAM1</t>
  </si>
  <si>
    <t>MIN-CAM2</t>
  </si>
  <si>
    <t>MIN-CAM3</t>
  </si>
  <si>
    <t>MIN-CAM4</t>
  </si>
  <si>
    <t>MIN-CAM5</t>
  </si>
  <si>
    <t>MIN-CAM6</t>
  </si>
  <si>
    <t>MIN-CAM7</t>
  </si>
  <si>
    <t>PROF-CAM1</t>
  </si>
  <si>
    <t>PROF-CAM2</t>
  </si>
  <si>
    <t>PROF-CAM3</t>
  </si>
  <si>
    <t>PROF-CAM4</t>
  </si>
  <si>
    <t>PROF-CAM5</t>
  </si>
  <si>
    <t>PROF-CAM6</t>
  </si>
  <si>
    <t>PROF-CAM7</t>
  </si>
  <si>
    <t>SEP-CAM1</t>
  </si>
  <si>
    <t>SEP-CAM2</t>
  </si>
  <si>
    <t>SEP-CAM3</t>
  </si>
  <si>
    <t>SEP-CAM4</t>
  </si>
  <si>
    <t>SEP-CAM5</t>
  </si>
  <si>
    <t>SEP-CAM6</t>
  </si>
  <si>
    <t>SEP-CAM7</t>
  </si>
  <si>
    <t>PLT-CAM2</t>
  </si>
  <si>
    <t>PLT-CAM3</t>
  </si>
  <si>
    <t>PLT-CAM6</t>
  </si>
  <si>
    <t>FTE-FUEL-GAS-CAM1</t>
  </si>
  <si>
    <t>FTE-FUEL-GAS-CAM2</t>
  </si>
  <si>
    <t>FTE-FUEL-GAS-CAM3</t>
  </si>
  <si>
    <t>FTE-FUEL-GAS-CAM4</t>
  </si>
  <si>
    <t>FTE-FUEL-GAS-CAM5</t>
  </si>
  <si>
    <t>FTE-FUEL-GAS-CAM6</t>
  </si>
  <si>
    <t>FTE-FUEL-GAS-CAM7</t>
  </si>
  <si>
    <t>FTE-FUEL-OIL-CAM1</t>
  </si>
  <si>
    <t>FTE-FUEL-OIL-CAM2</t>
  </si>
  <si>
    <t>FTE-FUEL-OIL-CAM3</t>
  </si>
  <si>
    <t>FTE-FUEL-OIL-CAM4</t>
  </si>
  <si>
    <t>FTE-FUEL-OIL-CAM5</t>
  </si>
  <si>
    <t>FTE-FUEL-OIL-CAM6</t>
  </si>
  <si>
    <t>FTE-FUEL-OIL-CAM7</t>
  </si>
  <si>
    <t>Commodity</t>
  </si>
  <si>
    <t>Exact Reference in UPME</t>
  </si>
  <si>
    <t>Original Unit</t>
  </si>
  <si>
    <t>Heat Value (PJ/UO)</t>
  </si>
  <si>
    <t>Emission Factor (kt CO2eq/PJ)</t>
  </si>
  <si>
    <t>Natural Gas</t>
  </si>
  <si>
    <t>Yes: Gas natural</t>
  </si>
  <si>
    <t>MPC</t>
  </si>
  <si>
    <t>Light Oil</t>
  </si>
  <si>
    <t>Yes: Petróleo</t>
  </si>
  <si>
    <t>Mbl</t>
  </si>
  <si>
    <t>Medium Oil</t>
  </si>
  <si>
    <t>Heavy Oil</t>
  </si>
  <si>
    <t>Gasoline</t>
  </si>
  <si>
    <t>Yes: Gasolina Motor</t>
  </si>
  <si>
    <t>Yes: Diesel</t>
  </si>
  <si>
    <t>Kerosene</t>
  </si>
  <si>
    <t>Yes: Keroseno y Jet Fuel</t>
  </si>
  <si>
    <t>Yes: Gas licuado del Petróleo</t>
  </si>
  <si>
    <t>Fuel Oil</t>
  </si>
  <si>
    <t>Yes: Fuel Oil</t>
  </si>
  <si>
    <t>Avgas</t>
  </si>
  <si>
    <t>Yes: avgas</t>
  </si>
  <si>
    <t>Yes: Gas de Refinería</t>
  </si>
  <si>
    <t>Ethanol</t>
  </si>
  <si>
    <t>Yes: Alcohol Carburante</t>
  </si>
  <si>
    <t xml:space="preserve">Yes: Biodiesel </t>
  </si>
  <si>
    <t>Electricity</t>
  </si>
  <si>
    <t>Yes: Electricity - 2019</t>
  </si>
  <si>
    <t>Gwh</t>
  </si>
  <si>
    <t>-</t>
  </si>
  <si>
    <t>Escenario</t>
  </si>
  <si>
    <t>PCI</t>
  </si>
  <si>
    <t>F.E. CO2eq</t>
  </si>
  <si>
    <t>kt/PJ</t>
  </si>
  <si>
    <t>GU - Gas</t>
  </si>
  <si>
    <t>Energetico</t>
  </si>
  <si>
    <t>TJ/kbl*</t>
  </si>
  <si>
    <t>t/TJ</t>
  </si>
  <si>
    <t>UO</t>
  </si>
  <si>
    <t>Unidad/PJ</t>
  </si>
  <si>
    <r>
      <t xml:space="preserve">kb/d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 gal/d</t>
    </r>
  </si>
  <si>
    <t>LLO - Ligth</t>
  </si>
  <si>
    <t>MPC/TJ</t>
  </si>
  <si>
    <t>MPC/PJ</t>
  </si>
  <si>
    <t>MPC/d</t>
  </si>
  <si>
    <t>LLO - Heavy</t>
  </si>
  <si>
    <t>kbl/TJ</t>
  </si>
  <si>
    <t>kbl/PJ</t>
  </si>
  <si>
    <t>Kb/d</t>
  </si>
  <si>
    <t>PU - Ligth</t>
  </si>
  <si>
    <t>VMM - Medium</t>
  </si>
  <si>
    <t>VSM - Medium</t>
  </si>
  <si>
    <t>VIM - GAS</t>
  </si>
  <si>
    <t>pj/gwh</t>
  </si>
  <si>
    <r>
      <t xml:space="preserve">TRM (USD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COP)</t>
    </r>
  </si>
  <si>
    <t>USD</t>
  </si>
  <si>
    <t>COP/USD</t>
  </si>
  <si>
    <t>GWh/año</t>
  </si>
  <si>
    <t>MUSD</t>
  </si>
  <si>
    <t>Kt CO2e/año</t>
  </si>
  <si>
    <t>COP</t>
  </si>
  <si>
    <t>Kb/d - Mpc/d</t>
  </si>
  <si>
    <t>(MPC/d) / (kb/d)</t>
  </si>
  <si>
    <t>Hidrogeno</t>
  </si>
  <si>
    <t>t/PJ</t>
  </si>
  <si>
    <t>Heating Value</t>
  </si>
  <si>
    <t>F.E.</t>
  </si>
  <si>
    <t>TJ/UO</t>
  </si>
  <si>
    <t>PJ/UO</t>
  </si>
  <si>
    <t>UO/PJ(d)</t>
  </si>
  <si>
    <t>kbl</t>
  </si>
  <si>
    <t>Units per day/PJ</t>
  </si>
  <si>
    <t>H2</t>
  </si>
  <si>
    <t>EXP-SIN</t>
  </si>
  <si>
    <t>Venta al SIN</t>
  </si>
  <si>
    <t>EXP-AVG</t>
  </si>
  <si>
    <t>Exportación de AVGAS</t>
  </si>
  <si>
    <t>IMP-SIN</t>
  </si>
  <si>
    <t>Compra al SIN</t>
  </si>
  <si>
    <t>IMP-AVG</t>
  </si>
  <si>
    <t>Importación de AVG</t>
  </si>
  <si>
    <t>BUY-ETH</t>
  </si>
  <si>
    <t>Compra nacional de Ethanol</t>
  </si>
  <si>
    <t>BUY-BDSL</t>
  </si>
  <si>
    <t>Compra nacional de Biodiesel</t>
  </si>
  <si>
    <t>IMP-SIN-TRA</t>
  </si>
  <si>
    <t>Compra al SIN para Transporte</t>
  </si>
  <si>
    <t>EXP-GSL</t>
  </si>
  <si>
    <t>Exportacion de Gasolina</t>
  </si>
  <si>
    <t>EXP-DSL</t>
  </si>
  <si>
    <t>Exportacion de Diesel</t>
  </si>
  <si>
    <t>EXP-KER</t>
  </si>
  <si>
    <t>Exportacion de Keroseno-Jet</t>
  </si>
  <si>
    <t>EXP-LPG</t>
  </si>
  <si>
    <t>Exportacion de LPG</t>
  </si>
  <si>
    <t>EXP-HFO</t>
  </si>
  <si>
    <t>Exportacion de Combustoleo</t>
  </si>
  <si>
    <t>EXP-ETH</t>
  </si>
  <si>
    <t>Exportacion de Etanol</t>
  </si>
  <si>
    <t>EXP-BDSL</t>
  </si>
  <si>
    <t>Exportacion de Biodiesel</t>
  </si>
  <si>
    <t>EXP-GAS</t>
  </si>
  <si>
    <t>Exportacion de Gasolina natural</t>
  </si>
  <si>
    <t>EXP-LOIL</t>
  </si>
  <si>
    <t>Exportacion de Petroleo liviano</t>
  </si>
  <si>
    <t>EXP-MOIL</t>
  </si>
  <si>
    <t>Exportacion de Petroleo mediano</t>
  </si>
  <si>
    <t>EXP-HOIL</t>
  </si>
  <si>
    <t>Exportacion de Petroleo pesado</t>
  </si>
  <si>
    <t>IMP-GSL</t>
  </si>
  <si>
    <t>Importacion de Gasolina</t>
  </si>
  <si>
    <t>IMP-DSL</t>
  </si>
  <si>
    <t>Importacion de Diesel</t>
  </si>
  <si>
    <t>IMP-KER</t>
  </si>
  <si>
    <t>Importacion de Keroseno-Jet</t>
  </si>
  <si>
    <t>IMP-LPG</t>
  </si>
  <si>
    <t>Importacion de LPG</t>
  </si>
  <si>
    <t>IMP-HFO</t>
  </si>
  <si>
    <t>Importacion de Combustoleo</t>
  </si>
  <si>
    <t>IMP-ETH</t>
  </si>
  <si>
    <t>Importacion de Etanol</t>
  </si>
  <si>
    <t>IMP-BDSL</t>
  </si>
  <si>
    <t>Importacion de Biodiesel</t>
  </si>
  <si>
    <t>IMP-GAS</t>
  </si>
  <si>
    <t>Importacion de Gasolina natural</t>
  </si>
  <si>
    <t>IMP-LOIL</t>
  </si>
  <si>
    <t>Importacion de Petroleo liviano</t>
  </si>
  <si>
    <t>IMP-MOIL</t>
  </si>
  <si>
    <t>Importacion de Petroleo mediano</t>
  </si>
  <si>
    <t>IMP-HOIL</t>
  </si>
  <si>
    <t>Importacion de Petroleo pesado</t>
  </si>
  <si>
    <t>~FI_T</t>
  </si>
  <si>
    <t>Comm-IN</t>
  </si>
  <si>
    <t>Comm-OUT</t>
  </si>
  <si>
    <t>COST~2019</t>
  </si>
  <si>
    <t>COST~2020</t>
  </si>
  <si>
    <t>COST~2025</t>
  </si>
  <si>
    <t>COST~2030</t>
  </si>
  <si>
    <t>COST~2035</t>
  </si>
  <si>
    <t>COST~2040</t>
  </si>
  <si>
    <t>COST~2045</t>
  </si>
  <si>
    <t>COST~2050</t>
  </si>
  <si>
    <t>*Technology Name</t>
  </si>
  <si>
    <t>Input Commodity</t>
  </si>
  <si>
    <t>Output Commodity</t>
  </si>
  <si>
    <t>Cost</t>
  </si>
  <si>
    <t>MUSD19/PJ</t>
  </si>
  <si>
    <t>Proyeciones para escenario de referencia, AEO - US EIA, 2019, en USD/Millon de BTU</t>
  </si>
  <si>
    <t>POIL</t>
  </si>
  <si>
    <t>WTI</t>
  </si>
  <si>
    <t>Proyeciones para escenario de referencia, AEO - US EIA, 2019, en MUSD/PJ</t>
  </si>
  <si>
    <t>Kerosene-Jet</t>
  </si>
  <si>
    <t>PJ/MBTU</t>
  </si>
  <si>
    <t>ELC, AEO, 2020, BAU</t>
  </si>
  <si>
    <t>%, respecto 2019</t>
  </si>
  <si>
    <t>ELC, con base COL</t>
  </si>
  <si>
    <t>Importación / Exportación</t>
  </si>
  <si>
    <t>ELC, Colombia</t>
  </si>
  <si>
    <t>USD2019/Kwh</t>
  </si>
  <si>
    <t>MUSD/PJ</t>
  </si>
  <si>
    <t>MUSD/Gwh</t>
  </si>
  <si>
    <t>USD/Gwh</t>
  </si>
  <si>
    <t>EFF</t>
  </si>
  <si>
    <t>FTE-DKER</t>
  </si>
  <si>
    <t>FTE-DLPG</t>
  </si>
  <si>
    <t>FTE-DHFO</t>
  </si>
  <si>
    <t>FTE-DGAS</t>
  </si>
  <si>
    <t>FTE-DLOIL</t>
  </si>
  <si>
    <t>FTE-DAVG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</si>
  <si>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</si>
  <si>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</si>
  <si>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</si>
  <si>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</si>
  <si>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</si>
  <si>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Tecnologia para que el AVGAS pueda suplir la demana</t>
  </si>
  <si>
    <t>FTE-DGSL</t>
  </si>
  <si>
    <t>Tecnologia para que la gasolina pueda suplir la demana</t>
  </si>
  <si>
    <t>Tecnologia para que el diesel pueda suplir la demana</t>
  </si>
  <si>
    <t>Tecnologia para que el Ethanol¡ pueda suplir la demana</t>
  </si>
  <si>
    <t>Tecnologia para que el Diesel pueda suplir la demana</t>
  </si>
  <si>
    <t>DMD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</si>
  <si>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</si>
  <si>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</si>
  <si>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</si>
  <si>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</si>
  <si>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</si>
  <si>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FTD-AGR</t>
  </si>
  <si>
    <t>FTD-TER</t>
  </si>
  <si>
    <t>FTD-RSD</t>
  </si>
  <si>
    <t>FTD-IND</t>
  </si>
  <si>
    <t>FTD-TRA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</si>
  <si>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</si>
  <si>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</si>
  <si>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</si>
  <si>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</si>
  <si>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</si>
  <si>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</si>
  <si>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</si>
  <si>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</si>
  <si>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UP</t>
  </si>
  <si>
    <t>FX</t>
  </si>
  <si>
    <t>%e de Ethanol en Gasolina</t>
  </si>
  <si>
    <t>%e de Biodiesel en Diésel</t>
  </si>
  <si>
    <t>Attribute</t>
  </si>
  <si>
    <t>*Unit</t>
  </si>
  <si>
    <t>Demand</t>
  </si>
  <si>
    <t>%vol</t>
  </si>
  <si>
    <t>SCOPE 3</t>
  </si>
  <si>
    <t>~COMEMI</t>
  </si>
  <si>
    <t>*Units</t>
  </si>
  <si>
    <t>SIN</t>
  </si>
  <si>
    <t>kgCO2/kwh</t>
  </si>
  <si>
    <t>kt CO2/Kwh</t>
  </si>
  <si>
    <t>kt CO2/Gwh</t>
  </si>
  <si>
    <t>kt CO2/PJ</t>
  </si>
  <si>
    <t>MIX-OIL-REF1</t>
  </si>
  <si>
    <t>Mezcla de crudos para refineria 1</t>
  </si>
  <si>
    <t>REF1</t>
  </si>
  <si>
    <t>Refineria 1 - Reficar</t>
  </si>
  <si>
    <t>SMR-REF1</t>
  </si>
  <si>
    <t>SMR en la refineria 1</t>
  </si>
  <si>
    <t>AUTO-REF1</t>
  </si>
  <si>
    <t>Autogeneracion en refineria 1</t>
  </si>
  <si>
    <t>COMPRA-ELC-REF1</t>
  </si>
  <si>
    <t>Compra de electricidad en refineria 1</t>
  </si>
  <si>
    <t>FTE-GAS-REF1</t>
  </si>
  <si>
    <t>Proceso para que el gas se use en refineria 1</t>
  </si>
  <si>
    <t>FTE-HFO-REF1</t>
  </si>
  <si>
    <t>Proceso para que el HFO se use en refineria 1</t>
  </si>
  <si>
    <t>FTE-LPG-REF1</t>
  </si>
  <si>
    <t>Proceso para que LPG se use en refinería 1</t>
  </si>
  <si>
    <t>FTE-RFG1</t>
  </si>
  <si>
    <t>Proceso para que RFG1 se use en refinería 1</t>
  </si>
  <si>
    <t>OIL-REF1</t>
  </si>
  <si>
    <t>Petroleo para refineria 1</t>
  </si>
  <si>
    <t>ELC-REF1</t>
  </si>
  <si>
    <t>Electricidad usada en refineria 1</t>
  </si>
  <si>
    <t>H2-REF1</t>
  </si>
  <si>
    <t>Hidrogeno usado en la refineria 1</t>
  </si>
  <si>
    <t>STEAM-DRM-REF1</t>
  </si>
  <si>
    <t>Vapor para refineria 1</t>
  </si>
  <si>
    <t>GAS-REF1</t>
  </si>
  <si>
    <t>Gas utilizado en refineria 1</t>
  </si>
  <si>
    <t>HFO-REF1</t>
  </si>
  <si>
    <t>HFO utilizado en refineria 1</t>
  </si>
  <si>
    <t>LPG-REF1</t>
  </si>
  <si>
    <t>LPG utilizado en refinería 1</t>
  </si>
  <si>
    <t>RFG1-REF1</t>
  </si>
  <si>
    <t>RFG1 utilizado en refinería 1</t>
  </si>
  <si>
    <t>Mezclador de Petróleo a la Entrada</t>
  </si>
  <si>
    <t>Share-I~FX</t>
  </si>
  <si>
    <t>Entradas a la Refinería</t>
  </si>
  <si>
    <t>Generación de Hidrogeno</t>
  </si>
  <si>
    <t>Year</t>
  </si>
  <si>
    <t>ACT_BND</t>
  </si>
  <si>
    <t>Salidas a la Refinería</t>
  </si>
  <si>
    <t>Datos Generales</t>
  </si>
  <si>
    <t>ACT_COST</t>
  </si>
  <si>
    <t>MIX-OIL-REF2</t>
  </si>
  <si>
    <t>Mezcla de crudos para refineria 2</t>
  </si>
  <si>
    <t>REF2</t>
  </si>
  <si>
    <t>Refineria 2</t>
  </si>
  <si>
    <t>SMR-REF2</t>
  </si>
  <si>
    <t>SMR en la refineria 2</t>
  </si>
  <si>
    <t>AUTO-REF2</t>
  </si>
  <si>
    <t>Autogeneracion en refineria 2</t>
  </si>
  <si>
    <t>COMPRA-ELC-REF2</t>
  </si>
  <si>
    <t>Compra de electricidad en refineria 2</t>
  </si>
  <si>
    <t>FTE-GAS-REF2</t>
  </si>
  <si>
    <t>Proceso para que el gas se use en refineria 2</t>
  </si>
  <si>
    <t>FTE-HFO-REF2</t>
  </si>
  <si>
    <t>Proceso para que el HFO se use en refineria 2</t>
  </si>
  <si>
    <t>FTE-LPG-REF2</t>
  </si>
  <si>
    <t>Proceso para que LPG se use en refinería 2</t>
  </si>
  <si>
    <t>FTE-RFG2</t>
  </si>
  <si>
    <t>Proceso para que RFG1 se use en refinería 2</t>
  </si>
  <si>
    <t>OIL-REF2</t>
  </si>
  <si>
    <t>Petroleo para refineria 2</t>
  </si>
  <si>
    <t>ELC-REF2</t>
  </si>
  <si>
    <t>Electricidad usada en refineria 2</t>
  </si>
  <si>
    <t>H2-REF2</t>
  </si>
  <si>
    <t>Hidrogeno usado en la refineria 2</t>
  </si>
  <si>
    <t>STEAM-DRM-REF2</t>
  </si>
  <si>
    <t>Vapor para refineria 2</t>
  </si>
  <si>
    <t>GAS-REF2</t>
  </si>
  <si>
    <t>Gas utilizado en refineria 2</t>
  </si>
  <si>
    <t>HFO-REF2</t>
  </si>
  <si>
    <t>HFO utilizado en refineria 2</t>
  </si>
  <si>
    <t>LPG-REF2</t>
  </si>
  <si>
    <t>LPG utilizado en refinería 2</t>
  </si>
  <si>
    <t>RFG2-REF2</t>
  </si>
  <si>
    <t>RFG1 utilizado en refinería 2</t>
  </si>
  <si>
    <t>Mpcd</t>
  </si>
  <si>
    <t>Bpd</t>
  </si>
  <si>
    <t>Basin</t>
  </si>
  <si>
    <t>Oilfield</t>
  </si>
  <si>
    <t>API Gravity</t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</si>
  <si>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</si>
  <si>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USOS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</si>
  <si>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COMM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</si>
  <si>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</si>
  <si>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sla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</si>
  <si>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REI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</si>
  <si>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</si>
  <si>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</si>
  <si>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PLANT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</si>
  <si>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TRANS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</si>
  <si>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PIPE</t>
    </r>
  </si>
  <si>
    <r>
      <rPr>
        <b/>
        <sz val="14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</si>
  <si>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</si>
  <si>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ANH, COM</t>
  </si>
  <si>
    <t>ANH, Fisc-Rei</t>
  </si>
  <si>
    <t>GlobalData</t>
  </si>
  <si>
    <t>E%, COM</t>
  </si>
  <si>
    <t>E%, FISC-REI</t>
  </si>
  <si>
    <t>Guajira</t>
  </si>
  <si>
    <t>Chuchupa</t>
  </si>
  <si>
    <t>Energético</t>
  </si>
  <si>
    <t>Ballena</t>
  </si>
  <si>
    <t>Gas Natural</t>
  </si>
  <si>
    <t>Llanos Orientales</t>
  </si>
  <si>
    <t>Gibraltar</t>
  </si>
  <si>
    <t>Petróleo liviano</t>
  </si>
  <si>
    <t>Cupiagua (Cupiagua + Liria + Sur)</t>
  </si>
  <si>
    <t>Petróleo mediano</t>
  </si>
  <si>
    <t>Cusiana (Cusiana + Norte)</t>
  </si>
  <si>
    <t>Petróleo pesado</t>
  </si>
  <si>
    <t>Pauto Sur (Sur + Recetor)</t>
  </si>
  <si>
    <t>Gasolina antes de blending</t>
  </si>
  <si>
    <t>Floreña (Floreña + Mirador)</t>
  </si>
  <si>
    <t>Diesel antes de blending</t>
  </si>
  <si>
    <t>Rubiales</t>
  </si>
  <si>
    <t>Castilla (c, e, n, n)</t>
  </si>
  <si>
    <t>Gas licuado de Petróleo</t>
  </si>
  <si>
    <t>Chichimene</t>
  </si>
  <si>
    <t>Fuel Oil (Combustoleo</t>
  </si>
  <si>
    <t>Akacias</t>
  </si>
  <si>
    <t>Gasolina de aviación</t>
  </si>
  <si>
    <t>Apiay</t>
  </si>
  <si>
    <t>Putumayo</t>
  </si>
  <si>
    <t>Orito</t>
  </si>
  <si>
    <t>*Para todos, menos gas natural, las unidades son TJ/Mpc; PJ/kpc</t>
  </si>
  <si>
    <t>VMM</t>
  </si>
  <si>
    <t>Casabe</t>
  </si>
  <si>
    <t>Area Teca-Corcona</t>
  </si>
  <si>
    <t>Boe</t>
  </si>
  <si>
    <t>J/bl</t>
  </si>
  <si>
    <t>Yarigui-Cantagallo</t>
  </si>
  <si>
    <t>TJ/kbl</t>
  </si>
  <si>
    <t>La Cira</t>
  </si>
  <si>
    <t>Pc</t>
  </si>
  <si>
    <t>VSM</t>
  </si>
  <si>
    <t>Dina</t>
  </si>
  <si>
    <t>San Francisco</t>
  </si>
  <si>
    <t>Tello</t>
  </si>
  <si>
    <t>VIM</t>
  </si>
  <si>
    <t>Arjona</t>
  </si>
  <si>
    <t>Doesn't Apply</t>
  </si>
  <si>
    <t>Bonga</t>
  </si>
  <si>
    <t>Mamey</t>
  </si>
  <si>
    <t>Interpolar</t>
  </si>
  <si>
    <t>USES</t>
  </si>
  <si>
    <t>Relative to Gfisc - Grei</t>
  </si>
  <si>
    <t>Relative to Gplant</t>
  </si>
  <si>
    <t>General</t>
  </si>
  <si>
    <t>%</t>
  </si>
  <si>
    <t>years</t>
  </si>
  <si>
    <t>Projections, %, Global Data</t>
  </si>
  <si>
    <t>Projections, PJ, Global Data</t>
  </si>
  <si>
    <t>Interpolated Projections, PJ, Global Data</t>
  </si>
  <si>
    <t>"GOR"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</si>
  <si>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total</t>
    </r>
  </si>
  <si>
    <t>R/P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</si>
  <si>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</si>
  <si>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</si>
  <si>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</si>
  <si>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</si>
  <si>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0"/>
        <color theme="1"/>
        <rFont val="Calibri"/>
        <family val="2"/>
      </rPr>
      <t>O</t>
    </r>
    <r>
      <rPr>
        <b/>
        <vertAlign val="subscript"/>
        <sz val="10"/>
        <color theme="1"/>
        <rFont val="Calibri"/>
        <family val="2"/>
      </rPr>
      <t>FISCA</t>
    </r>
    <r>
      <rPr>
        <b/>
        <sz val="10"/>
        <color theme="1"/>
        <rFont val="Calibri"/>
        <family val="2"/>
      </rPr>
      <t xml:space="preserve"> +  GFISC - GREI</t>
    </r>
  </si>
  <si>
    <t/>
  </si>
  <si>
    <t>Fiscal</t>
  </si>
  <si>
    <t>Comm</t>
  </si>
  <si>
    <t>Proyections, PJ, Global Data</t>
  </si>
  <si>
    <t>Oil Proyections, PJ, Global Data</t>
  </si>
  <si>
    <t>Gas Projections, PJ, Global Data</t>
  </si>
  <si>
    <t>Type Fluid</t>
  </si>
  <si>
    <t>CAM</t>
  </si>
  <si>
    <r>
      <rPr>
        <b/>
        <sz val="12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</si>
  <si>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2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</si>
  <si>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P</t>
  </si>
  <si>
    <t>Consumo de Electricidad de PRODUCCCIÓN                                           Consumo de Electricidad de PRODUCCCIÓN                                           Consumo de Electricidad de PRODUCCCIÓN                                           Consumo de Electricidad de PRODUCCCIÓN</t>
  </si>
  <si>
    <t>Comercial</t>
  </si>
  <si>
    <t>Mediano o Pesado</t>
  </si>
  <si>
    <t>&gt;10% el GOR</t>
  </si>
  <si>
    <t>&lt;90% GOR</t>
  </si>
  <si>
    <t>Consumo de electricidad para producción</t>
  </si>
  <si>
    <t>Wells</t>
  </si>
  <si>
    <t>Gas treatment</t>
  </si>
  <si>
    <t>Crude Treatment</t>
  </si>
  <si>
    <t>PJ de electricidad/PJ de petróleo</t>
  </si>
  <si>
    <t>Sí</t>
  </si>
  <si>
    <t>No</t>
  </si>
  <si>
    <t>MJ/GJ</t>
  </si>
  <si>
    <t xml:space="preserve">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</t>
  </si>
  <si>
    <t>F.E. Edgar</t>
  </si>
  <si>
    <t xml:space="preserve">Production </t>
  </si>
  <si>
    <t>Gras treatment</t>
  </si>
  <si>
    <t>PowerPlant</t>
  </si>
  <si>
    <t>CAPACIDAD DE PLANTAS DE LPG                                          CAPACIDAD DE PLANTAS DE LPG                                         CAPACIDAD DE PLANTAS DE LPG                                         CAPACIDAD DE PLANTAS DE LPG                                         CAPACIDAD DE PLANTAS DE LPG                                         CAPACIDAD DE PLANTAS DE LPG</t>
  </si>
  <si>
    <t>Capacidades de planta de procesamiento de gas natural</t>
  </si>
  <si>
    <t>PP, BARRILES POR DÍA</t>
  </si>
  <si>
    <t>PP, BARRILES, Consumido</t>
  </si>
  <si>
    <t>PP, BARRILES POR DIA, Oferta Final</t>
  </si>
  <si>
    <t>Procesamiento</t>
  </si>
  <si>
    <t>Gas transformado/Gas entrada</t>
  </si>
  <si>
    <t>Gas que entra máximo</t>
  </si>
  <si>
    <t>Reficar</t>
  </si>
  <si>
    <t>Barranca</t>
  </si>
  <si>
    <t>Cupiagua</t>
  </si>
  <si>
    <t>Cusiana</t>
  </si>
  <si>
    <t>Floreña</t>
  </si>
  <si>
    <t>bpd</t>
  </si>
  <si>
    <t>LITERATURA</t>
  </si>
  <si>
    <t xml:space="preserve">Consumo electrico DE TRANSPORTE DE HIDROCARBUROS                                    Consumo electrico DE TRANSPORTE DE HIDROCARBUROS                                    Consumo electrico DE TRANSPORTE DE HIDROCARBUROS </t>
  </si>
  <si>
    <t>Transporte de Hidrocarburos</t>
  </si>
  <si>
    <t>Consumo de energía</t>
  </si>
  <si>
    <t>MJ/GJ oil</t>
  </si>
  <si>
    <t>PJ/Pjoil</t>
  </si>
  <si>
    <t>R1</t>
  </si>
  <si>
    <t>Emisiones</t>
  </si>
  <si>
    <t>kg CO2eq/GJ</t>
  </si>
  <si>
    <t>R2</t>
  </si>
  <si>
    <t>kg CO2eq/PJ</t>
  </si>
  <si>
    <t>R3</t>
  </si>
  <si>
    <t>kt co2EQ/PJ</t>
  </si>
  <si>
    <t>Total</t>
  </si>
  <si>
    <t xml:space="preserve">Fuel used </t>
  </si>
  <si>
    <t>OIL</t>
  </si>
  <si>
    <t>Fuel used</t>
  </si>
  <si>
    <t>pj/pj</t>
  </si>
  <si>
    <t>SEC PJ/PJ</t>
  </si>
  <si>
    <t>C</t>
  </si>
  <si>
    <t>Oil</t>
  </si>
  <si>
    <t>SEC, ELECTRICIDAD</t>
  </si>
  <si>
    <t>KWh/b</t>
  </si>
  <si>
    <t>PJ/PJ</t>
  </si>
  <si>
    <t>COSTO SOLO PETRÓLEO</t>
  </si>
  <si>
    <t>Conversion</t>
  </si>
  <si>
    <t>Capacidad de AUTOGENERACION                            Capacidad de AUTOGENERACION                            Capacidad de AUTOGENERACION                            Capacidad de AUTOGENERACION                            Capacidad de AUTOGENERACION</t>
  </si>
  <si>
    <t>Capacity MW</t>
  </si>
  <si>
    <t>Efficiency</t>
  </si>
  <si>
    <t>Capacity PJ</t>
  </si>
  <si>
    <t>Crudo</t>
  </si>
  <si>
    <t>Diésel</t>
  </si>
  <si>
    <t>Capacidad en MW</t>
  </si>
  <si>
    <t>Capacidad en PJ</t>
  </si>
  <si>
    <t>Type of Oil producing</t>
  </si>
  <si>
    <t>Electricity consumption</t>
  </si>
  <si>
    <t>Reservas</t>
  </si>
  <si>
    <t>CUM</t>
  </si>
  <si>
    <t>COST</t>
  </si>
  <si>
    <t>Producción con flaring</t>
  </si>
  <si>
    <t>Producción máxima de fluidos</t>
  </si>
  <si>
    <t>Consumo de electricidad</t>
  </si>
  <si>
    <t>Flaring</t>
  </si>
  <si>
    <t>Costos, MUSD2019/PJ</t>
  </si>
  <si>
    <t>Share-I~UP</t>
  </si>
  <si>
    <t>F.E. GAS</t>
  </si>
  <si>
    <t>ENV_ACT</t>
  </si>
  <si>
    <t>prueba</t>
  </si>
  <si>
    <t>MEDIUM SCENARIO</t>
  </si>
  <si>
    <t>Edgar, coprocessing</t>
  </si>
  <si>
    <t>USD/barril</t>
  </si>
  <si>
    <t>USD/PJ</t>
  </si>
  <si>
    <t>Finding</t>
  </si>
  <si>
    <t>Development</t>
  </si>
  <si>
    <t>Lifting</t>
  </si>
  <si>
    <t>Transport</t>
  </si>
  <si>
    <t>Refining</t>
  </si>
  <si>
    <t>Dilucion</t>
  </si>
  <si>
    <t>Final</t>
  </si>
  <si>
    <t>Emissions in P</t>
  </si>
  <si>
    <t>Emissions in Treat</t>
  </si>
  <si>
    <t>Separacion de los fluidos</t>
  </si>
  <si>
    <t>Definicion del proceso</t>
  </si>
  <si>
    <t>Fluidos producidos, uso del "GOR", sin flaring</t>
  </si>
  <si>
    <t>Share-O~UP</t>
  </si>
  <si>
    <t xml:space="preserve">Usos de combustibles en campo: AUTOGENERACION, PRODUCCIÓN LPG, </t>
  </si>
  <si>
    <t>Conversion de combustibles en campo para autogeneracion</t>
  </si>
  <si>
    <t>Generación de Electricidad para el campo</t>
  </si>
  <si>
    <t>Plantas de procesamiento de gas natural</t>
  </si>
  <si>
    <t>Capacidad máxima de procesamiento</t>
  </si>
  <si>
    <t>Entrada a la planta de procesamiento</t>
  </si>
  <si>
    <t>Salida de la planta de procesamiento</t>
  </si>
  <si>
    <t>Compra de Electricidad</t>
  </si>
  <si>
    <t>Compra del SIN</t>
  </si>
  <si>
    <t>Máxima compra en Producción</t>
  </si>
  <si>
    <t>Máxima compra en Transporte O</t>
  </si>
  <si>
    <t>Máxima Compra en G</t>
  </si>
  <si>
    <t>Producción ECP, 2019, total</t>
  </si>
  <si>
    <t>be/d</t>
  </si>
  <si>
    <t>Transporte total O</t>
  </si>
  <si>
    <t>Transporte de TGI</t>
  </si>
  <si>
    <t>Mpc</t>
  </si>
  <si>
    <t>Colectores de petróleo                          Colectores de petróleo                          Colectores de petróleo                          Colectores de petróleo                          Colectores de petróleo</t>
  </si>
  <si>
    <t>Colectores de gas natural</t>
  </si>
  <si>
    <r>
      <rPr>
        <i/>
        <sz val="12"/>
        <color theme="1"/>
        <rFont val="Calibri"/>
        <family val="2"/>
      </rPr>
      <t xml:space="preserve">Recolección de petróleo </t>
    </r>
    <r>
      <rPr>
        <b/>
        <i/>
        <sz val="12"/>
        <color theme="1"/>
        <rFont val="Calibri"/>
        <family val="2"/>
      </rPr>
      <t>usando electricidad del grid</t>
    </r>
  </si>
  <si>
    <t>Cost of dilution</t>
  </si>
  <si>
    <t>Cost of transport</t>
  </si>
  <si>
    <t>Electricity consumption for GAS</t>
  </si>
  <si>
    <t>Electricity consumption for OIL</t>
  </si>
  <si>
    <t>CAM8-L*</t>
  </si>
  <si>
    <t>CAM8-M*</t>
  </si>
  <si>
    <t>TOTAL COST</t>
  </si>
  <si>
    <t>ENV_ACT~2019</t>
  </si>
  <si>
    <t>ENV_ACT~2050</t>
  </si>
  <si>
    <t>Calculada</t>
  </si>
  <si>
    <t xml:space="preserve">Eficiencia </t>
  </si>
  <si>
    <t>demanda no obligatoria</t>
  </si>
  <si>
    <t>Demanda Obligatoria</t>
  </si>
  <si>
    <t>Compra del SIN para transporte del petróleo</t>
  </si>
  <si>
    <t>M€2005/GW</t>
  </si>
  <si>
    <t>M€2005/PJ</t>
  </si>
  <si>
    <t>Years</t>
  </si>
  <si>
    <t>PJ/GW</t>
  </si>
  <si>
    <t>Utilisation Factor</t>
  </si>
  <si>
    <t>Fixed O&amp;M Cost</t>
  </si>
  <si>
    <t>Variable O&amp;M Cost</t>
  </si>
  <si>
    <t>Lifetime</t>
  </si>
  <si>
    <t>Capacity to Activity Factor</t>
  </si>
  <si>
    <t>AFA</t>
  </si>
  <si>
    <t>FIXOM</t>
  </si>
  <si>
    <t>VAROM</t>
  </si>
  <si>
    <t>LIFE</t>
  </si>
  <si>
    <t>CAP2ACT</t>
  </si>
  <si>
    <t>Past Investment Capacity</t>
  </si>
  <si>
    <t>GW</t>
  </si>
  <si>
    <t>Calibración</t>
  </si>
  <si>
    <t>Energía Prod, PJ</t>
  </si>
  <si>
    <t>Energía Prod, GWh-año</t>
  </si>
  <si>
    <t>Capacidad Eq, AFA=75%</t>
  </si>
  <si>
    <t>INVCOST</t>
  </si>
  <si>
    <t>STOCK</t>
  </si>
  <si>
    <t>F.E. DSL</t>
  </si>
  <si>
    <t>F.E. OIL</t>
  </si>
  <si>
    <t>F.E LPG</t>
  </si>
  <si>
    <t>Referencia, LEAP</t>
  </si>
  <si>
    <t>Branch</t>
  </si>
  <si>
    <t>Gas natural</t>
  </si>
  <si>
    <t>Bioetanol</t>
  </si>
  <si>
    <t>Carbon</t>
  </si>
  <si>
    <t>Keroseno</t>
  </si>
  <si>
    <t>Fuel oil</t>
  </si>
  <si>
    <t>Petróleo</t>
  </si>
  <si>
    <t>GLP</t>
  </si>
  <si>
    <t>Imp_Exp Gas natural</t>
  </si>
  <si>
    <t>Imp_Exp Gasolina</t>
  </si>
  <si>
    <t>Imp_Exp Diesel</t>
  </si>
  <si>
    <t>Imp_Exp Carbon</t>
  </si>
  <si>
    <t>Imp_Exp Keroseno</t>
  </si>
  <si>
    <t>Imp_Exp Petroleo</t>
  </si>
  <si>
    <t>Imp_Exp GLP</t>
  </si>
  <si>
    <t>Referencia Younis</t>
  </si>
  <si>
    <t>HEAVY OIL</t>
  </si>
  <si>
    <t>LIGHT OIL</t>
  </si>
  <si>
    <t>NATURAL GAS</t>
  </si>
  <si>
    <t>FUEL OIL</t>
  </si>
  <si>
    <t>ssp1</t>
  </si>
  <si>
    <t>ssp2</t>
  </si>
  <si>
    <t>ssp3</t>
  </si>
  <si>
    <t>General, basado en LEAP</t>
  </si>
  <si>
    <t>General, basado Younis</t>
  </si>
  <si>
    <t>Imp/Exp GAS</t>
  </si>
  <si>
    <t>LPG-CAM2</t>
  </si>
  <si>
    <t>LPG-CAM3</t>
  </si>
  <si>
    <t>LPG-CAM6</t>
  </si>
  <si>
    <t>COL-LPG</t>
  </si>
  <si>
    <t>FTE-FUEL-DSL</t>
  </si>
  <si>
    <t>FTE-FUEL-HFO</t>
  </si>
  <si>
    <t>FUEL-DSL</t>
  </si>
  <si>
    <t>FUEL-HFO</t>
  </si>
  <si>
    <t>COMPRA-ELC-COL-CAM1</t>
  </si>
  <si>
    <t>Compra ELC transporte CAM1</t>
  </si>
  <si>
    <t>COMPRA-ELC-COL-CAM2</t>
  </si>
  <si>
    <t>Compra ELC transporte CAM2</t>
  </si>
  <si>
    <t>COMPRA-ELC-COL-CAM3</t>
  </si>
  <si>
    <t>Compra ELC transporte CAM3</t>
  </si>
  <si>
    <t>COMPRA-ELC-COL-CAM4</t>
  </si>
  <si>
    <t>Compra ELC transporte CAM4</t>
  </si>
  <si>
    <t>COMPRA-ELC-COL-CAM5</t>
  </si>
  <si>
    <t>Compra ELC transporte CAM5</t>
  </si>
  <si>
    <t>COMPRA-ELC-COL-CAM6</t>
  </si>
  <si>
    <t>Compra ELC transporte CAM6</t>
  </si>
  <si>
    <t>COMPRA-ELC-COL-CAM7</t>
  </si>
  <si>
    <t>Compra ELC transporte CAM7</t>
  </si>
  <si>
    <t>COL-OIL-CAM1</t>
  </si>
  <si>
    <t>COL-OIL-CAM2</t>
  </si>
  <si>
    <t>COL-OIL-CAM3</t>
  </si>
  <si>
    <t>COL-OIL-CAM4</t>
  </si>
  <si>
    <t>COL-OIL-CAM5</t>
  </si>
  <si>
    <t>COL-OIL-CAM6</t>
  </si>
  <si>
    <t>COL-OIL-CAM7</t>
  </si>
  <si>
    <t>COL-GAS-CAM1</t>
  </si>
  <si>
    <t>COL-GAS-CAM2</t>
  </si>
  <si>
    <t>COL-GAS-CAM3</t>
  </si>
  <si>
    <t>COL-GAS-CAM4</t>
  </si>
  <si>
    <t>COL-GAS-CAM5</t>
  </si>
  <si>
    <t>COL-GAS-CAM6</t>
  </si>
  <si>
    <t>COL-GAS-CAM7</t>
  </si>
  <si>
    <t>ELE</t>
  </si>
  <si>
    <t>AUTOCOL-GAS-CAM1</t>
  </si>
  <si>
    <t>AUTOCOL-OIL-CAM1</t>
  </si>
  <si>
    <t>AUTOCOL-DSL-CAM1</t>
  </si>
  <si>
    <t>AUTOCOL-GAS-CAM2</t>
  </si>
  <si>
    <t>AUTOCOL-OIL-CAM2</t>
  </si>
  <si>
    <t>AUTOCOL-DSL-CAM2</t>
  </si>
  <si>
    <t>AUTOCOL-GAS-CAM3</t>
  </si>
  <si>
    <t>AUTOCOL-OIL-CAM3</t>
  </si>
  <si>
    <t>AUTOCOL-DSL-CAM3</t>
  </si>
  <si>
    <t>AUTOCOL-GAS-CAM4</t>
  </si>
  <si>
    <t>AUTOCOL-OIL-CAM4</t>
  </si>
  <si>
    <t>AUTOCOL-DSL-CAM4</t>
  </si>
  <si>
    <t>AUTOCOL-GAS-CAM5</t>
  </si>
  <si>
    <t>AUTOCOL-OIL-CAM5</t>
  </si>
  <si>
    <t>AUTOCOL-DSL-CAM5</t>
  </si>
  <si>
    <t>AUTOCOL-GAS-CAM6</t>
  </si>
  <si>
    <t>AUTOCOL-OIL-CAM6</t>
  </si>
  <si>
    <t>AUTOCOL-DSL-CAM6</t>
  </si>
  <si>
    <t>AUTOCOL-GAS-CAM7</t>
  </si>
  <si>
    <t>AUTOCOL-OIL-CAM7</t>
  </si>
  <si>
    <t>AUTOCOL-DSL-CAM7</t>
  </si>
  <si>
    <t>Energia solar</t>
  </si>
  <si>
    <t>Energia eolica</t>
  </si>
  <si>
    <t>SOL</t>
  </si>
  <si>
    <t>WIN</t>
  </si>
  <si>
    <t>Mina de energia solar</t>
  </si>
  <si>
    <t>Mina de energia eolica</t>
  </si>
  <si>
    <t>MINSOL</t>
  </si>
  <si>
    <t>MINWIN</t>
  </si>
  <si>
    <t>Solar</t>
  </si>
  <si>
    <t>AUTO-SOLPV-CAM3</t>
  </si>
  <si>
    <t>Autogeneracion del campo 3 por autogeneracion</t>
  </si>
  <si>
    <t>CO2e-DETH</t>
  </si>
  <si>
    <t>CO2e-DBDSL</t>
  </si>
  <si>
    <t>CO2e-Sectors</t>
  </si>
  <si>
    <t>~COMAGG</t>
  </si>
  <si>
    <t>CO2e-Tax</t>
  </si>
  <si>
    <t>Scope 3</t>
  </si>
  <si>
    <t>CO2e-Produccion</t>
  </si>
  <si>
    <t>CO2e-Refineria</t>
  </si>
  <si>
    <t>Scope 1 y 2</t>
  </si>
  <si>
    <t>FTE-DDSL</t>
  </si>
  <si>
    <t>FTE-ETH</t>
  </si>
  <si>
    <t>FTE-BDSL</t>
  </si>
  <si>
    <t>LO</t>
  </si>
  <si>
    <t>ACT_BND~2019</t>
  </si>
  <si>
    <t>CAPEX</t>
  </si>
  <si>
    <t>CO2e-Exp</t>
  </si>
  <si>
    <t>FTE-EKER</t>
  </si>
  <si>
    <t>FTE-ELPG</t>
  </si>
  <si>
    <t>FTE-EHFO</t>
  </si>
  <si>
    <t>FTE-EGAS</t>
  </si>
  <si>
    <t>FTE-ELOIL</t>
  </si>
  <si>
    <t>FTE-EAVG</t>
  </si>
  <si>
    <t>FTE-EMOIL</t>
  </si>
  <si>
    <t>FTE-EHOIL</t>
  </si>
  <si>
    <t>EKER</t>
  </si>
  <si>
    <t>ELPG</t>
  </si>
  <si>
    <t>EHFO</t>
  </si>
  <si>
    <t>EGAS</t>
  </si>
  <si>
    <t>ELOIL</t>
  </si>
  <si>
    <t>EMOIL</t>
  </si>
  <si>
    <t>EHOIL</t>
  </si>
  <si>
    <t>EAVG</t>
  </si>
  <si>
    <t>EGSL</t>
  </si>
  <si>
    <t>EDSL</t>
  </si>
  <si>
    <t>EETH</t>
  </si>
  <si>
    <t>EBDSL</t>
  </si>
  <si>
    <t>FTE-EGSL</t>
  </si>
  <si>
    <t>FTE-EDSL</t>
  </si>
  <si>
    <t>FTE-EETH</t>
  </si>
  <si>
    <t>FTE-EBDSL</t>
  </si>
  <si>
    <t>Kwh/bl</t>
  </si>
  <si>
    <t>PJ*/bl</t>
  </si>
  <si>
    <t>MUSD/PJ Oil</t>
  </si>
  <si>
    <t>Refina</t>
  </si>
  <si>
    <t>Costo</t>
  </si>
  <si>
    <t>Produce</t>
  </si>
  <si>
    <t>STOCK~2019</t>
  </si>
  <si>
    <t>STOCK~2021</t>
  </si>
  <si>
    <t>STOCK~2020</t>
  </si>
  <si>
    <t>STOCK~2022</t>
  </si>
  <si>
    <t>f..e, kg/kwh</t>
  </si>
  <si>
    <t>Mnean</t>
  </si>
  <si>
    <t>1 ton eq</t>
  </si>
  <si>
    <t>MJ/kg</t>
  </si>
  <si>
    <t>J/kg</t>
  </si>
  <si>
    <t>PJ/t</t>
  </si>
  <si>
    <t>Pj</t>
  </si>
  <si>
    <t>Densidad del agua</t>
  </si>
  <si>
    <t>lbm/gal</t>
  </si>
  <si>
    <t>lbm/bl</t>
  </si>
  <si>
    <t>Lbm/bal</t>
  </si>
  <si>
    <t>Lbm</t>
  </si>
  <si>
    <t>Gravedad Especifica</t>
  </si>
  <si>
    <t>Densidad</t>
  </si>
  <si>
    <t>OFISCA</t>
  </si>
  <si>
    <t>MPC/PJ por día</t>
  </si>
  <si>
    <t>kbl/PJ por día</t>
  </si>
  <si>
    <t>bl</t>
  </si>
  <si>
    <t>lbm</t>
  </si>
  <si>
    <t>API</t>
  </si>
  <si>
    <t>Mayor a 32</t>
  </si>
  <si>
    <t>18-32</t>
  </si>
  <si>
    <t>Hasta 18</t>
  </si>
  <si>
    <t>*Para todos, menos gas natural y refinery Gas, las unidades son TJ/Mpc; PJ/kpc</t>
  </si>
  <si>
    <t>PJ/kt</t>
  </si>
  <si>
    <t>PICL-2021</t>
  </si>
  <si>
    <t>Calidad mínima de la Carga</t>
  </si>
  <si>
    <t>Morillo, J (2020)</t>
  </si>
  <si>
    <t>Porcentaje de Carga Petróleo Liviano</t>
  </si>
  <si>
    <t>Opción 1:Carga a la Refinería</t>
  </si>
  <si>
    <t>Vol</t>
  </si>
  <si>
    <t>Masa</t>
  </si>
  <si>
    <t>Liviano</t>
  </si>
  <si>
    <t>Mediano</t>
  </si>
  <si>
    <t>Pesado</t>
  </si>
  <si>
    <t>ECOPETROL a PICL-2019</t>
  </si>
  <si>
    <t>Opción 2:Carga a la Refinería</t>
  </si>
  <si>
    <t>Emisiones, kt/PJ de crudo cargado</t>
  </si>
  <si>
    <t>Emisiones, UO</t>
  </si>
  <si>
    <t>kt/kbal</t>
  </si>
  <si>
    <t>t/kbl</t>
  </si>
  <si>
    <t>kg/barril</t>
  </si>
  <si>
    <t>Carga de crudo y General</t>
  </si>
  <si>
    <t>Reficar, 2020</t>
  </si>
  <si>
    <t>Capacidad nominal, kbpd</t>
  </si>
  <si>
    <t>kbpd</t>
  </si>
  <si>
    <t>ECP, Gestion, 2019</t>
  </si>
  <si>
    <t>Carga en 2019, kbpd</t>
  </si>
  <si>
    <t>Capacidad nominal</t>
  </si>
  <si>
    <t>Carga en 2019</t>
  </si>
  <si>
    <t>Calculado</t>
  </si>
  <si>
    <t>Factor de Utilización calculado para 2019</t>
  </si>
  <si>
    <t>Supuesto</t>
  </si>
  <si>
    <t>Máximo Factor de Utilización a Futuro</t>
  </si>
  <si>
    <t>Edgar, p. 263</t>
  </si>
  <si>
    <t>Costo por refininar un barril de Petróleo</t>
  </si>
  <si>
    <t>Dolares por barril</t>
  </si>
  <si>
    <t>Costo por refinar un barril de Petróleo</t>
  </si>
  <si>
    <t>Carga de Combustibles</t>
  </si>
  <si>
    <r>
      <t xml:space="preserve">Hidrogeno, </t>
    </r>
    <r>
      <rPr>
        <b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</si>
  <si>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</si>
  <si>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Resta entre consumo de gas y gas de refineria</t>
  </si>
  <si>
    <r>
      <t xml:space="preserve">Gas Natural,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</si>
  <si>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Sin información</t>
  </si>
  <si>
    <t>Declaración GLP 2019-2026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</si>
  <si>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bpd</t>
    </r>
  </si>
  <si>
    <t>Extrapolado</t>
  </si>
  <si>
    <t>Consumo gas Natural cuando carga sea</t>
  </si>
  <si>
    <t>kb/d</t>
  </si>
  <si>
    <t>Mpc/d</t>
  </si>
  <si>
    <t>Carga de Combustibles en Relaciones</t>
  </si>
  <si>
    <t>Total en Pja</t>
  </si>
  <si>
    <t>Total en UO (kt, MPC, MPC, kb)/year</t>
  </si>
  <si>
    <t>Unidades Originales R</t>
  </si>
  <si>
    <t>Hidrogeno por Petróleo Cargado</t>
  </si>
  <si>
    <t>kt/kbarril</t>
  </si>
  <si>
    <t>Refinery Gas por Petróleo Cargado</t>
  </si>
  <si>
    <t>MPC/kbarril</t>
  </si>
  <si>
    <t>Gas Natural por Petróleo Cargado</t>
  </si>
  <si>
    <t>Fuel Oil por Petróleo Cargado</t>
  </si>
  <si>
    <t>LPG por Petróleo Cargado</t>
  </si>
  <si>
    <t>kbl/kbl</t>
  </si>
  <si>
    <t>bl/kbl</t>
  </si>
  <si>
    <t>Energy</t>
  </si>
  <si>
    <t>NREL</t>
  </si>
  <si>
    <t>Edgar, pag 299</t>
  </si>
  <si>
    <t>Relación H2 por natural gas, MW / MW H2</t>
  </si>
  <si>
    <t>PJ/PJ H2</t>
  </si>
  <si>
    <t>%Energía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</si>
  <si>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Nominal</t>
    </r>
  </si>
  <si>
    <t>Gasolinas</t>
  </si>
  <si>
    <t>Jet-Keroseno</t>
  </si>
  <si>
    <t>Autoconsumido</t>
  </si>
  <si>
    <t>Gas de Refinería</t>
  </si>
  <si>
    <t>Salidas en Relación a carga</t>
  </si>
  <si>
    <t>Porcentaje de Carga Petróleo Pesado</t>
  </si>
  <si>
    <t>Opción 2:Carga a la Refinería NO HAY INFORMACIÓN</t>
  </si>
  <si>
    <t>Ref EDGAR</t>
  </si>
  <si>
    <r>
      <t xml:space="preserve">Carga de </t>
    </r>
    <r>
      <rPr>
        <b/>
        <sz val="11"/>
        <color theme="1"/>
        <rFont val="Calibri"/>
        <family val="2"/>
        <scheme val="minor"/>
      </rPr>
      <t>Referencia</t>
    </r>
  </si>
  <si>
    <t>kt/Y</t>
  </si>
  <si>
    <t>Calculado***</t>
  </si>
  <si>
    <r>
      <t>Hidrogeno,</t>
    </r>
    <r>
      <rPr>
        <b/>
        <sz val="11"/>
        <color theme="1"/>
        <rFont val="Calibri"/>
        <family val="2"/>
        <scheme val="minor"/>
      </rPr>
      <t xml:space="preserve"> Referencia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</si>
  <si>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</si>
  <si>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r>
      <t xml:space="preserve">Gas Natural,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</si>
  <si>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t>Fuel Oil, Referencia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</si>
  <si>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>, kbpd</t>
    </r>
  </si>
  <si>
    <t>Edgar, p.228</t>
  </si>
  <si>
    <t>Edgar, p.222-223</t>
  </si>
  <si>
    <t>Gas Natural Utilizado, Referencia, kt/y</t>
  </si>
  <si>
    <t>kt/y</t>
  </si>
  <si>
    <t>Gas Natural Utilizado, Referencia</t>
  </si>
  <si>
    <t>Hidrogeno Producido</t>
  </si>
  <si>
    <t>kton</t>
  </si>
  <si>
    <r>
      <t xml:space="preserve">Carga Basada </t>
    </r>
    <r>
      <rPr>
        <b/>
        <sz val="11"/>
        <color theme="1"/>
        <rFont val="Calibri"/>
        <family val="2"/>
        <scheme val="minor"/>
      </rPr>
      <t>PICL2021</t>
    </r>
  </si>
  <si>
    <r>
      <t xml:space="preserve">Salidas de acuerdo a </t>
    </r>
    <r>
      <rPr>
        <b/>
        <sz val="11"/>
        <color theme="1"/>
        <rFont val="Calibri"/>
        <family val="2"/>
        <scheme val="minor"/>
      </rPr>
      <t>PICL2021</t>
    </r>
  </si>
  <si>
    <t>%Volumen</t>
  </si>
  <si>
    <t>%Vol</t>
  </si>
  <si>
    <t>PCL2021</t>
  </si>
  <si>
    <t>Yo</t>
  </si>
  <si>
    <t>Debe ser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</si>
  <si>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PICL2021</t>
    </r>
  </si>
  <si>
    <t xml:space="preserve">Volumen producido </t>
  </si>
  <si>
    <t>Energia producida</t>
  </si>
  <si>
    <t>JET</t>
  </si>
  <si>
    <t>Aumento en salidas</t>
  </si>
  <si>
    <t>LEAP</t>
  </si>
  <si>
    <t>Max</t>
  </si>
  <si>
    <t>Declaración</t>
  </si>
  <si>
    <t>Edgar, Ariel</t>
  </si>
  <si>
    <t>Vol, kbl (without refinery)</t>
  </si>
  <si>
    <t>Vol, kbl (sin contar rfg)</t>
  </si>
  <si>
    <t>G</t>
  </si>
  <si>
    <t>O</t>
  </si>
  <si>
    <t>USD/Khw</t>
  </si>
  <si>
    <t>ter</t>
  </si>
  <si>
    <t>ter-gas</t>
  </si>
  <si>
    <t>Description of Data</t>
  </si>
  <si>
    <t>Value (Model)</t>
  </si>
  <si>
    <t>Value (Real)</t>
  </si>
  <si>
    <t>Units (Real)</t>
  </si>
  <si>
    <t>Units (Model)</t>
  </si>
  <si>
    <t>Sheet</t>
  </si>
  <si>
    <t>Exp_Imp</t>
  </si>
  <si>
    <t>kt CO2eq/PJ</t>
  </si>
  <si>
    <t>COMM</t>
  </si>
  <si>
    <t>R_Car</t>
  </si>
  <si>
    <t>Share-I</t>
  </si>
  <si>
    <t>Share-O</t>
  </si>
  <si>
    <t>~FI_T:</t>
  </si>
  <si>
    <t>Fluid Reserves Mine of CAM1 (Guajira)</t>
  </si>
  <si>
    <t>Fluid Reserves Mine of CAM4 (Putumayo)</t>
  </si>
  <si>
    <t>Fluid Reserves Mine of CAM2 (Eastern plains)</t>
  </si>
  <si>
    <t>Fluid Reserves Mine of CAM3 (Eastern plains)</t>
  </si>
  <si>
    <t>Fluid Reserves Mine of CAM5 (VMM)</t>
  </si>
  <si>
    <t>Fluid Reserves Mine of CAM6 (VSM)</t>
  </si>
  <si>
    <t>Fluid Reserves Mine of CAM7 (VIM)</t>
  </si>
  <si>
    <t>Field separator 1</t>
  </si>
  <si>
    <t>Field separator 2</t>
  </si>
  <si>
    <t>Field separator 3</t>
  </si>
  <si>
    <t>Field separator 4</t>
  </si>
  <si>
    <t>Field separator 5</t>
  </si>
  <si>
    <t>Field separator 6</t>
  </si>
  <si>
    <t>Field separator 7</t>
  </si>
  <si>
    <t>Field plant 2</t>
  </si>
  <si>
    <t>Field plant 3</t>
  </si>
  <si>
    <t>Field plant 6</t>
  </si>
  <si>
    <t>Use of OIL for the CAM1 (Guajira)</t>
  </si>
  <si>
    <t>Use of OIL for the CAM2 (Eastern plains)</t>
  </si>
  <si>
    <t>Use of OIL for the CAM3 (Eastern plains)</t>
  </si>
  <si>
    <t>Use of OIL for the CAM4 (Putumayo)</t>
  </si>
  <si>
    <t>Use of OIL for the CAM5 (VMM)</t>
  </si>
  <si>
    <t>Use of OIL for the CAM6 (VSM)</t>
  </si>
  <si>
    <t>Use of OIL for the CAM7 (VIM)</t>
  </si>
  <si>
    <t>Use of GAS for the CAM1 (Guajira)</t>
  </si>
  <si>
    <t>Use of GAS for the CAM2 (Eastern plains)</t>
  </si>
  <si>
    <t>Use of GAS for the CAM3 (Eastern plains)</t>
  </si>
  <si>
    <t>Use of GAS for the CAM4 (Putumayo)</t>
  </si>
  <si>
    <t>Use of GAS for the CAM5 (VMM)</t>
  </si>
  <si>
    <t>Use of GAS for the CAM6 (VSM)</t>
  </si>
  <si>
    <t>Use of GAS for thel CAM7 (VIM)</t>
  </si>
  <si>
    <t>Use of LPG for the CAM2 (Eastern  plains)</t>
  </si>
  <si>
    <t>Autogeneration of the CAM1 (Guajira) using GAS</t>
  </si>
  <si>
    <t>Autogeneration of the CAM1 (Guajira) using OIL</t>
  </si>
  <si>
    <t>Production with flaring of CAM1 (Guajira)</t>
  </si>
  <si>
    <t>Production with flaring of CAM2 (Eastern plains)</t>
  </si>
  <si>
    <t>Production with flaring of CAM3 (Eastern plains)</t>
  </si>
  <si>
    <t>Production with flaring of CAM4 (Putumayo)</t>
  </si>
  <si>
    <t>Production with flaring of CAM5 (VMM)</t>
  </si>
  <si>
    <t>Production with flaring of CAM6 (VSM)</t>
  </si>
  <si>
    <t>Production with flaring of CAM7 (VIM)</t>
  </si>
  <si>
    <t>Autogeneration of the CAM1 (Guajira) using DSL</t>
  </si>
  <si>
    <t>Autogeneration of the CAM2 (Estern plains) using GAS</t>
  </si>
  <si>
    <t>Autogeneration of the CAM2 (Eastern plains) using OIL</t>
  </si>
  <si>
    <t>Autogeneration of the CAM2 (Estern plains) using DSL</t>
  </si>
  <si>
    <t>Autogeneration of the CAM2 (Eastern plains) using LPG</t>
  </si>
  <si>
    <t>Autogeneration of the CAM3 (Eastern plains) using GAS</t>
  </si>
  <si>
    <t>Autogeneration of the CAM3 (Eastern plains) using OIL</t>
  </si>
  <si>
    <t>Autogeneration of the CAM3 (Eastern plains) using DSL</t>
  </si>
  <si>
    <t>Autogeneration of the CAM3 (Eastern plains) using LPG</t>
  </si>
  <si>
    <t>Autogeneration of the CAM4 (Putumayo) using GAS</t>
  </si>
  <si>
    <t>Autogeneration of the CAM4 (Putumayo) using OIL</t>
  </si>
  <si>
    <t>Autogeneration of the CAM4 (Putumayo) using DSL</t>
  </si>
  <si>
    <t>Autogeneration of the CAM5 (VMM) using GAS</t>
  </si>
  <si>
    <t>Autogeneration of the CAM5 (VMM) using OIL</t>
  </si>
  <si>
    <t>Autogeneration of the CAM5 (VMM) using DSL</t>
  </si>
  <si>
    <t>Autogeneration of the CAM6 (VSM) using GAS</t>
  </si>
  <si>
    <t>Autogeneration of the CAM6 (VSM) using OIL</t>
  </si>
  <si>
    <t>Autogeneration of the CAM6 (VSM) using DSL</t>
  </si>
  <si>
    <t>Autogeneration of the CAM7 (VIM) using GAS</t>
  </si>
  <si>
    <t>Autogeneration of the CAM7 (VIM) using OIL</t>
  </si>
  <si>
    <t>Autogeneration of the CAM7 (VIM) using DSL</t>
  </si>
  <si>
    <t>Autogeneration for Collectors CAM1 (Guajira) using GAS</t>
  </si>
  <si>
    <t>Autogeneration for Collectors CAM1 (Guajira) using OIL</t>
  </si>
  <si>
    <t>Autogeneration for Collectors CAM1 (Guajira) using DSL</t>
  </si>
  <si>
    <t>Autogeneration for Collectors CAM2 (Eastern plains) using GAS</t>
  </si>
  <si>
    <t>Autogeneration for Collectors CAM2 (Eastern plains) using OIL</t>
  </si>
  <si>
    <t>Autogeneration for Collectors CAM2 (Eastern plains) using DSL</t>
  </si>
  <si>
    <t>Autogeneration for Collectors CAM3 (Eastern plains) using GAS</t>
  </si>
  <si>
    <t>Autogeneration for Collectors CAM3 (Eastern plains) using OIL</t>
  </si>
  <si>
    <t>Autogeneration for Collectors CAM3 (Eastern plains) using DSL</t>
  </si>
  <si>
    <t>Autogeneration for Collectors CAM4 (Putumayo) using GAS</t>
  </si>
  <si>
    <t>Autogeneration for Collectors CAM4 (Putumayo) using OIL</t>
  </si>
  <si>
    <t>Autogeneration for Collectors CAM4 (Putumayo) using DSL</t>
  </si>
  <si>
    <t>Autogeneration for Collectors CAM5 (VMM) using GAS</t>
  </si>
  <si>
    <t>Autogeneration for Collectors CAM5 (VMM) using OIL</t>
  </si>
  <si>
    <t>Autogeneration for Collectors CAM5 (VMM) using DSL</t>
  </si>
  <si>
    <t>Autogeneration for Collectors CAM6 (VSM) using GAS</t>
  </si>
  <si>
    <t>Autogeneration for Collectors CAM6 (VSM) using OIL</t>
  </si>
  <si>
    <t>Autogeneration for Collectors CAM6 (VSM) using DSL</t>
  </si>
  <si>
    <t>Autogeneration for Collectors CAM7 (VIM) using GAS</t>
  </si>
  <si>
    <t>Autogeneration for Collectors CAM7 (VIM) using OIL</t>
  </si>
  <si>
    <t>Autogeneration for Collectors CAM7 (VIM) using DSL</t>
  </si>
  <si>
    <t>Field collector 1 PETROLEO</t>
  </si>
  <si>
    <t>Field collector 1 GAS</t>
  </si>
  <si>
    <t>Collector the LPG</t>
  </si>
  <si>
    <t>Use of diesel as a global fuel</t>
  </si>
  <si>
    <t>Use of hfo as a global fuel</t>
  </si>
  <si>
    <t>Trasnformation the KER of export</t>
  </si>
  <si>
    <t>Transformation the LPG of export</t>
  </si>
  <si>
    <t>Transformation the HFO of export</t>
  </si>
  <si>
    <t>Transformation the GAS of export</t>
  </si>
  <si>
    <t>Transformation the LOIL of export</t>
  </si>
  <si>
    <t>Transformation the MOIL of export</t>
  </si>
  <si>
    <t>Transformation the HOIL of export</t>
  </si>
  <si>
    <t>Transformation the AVG of export</t>
  </si>
  <si>
    <t>Transformation the GSL of export</t>
  </si>
  <si>
    <t>Transformation the DSL of export</t>
  </si>
  <si>
    <t>Transformation the ETH of export</t>
  </si>
  <si>
    <t>Here we define the main processes included in the BASE with their "TechName" and "TechDesc"</t>
  </si>
  <si>
    <t>Gasoline Exports</t>
  </si>
  <si>
    <t>Export of fuel oil</t>
  </si>
  <si>
    <t>Ethanol Exports</t>
  </si>
  <si>
    <t>Biodiesel Exports</t>
  </si>
  <si>
    <t>Natural Gasoline Exports</t>
  </si>
  <si>
    <t>Exports of light oil</t>
  </si>
  <si>
    <t>Diesel Exports</t>
  </si>
  <si>
    <t>Keroseno-Jet Exports</t>
  </si>
  <si>
    <t>LPG Exports</t>
  </si>
  <si>
    <t>Medium oil exports</t>
  </si>
  <si>
    <t>Heavy Oil Exports</t>
  </si>
  <si>
    <t>Sale to SIN</t>
  </si>
  <si>
    <t>AVGAS Export</t>
  </si>
  <si>
    <t>Gasoline Imports</t>
  </si>
  <si>
    <t>Diesel Imports</t>
  </si>
  <si>
    <t>Kerosene-Jet Imports</t>
  </si>
  <si>
    <t>LPG Imports</t>
  </si>
  <si>
    <t>Fuel oil imports</t>
  </si>
  <si>
    <t>Ethanol imports</t>
  </si>
  <si>
    <t>Biodiesel Imports</t>
  </si>
  <si>
    <t>Natural Gasoline Imports</t>
  </si>
  <si>
    <t>Imports of light oil</t>
  </si>
  <si>
    <t>Imports of medium oil</t>
  </si>
  <si>
    <t>Heavy oil imports</t>
  </si>
  <si>
    <t>purchase to SIN</t>
  </si>
  <si>
    <t>AVG Import</t>
  </si>
  <si>
    <t>Domestic purchase of Ethanol</t>
  </si>
  <si>
    <t>Domestic purchase of Biodiesel</t>
  </si>
  <si>
    <t>Purchase from SIN for Transportation</t>
  </si>
  <si>
    <t>Technology so that kerosene can meet demand</t>
  </si>
  <si>
    <t>Technology to enable LPG to meet demand</t>
  </si>
  <si>
    <t>Technology to enable fuel oil to meet demand</t>
  </si>
  <si>
    <t>Technology to enable natural gas to meet demand</t>
  </si>
  <si>
    <t>Technology to enable oil to meet demand</t>
  </si>
  <si>
    <t>Technology to enable AVGAS to meet demand</t>
  </si>
  <si>
    <t>Here we define the main communities included in the BASE with their "CommName" and "CommDesc"</t>
  </si>
  <si>
    <t>Fluid reserves of CAM1 (Guajira)</t>
  </si>
  <si>
    <t>Fluid reserves of CAM4 (Putumayo)</t>
  </si>
  <si>
    <t>Fluid reserves of CAM5 (VMM)</t>
  </si>
  <si>
    <t>Fluid reserves of CAM6 (VSM)</t>
  </si>
  <si>
    <t>Fluid reserves of CAM7 (VIM)</t>
  </si>
  <si>
    <t>Fluid reserves of CAM2 (Eastern plains)</t>
  </si>
  <si>
    <t>Fluid reserves of CAM3 (Eastern plains)</t>
  </si>
  <si>
    <t>Natural gas produced from CAM1 (Guajira)</t>
  </si>
  <si>
    <t>Natural gas produced from CAM2 (Eastern plains)</t>
  </si>
  <si>
    <t>Natural gas produced from CAM3 (Eastern plains)</t>
  </si>
  <si>
    <t>Natural gas produced from CAM4 (Putumayo)</t>
  </si>
  <si>
    <t>Natural gas produced from CAM5 (VMM)</t>
  </si>
  <si>
    <t>Natural gas produced from CAM6 (VSM)</t>
  </si>
  <si>
    <t>Natural gas produced from CAM7 (VIM)</t>
  </si>
  <si>
    <t>Light oil produced from CAM2 (Eastern plains)</t>
  </si>
  <si>
    <t>Light oil produced from CAM4 (Putumayo)</t>
  </si>
  <si>
    <t>Light oil produced from CAM7 (VIM)</t>
  </si>
  <si>
    <t>Medium oil produced from CAM5 (VMM)</t>
  </si>
  <si>
    <t>Medium oil produced from CAM6 (VSM)</t>
  </si>
  <si>
    <t>Heavy oil produced from CAM3 (Eastern plains)</t>
  </si>
  <si>
    <t>Natural gas plant rementen CAM1 (Guajira)</t>
  </si>
  <si>
    <t>Natural gas plant rementen CAM2 (Eastern plains)</t>
  </si>
  <si>
    <t>Natural gas plant rementen CAM3 (Eastern plains)</t>
  </si>
  <si>
    <t>Natural gas plant rementen CAM4 (Putumayo)</t>
  </si>
  <si>
    <t>Natural gas plant rementen CAM5 (VMM)</t>
  </si>
  <si>
    <t>Natural gas plant rementen CAM6 (VSM)</t>
  </si>
  <si>
    <t>Natural gas plant rementen CAM7 (VIM)</t>
  </si>
  <si>
    <t>Field fluids 1</t>
  </si>
  <si>
    <t>Field fluids 2</t>
  </si>
  <si>
    <t>Field fluids 3</t>
  </si>
  <si>
    <t>Field fluids 4</t>
  </si>
  <si>
    <t>Field fluids 5</t>
  </si>
  <si>
    <t>Field fluids 6</t>
  </si>
  <si>
    <t>Field fluids 7</t>
  </si>
  <si>
    <t>OIL used as fuel in the Field 1</t>
  </si>
  <si>
    <t>OIL used as fuel in the Field 2</t>
  </si>
  <si>
    <t>GAS used as fuel in Field 1</t>
  </si>
  <si>
    <t>GAS used as fuel in Field 2</t>
  </si>
  <si>
    <t>GAS used as fuel in Field 3</t>
  </si>
  <si>
    <t>GAS used as fuel in Field 4</t>
  </si>
  <si>
    <t>GAS used as fuel in Field 5</t>
  </si>
  <si>
    <t>GAS used as fuel in Field 6</t>
  </si>
  <si>
    <t>GAS used as fuel in Field 7</t>
  </si>
  <si>
    <t>OIL used as fuel in the Field 3</t>
  </si>
  <si>
    <t>OIL used as fuel in the Field 4</t>
  </si>
  <si>
    <t>OIL used as fuel in the Field 5</t>
  </si>
  <si>
    <t>OIL used as fuel in the Field 6</t>
  </si>
  <si>
    <t>OIL used as fuel in the Field 7</t>
  </si>
  <si>
    <t>LPG used in the Field 2</t>
  </si>
  <si>
    <t>LPG used in the Field 3</t>
  </si>
  <si>
    <t>LPG used in the Field 6</t>
  </si>
  <si>
    <t>Diesel as fuel glo</t>
  </si>
  <si>
    <t>HFO as fuel glo</t>
  </si>
  <si>
    <t>Electricity purchased to SIN</t>
  </si>
  <si>
    <t>Electricity purchased from SIN for transport</t>
  </si>
  <si>
    <t>Electricity for field collectors 1</t>
  </si>
  <si>
    <t>Electricity for field collectors 2</t>
  </si>
  <si>
    <t>Electricity for field collectors 3</t>
  </si>
  <si>
    <t>Electricity for field collectors 4</t>
  </si>
  <si>
    <t>Electricity for field collectors 5</t>
  </si>
  <si>
    <t>Electricity for field collectors 6</t>
  </si>
  <si>
    <t>Electricity for field collectors 7</t>
  </si>
  <si>
    <t>Electricity in the field 1</t>
  </si>
  <si>
    <t>Electricity in the field 2</t>
  </si>
  <si>
    <t>Electricity in the field 3</t>
  </si>
  <si>
    <t>Electricity in the field 4</t>
  </si>
  <si>
    <t>Electricity in the field 5</t>
  </si>
  <si>
    <t>Electricity in the field 6</t>
  </si>
  <si>
    <t>Electricity in the field 7</t>
  </si>
  <si>
    <t>Natural gasoline</t>
  </si>
  <si>
    <t>Light oil</t>
  </si>
  <si>
    <t>Medium oil</t>
  </si>
  <si>
    <t>Heavy oil</t>
  </si>
  <si>
    <t>REFINERY FLUIDS AND DEMAND</t>
  </si>
  <si>
    <t>DEMANDS</t>
  </si>
  <si>
    <t>Gasoline Demand</t>
  </si>
  <si>
    <t>Diesel Demand</t>
  </si>
  <si>
    <t>Keroseno-Jet Demand</t>
  </si>
  <si>
    <t>Fuel oil demand</t>
  </si>
  <si>
    <t>Demand for LPG</t>
  </si>
  <si>
    <t>Natural Gasoline Demand</t>
  </si>
  <si>
    <t>Demand for light oil</t>
  </si>
  <si>
    <t>Medium oil demand</t>
  </si>
  <si>
    <t>Demand for heavy oil</t>
  </si>
  <si>
    <t>Hydrogen Demand</t>
  </si>
  <si>
    <t>Demand from the Agriculture, Construction and Mining sector</t>
  </si>
  <si>
    <t>Tertiary sector demand</t>
  </si>
  <si>
    <t>Demand from the residential sector</t>
  </si>
  <si>
    <t>Demand from the industrial sector</t>
  </si>
  <si>
    <t>Demand from the Transportation sector</t>
  </si>
  <si>
    <t>Demand for AVG</t>
  </si>
  <si>
    <t>Biodiesel demand</t>
  </si>
  <si>
    <t>Ethanol Demand</t>
  </si>
  <si>
    <t>GSL for export</t>
  </si>
  <si>
    <t>DSL for export</t>
  </si>
  <si>
    <t>KER for export</t>
  </si>
  <si>
    <t>LPG for export</t>
  </si>
  <si>
    <t>HFO for export</t>
  </si>
  <si>
    <t>ETH for export</t>
  </si>
  <si>
    <t>BDSL for export</t>
  </si>
  <si>
    <t>GAS for export</t>
  </si>
  <si>
    <t>LOIL for export</t>
  </si>
  <si>
    <t>MOIL for export</t>
  </si>
  <si>
    <t>HOIL for export</t>
  </si>
  <si>
    <t>AVG for export</t>
  </si>
  <si>
    <t>EMISSIONS</t>
  </si>
  <si>
    <t>CO2eq del CAM1 (Guajira)</t>
  </si>
  <si>
    <t>CO2eq del CAM2 (Eastern plains)</t>
  </si>
  <si>
    <t>CO2eq del CAM3 (Eastern plains)</t>
  </si>
  <si>
    <t>CO2eq del CAM4 (Putumayo)</t>
  </si>
  <si>
    <t>CO2eq del CAM5 (VMM)</t>
  </si>
  <si>
    <t>CO2eq del CAM6 (VSM)</t>
  </si>
  <si>
    <t>CO2eq del CAM7 (VIM)</t>
  </si>
  <si>
    <t>CO2eq of Gasoline Demand</t>
  </si>
  <si>
    <t>CO2eq of Diesel Demand</t>
  </si>
  <si>
    <t>CO2eq of Kerosene-Jet Demand</t>
  </si>
  <si>
    <t>CO2eq of LPG Demand</t>
  </si>
  <si>
    <t>CO2eq of Fuel Oil Demand</t>
  </si>
  <si>
    <t>CO2eq of Natural Gasoline Demand</t>
  </si>
  <si>
    <t>CO2eq of Light Oil Demand</t>
  </si>
  <si>
    <t>CO2eq of medium oil demand</t>
  </si>
  <si>
    <t>CO2eq of Heavy Oil Demand</t>
  </si>
  <si>
    <t>CO2eq AVGAS Demand</t>
  </si>
  <si>
    <t>CO2eq of Ethanol Demand</t>
  </si>
  <si>
    <t>CO2eq of Biodiesel Demand</t>
  </si>
  <si>
    <t>CO2eq of totalized Scope 3 Demand</t>
  </si>
  <si>
    <t>CO2eq of Scope 3 Demand</t>
  </si>
  <si>
    <t>CO2eq in Refinery 1</t>
  </si>
  <si>
    <t>CO2eq in production and transportation</t>
  </si>
  <si>
    <t xml:space="preserve">CO2eq in refineries </t>
  </si>
  <si>
    <t>CO2eq of Scope 3, 2 and 1 taxpaying Demande</t>
  </si>
  <si>
    <t>CO2eq of Export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</si>
</sst>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_(* #,##0.00_);_(* \(#,##0.00\);_(* &quot;-&quot;??_);_(@_)"/>
    <numFmt numFmtId="165" formatCode="\Te\x\t"/>
    <numFmt numFmtId="166" formatCode="0.0%"/>
    <numFmt numFmtId="167" formatCode="0.000"/>
    <numFmt numFmtId="168" formatCode="0.0"/>
    <numFmt numFmtId="169" formatCode="0.0000"/>
    <numFmt numFmtId="170" formatCode="_(* #,##0_);_(* \(#,##0\);_(* &quot;-&quot;??_);_(@_)"/>
    <numFmt numFmtId="171" formatCode="0.000000000"/>
    <numFmt numFmtId="172" formatCode="0.0E+00"/>
    <numFmt numFmtId="173" formatCode="_-* #,##0.000_-;\-* #,##0.000_-;_-* &quot;-&quot;??_-;_-@"/>
    <numFmt numFmtId="174" formatCode="_-* #,##0.0_-;\-* #,##0.0_-;_-* &quot;-&quot;??_-;_-@"/>
    <numFmt numFmtId="175" formatCode="0.000%"/>
    <numFmt numFmtId="176" formatCode="0.000000"/>
    <numFmt numFmtId="177" formatCode="_-* #,##0.0000_-;\-* #,##0.0000_-;_-* &quot;-&quot;??_-;_-@_-"/>
    <numFmt numFmtId="178" formatCode="0.00000"/>
    <numFmt numFmtId="179" formatCode="_-* #,##0.00_-;\-* #,##0.00_-;_-* &quot;-&quot;??_-;_-@"/>
    <numFmt numFmtId="180" formatCode="0.0000%"/>
    <numFmt numFmtId="181" formatCode="_ * #.##00_ ;_ * \-#.##00_ ;_ * &quot;&quot;\-&quot;&quot;??_ ;_ @_ "/>
    <numFmt numFmtId="182" formatCode="_-* #,##0_-;\-* #,##0_-;_-* &quot;-&quot;??_-;_-@_-"/>
    <numFmt numFmtId="183" formatCode="0.00000000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.65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FF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b/>
      <sz val="11"/>
      <color rgb="FF0000FF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</font>
    <font>
      <b/>
      <sz val="14"/>
      <color theme="1"/>
      <name val="Calibri"/>
      <family val="2"/>
    </font>
    <font>
      <b/>
      <vertAlign val="subscript"/>
      <sz val="14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b/>
      <vertAlign val="subscript"/>
      <sz val="10"/>
      <color theme="1"/>
      <name val="Calibri"/>
      <family val="2"/>
    </font>
    <font>
      <sz val="11"/>
      <color rgb="FFD8D8D8"/>
      <name val="Calibri"/>
      <family val="2"/>
    </font>
    <font>
      <sz val="12"/>
      <color theme="1"/>
      <name val="Calibri"/>
      <family val="2"/>
    </font>
    <font>
      <b/>
      <sz val="14"/>
      <color rgb="FFFF0000"/>
      <name val="Calibri"/>
      <family val="2"/>
    </font>
    <font>
      <sz val="11"/>
      <color rgb="FF7030A0"/>
      <name val="Calibri"/>
      <family val="2"/>
    </font>
    <font>
      <sz val="11"/>
      <color rgb="FF7F7F7F"/>
      <name val="Calibri"/>
      <family val="2"/>
    </font>
    <font>
      <b/>
      <sz val="16"/>
      <color theme="1"/>
      <name val="Calibri"/>
      <family val="2"/>
    </font>
    <font>
      <i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9"/>
      <color theme="1"/>
      <name val="Calibri"/>
      <family val="2"/>
    </font>
    <font>
      <b/>
      <sz val="16"/>
      <color rgb="FF0000FF"/>
      <name val="Calibri"/>
      <family val="2"/>
    </font>
    <font>
      <b/>
      <sz val="16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8"/>
      <color theme="0" tint="-0.34998626667073579"/>
      <name val="Calibri"/>
      <family val="2"/>
    </font>
    <font>
      <b/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E2EFD9"/>
      </patternFill>
    </fill>
    <fill>
      <patternFill patternType="solid">
        <fgColor theme="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DFF"/>
        <bgColor rgb="FFFFDDF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DDFF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rgb="FFECECEC"/>
      </patternFill>
    </fill>
    <fill>
      <patternFill patternType="solid">
        <fgColor theme="0"/>
        <bgColor theme="5"/>
      </patternFill>
    </fill>
    <fill>
      <patternFill patternType="solid">
        <fgColor rgb="FFCCCCCE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theme="4" tint="0.79998168889431442"/>
        <bgColor rgb="FFFFFF00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/>
      </patternFill>
    </fill>
    <fill>
      <patternFill patternType="solid">
        <fgColor rgb="FFFFFF00"/>
        <bgColor rgb="FFFFFF99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Dot">
        <color auto="1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A8D08D"/>
      </top>
      <bottom style="thin">
        <color rgb="FFA8D08D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rgb="FFA8D08D"/>
      </top>
      <bottom style="thin">
        <color rgb="FFA8D08D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A8D08D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46" fillId="0" borderId="0"/>
    <xf numFmtId="0" fontId="46" fillId="0" borderId="0"/>
  </cellStyleXfs>
  <cellXfs count="74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165" fontId="5" fillId="2" borderId="0" xfId="0" applyNumberFormat="1" applyFont="1" applyFill="1"/>
    <xf numFmtId="165" fontId="6" fillId="2" borderId="0" xfId="0" applyNumberFormat="1" applyFont="1" applyFill="1"/>
    <xf numFmtId="165" fontId="7" fillId="3" borderId="1" xfId="0" applyNumberFormat="1" applyFont="1" applyFill="1" applyBorder="1" applyAlignment="1">
      <alignment horizontal="left"/>
    </xf>
    <xf numFmtId="165" fontId="7" fillId="3" borderId="2" xfId="0" applyNumberFormat="1" applyFont="1" applyFill="1" applyBorder="1" applyAlignment="1">
      <alignment horizontal="left"/>
    </xf>
    <xf numFmtId="165" fontId="8" fillId="4" borderId="3" xfId="0" applyNumberFormat="1" applyFont="1" applyFill="1" applyBorder="1" applyAlignment="1">
      <alignment horizontal="left" wrapText="1"/>
    </xf>
    <xf numFmtId="166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5" fillId="0" borderId="0" xfId="0" applyNumberFormat="1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166" fontId="2" fillId="2" borderId="0" xfId="0" applyNumberFormat="1" applyFont="1" applyFill="1"/>
    <xf numFmtId="0" fontId="2" fillId="2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11" fillId="6" borderId="4" xfId="2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wrapText="1"/>
    </xf>
    <xf numFmtId="17" fontId="9" fillId="5" borderId="0" xfId="0" applyNumberFormat="1" applyFont="1" applyFill="1" applyAlignment="1">
      <alignment horizontal="center" wrapText="1"/>
    </xf>
    <xf numFmtId="0" fontId="0" fillId="6" borderId="0" xfId="0" applyFill="1" applyAlignment="1">
      <alignment wrapText="1"/>
    </xf>
    <xf numFmtId="0" fontId="1" fillId="0" borderId="0" xfId="2" applyAlignment="1">
      <alignment wrapText="1"/>
    </xf>
    <xf numFmtId="0" fontId="1" fillId="0" borderId="0" xfId="2" applyAlignment="1">
      <alignment horizontal="center" wrapText="1"/>
    </xf>
    <xf numFmtId="0" fontId="1" fillId="7" borderId="4" xfId="2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9" fillId="0" borderId="5" xfId="2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11" fillId="0" borderId="4" xfId="2" applyFont="1" applyBorder="1" applyAlignment="1">
      <alignment horizontal="center" wrapText="1"/>
    </xf>
    <xf numFmtId="0" fontId="9" fillId="0" borderId="8" xfId="2" applyFont="1" applyBorder="1" applyAlignment="1">
      <alignment horizontal="center" vertical="center" wrapText="1"/>
    </xf>
    <xf numFmtId="2" fontId="1" fillId="0" borderId="0" xfId="2" applyNumberFormat="1" applyAlignment="1">
      <alignment wrapText="1"/>
    </xf>
    <xf numFmtId="169" fontId="9" fillId="0" borderId="9" xfId="0" applyNumberFormat="1" applyFont="1" applyBorder="1" applyAlignment="1">
      <alignment wrapText="1"/>
    </xf>
    <xf numFmtId="0" fontId="13" fillId="0" borderId="1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2" applyBorder="1" applyAlignment="1">
      <alignment horizontal="center" wrapText="1"/>
    </xf>
    <xf numFmtId="1" fontId="0" fillId="0" borderId="0" xfId="0" applyNumberFormat="1" applyAlignment="1">
      <alignment wrapText="1"/>
    </xf>
    <xf numFmtId="0" fontId="1" fillId="7" borderId="0" xfId="2" applyFill="1" applyAlignment="1">
      <alignment horizontal="center" vertical="center" wrapText="1"/>
    </xf>
    <xf numFmtId="0" fontId="0" fillId="6" borderId="9" xfId="0" applyFill="1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1" fillId="6" borderId="6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9" fillId="0" borderId="9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0" xfId="0" applyFont="1" applyAlignment="1">
      <alignment wrapText="1"/>
    </xf>
    <xf numFmtId="170" fontId="0" fillId="6" borderId="11" xfId="1" applyNumberFormat="1" applyFon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9" fillId="6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wrapText="1"/>
    </xf>
    <xf numFmtId="168" fontId="0" fillId="6" borderId="0" xfId="0" applyNumberFormat="1" applyFill="1" applyAlignment="1">
      <alignment wrapText="1"/>
    </xf>
    <xf numFmtId="0" fontId="0" fillId="0" borderId="0" xfId="0" applyAlignment="1">
      <alignment horizontal="center" wrapText="1"/>
    </xf>
    <xf numFmtId="168" fontId="0" fillId="6" borderId="14" xfId="0" applyNumberForma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2" fontId="0" fillId="0" borderId="14" xfId="0" applyNumberFormat="1" applyBorder="1" applyAlignment="1">
      <alignment wrapText="1"/>
    </xf>
    <xf numFmtId="0" fontId="15" fillId="0" borderId="0" xfId="0" applyFont="1" applyAlignment="1">
      <alignment horizontal="center" vertical="center" wrapText="1"/>
    </xf>
    <xf numFmtId="167" fontId="15" fillId="0" borderId="0" xfId="0" applyNumberFormat="1" applyFont="1" applyAlignment="1">
      <alignment horizontal="center" vertical="center" wrapText="1"/>
    </xf>
    <xf numFmtId="168" fontId="15" fillId="0" borderId="0" xfId="0" applyNumberFormat="1" applyFont="1" applyAlignment="1">
      <alignment horizontal="center" vertical="center" wrapText="1"/>
    </xf>
    <xf numFmtId="167" fontId="15" fillId="0" borderId="0" xfId="0" applyNumberFormat="1" applyFont="1" applyAlignment="1">
      <alignment vertical="center" wrapText="1"/>
    </xf>
    <xf numFmtId="168" fontId="15" fillId="0" borderId="0" xfId="0" applyNumberFormat="1" applyFont="1" applyAlignment="1">
      <alignment vertical="center" wrapText="1"/>
    </xf>
    <xf numFmtId="0" fontId="15" fillId="0" borderId="0" xfId="0" applyFont="1" applyAlignment="1">
      <alignment wrapText="1"/>
    </xf>
    <xf numFmtId="168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 wrapText="1"/>
    </xf>
    <xf numFmtId="0" fontId="9" fillId="0" borderId="0" xfId="0" applyFont="1" applyAlignment="1">
      <alignment wrapText="1"/>
    </xf>
    <xf numFmtId="0" fontId="17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168" fontId="9" fillId="0" borderId="0" xfId="0" applyNumberFormat="1" applyFont="1" applyAlignment="1">
      <alignment horizontal="center" wrapText="1"/>
    </xf>
    <xf numFmtId="167" fontId="9" fillId="0" borderId="0" xfId="0" applyNumberFormat="1" applyFont="1" applyAlignment="1">
      <alignment horizontal="center" wrapText="1"/>
    </xf>
    <xf numFmtId="2" fontId="9" fillId="0" borderId="0" xfId="0" applyNumberFormat="1" applyFont="1" applyAlignment="1">
      <alignment horizontal="center" wrapText="1"/>
    </xf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7" fillId="3" borderId="2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/>
    <xf numFmtId="0" fontId="0" fillId="0" borderId="0" xfId="0" applyAlignment="1">
      <alignment horizontal="center"/>
    </xf>
    <xf numFmtId="2" fontId="2" fillId="9" borderId="15" xfId="0" applyNumberFormat="1" applyFon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0" fontId="19" fillId="0" borderId="0" xfId="0" applyFont="1"/>
    <xf numFmtId="0" fontId="0" fillId="5" borderId="0" xfId="0" applyFill="1"/>
    <xf numFmtId="0" fontId="1" fillId="6" borderId="0" xfId="0" applyFont="1" applyFill="1"/>
    <xf numFmtId="0" fontId="2" fillId="6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0" fillId="6" borderId="0" xfId="0" applyFill="1"/>
    <xf numFmtId="0" fontId="9" fillId="0" borderId="0" xfId="0" applyFont="1"/>
    <xf numFmtId="0" fontId="22" fillId="12" borderId="0" xfId="0" applyFont="1" applyFill="1"/>
    <xf numFmtId="0" fontId="0" fillId="0" borderId="25" xfId="0" applyBorder="1"/>
    <xf numFmtId="0" fontId="0" fillId="13" borderId="25" xfId="0" applyFill="1" applyBorder="1"/>
    <xf numFmtId="10" fontId="0" fillId="0" borderId="0" xfId="3" applyNumberFormat="1" applyFont="1"/>
    <xf numFmtId="9" fontId="0" fillId="0" borderId="0" xfId="3" applyFont="1"/>
    <xf numFmtId="167" fontId="0" fillId="0" borderId="0" xfId="0" applyNumberFormat="1"/>
    <xf numFmtId="0" fontId="9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27" xfId="0" applyFont="1" applyFill="1" applyBorder="1" applyAlignment="1">
      <alignment horizontal="center"/>
    </xf>
    <xf numFmtId="0" fontId="0" fillId="0" borderId="29" xfId="0" applyBorder="1"/>
    <xf numFmtId="0" fontId="20" fillId="0" borderId="30" xfId="0" applyFont="1" applyBorder="1"/>
    <xf numFmtId="0" fontId="0" fillId="0" borderId="30" xfId="0" applyBorder="1"/>
    <xf numFmtId="0" fontId="0" fillId="0" borderId="31" xfId="0" applyBorder="1"/>
    <xf numFmtId="2" fontId="3" fillId="9" borderId="15" xfId="0" applyNumberFormat="1" applyFont="1" applyFill="1" applyBorder="1" applyAlignment="1">
      <alignment horizontal="center" vertical="center"/>
    </xf>
    <xf numFmtId="2" fontId="3" fillId="9" borderId="26" xfId="0" applyNumberFormat="1" applyFont="1" applyFill="1" applyBorder="1" applyAlignment="1">
      <alignment horizontal="center" vertical="center"/>
    </xf>
    <xf numFmtId="2" fontId="3" fillId="10" borderId="28" xfId="0" applyNumberFormat="1" applyFont="1" applyFill="1" applyBorder="1" applyAlignment="1">
      <alignment horizontal="center" vertical="center"/>
    </xf>
    <xf numFmtId="2" fontId="3" fillId="10" borderId="12" xfId="0" applyNumberFormat="1" applyFont="1" applyFill="1" applyBorder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167" fontId="2" fillId="6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0" fontId="23" fillId="0" borderId="0" xfId="0" applyFont="1"/>
    <xf numFmtId="0" fontId="24" fillId="2" borderId="0" xfId="0" applyFont="1" applyFill="1"/>
    <xf numFmtId="0" fontId="25" fillId="3" borderId="2" xfId="0" applyFont="1" applyFill="1" applyBorder="1" applyAlignment="1">
      <alignment horizontal="left"/>
    </xf>
    <xf numFmtId="0" fontId="25" fillId="3" borderId="2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165" fontId="23" fillId="0" borderId="0" xfId="0" applyNumberFormat="1" applyFont="1"/>
    <xf numFmtId="165" fontId="25" fillId="3" borderId="2" xfId="0" applyNumberFormat="1" applyFont="1" applyFill="1" applyBorder="1" applyAlignment="1">
      <alignment horizontal="left"/>
    </xf>
    <xf numFmtId="0" fontId="2" fillId="9" borderId="0" xfId="0" applyFont="1" applyFill="1"/>
    <xf numFmtId="0" fontId="3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9" fontId="2" fillId="9" borderId="0" xfId="0" applyNumberFormat="1" applyFont="1" applyFill="1"/>
    <xf numFmtId="9" fontId="2" fillId="0" borderId="0" xfId="0" applyNumberFormat="1" applyFont="1"/>
    <xf numFmtId="10" fontId="2" fillId="0" borderId="0" xfId="0" applyNumberFormat="1" applyFont="1"/>
    <xf numFmtId="0" fontId="5" fillId="0" borderId="0" xfId="0" applyFont="1"/>
    <xf numFmtId="0" fontId="6" fillId="0" borderId="0" xfId="0" applyFont="1"/>
    <xf numFmtId="168" fontId="6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9" fontId="0" fillId="0" borderId="0" xfId="0" applyNumberFormat="1"/>
    <xf numFmtId="0" fontId="22" fillId="5" borderId="0" xfId="0" applyFont="1" applyFill="1"/>
    <xf numFmtId="0" fontId="22" fillId="5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7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26" fillId="0" borderId="0" xfId="0" applyFont="1"/>
    <xf numFmtId="171" fontId="2" fillId="0" borderId="0" xfId="0" applyNumberFormat="1" applyFont="1"/>
    <xf numFmtId="0" fontId="2" fillId="14" borderId="0" xfId="0" applyFont="1" applyFill="1"/>
    <xf numFmtId="165" fontId="27" fillId="0" borderId="0" xfId="0" applyNumberFormat="1" applyFont="1"/>
    <xf numFmtId="165" fontId="3" fillId="3" borderId="32" xfId="0" applyNumberFormat="1" applyFont="1" applyFill="1" applyBorder="1" applyAlignment="1">
      <alignment horizontal="left"/>
    </xf>
    <xf numFmtId="165" fontId="3" fillId="3" borderId="2" xfId="0" applyNumberFormat="1" applyFont="1" applyFill="1" applyBorder="1" applyAlignment="1">
      <alignment horizontal="left"/>
    </xf>
    <xf numFmtId="165" fontId="3" fillId="3" borderId="33" xfId="0" applyNumberFormat="1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165" fontId="27" fillId="2" borderId="0" xfId="0" applyNumberFormat="1" applyFont="1" applyFill="1"/>
    <xf numFmtId="165" fontId="2" fillId="2" borderId="0" xfId="0" applyNumberFormat="1" applyFont="1" applyFill="1"/>
    <xf numFmtId="165" fontId="2" fillId="2" borderId="0" xfId="0" applyNumberFormat="1" applyFont="1" applyFill="1" applyAlignment="1">
      <alignment horizontal="left" wrapText="1"/>
    </xf>
    <xf numFmtId="0" fontId="27" fillId="2" borderId="0" xfId="0" applyFont="1" applyFill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/>
    </xf>
    <xf numFmtId="0" fontId="28" fillId="0" borderId="0" xfId="0" applyFont="1"/>
    <xf numFmtId="0" fontId="27" fillId="0" borderId="0" xfId="0" applyFont="1"/>
    <xf numFmtId="0" fontId="7" fillId="8" borderId="3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center"/>
    </xf>
    <xf numFmtId="0" fontId="3" fillId="8" borderId="3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6" fontId="2" fillId="0" borderId="0" xfId="3" applyNumberFormat="1" applyFont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7" fillId="2" borderId="0" xfId="0" applyFont="1" applyFill="1" applyAlignment="1">
      <alignment horizontal="left"/>
    </xf>
    <xf numFmtId="0" fontId="3" fillId="8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2" fillId="18" borderId="0" xfId="0" applyNumberFormat="1" applyFont="1" applyFill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3" xfId="0" applyFont="1" applyFill="1" applyBorder="1" applyAlignment="1">
      <alignment horizontal="center" vertical="center"/>
    </xf>
    <xf numFmtId="10" fontId="2" fillId="19" borderId="0" xfId="0" applyNumberFormat="1" applyFont="1" applyFill="1"/>
    <xf numFmtId="10" fontId="29" fillId="0" borderId="0" xfId="0" applyNumberFormat="1" applyFont="1"/>
    <xf numFmtId="0" fontId="27" fillId="0" borderId="0" xfId="0" applyFont="1" applyAlignment="1">
      <alignment horizontal="center" vertical="center"/>
    </xf>
    <xf numFmtId="0" fontId="3" fillId="8" borderId="33" xfId="0" applyFont="1" applyFill="1" applyBorder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30" fillId="2" borderId="0" xfId="0" applyFont="1" applyFill="1" applyAlignment="1">
      <alignment vertical="center"/>
    </xf>
    <xf numFmtId="0" fontId="30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0" fillId="18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 wrapText="1"/>
    </xf>
    <xf numFmtId="168" fontId="24" fillId="2" borderId="1" xfId="0" applyNumberFormat="1" applyFont="1" applyFill="1" applyBorder="1" applyAlignment="1">
      <alignment horizontal="center" vertical="center" wrapText="1"/>
    </xf>
    <xf numFmtId="1" fontId="24" fillId="18" borderId="1" xfId="0" applyNumberFormat="1" applyFont="1" applyFill="1" applyBorder="1" applyAlignment="1">
      <alignment horizontal="center" vertical="center" wrapText="1"/>
    </xf>
    <xf numFmtId="168" fontId="2" fillId="2" borderId="0" xfId="0" applyNumberFormat="1" applyFont="1" applyFill="1" applyAlignment="1">
      <alignment horizontal="center" vertical="center"/>
    </xf>
    <xf numFmtId="1" fontId="3" fillId="20" borderId="0" xfId="0" applyNumberFormat="1" applyFont="1" applyFill="1" applyAlignment="1">
      <alignment horizontal="center"/>
    </xf>
    <xf numFmtId="1" fontId="2" fillId="2" borderId="0" xfId="0" applyNumberFormat="1" applyFont="1" applyFill="1"/>
    <xf numFmtId="168" fontId="2" fillId="0" borderId="0" xfId="0" applyNumberFormat="1" applyFont="1"/>
    <xf numFmtId="0" fontId="2" fillId="0" borderId="34" xfId="0" applyFont="1" applyBorder="1"/>
    <xf numFmtId="2" fontId="2" fillId="0" borderId="1" xfId="0" applyNumberFormat="1" applyFont="1" applyBorder="1"/>
    <xf numFmtId="2" fontId="2" fillId="0" borderId="35" xfId="0" applyNumberFormat="1" applyFont="1" applyBorder="1"/>
    <xf numFmtId="9" fontId="18" fillId="2" borderId="0" xfId="0" applyNumberFormat="1" applyFont="1" applyFill="1" applyAlignment="1">
      <alignment horizontal="center" vertical="center"/>
    </xf>
    <xf numFmtId="0" fontId="2" fillId="0" borderId="36" xfId="0" applyFont="1" applyBorder="1"/>
    <xf numFmtId="2" fontId="2" fillId="0" borderId="37" xfId="0" applyNumberFormat="1" applyFont="1" applyBorder="1"/>
    <xf numFmtId="0" fontId="2" fillId="0" borderId="38" xfId="0" applyFont="1" applyBorder="1"/>
    <xf numFmtId="2" fontId="2" fillId="0" borderId="39" xfId="0" applyNumberFormat="1" applyFont="1" applyBorder="1"/>
    <xf numFmtId="2" fontId="2" fillId="0" borderId="40" xfId="0" applyNumberFormat="1" applyFont="1" applyBorder="1"/>
    <xf numFmtId="0" fontId="32" fillId="0" borderId="0" xfId="0" applyFont="1"/>
    <xf numFmtId="172" fontId="2" fillId="0" borderId="0" xfId="0" applyNumberFormat="1" applyFont="1"/>
    <xf numFmtId="0" fontId="2" fillId="21" borderId="1" xfId="0" applyFont="1" applyFill="1" applyBorder="1" applyAlignment="1">
      <alignment horizontal="center" vertical="center" wrapText="1"/>
    </xf>
    <xf numFmtId="168" fontId="0" fillId="0" borderId="0" xfId="0" applyNumberFormat="1"/>
    <xf numFmtId="1" fontId="2" fillId="0" borderId="0" xfId="0" applyNumberFormat="1" applyFont="1"/>
    <xf numFmtId="2" fontId="2" fillId="2" borderId="0" xfId="0" applyNumberFormat="1" applyFont="1" applyFill="1"/>
    <xf numFmtId="0" fontId="2" fillId="4" borderId="1" xfId="0" applyFont="1" applyFill="1" applyBorder="1" applyAlignment="1">
      <alignment horizontal="center" vertical="center" wrapText="1"/>
    </xf>
    <xf numFmtId="167" fontId="24" fillId="2" borderId="1" xfId="0" applyNumberFormat="1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168" fontId="24" fillId="2" borderId="0" xfId="0" applyNumberFormat="1" applyFont="1" applyFill="1" applyAlignment="1">
      <alignment horizontal="center" vertical="center" wrapText="1"/>
    </xf>
    <xf numFmtId="1" fontId="24" fillId="2" borderId="0" xfId="0" applyNumberFormat="1" applyFont="1" applyFill="1" applyAlignment="1">
      <alignment horizontal="center" vertical="center" wrapText="1"/>
    </xf>
    <xf numFmtId="0" fontId="2" fillId="22" borderId="0" xfId="0" applyFont="1" applyFill="1"/>
    <xf numFmtId="0" fontId="3" fillId="9" borderId="0" xfId="0" applyFont="1" applyFill="1"/>
    <xf numFmtId="0" fontId="2" fillId="23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3" fillId="2" borderId="0" xfId="0" applyFont="1" applyFill="1"/>
    <xf numFmtId="0" fontId="33" fillId="20" borderId="32" xfId="0" applyFont="1" applyFill="1" applyBorder="1"/>
    <xf numFmtId="0" fontId="33" fillId="20" borderId="2" xfId="0" applyFont="1" applyFill="1" applyBorder="1"/>
    <xf numFmtId="0" fontId="33" fillId="20" borderId="33" xfId="0" applyFont="1" applyFill="1" applyBorder="1"/>
    <xf numFmtId="0" fontId="30" fillId="23" borderId="0" xfId="0" applyFont="1" applyFill="1" applyAlignment="1">
      <alignment horizontal="center" vertical="center" wrapText="1"/>
    </xf>
    <xf numFmtId="0" fontId="30" fillId="21" borderId="0" xfId="0" applyFont="1" applyFill="1" applyAlignment="1">
      <alignment horizontal="center" vertical="center" wrapText="1"/>
    </xf>
    <xf numFmtId="0" fontId="30" fillId="9" borderId="0" xfId="0" applyFont="1" applyFill="1" applyAlignment="1">
      <alignment horizontal="center" vertical="center" wrapText="1"/>
    </xf>
    <xf numFmtId="0" fontId="30" fillId="4" borderId="0" xfId="0" applyFont="1" applyFill="1" applyAlignment="1">
      <alignment horizontal="center" vertical="center" wrapText="1"/>
    </xf>
    <xf numFmtId="0" fontId="25" fillId="2" borderId="0" xfId="0" applyFont="1" applyFill="1" applyAlignment="1">
      <alignment horizontal="center" vertical="center" wrapText="1"/>
    </xf>
    <xf numFmtId="0" fontId="3" fillId="20" borderId="36" xfId="0" applyFont="1" applyFill="1" applyBorder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0" borderId="37" xfId="0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 wrapText="1"/>
    </xf>
    <xf numFmtId="9" fontId="24" fillId="23" borderId="1" xfId="0" applyNumberFormat="1" applyFont="1" applyFill="1" applyBorder="1" applyAlignment="1">
      <alignment horizontal="center" vertical="center" wrapText="1"/>
    </xf>
    <xf numFmtId="168" fontId="24" fillId="23" borderId="1" xfId="0" applyNumberFormat="1" applyFont="1" applyFill="1" applyBorder="1" applyAlignment="1">
      <alignment horizontal="center" vertical="center" wrapText="1"/>
    </xf>
    <xf numFmtId="9" fontId="24" fillId="21" borderId="1" xfId="0" applyNumberFormat="1" applyFont="1" applyFill="1" applyBorder="1" applyAlignment="1">
      <alignment horizontal="center" vertical="center" wrapText="1"/>
    </xf>
    <xf numFmtId="9" fontId="24" fillId="9" borderId="1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/>
    </xf>
    <xf numFmtId="168" fontId="2" fillId="4" borderId="2" xfId="0" applyNumberFormat="1" applyFont="1" applyFill="1" applyBorder="1"/>
    <xf numFmtId="1" fontId="2" fillId="23" borderId="2" xfId="0" applyNumberFormat="1" applyFont="1" applyFill="1" applyBorder="1"/>
    <xf numFmtId="0" fontId="2" fillId="23" borderId="2" xfId="0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9" fontId="2" fillId="20" borderId="36" xfId="0" applyNumberFormat="1" applyFont="1" applyFill="1" applyBorder="1" applyAlignment="1">
      <alignment horizontal="center"/>
    </xf>
    <xf numFmtId="9" fontId="2" fillId="20" borderId="0" xfId="0" applyNumberFormat="1" applyFont="1" applyFill="1" applyAlignment="1">
      <alignment horizontal="center"/>
    </xf>
    <xf numFmtId="9" fontId="2" fillId="20" borderId="37" xfId="0" applyNumberFormat="1" applyFont="1" applyFill="1" applyBorder="1" applyAlignment="1">
      <alignment horizontal="center"/>
    </xf>
    <xf numFmtId="2" fontId="2" fillId="20" borderId="36" xfId="0" applyNumberFormat="1" applyFont="1" applyFill="1" applyBorder="1" applyAlignment="1">
      <alignment horizontal="center"/>
    </xf>
    <xf numFmtId="2" fontId="2" fillId="20" borderId="0" xfId="0" applyNumberFormat="1" applyFont="1" applyFill="1" applyAlignment="1">
      <alignment horizontal="center"/>
    </xf>
    <xf numFmtId="2" fontId="2" fillId="20" borderId="37" xfId="0" applyNumberFormat="1" applyFont="1" applyFill="1" applyBorder="1" applyAlignment="1">
      <alignment horizontal="center"/>
    </xf>
    <xf numFmtId="2" fontId="2" fillId="2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2" borderId="37" xfId="0" applyNumberFormat="1" applyFont="1" applyFill="1" applyBorder="1" applyAlignment="1">
      <alignment horizontal="center"/>
    </xf>
    <xf numFmtId="168" fontId="24" fillId="2" borderId="1" xfId="0" applyNumberFormat="1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/>
    </xf>
    <xf numFmtId="9" fontId="24" fillId="23" borderId="1" xfId="0" applyNumberFormat="1" applyFont="1" applyFill="1" applyBorder="1" applyAlignment="1">
      <alignment horizontal="center" vertical="center"/>
    </xf>
    <xf numFmtId="168" fontId="24" fillId="23" borderId="1" xfId="0" applyNumberFormat="1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/>
    </xf>
    <xf numFmtId="9" fontId="24" fillId="21" borderId="1" xfId="0" applyNumberFormat="1" applyFont="1" applyFill="1" applyBorder="1" applyAlignment="1">
      <alignment horizontal="center" vertical="center"/>
    </xf>
    <xf numFmtId="9" fontId="24" fillId="9" borderId="1" xfId="0" applyNumberFormat="1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 vertical="center"/>
    </xf>
    <xf numFmtId="2" fontId="24" fillId="2" borderId="1" xfId="0" applyNumberFormat="1" applyFont="1" applyFill="1" applyBorder="1" applyAlignment="1">
      <alignment horizontal="center" vertical="center"/>
    </xf>
    <xf numFmtId="167" fontId="24" fillId="18" borderId="1" xfId="0" applyNumberFormat="1" applyFont="1" applyFill="1" applyBorder="1" applyAlignment="1">
      <alignment horizontal="center" vertical="center"/>
    </xf>
    <xf numFmtId="173" fontId="24" fillId="2" borderId="0" xfId="0" applyNumberFormat="1" applyFont="1" applyFill="1" applyAlignment="1">
      <alignment horizontal="center"/>
    </xf>
    <xf numFmtId="174" fontId="24" fillId="2" borderId="0" xfId="0" applyNumberFormat="1" applyFont="1" applyFill="1" applyAlignment="1">
      <alignment horizontal="center"/>
    </xf>
    <xf numFmtId="9" fontId="2" fillId="20" borderId="38" xfId="0" applyNumberFormat="1" applyFont="1" applyFill="1" applyBorder="1" applyAlignment="1">
      <alignment horizontal="center"/>
    </xf>
    <xf numFmtId="9" fontId="2" fillId="20" borderId="39" xfId="0" applyNumberFormat="1" applyFont="1" applyFill="1" applyBorder="1" applyAlignment="1">
      <alignment horizontal="center"/>
    </xf>
    <xf numFmtId="9" fontId="2" fillId="20" borderId="40" xfId="0" applyNumberFormat="1" applyFont="1" applyFill="1" applyBorder="1" applyAlignment="1">
      <alignment horizontal="center"/>
    </xf>
    <xf numFmtId="2" fontId="2" fillId="20" borderId="38" xfId="0" applyNumberFormat="1" applyFont="1" applyFill="1" applyBorder="1" applyAlignment="1">
      <alignment horizontal="center"/>
    </xf>
    <xf numFmtId="2" fontId="2" fillId="20" borderId="39" xfId="0" applyNumberFormat="1" applyFont="1" applyFill="1" applyBorder="1" applyAlignment="1">
      <alignment horizontal="center"/>
    </xf>
    <xf numFmtId="2" fontId="2" fillId="20" borderId="40" xfId="0" applyNumberFormat="1" applyFont="1" applyFill="1" applyBorder="1" applyAlignment="1">
      <alignment horizontal="center"/>
    </xf>
    <xf numFmtId="168" fontId="2" fillId="4" borderId="2" xfId="0" applyNumberFormat="1" applyFont="1" applyFill="1" applyBorder="1" applyAlignment="1">
      <alignment horizontal="center"/>
    </xf>
    <xf numFmtId="2" fontId="2" fillId="20" borderId="34" xfId="0" applyNumberFormat="1" applyFont="1" applyFill="1" applyBorder="1" applyAlignment="1">
      <alignment horizontal="center"/>
    </xf>
    <xf numFmtId="2" fontId="2" fillId="20" borderId="1" xfId="0" applyNumberFormat="1" applyFont="1" applyFill="1" applyBorder="1" applyAlignment="1">
      <alignment horizontal="center"/>
    </xf>
    <xf numFmtId="2" fontId="2" fillId="22" borderId="1" xfId="0" applyNumberFormat="1" applyFont="1" applyFill="1" applyBorder="1" applyAlignment="1">
      <alignment horizontal="center"/>
    </xf>
    <xf numFmtId="2" fontId="2" fillId="20" borderId="35" xfId="0" applyNumberFormat="1" applyFont="1" applyFill="1" applyBorder="1" applyAlignment="1">
      <alignment horizontal="center"/>
    </xf>
    <xf numFmtId="168" fontId="2" fillId="23" borderId="2" xfId="0" applyNumberFormat="1" applyFont="1" applyFill="1" applyBorder="1"/>
    <xf numFmtId="2" fontId="2" fillId="2" borderId="39" xfId="0" applyNumberFormat="1" applyFont="1" applyFill="1" applyBorder="1" applyAlignment="1">
      <alignment horizontal="center"/>
    </xf>
    <xf numFmtId="2" fontId="2" fillId="2" borderId="40" xfId="0" applyNumberFormat="1" applyFont="1" applyFill="1" applyBorder="1" applyAlignment="1">
      <alignment horizontal="center"/>
    </xf>
    <xf numFmtId="168" fontId="24" fillId="23" borderId="0" xfId="0" applyNumberFormat="1" applyFont="1" applyFill="1" applyAlignment="1">
      <alignment horizontal="center" vertical="center" wrapText="1"/>
    </xf>
    <xf numFmtId="168" fontId="24" fillId="18" borderId="0" xfId="0" applyNumberFormat="1" applyFont="1" applyFill="1" applyAlignment="1">
      <alignment horizontal="center" vertical="center" wrapText="1"/>
    </xf>
    <xf numFmtId="9" fontId="24" fillId="21" borderId="0" xfId="0" applyNumberFormat="1" applyFont="1" applyFill="1" applyAlignment="1">
      <alignment horizontal="center" vertical="center" wrapText="1"/>
    </xf>
    <xf numFmtId="9" fontId="24" fillId="9" borderId="0" xfId="0" applyNumberFormat="1" applyFont="1" applyFill="1" applyAlignment="1">
      <alignment horizontal="center" vertical="center" wrapText="1"/>
    </xf>
    <xf numFmtId="9" fontId="3" fillId="2" borderId="0" xfId="0" applyNumberFormat="1" applyFont="1" applyFill="1" applyAlignment="1">
      <alignment horizontal="center"/>
    </xf>
    <xf numFmtId="168" fontId="2" fillId="23" borderId="0" xfId="0" applyNumberFormat="1" applyFont="1" applyFill="1" applyAlignment="1">
      <alignment horizontal="center"/>
    </xf>
    <xf numFmtId="168" fontId="2" fillId="0" borderId="0" xfId="0" applyNumberFormat="1" applyFont="1" applyAlignment="1">
      <alignment horizontal="center"/>
    </xf>
    <xf numFmtId="2" fontId="35" fillId="0" borderId="0" xfId="0" applyNumberFormat="1" applyFont="1"/>
    <xf numFmtId="1" fontId="0" fillId="0" borderId="0" xfId="0" applyNumberFormat="1"/>
    <xf numFmtId="0" fontId="3" fillId="0" borderId="0" xfId="0" applyFont="1" applyAlignment="1">
      <alignment horizontal="center" vertical="center"/>
    </xf>
    <xf numFmtId="0" fontId="33" fillId="2" borderId="39" xfId="0" applyFont="1" applyFill="1" applyBorder="1" applyAlignment="1">
      <alignment horizontal="center" vertical="center" wrapText="1"/>
    </xf>
    <xf numFmtId="0" fontId="30" fillId="23" borderId="39" xfId="0" applyFont="1" applyFill="1" applyBorder="1" applyAlignment="1">
      <alignment horizontal="center" vertical="center" wrapText="1"/>
    </xf>
    <xf numFmtId="0" fontId="30" fillId="18" borderId="39" xfId="0" applyFont="1" applyFill="1" applyBorder="1" applyAlignment="1">
      <alignment horizontal="center" vertical="center" wrapText="1"/>
    </xf>
    <xf numFmtId="0" fontId="30" fillId="21" borderId="39" xfId="0" applyFont="1" applyFill="1" applyBorder="1" applyAlignment="1">
      <alignment horizontal="center" vertical="center" wrapText="1"/>
    </xf>
    <xf numFmtId="0" fontId="30" fillId="9" borderId="39" xfId="0" applyFont="1" applyFill="1" applyBorder="1" applyAlignment="1">
      <alignment horizontal="center" vertical="center" wrapText="1"/>
    </xf>
    <xf numFmtId="0" fontId="33" fillId="2" borderId="0" xfId="0" applyFont="1" applyFill="1" applyAlignment="1">
      <alignment horizontal="center" vertical="center" wrapText="1"/>
    </xf>
    <xf numFmtId="0" fontId="2" fillId="0" borderId="2" xfId="0" applyFont="1" applyBorder="1"/>
    <xf numFmtId="0" fontId="2" fillId="18" borderId="2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 wrapText="1"/>
    </xf>
    <xf numFmtId="1" fontId="36" fillId="0" borderId="2" xfId="0" applyNumberFormat="1" applyFont="1" applyBorder="1" applyAlignment="1">
      <alignment horizontal="center"/>
    </xf>
    <xf numFmtId="9" fontId="36" fillId="23" borderId="2" xfId="0" applyNumberFormat="1" applyFont="1" applyFill="1" applyBorder="1" applyAlignment="1">
      <alignment horizontal="center"/>
    </xf>
    <xf numFmtId="1" fontId="36" fillId="23" borderId="2" xfId="0" applyNumberFormat="1" applyFont="1" applyFill="1" applyBorder="1" applyAlignment="1">
      <alignment horizontal="center"/>
    </xf>
    <xf numFmtId="1" fontId="36" fillId="24" borderId="2" xfId="0" applyNumberFormat="1" applyFont="1" applyFill="1" applyBorder="1" applyAlignment="1">
      <alignment horizontal="center"/>
    </xf>
    <xf numFmtId="2" fontId="36" fillId="24" borderId="2" xfId="0" applyNumberFormat="1" applyFont="1" applyFill="1" applyBorder="1" applyAlignment="1">
      <alignment horizontal="center"/>
    </xf>
    <xf numFmtId="175" fontId="24" fillId="21" borderId="1" xfId="0" applyNumberFormat="1" applyFont="1" applyFill="1" applyBorder="1" applyAlignment="1">
      <alignment horizontal="center" vertical="center" wrapText="1"/>
    </xf>
    <xf numFmtId="1" fontId="36" fillId="4" borderId="2" xfId="0" applyNumberFormat="1" applyFont="1" applyFill="1" applyBorder="1" applyAlignment="1">
      <alignment horizontal="center"/>
    </xf>
    <xf numFmtId="168" fontId="36" fillId="4" borderId="2" xfId="0" applyNumberFormat="1" applyFont="1" applyFill="1" applyBorder="1" applyAlignment="1">
      <alignment horizontal="center"/>
    </xf>
    <xf numFmtId="1" fontId="2" fillId="23" borderId="2" xfId="0" applyNumberFormat="1" applyFont="1" applyFill="1" applyBorder="1" applyAlignment="1">
      <alignment horizontal="center" vertical="center"/>
    </xf>
    <xf numFmtId="1" fontId="36" fillId="0" borderId="0" xfId="0" applyNumberFormat="1" applyFont="1" applyAlignment="1">
      <alignment horizontal="center"/>
    </xf>
    <xf numFmtId="0" fontId="36" fillId="0" borderId="2" xfId="0" applyFont="1" applyBorder="1" applyAlignment="1">
      <alignment horizontal="center"/>
    </xf>
    <xf numFmtId="1" fontId="2" fillId="23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3" borderId="2" xfId="0" applyFont="1" applyFill="1" applyBorder="1" applyAlignment="1">
      <alignment horizontal="center"/>
    </xf>
    <xf numFmtId="9" fontId="24" fillId="21" borderId="2" xfId="0" applyNumberFormat="1" applyFont="1" applyFill="1" applyBorder="1" applyAlignment="1">
      <alignment horizontal="center" vertical="center" wrapText="1"/>
    </xf>
    <xf numFmtId="9" fontId="24" fillId="9" borderId="2" xfId="0" applyNumberFormat="1" applyFont="1" applyFill="1" applyBorder="1" applyAlignment="1">
      <alignment horizontal="center" vertical="center" wrapText="1"/>
    </xf>
    <xf numFmtId="1" fontId="2" fillId="0" borderId="44" xfId="0" applyNumberFormat="1" applyFont="1" applyBorder="1"/>
    <xf numFmtId="1" fontId="2" fillId="0" borderId="1" xfId="0" applyNumberFormat="1" applyFont="1" applyBorder="1"/>
    <xf numFmtId="1" fontId="2" fillId="0" borderId="34" xfId="0" applyNumberFormat="1" applyFont="1" applyBorder="1"/>
    <xf numFmtId="1" fontId="2" fillId="0" borderId="35" xfId="0" applyNumberFormat="1" applyFont="1" applyBorder="1"/>
    <xf numFmtId="0" fontId="2" fillId="0" borderId="45" xfId="0" applyFont="1" applyBorder="1"/>
    <xf numFmtId="1" fontId="2" fillId="0" borderId="39" xfId="0" applyNumberFormat="1" applyFont="1" applyBorder="1"/>
    <xf numFmtId="1" fontId="2" fillId="0" borderId="38" xfId="0" applyNumberFormat="1" applyFont="1" applyBorder="1"/>
    <xf numFmtId="1" fontId="2" fillId="0" borderId="40" xfId="0" applyNumberFormat="1" applyFont="1" applyBorder="1"/>
    <xf numFmtId="0" fontId="33" fillId="2" borderId="39" xfId="0" applyFont="1" applyFill="1" applyBorder="1" applyAlignment="1">
      <alignment horizontal="left" vertical="center"/>
    </xf>
    <xf numFmtId="0" fontId="30" fillId="2" borderId="39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8" fillId="0" borderId="0" xfId="0" applyFont="1"/>
    <xf numFmtId="1" fontId="36" fillId="2" borderId="0" xfId="0" applyNumberFormat="1" applyFont="1" applyFill="1" applyAlignment="1">
      <alignment horizontal="center"/>
    </xf>
    <xf numFmtId="176" fontId="6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30" fillId="0" borderId="0" xfId="0" applyFont="1"/>
    <xf numFmtId="0" fontId="25" fillId="0" borderId="0" xfId="0" applyFont="1" applyAlignment="1">
      <alignment horizontal="center" wrapText="1"/>
    </xf>
    <xf numFmtId="1" fontId="38" fillId="0" borderId="0" xfId="0" applyNumberFormat="1" applyFont="1"/>
    <xf numFmtId="0" fontId="38" fillId="0" borderId="0" xfId="0" applyFont="1"/>
    <xf numFmtId="2" fontId="39" fillId="0" borderId="0" xfId="0" applyNumberFormat="1" applyFont="1"/>
    <xf numFmtId="0" fontId="2" fillId="0" borderId="1" xfId="0" applyFont="1" applyBorder="1"/>
    <xf numFmtId="0" fontId="2" fillId="18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21" borderId="0" xfId="0" applyFont="1" applyFill="1"/>
    <xf numFmtId="1" fontId="2" fillId="9" borderId="0" xfId="0" applyNumberFormat="1" applyFont="1" applyFill="1"/>
    <xf numFmtId="167" fontId="2" fillId="0" borderId="0" xfId="0" applyNumberFormat="1" applyFont="1"/>
    <xf numFmtId="0" fontId="3" fillId="8" borderId="0" xfId="0" applyFont="1" applyFill="1" applyAlignment="1">
      <alignment horizontal="center" vertical="center"/>
    </xf>
    <xf numFmtId="177" fontId="2" fillId="8" borderId="0" xfId="4" applyNumberFormat="1" applyFont="1" applyFill="1" applyBorder="1"/>
    <xf numFmtId="178" fontId="0" fillId="0" borderId="0" xfId="0" applyNumberFormat="1"/>
    <xf numFmtId="169" fontId="2" fillId="0" borderId="0" xfId="0" applyNumberFormat="1" applyFont="1"/>
    <xf numFmtId="0" fontId="2" fillId="18" borderId="0" xfId="0" applyFont="1" applyFill="1"/>
    <xf numFmtId="9" fontId="2" fillId="18" borderId="0" xfId="0" applyNumberFormat="1" applyFont="1" applyFill="1"/>
    <xf numFmtId="0" fontId="3" fillId="0" borderId="0" xfId="0" applyFont="1" applyAlignment="1">
      <alignment horizontal="center" vertical="center" wrapText="1"/>
    </xf>
    <xf numFmtId="0" fontId="3" fillId="18" borderId="0" xfId="0" applyFont="1" applyFill="1" applyAlignment="1">
      <alignment horizontal="center" vertical="center"/>
    </xf>
    <xf numFmtId="168" fontId="2" fillId="14" borderId="0" xfId="0" applyNumberFormat="1" applyFont="1" applyFill="1" applyAlignment="1">
      <alignment horizontal="center" vertical="center"/>
    </xf>
    <xf numFmtId="168" fontId="2" fillId="18" borderId="0" xfId="0" applyNumberFormat="1" applyFont="1" applyFill="1" applyAlignment="1">
      <alignment horizontal="center" vertical="center"/>
    </xf>
    <xf numFmtId="168" fontId="0" fillId="5" borderId="0" xfId="0" applyNumberFormat="1" applyFill="1" applyAlignment="1">
      <alignment horizontal="center"/>
    </xf>
    <xf numFmtId="168" fontId="2" fillId="25" borderId="0" xfId="0" applyNumberFormat="1" applyFont="1" applyFill="1" applyAlignment="1">
      <alignment horizontal="center" vertical="center"/>
    </xf>
    <xf numFmtId="168" fontId="2" fillId="5" borderId="0" xfId="0" applyNumberFormat="1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 wrapText="1"/>
    </xf>
    <xf numFmtId="2" fontId="2" fillId="14" borderId="0" xfId="0" applyNumberFormat="1" applyFont="1" applyFill="1" applyAlignment="1">
      <alignment horizontal="center" vertical="center"/>
    </xf>
    <xf numFmtId="2" fontId="2" fillId="18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2" fontId="2" fillId="26" borderId="0" xfId="0" applyNumberFormat="1" applyFont="1" applyFill="1" applyAlignment="1">
      <alignment horizontal="center" vertical="center"/>
    </xf>
    <xf numFmtId="2" fontId="0" fillId="0" borderId="0" xfId="0" applyNumberFormat="1"/>
    <xf numFmtId="0" fontId="2" fillId="2" borderId="37" xfId="0" applyFont="1" applyFill="1" applyBorder="1"/>
    <xf numFmtId="0" fontId="40" fillId="2" borderId="37" xfId="0" applyFont="1" applyFill="1" applyBorder="1" applyAlignment="1">
      <alignment horizontal="center"/>
    </xf>
    <xf numFmtId="0" fontId="41" fillId="0" borderId="36" xfId="0" applyFont="1" applyBorder="1"/>
    <xf numFmtId="0" fontId="41" fillId="0" borderId="0" xfId="0" applyFont="1"/>
    <xf numFmtId="0" fontId="41" fillId="2" borderId="37" xfId="0" applyFont="1" applyFill="1" applyBorder="1"/>
    <xf numFmtId="0" fontId="3" fillId="3" borderId="2" xfId="0" applyFont="1" applyFill="1" applyBorder="1" applyAlignment="1">
      <alignment horizontal="left"/>
    </xf>
    <xf numFmtId="0" fontId="3" fillId="2" borderId="37" xfId="0" applyFont="1" applyFill="1" applyBorder="1" applyAlignment="1">
      <alignment horizontal="left"/>
    </xf>
    <xf numFmtId="176" fontId="2" fillId="18" borderId="0" xfId="0" applyNumberFormat="1" applyFont="1" applyFill="1" applyAlignment="1">
      <alignment horizontal="center"/>
    </xf>
    <xf numFmtId="9" fontId="2" fillId="2" borderId="37" xfId="0" applyNumberFormat="1" applyFont="1" applyFill="1" applyBorder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3" fillId="8" borderId="3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10" fontId="2" fillId="2" borderId="0" xfId="0" applyNumberFormat="1" applyFont="1" applyFill="1"/>
    <xf numFmtId="179" fontId="2" fillId="2" borderId="0" xfId="0" applyNumberFormat="1" applyFont="1" applyFill="1"/>
    <xf numFmtId="10" fontId="2" fillId="2" borderId="37" xfId="0" applyNumberFormat="1" applyFont="1" applyFill="1" applyBorder="1"/>
    <xf numFmtId="2" fontId="2" fillId="0" borderId="0" xfId="0" applyNumberFormat="1" applyFont="1" applyAlignment="1">
      <alignment horizontal="center"/>
    </xf>
    <xf numFmtId="0" fontId="7" fillId="27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5" fontId="2" fillId="0" borderId="0" xfId="0" applyNumberFormat="1" applyFont="1"/>
    <xf numFmtId="180" fontId="2" fillId="2" borderId="0" xfId="0" applyNumberFormat="1" applyFont="1" applyFill="1"/>
    <xf numFmtId="2" fontId="2" fillId="2" borderId="37" xfId="0" applyNumberFormat="1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left"/>
    </xf>
    <xf numFmtId="178" fontId="2" fillId="0" borderId="0" xfId="0" applyNumberFormat="1" applyFont="1" applyAlignment="1">
      <alignment horizontal="center"/>
    </xf>
    <xf numFmtId="0" fontId="2" fillId="8" borderId="0" xfId="0" applyFont="1" applyFill="1"/>
    <xf numFmtId="0" fontId="3" fillId="28" borderId="36" xfId="0" applyFont="1" applyFill="1" applyBorder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0" fontId="3" fillId="28" borderId="37" xfId="0" applyFont="1" applyFill="1" applyBorder="1" applyAlignment="1">
      <alignment horizontal="center" vertical="center"/>
    </xf>
    <xf numFmtId="1" fontId="36" fillId="5" borderId="2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22" xfId="0" applyBorder="1"/>
    <xf numFmtId="2" fontId="0" fillId="0" borderId="23" xfId="0" applyNumberFormat="1" applyBorder="1" applyAlignment="1">
      <alignment horizontal="center"/>
    </xf>
    <xf numFmtId="168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2" fillId="2" borderId="0" xfId="3" applyNumberFormat="1" applyFont="1" applyFill="1"/>
    <xf numFmtId="9" fontId="2" fillId="2" borderId="37" xfId="0" applyNumberFormat="1" applyFont="1" applyFill="1" applyBorder="1"/>
    <xf numFmtId="0" fontId="7" fillId="29" borderId="0" xfId="0" applyFont="1" applyFill="1" applyAlignment="1">
      <alignment horizontal="left"/>
    </xf>
    <xf numFmtId="9" fontId="2" fillId="6" borderId="0" xfId="0" applyNumberFormat="1" applyFont="1" applyFill="1"/>
    <xf numFmtId="0" fontId="7" fillId="30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29" borderId="0" xfId="0" applyFont="1" applyFill="1" applyAlignment="1">
      <alignment horizontal="center" vertical="center"/>
    </xf>
    <xf numFmtId="0" fontId="41" fillId="2" borderId="0" xfId="0" applyFont="1" applyFill="1"/>
    <xf numFmtId="0" fontId="41" fillId="2" borderId="0" xfId="0" applyFont="1" applyFill="1" applyAlignment="1">
      <alignment horizontal="left"/>
    </xf>
    <xf numFmtId="0" fontId="7" fillId="8" borderId="2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center"/>
    </xf>
    <xf numFmtId="0" fontId="7" fillId="14" borderId="2" xfId="0" applyFont="1" applyFill="1" applyBorder="1" applyAlignment="1">
      <alignment horizontal="left"/>
    </xf>
    <xf numFmtId="0" fontId="7" fillId="14" borderId="2" xfId="0" applyFont="1" applyFill="1" applyBorder="1" applyAlignment="1">
      <alignment horizontal="center"/>
    </xf>
    <xf numFmtId="9" fontId="2" fillId="2" borderId="0" xfId="0" applyNumberFormat="1" applyFont="1" applyFill="1"/>
    <xf numFmtId="9" fontId="0" fillId="0" borderId="0" xfId="3" applyFont="1" applyAlignment="1">
      <alignment horizontal="center"/>
    </xf>
    <xf numFmtId="166" fontId="0" fillId="0" borderId="0" xfId="0" applyNumberFormat="1"/>
    <xf numFmtId="166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2" fillId="2" borderId="19" xfId="0" applyFont="1" applyFill="1" applyBorder="1"/>
    <xf numFmtId="0" fontId="41" fillId="2" borderId="19" xfId="0" applyFont="1" applyFill="1" applyBorder="1"/>
    <xf numFmtId="0" fontId="7" fillId="2" borderId="19" xfId="0" applyFont="1" applyFill="1" applyBorder="1" applyAlignment="1">
      <alignment horizontal="center" vertical="center"/>
    </xf>
    <xf numFmtId="166" fontId="2" fillId="2" borderId="19" xfId="0" applyNumberFormat="1" applyFont="1" applyFill="1" applyBorder="1"/>
    <xf numFmtId="10" fontId="2" fillId="2" borderId="19" xfId="0" applyNumberFormat="1" applyFont="1" applyFill="1" applyBorder="1"/>
    <xf numFmtId="9" fontId="2" fillId="2" borderId="19" xfId="0" applyNumberFormat="1" applyFont="1" applyFill="1" applyBorder="1"/>
    <xf numFmtId="0" fontId="41" fillId="0" borderId="0" xfId="0" applyFont="1" applyAlignment="1">
      <alignment horizontal="left"/>
    </xf>
    <xf numFmtId="0" fontId="7" fillId="3" borderId="33" xfId="0" applyFont="1" applyFill="1" applyBorder="1" applyAlignment="1">
      <alignment horizontal="left"/>
    </xf>
    <xf numFmtId="0" fontId="7" fillId="2" borderId="37" xfId="0" applyFont="1" applyFill="1" applyBorder="1" applyAlignment="1">
      <alignment horizontal="left"/>
    </xf>
    <xf numFmtId="9" fontId="29" fillId="0" borderId="0" xfId="0" applyNumberFormat="1" applyFont="1"/>
    <xf numFmtId="0" fontId="40" fillId="0" borderId="0" xfId="0" applyFont="1"/>
    <xf numFmtId="169" fontId="0" fillId="0" borderId="0" xfId="0" applyNumberFormat="1"/>
    <xf numFmtId="2" fontId="3" fillId="0" borderId="0" xfId="0" applyNumberFormat="1" applyFont="1"/>
    <xf numFmtId="166" fontId="0" fillId="0" borderId="0" xfId="3" applyNumberFormat="1" applyFont="1"/>
    <xf numFmtId="0" fontId="2" fillId="2" borderId="36" xfId="0" applyFont="1" applyFill="1" applyBorder="1"/>
    <xf numFmtId="0" fontId="2" fillId="0" borderId="37" xfId="0" applyFont="1" applyBorder="1"/>
    <xf numFmtId="0" fontId="40" fillId="0" borderId="36" xfId="0" applyFont="1" applyBorder="1"/>
    <xf numFmtId="0" fontId="41" fillId="2" borderId="36" xfId="0" applyFont="1" applyFill="1" applyBorder="1"/>
    <xf numFmtId="0" fontId="41" fillId="0" borderId="37" xfId="0" applyFont="1" applyBorder="1"/>
    <xf numFmtId="0" fontId="7" fillId="2" borderId="36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left"/>
    </xf>
    <xf numFmtId="0" fontId="7" fillId="31" borderId="32" xfId="0" applyFont="1" applyFill="1" applyBorder="1" applyAlignment="1">
      <alignment horizontal="center" vertical="center"/>
    </xf>
    <xf numFmtId="0" fontId="7" fillId="31" borderId="33" xfId="0" applyFont="1" applyFill="1" applyBorder="1" applyAlignment="1">
      <alignment horizontal="center" vertical="center"/>
    </xf>
    <xf numFmtId="0" fontId="7" fillId="14" borderId="3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37" xfId="0" applyFont="1" applyFill="1" applyBorder="1" applyAlignment="1">
      <alignment horizontal="center"/>
    </xf>
    <xf numFmtId="9" fontId="2" fillId="2" borderId="36" xfId="0" applyNumberFormat="1" applyFont="1" applyFill="1" applyBorder="1"/>
    <xf numFmtId="10" fontId="2" fillId="2" borderId="0" xfId="0" applyNumberFormat="1" applyFont="1" applyFill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0" fontId="2" fillId="2" borderId="37" xfId="0" applyNumberFormat="1" applyFont="1" applyFill="1" applyBorder="1" applyAlignment="1">
      <alignment horizontal="center"/>
    </xf>
    <xf numFmtId="166" fontId="1" fillId="0" borderId="0" xfId="0" applyNumberFormat="1" applyFont="1"/>
    <xf numFmtId="9" fontId="18" fillId="2" borderId="36" xfId="0" applyNumberFormat="1" applyFont="1" applyFill="1" applyBorder="1"/>
    <xf numFmtId="9" fontId="18" fillId="2" borderId="0" xfId="0" applyNumberFormat="1" applyFont="1" applyFill="1"/>
    <xf numFmtId="0" fontId="3" fillId="8" borderId="33" xfId="0" applyFont="1" applyFill="1" applyBorder="1"/>
    <xf numFmtId="0" fontId="7" fillId="14" borderId="2" xfId="0" applyFont="1" applyFill="1" applyBorder="1" applyAlignment="1">
      <alignment horizontal="left" vertical="center"/>
    </xf>
    <xf numFmtId="2" fontId="2" fillId="2" borderId="36" xfId="0" applyNumberFormat="1" applyFont="1" applyFill="1" applyBorder="1" applyAlignment="1">
      <alignment horizontal="center" vertical="center"/>
    </xf>
    <xf numFmtId="9" fontId="1" fillId="0" borderId="0" xfId="0" applyNumberFormat="1" applyFont="1"/>
    <xf numFmtId="0" fontId="0" fillId="0" borderId="0" xfId="0" applyAlignment="1">
      <alignment horizontal="center" vertical="center" wrapText="1"/>
    </xf>
    <xf numFmtId="0" fontId="43" fillId="2" borderId="0" xfId="0" applyFont="1" applyFill="1" applyAlignment="1">
      <alignment horizontal="center" vertical="center" wrapText="1"/>
    </xf>
    <xf numFmtId="0" fontId="43" fillId="0" borderId="0" xfId="0" applyFont="1" applyAlignment="1">
      <alignment horizont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2" fillId="0" borderId="0" xfId="0" applyFont="1" applyAlignment="1">
      <alignment horizontal="right"/>
    </xf>
    <xf numFmtId="0" fontId="44" fillId="0" borderId="0" xfId="0" applyFont="1"/>
    <xf numFmtId="0" fontId="45" fillId="0" borderId="0" xfId="0" applyFont="1"/>
    <xf numFmtId="0" fontId="1" fillId="32" borderId="0" xfId="0" applyFont="1" applyFill="1"/>
    <xf numFmtId="0" fontId="2" fillId="32" borderId="0" xfId="0" applyFont="1" applyFill="1" applyAlignment="1">
      <alignment horizontal="center" vertical="center"/>
    </xf>
    <xf numFmtId="167" fontId="2" fillId="33" borderId="0" xfId="0" applyNumberFormat="1" applyFont="1" applyFill="1" applyAlignment="1">
      <alignment horizontal="center"/>
    </xf>
    <xf numFmtId="0" fontId="18" fillId="34" borderId="0" xfId="0" applyFont="1" applyFill="1" applyAlignment="1">
      <alignment horizontal="center" vertical="center"/>
    </xf>
    <xf numFmtId="0" fontId="0" fillId="32" borderId="0" xfId="0" applyFill="1"/>
    <xf numFmtId="0" fontId="18" fillId="32" borderId="0" xfId="0" applyFont="1" applyFill="1" applyAlignment="1">
      <alignment horizontal="center"/>
    </xf>
    <xf numFmtId="0" fontId="16" fillId="32" borderId="0" xfId="0" applyFont="1" applyFill="1" applyAlignment="1">
      <alignment horizontal="center"/>
    </xf>
    <xf numFmtId="0" fontId="8" fillId="35" borderId="46" xfId="5" applyFont="1" applyBorder="1" applyAlignment="1">
      <alignment horizontal="center" wrapText="1"/>
    </xf>
    <xf numFmtId="0" fontId="8" fillId="35" borderId="17" xfId="5" applyFont="1" applyBorder="1" applyAlignment="1">
      <alignment horizontal="left" wrapText="1"/>
    </xf>
    <xf numFmtId="0" fontId="47" fillId="5" borderId="4" xfId="6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0" fontId="3" fillId="2" borderId="39" xfId="0" applyFont="1" applyFill="1" applyBorder="1" applyAlignment="1">
      <alignment horizontal="center" vertical="center" wrapText="1"/>
    </xf>
    <xf numFmtId="0" fontId="47" fillId="6" borderId="0" xfId="6" applyFont="1" applyFill="1" applyAlignment="1">
      <alignment horizontal="center" vertical="center" wrapText="1"/>
    </xf>
    <xf numFmtId="0" fontId="0" fillId="0" borderId="17" xfId="0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167" fontId="0" fillId="19" borderId="17" xfId="0" applyNumberFormat="1" applyFill="1" applyBorder="1" applyAlignment="1">
      <alignment horizontal="center"/>
    </xf>
    <xf numFmtId="0" fontId="0" fillId="19" borderId="0" xfId="0" applyFill="1"/>
    <xf numFmtId="0" fontId="9" fillId="0" borderId="0" xfId="0" applyFont="1" applyAlignment="1">
      <alignment horizontal="center" vertical="center"/>
    </xf>
    <xf numFmtId="167" fontId="0" fillId="19" borderId="0" xfId="0" applyNumberFormat="1" applyFill="1"/>
    <xf numFmtId="167" fontId="0" fillId="19" borderId="0" xfId="0" applyNumberFormat="1" applyFill="1" applyAlignment="1">
      <alignment horizontal="center"/>
    </xf>
    <xf numFmtId="166" fontId="2" fillId="2" borderId="17" xfId="0" applyNumberFormat="1" applyFont="1" applyFill="1" applyBorder="1" applyAlignment="1">
      <alignment horizontal="center"/>
    </xf>
    <xf numFmtId="9" fontId="0" fillId="0" borderId="17" xfId="3" applyFont="1" applyBorder="1" applyAlignment="1">
      <alignment horizontal="center"/>
    </xf>
    <xf numFmtId="9" fontId="0" fillId="0" borderId="0" xfId="0" applyNumberFormat="1" applyAlignment="1">
      <alignment horizontal="center"/>
    </xf>
    <xf numFmtId="166" fontId="2" fillId="2" borderId="17" xfId="0" applyNumberFormat="1" applyFont="1" applyFill="1" applyBorder="1" applyAlignment="1">
      <alignment horizontal="center" vertical="center"/>
    </xf>
    <xf numFmtId="169" fontId="0" fillId="0" borderId="17" xfId="0" applyNumberFormat="1" applyBorder="1" applyAlignment="1">
      <alignment horizontal="center"/>
    </xf>
    <xf numFmtId="167" fontId="0" fillId="6" borderId="0" xfId="0" applyNumberFormat="1" applyFill="1" applyAlignment="1">
      <alignment horizontal="center"/>
    </xf>
    <xf numFmtId="0" fontId="48" fillId="0" borderId="0" xfId="6" applyFont="1" applyAlignment="1">
      <alignment horizontal="left"/>
    </xf>
    <xf numFmtId="0" fontId="7" fillId="8" borderId="47" xfId="0" applyFont="1" applyFill="1" applyBorder="1" applyAlignment="1">
      <alignment horizontal="center" vertical="center"/>
    </xf>
    <xf numFmtId="0" fontId="7" fillId="27" borderId="0" xfId="0" applyFont="1" applyFill="1" applyAlignment="1">
      <alignment horizontal="right" vertical="center"/>
    </xf>
    <xf numFmtId="168" fontId="2" fillId="6" borderId="0" xfId="0" applyNumberFormat="1" applyFont="1" applyFill="1" applyAlignment="1">
      <alignment horizontal="center" vertical="center"/>
    </xf>
    <xf numFmtId="0" fontId="2" fillId="36" borderId="0" xfId="0" applyFont="1" applyFill="1" applyAlignment="1">
      <alignment horizontal="center" vertical="center"/>
    </xf>
    <xf numFmtId="2" fontId="2" fillId="37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6" xfId="0" applyBorder="1"/>
    <xf numFmtId="0" fontId="0" fillId="0" borderId="48" xfId="0" applyBorder="1"/>
    <xf numFmtId="0" fontId="0" fillId="0" borderId="7" xfId="0" applyBorder="1"/>
    <xf numFmtId="0" fontId="0" fillId="38" borderId="9" xfId="0" applyFill="1" applyBorder="1"/>
    <xf numFmtId="0" fontId="0" fillId="38" borderId="0" xfId="0" applyFill="1"/>
    <xf numFmtId="0" fontId="0" fillId="38" borderId="10" xfId="0" applyFill="1" applyBorder="1"/>
    <xf numFmtId="0" fontId="0" fillId="0" borderId="9" xfId="0" applyBorder="1"/>
    <xf numFmtId="181" fontId="0" fillId="0" borderId="0" xfId="1" applyNumberFormat="1" applyFont="1" applyBorder="1"/>
    <xf numFmtId="181" fontId="0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0" fillId="0" borderId="27" xfId="0" applyBorder="1"/>
    <xf numFmtId="0" fontId="0" fillId="0" borderId="12" xfId="0" applyBorder="1"/>
    <xf numFmtId="9" fontId="22" fillId="5" borderId="0" xfId="3" applyFont="1" applyFill="1" applyAlignment="1"/>
    <xf numFmtId="0" fontId="3" fillId="2" borderId="0" xfId="0" applyFont="1" applyFill="1" applyAlignment="1">
      <alignment horizontal="right" vertical="center"/>
    </xf>
    <xf numFmtId="0" fontId="3" fillId="2" borderId="0" xfId="0" applyFont="1" applyFill="1"/>
    <xf numFmtId="166" fontId="2" fillId="39" borderId="0" xfId="0" applyNumberFormat="1" applyFont="1" applyFill="1"/>
    <xf numFmtId="0" fontId="2" fillId="32" borderId="0" xfId="0" applyFont="1" applyFill="1" applyAlignment="1">
      <alignment horizontal="left"/>
    </xf>
    <xf numFmtId="0" fontId="2" fillId="40" borderId="0" xfId="0" applyFont="1" applyFill="1" applyAlignment="1">
      <alignment horizontal="right" vertical="center"/>
    </xf>
    <xf numFmtId="0" fontId="2" fillId="40" borderId="0" xfId="0" applyFont="1" applyFill="1"/>
    <xf numFmtId="0" fontId="0" fillId="41" borderId="0" xfId="0" applyFill="1"/>
    <xf numFmtId="0" fontId="9" fillId="41" borderId="0" xfId="0" applyFont="1" applyFill="1"/>
    <xf numFmtId="0" fontId="7" fillId="11" borderId="0" xfId="0" applyFont="1" applyFill="1" applyAlignment="1">
      <alignment horizontal="center" vertical="center"/>
    </xf>
    <xf numFmtId="167" fontId="0" fillId="6" borderId="0" xfId="0" applyNumberFormat="1" applyFill="1"/>
    <xf numFmtId="165" fontId="7" fillId="29" borderId="0" xfId="0" applyNumberFormat="1" applyFont="1" applyFill="1" applyAlignment="1">
      <alignment horizontal="left"/>
    </xf>
    <xf numFmtId="165" fontId="8" fillId="42" borderId="0" xfId="0" applyNumberFormat="1" applyFont="1" applyFill="1" applyAlignment="1">
      <alignment horizontal="left" wrapText="1"/>
    </xf>
    <xf numFmtId="9" fontId="0" fillId="6" borderId="0" xfId="0" applyNumberFormat="1" applyFill="1"/>
    <xf numFmtId="165" fontId="0" fillId="6" borderId="0" xfId="0" applyNumberFormat="1" applyFill="1"/>
    <xf numFmtId="165" fontId="5" fillId="2" borderId="0" xfId="0" applyNumberFormat="1" applyFont="1" applyFill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5" fontId="7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5" fontId="5" fillId="0" borderId="0" xfId="0" applyNumberFormat="1" applyFont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48" fillId="0" borderId="0" xfId="6" applyFont="1" applyAlignment="1">
      <alignment horizontal="center"/>
    </xf>
    <xf numFmtId="0" fontId="46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166" fontId="0" fillId="0" borderId="0" xfId="3" applyNumberFormat="1" applyFont="1" applyAlignment="1">
      <alignment horizontal="center" vertical="center"/>
    </xf>
    <xf numFmtId="0" fontId="50" fillId="0" borderId="0" xfId="0" applyFont="1" applyAlignment="1">
      <alignment horizontal="center"/>
    </xf>
    <xf numFmtId="0" fontId="51" fillId="0" borderId="0" xfId="7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9" fontId="22" fillId="5" borderId="0" xfId="0" applyNumberFormat="1" applyFont="1" applyFill="1" applyAlignment="1">
      <alignment horizontal="center"/>
    </xf>
    <xf numFmtId="0" fontId="7" fillId="8" borderId="0" xfId="0" applyFont="1" applyFill="1" applyAlignment="1">
      <alignment horizontal="center" vertical="center"/>
    </xf>
    <xf numFmtId="0" fontId="7" fillId="43" borderId="32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67" fontId="16" fillId="19" borderId="0" xfId="0" applyNumberFormat="1" applyFont="1" applyFill="1" applyAlignment="1">
      <alignment horizontal="center"/>
    </xf>
    <xf numFmtId="169" fontId="16" fillId="0" borderId="17" xfId="0" applyNumberFormat="1" applyFont="1" applyBorder="1" applyAlignment="1">
      <alignment horizontal="center"/>
    </xf>
    <xf numFmtId="167" fontId="16" fillId="0" borderId="0" xfId="0" applyNumberFormat="1" applyFont="1" applyAlignment="1">
      <alignment horizontal="center"/>
    </xf>
    <xf numFmtId="167" fontId="16" fillId="5" borderId="0" xfId="0" applyNumberFormat="1" applyFont="1" applyFill="1" applyAlignment="1">
      <alignment horizontal="center"/>
    </xf>
    <xf numFmtId="167" fontId="16" fillId="0" borderId="17" xfId="0" applyNumberFormat="1" applyFont="1" applyBorder="1" applyAlignment="1">
      <alignment horizontal="center"/>
    </xf>
    <xf numFmtId="9" fontId="0" fillId="0" borderId="0" xfId="0" applyNumberFormat="1" applyAlignment="1">
      <alignment horizontal="center" vertical="center"/>
    </xf>
    <xf numFmtId="2" fontId="0" fillId="6" borderId="0" xfId="0" applyNumberFormat="1" applyFill="1"/>
    <xf numFmtId="1" fontId="53" fillId="6" borderId="2" xfId="0" applyNumberFormat="1" applyFont="1" applyFill="1" applyBorder="1" applyAlignment="1">
      <alignment horizontal="center"/>
    </xf>
    <xf numFmtId="167" fontId="16" fillId="44" borderId="17" xfId="0" applyNumberFormat="1" applyFont="1" applyFill="1" applyBorder="1" applyAlignment="1">
      <alignment horizontal="center"/>
    </xf>
    <xf numFmtId="164" fontId="0" fillId="6" borderId="0" xfId="1" applyFont="1" applyFill="1" applyAlignment="1">
      <alignment vertical="center"/>
    </xf>
    <xf numFmtId="176" fontId="2" fillId="14" borderId="0" xfId="0" applyNumberFormat="1" applyFont="1" applyFill="1"/>
    <xf numFmtId="0" fontId="7" fillId="27" borderId="2" xfId="0" applyFont="1" applyFill="1" applyBorder="1" applyAlignment="1">
      <alignment horizontal="center" vertical="center" wrapText="1"/>
    </xf>
    <xf numFmtId="0" fontId="52" fillId="0" borderId="0" xfId="0" applyFont="1"/>
    <xf numFmtId="0" fontId="1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9" fontId="0" fillId="0" borderId="0" xfId="0" applyNumberFormat="1" applyAlignment="1">
      <alignment horizontal="center"/>
    </xf>
    <xf numFmtId="169" fontId="9" fillId="0" borderId="0" xfId="0" applyNumberFormat="1" applyFont="1"/>
    <xf numFmtId="0" fontId="1" fillId="0" borderId="50" xfId="0" applyFont="1" applyBorder="1" applyAlignment="1">
      <alignment horizontal="center"/>
    </xf>
    <xf numFmtId="0" fontId="0" fillId="0" borderId="50" xfId="0" applyBorder="1"/>
    <xf numFmtId="0" fontId="1" fillId="0" borderId="50" xfId="0" applyFont="1" applyBorder="1"/>
    <xf numFmtId="1" fontId="0" fillId="0" borderId="50" xfId="0" applyNumberFormat="1" applyBorder="1" applyAlignment="1">
      <alignment horizontal="center"/>
    </xf>
    <xf numFmtId="168" fontId="0" fillId="0" borderId="50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55" fillId="0" borderId="0" xfId="0" applyFont="1"/>
    <xf numFmtId="168" fontId="50" fillId="0" borderId="0" xfId="0" applyNumberFormat="1" applyFont="1" applyAlignment="1">
      <alignment horizontal="center"/>
    </xf>
    <xf numFmtId="1" fontId="50" fillId="0" borderId="0" xfId="0" applyNumberFormat="1" applyFont="1" applyAlignment="1">
      <alignment horizontal="center"/>
    </xf>
    <xf numFmtId="182" fontId="50" fillId="0" borderId="0" xfId="4" applyNumberFormat="1" applyFont="1" applyAlignment="1">
      <alignment horizontal="center"/>
    </xf>
    <xf numFmtId="9" fontId="0" fillId="0" borderId="17" xfId="0" applyNumberFormat="1" applyBorder="1"/>
    <xf numFmtId="182" fontId="50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182" fontId="56" fillId="0" borderId="0" xfId="4" applyNumberFormat="1" applyFont="1" applyAlignment="1">
      <alignment horizontal="center"/>
    </xf>
    <xf numFmtId="0" fontId="57" fillId="0" borderId="0" xfId="0" applyFont="1"/>
    <xf numFmtId="0" fontId="50" fillId="0" borderId="0" xfId="0" applyFont="1"/>
    <xf numFmtId="2" fontId="50" fillId="0" borderId="0" xfId="0" applyNumberFormat="1" applyFont="1"/>
    <xf numFmtId="0" fontId="1" fillId="0" borderId="0" xfId="0" applyFont="1" applyAlignment="1">
      <alignment vertical="center"/>
    </xf>
    <xf numFmtId="168" fontId="1" fillId="0" borderId="0" xfId="0" applyNumberFormat="1" applyFont="1"/>
    <xf numFmtId="9" fontId="1" fillId="0" borderId="0" xfId="3" applyFont="1"/>
    <xf numFmtId="43" fontId="1" fillId="0" borderId="0" xfId="4" applyFont="1"/>
    <xf numFmtId="2" fontId="2" fillId="0" borderId="0" xfId="0" applyNumberFormat="1" applyFont="1" applyAlignment="1">
      <alignment horizontal="left"/>
    </xf>
    <xf numFmtId="0" fontId="58" fillId="0" borderId="0" xfId="0" applyFont="1"/>
    <xf numFmtId="43" fontId="0" fillId="0" borderId="0" xfId="4" applyFont="1"/>
    <xf numFmtId="1" fontId="59" fillId="45" borderId="0" xfId="0" applyNumberFormat="1" applyFont="1" applyFill="1"/>
    <xf numFmtId="0" fontId="1" fillId="0" borderId="0" xfId="0" applyFont="1" applyAlignment="1">
      <alignment horizontal="right"/>
    </xf>
    <xf numFmtId="2" fontId="1" fillId="0" borderId="0" xfId="0" applyNumberFormat="1" applyFont="1"/>
    <xf numFmtId="182" fontId="0" fillId="0" borderId="0" xfId="4" applyNumberFormat="1" applyFont="1"/>
    <xf numFmtId="0" fontId="9" fillId="46" borderId="0" xfId="0" applyFont="1" applyFill="1"/>
    <xf numFmtId="178" fontId="0" fillId="46" borderId="0" xfId="0" applyNumberFormat="1" applyFill="1"/>
    <xf numFmtId="183" fontId="1" fillId="0" borderId="0" xfId="0" applyNumberFormat="1" applyFont="1"/>
    <xf numFmtId="167" fontId="0" fillId="32" borderId="0" xfId="0" applyNumberFormat="1" applyFill="1"/>
    <xf numFmtId="2" fontId="0" fillId="46" borderId="0" xfId="0" applyNumberFormat="1" applyFill="1"/>
    <xf numFmtId="169" fontId="0" fillId="46" borderId="0" xfId="0" applyNumberFormat="1" applyFill="1"/>
    <xf numFmtId="178" fontId="0" fillId="0" borderId="17" xfId="0" applyNumberFormat="1" applyBorder="1"/>
    <xf numFmtId="0" fontId="2" fillId="0" borderId="3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6" fillId="24" borderId="0" xfId="0" applyNumberFormat="1" applyFont="1" applyFill="1" applyAlignment="1">
      <alignment horizontal="center" vertical="center"/>
    </xf>
    <xf numFmtId="43" fontId="0" fillId="6" borderId="0" xfId="0" applyNumberFormat="1" applyFill="1"/>
    <xf numFmtId="0" fontId="60" fillId="0" borderId="0" xfId="0" applyFont="1" applyAlignment="1">
      <alignment horizontal="right"/>
    </xf>
    <xf numFmtId="0" fontId="61" fillId="0" borderId="0" xfId="0" applyFont="1"/>
    <xf numFmtId="0" fontId="62" fillId="0" borderId="0" xfId="0" applyFont="1"/>
    <xf numFmtId="0" fontId="63" fillId="0" borderId="0" xfId="0" applyFont="1" applyAlignment="1">
      <alignment horizontal="center"/>
    </xf>
    <xf numFmtId="9" fontId="62" fillId="0" borderId="0" xfId="0" applyNumberFormat="1" applyFont="1"/>
    <xf numFmtId="9" fontId="62" fillId="0" borderId="0" xfId="3" applyFont="1"/>
    <xf numFmtId="168" fontId="63" fillId="0" borderId="0" xfId="0" applyNumberFormat="1" applyFont="1" applyAlignment="1">
      <alignment horizontal="center"/>
    </xf>
    <xf numFmtId="1" fontId="63" fillId="0" borderId="0" xfId="0" applyNumberFormat="1" applyFont="1" applyAlignment="1">
      <alignment horizontal="center"/>
    </xf>
    <xf numFmtId="182" fontId="63" fillId="0" borderId="0" xfId="4" applyNumberFormat="1" applyFont="1" applyAlignment="1">
      <alignment horizontal="center"/>
    </xf>
    <xf numFmtId="9" fontId="62" fillId="0" borderId="17" xfId="0" applyNumberFormat="1" applyFont="1" applyBorder="1"/>
    <xf numFmtId="182" fontId="63" fillId="0" borderId="0" xfId="0" applyNumberFormat="1" applyFont="1" applyAlignment="1">
      <alignment horizontal="center"/>
    </xf>
    <xf numFmtId="0" fontId="64" fillId="0" borderId="0" xfId="0" applyFont="1" applyAlignment="1">
      <alignment horizontal="center"/>
    </xf>
    <xf numFmtId="182" fontId="64" fillId="0" borderId="0" xfId="4" applyNumberFormat="1" applyFont="1" applyAlignment="1">
      <alignment horizontal="center"/>
    </xf>
    <xf numFmtId="0" fontId="0" fillId="47" borderId="0" xfId="0" applyFill="1"/>
    <xf numFmtId="0" fontId="1" fillId="47" borderId="0" xfId="0" applyFont="1" applyFill="1"/>
    <xf numFmtId="168" fontId="0" fillId="19" borderId="0" xfId="0" applyNumberFormat="1" applyFill="1"/>
    <xf numFmtId="168" fontId="0" fillId="5" borderId="0" xfId="0" applyNumberFormat="1" applyFill="1"/>
    <xf numFmtId="10" fontId="0" fillId="0" borderId="0" xfId="0" applyNumberFormat="1"/>
    <xf numFmtId="0" fontId="9" fillId="47" borderId="0" xfId="0" applyFont="1" applyFill="1"/>
    <xf numFmtId="9" fontId="0" fillId="47" borderId="0" xfId="3" applyFont="1" applyFill="1"/>
    <xf numFmtId="0" fontId="65" fillId="0" borderId="0" xfId="0" applyFont="1"/>
    <xf numFmtId="175" fontId="2" fillId="0" borderId="0" xfId="0" applyNumberFormat="1" applyFont="1" applyAlignment="1">
      <alignment horizontal="left"/>
    </xf>
    <xf numFmtId="176" fontId="18" fillId="0" borderId="0" xfId="0" applyNumberFormat="1" applyFont="1"/>
    <xf numFmtId="178" fontId="2" fillId="0" borderId="0" xfId="0" applyNumberFormat="1" applyFont="1"/>
    <xf numFmtId="10" fontId="0" fillId="0" borderId="0" xfId="3" applyNumberFormat="1" applyFont="1" applyAlignment="1">
      <alignment horizontal="center"/>
    </xf>
    <xf numFmtId="10" fontId="0" fillId="0" borderId="17" xfId="3" applyNumberFormat="1" applyFont="1" applyBorder="1" applyAlignment="1">
      <alignment horizontal="center"/>
    </xf>
    <xf numFmtId="164" fontId="2" fillId="2" borderId="19" xfId="1" applyFont="1" applyFill="1" applyBorder="1"/>
    <xf numFmtId="178" fontId="0" fillId="0" borderId="0" xfId="0" applyNumberFormat="1" applyAlignment="1">
      <alignment horizontal="center"/>
    </xf>
    <xf numFmtId="0" fontId="2" fillId="48" borderId="0" xfId="0" applyFont="1" applyFill="1" applyAlignment="1">
      <alignment horizontal="left"/>
    </xf>
    <xf numFmtId="0" fontId="1" fillId="48" borderId="0" xfId="0" applyFont="1" applyFill="1"/>
    <xf numFmtId="0" fontId="2" fillId="49" borderId="0" xfId="0" applyFont="1" applyFill="1" applyAlignment="1">
      <alignment horizontal="left"/>
    </xf>
    <xf numFmtId="0" fontId="0" fillId="25" borderId="0" xfId="0" applyFill="1"/>
    <xf numFmtId="0" fontId="2" fillId="26" borderId="0" xfId="0" applyFont="1" applyFill="1"/>
    <xf numFmtId="0" fontId="2" fillId="25" borderId="0" xfId="0" applyFont="1" applyFill="1" applyAlignment="1">
      <alignment wrapText="1"/>
    </xf>
    <xf numFmtId="0" fontId="2" fillId="26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9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7" fillId="50" borderId="1" xfId="0" applyFont="1" applyFill="1" applyBorder="1" applyAlignment="1">
      <alignment horizontal="left"/>
    </xf>
    <xf numFmtId="0" fontId="7" fillId="50" borderId="2" xfId="0" applyFont="1" applyFill="1" applyBorder="1" applyAlignment="1">
      <alignment horizontal="left"/>
    </xf>
    <xf numFmtId="0" fontId="21" fillId="50" borderId="1" xfId="0" applyFont="1" applyFill="1" applyBorder="1" applyAlignment="1">
      <alignment horizontal="center" wrapText="1"/>
    </xf>
    <xf numFmtId="0" fontId="7" fillId="50" borderId="33" xfId="0" applyFont="1" applyFill="1" applyBorder="1" applyAlignment="1">
      <alignment horizontal="center" vertical="center"/>
    </xf>
    <xf numFmtId="2" fontId="0" fillId="5" borderId="0" xfId="0" applyNumberFormat="1" applyFill="1" applyAlignment="1">
      <alignment horizontal="center"/>
    </xf>
    <xf numFmtId="9" fontId="0" fillId="5" borderId="0" xfId="0" applyNumberFormat="1" applyFill="1" applyAlignment="1">
      <alignment horizontal="center"/>
    </xf>
    <xf numFmtId="0" fontId="25" fillId="3" borderId="2" xfId="0" applyFont="1" applyFill="1" applyBorder="1" applyAlignment="1">
      <alignment horizontal="center"/>
    </xf>
    <xf numFmtId="0" fontId="24" fillId="2" borderId="0" xfId="0" applyFont="1" applyFill="1" applyAlignment="1">
      <alignment horizontal="center"/>
    </xf>
    <xf numFmtId="0" fontId="7" fillId="50" borderId="2" xfId="0" applyFont="1" applyFill="1" applyBorder="1" applyAlignment="1">
      <alignment vertical="center"/>
    </xf>
    <xf numFmtId="0" fontId="7" fillId="50" borderId="2" xfId="0" applyFont="1" applyFill="1" applyBorder="1" applyAlignment="1">
      <alignment horizontal="center" vertical="center"/>
    </xf>
    <xf numFmtId="0" fontId="6" fillId="6" borderId="0" xfId="0" applyFont="1" applyFill="1"/>
    <xf numFmtId="1" fontId="0" fillId="5" borderId="0" xfId="0" applyNumberFormat="1" applyFill="1" applyAlignment="1">
      <alignment horizontal="center"/>
    </xf>
    <xf numFmtId="0" fontId="7" fillId="50" borderId="3" xfId="0" applyFont="1" applyFill="1" applyBorder="1" applyAlignment="1">
      <alignment horizontal="left" vertical="center"/>
    </xf>
    <xf numFmtId="0" fontId="7" fillId="50" borderId="3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2" fontId="2" fillId="0" borderId="35" xfId="0" applyNumberFormat="1" applyFont="1" applyBorder="1" applyAlignment="1">
      <alignment horizontal="center"/>
    </xf>
    <xf numFmtId="2" fontId="2" fillId="0" borderId="37" xfId="0" applyNumberFormat="1" applyFont="1" applyBorder="1" applyAlignment="1">
      <alignment horizontal="center"/>
    </xf>
    <xf numFmtId="2" fontId="2" fillId="0" borderId="40" xfId="0" applyNumberFormat="1" applyFont="1" applyBorder="1" applyAlignment="1">
      <alignment horizontal="center"/>
    </xf>
    <xf numFmtId="0" fontId="0" fillId="0" borderId="23" xfId="0" applyBorder="1"/>
    <xf numFmtId="11" fontId="0" fillId="0" borderId="0" xfId="0" applyNumberForma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33" fillId="28" borderId="3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33" xfId="0" applyFont="1" applyFill="1" applyBorder="1"/>
    <xf numFmtId="0" fontId="2" fillId="0" borderId="0" xfId="0" applyFont="1" applyAlignment="1">
      <alignment horizontal="center"/>
    </xf>
    <xf numFmtId="0" fontId="37" fillId="8" borderId="41" xfId="0" applyFont="1" applyFill="1" applyBorder="1" applyAlignment="1">
      <alignment horizontal="center"/>
    </xf>
    <xf numFmtId="0" fontId="4" fillId="0" borderId="42" xfId="0" applyFont="1" applyBorder="1"/>
    <xf numFmtId="0" fontId="4" fillId="0" borderId="43" xfId="0" applyFont="1" applyBorder="1"/>
    <xf numFmtId="0" fontId="3" fillId="0" borderId="0" xfId="0" applyFont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/>
    </xf>
    <xf numFmtId="0" fontId="37" fillId="8" borderId="41" xfId="0" applyFont="1" applyFill="1" applyBorder="1" applyAlignment="1">
      <alignment horizontal="center" wrapText="1"/>
    </xf>
    <xf numFmtId="0" fontId="33" fillId="20" borderId="32" xfId="0" applyFont="1" applyFill="1" applyBorder="1" applyAlignment="1">
      <alignment horizontal="center"/>
    </xf>
    <xf numFmtId="0" fontId="4" fillId="0" borderId="2" xfId="0" applyFont="1" applyBorder="1"/>
    <xf numFmtId="0" fontId="4" fillId="0" borderId="33" xfId="0" applyFont="1" applyBorder="1"/>
    <xf numFmtId="0" fontId="3" fillId="21" borderId="0" xfId="0" applyFont="1" applyFill="1" applyAlignment="1">
      <alignment horizontal="center"/>
    </xf>
    <xf numFmtId="0" fontId="33" fillId="20" borderId="32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/>
    <xf numFmtId="0" fontId="4" fillId="6" borderId="0" xfId="0" applyFont="1" applyFill="1"/>
    <xf numFmtId="0" fontId="0" fillId="5" borderId="0" xfId="0" applyFill="1" applyAlignment="1">
      <alignment horizontal="center"/>
    </xf>
  </cellXfs>
  <cellStyles count="8">
    <cellStyle name="20% - Énfasis5" xfId="5" builtinId="46"/>
    <cellStyle name="Millares" xfId="1" builtinId="3"/>
    <cellStyle name="Millares 2" xfId="4" xr:uid="{82ACEFD2-EE45-4B30-8577-2B2D257E114B}"/>
    <cellStyle name="Normal" xfId="0" builtinId="0"/>
    <cellStyle name="Normal 10" xfId="7" xr:uid="{DCCE86B3-78DA-465C-B4AD-1A4DE39E50A6}"/>
    <cellStyle name="Normal 4" xfId="6" xr:uid="{93F05F46-BD88-4F73-9A88-0EFEDD54778D}"/>
    <cellStyle name="Normal 5" xfId="2" xr:uid="{372B75FA-803E-4177-9BF5-E7C765199D93}"/>
    <cellStyle name="Porcentaje" xfId="3" builtinId="5"/>
  </cellStyles>
  <dxfs count="45">
    <dxf>
      <font>
        <color rgb="FF9C0006"/>
      </font>
      <fill>
        <patternFill>
          <bgColor rgb="FFFFC7CE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b/>
        <i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137432</xdr:colOff>
      <xdr:row>12</xdr:row>
      <xdr:rowOff>176893</xdr:rowOff>
    </xdr:from>
    <xdr:to>
      <xdr:col>30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FFB691-1115-4817-984C-DB07B37E3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63682" y="3224893"/>
          <a:ext cx="2583812" cy="14022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897110-25F6-4E58-882F-379808573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80852" y="2874373"/>
          <a:ext cx="2667632" cy="13298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4D589C-84CE-4623-8E0E-97DC3BEA4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25532" y="3224893"/>
          <a:ext cx="2583812" cy="14022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171450</xdr:colOff>
      <xdr:row>27</xdr:row>
      <xdr:rowOff>152400</xdr:rowOff>
    </xdr:from>
    <xdr:ext cx="361950" cy="10953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D19ACDC2-FD57-4F6E-9C0B-047836E91D45}"/>
            </a:ext>
          </a:extLst>
        </xdr:cNvPr>
        <xdr:cNvSpPr/>
      </xdr:nvSpPr>
      <xdr:spPr>
        <a:xfrm>
          <a:off x="16409670" y="5516880"/>
          <a:ext cx="361950" cy="109537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58</xdr:row>
      <xdr:rowOff>38100</xdr:rowOff>
    </xdr:from>
    <xdr:ext cx="361950" cy="695325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C76927FF-A166-4107-8CA8-18C0D65FD17B}"/>
            </a:ext>
          </a:extLst>
        </xdr:cNvPr>
        <xdr:cNvSpPr/>
      </xdr:nvSpPr>
      <xdr:spPr>
        <a:xfrm>
          <a:off x="16438245" y="1197102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90</xdr:row>
      <xdr:rowOff>57150</xdr:rowOff>
    </xdr:from>
    <xdr:ext cx="361950" cy="69532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60D37B98-450A-4A76-86C4-33753163FE0F}"/>
            </a:ext>
          </a:extLst>
        </xdr:cNvPr>
        <xdr:cNvSpPr/>
      </xdr:nvSpPr>
      <xdr:spPr>
        <a:xfrm>
          <a:off x="16438245" y="1832991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EBCE-F3D5-4D79-8B30-D27225C223F3}">
  <sheetPr>
    <tabColor theme="5"/>
  </sheetPr>
  <dimension ref="A1:J45"/>
  <sheetViews>
    <sheetView showGridLines="0" topLeftCell="A31" workbookViewId="0">
      <selection activeCell="B36" sqref="B36"/>
    </sheetView>
  </sheetViews>
  <sheetFormatPr baseColWidth="10" defaultColWidth="9.140625" defaultRowHeight="15" x14ac:dyDescent="0.25"/>
  <cols>
    <col min="1" max="1" width="9.140625" style="89"/>
    <col min="2" max="2" width="26.42578125" style="389" customWidth="1"/>
    <col min="3" max="3" width="27.5703125" style="389" customWidth="1"/>
    <col min="4" max="4" width="14" style="538" customWidth="1"/>
    <col min="5" max="5" width="16.7109375" style="89" customWidth="1"/>
    <col min="6" max="6" width="26.28515625" style="89" customWidth="1"/>
    <col min="7" max="7" width="17.42578125" style="389" customWidth="1"/>
    <col min="8" max="8" width="17.42578125" style="89" customWidth="1"/>
    <col min="9" max="9" width="13.28515625" style="89" customWidth="1"/>
    <col min="10" max="10" width="11.7109375" style="89" customWidth="1"/>
  </cols>
  <sheetData>
    <row r="1" spans="1:10" x14ac:dyDescent="0.25">
      <c r="A1" s="89" t="s">
        <v>1117</v>
      </c>
      <c r="B1" s="684" t="s">
        <v>138</v>
      </c>
      <c r="C1" s="684" t="s">
        <v>488</v>
      </c>
      <c r="D1" s="685" t="s">
        <v>538</v>
      </c>
      <c r="E1" s="684" t="s">
        <v>1120</v>
      </c>
      <c r="F1" s="685" t="s">
        <v>1112</v>
      </c>
      <c r="G1" s="684" t="s">
        <v>1113</v>
      </c>
      <c r="H1" s="685" t="s">
        <v>1116</v>
      </c>
      <c r="I1" s="117" t="s">
        <v>1114</v>
      </c>
      <c r="J1" s="117" t="s">
        <v>1115</v>
      </c>
    </row>
    <row r="2" spans="1:10" x14ac:dyDescent="0.25">
      <c r="A2" s="89" t="s">
        <v>1118</v>
      </c>
      <c r="B2" s="389" t="str">
        <f>Exp_Imp!B49</f>
        <v>EXP-GSL</v>
      </c>
      <c r="C2" s="389" t="str">
        <f>Exp_Imp!E46</f>
        <v>COST~2019</v>
      </c>
      <c r="D2" s="538" t="str">
        <f>RIGHT(C2,4)</f>
        <v>2019</v>
      </c>
      <c r="G2" s="389">
        <f>Exp_Imp!E49</f>
        <v>20.996445954041999</v>
      </c>
      <c r="H2" s="89" t="str">
        <f>Exp_Imp!E48</f>
        <v>MUSD19/PJ</v>
      </c>
    </row>
    <row r="3" spans="1:10" x14ac:dyDescent="0.25">
      <c r="A3" s="89" t="s">
        <v>1118</v>
      </c>
      <c r="B3" s="389" t="str">
        <f>B2</f>
        <v>EXP-GSL</v>
      </c>
      <c r="C3" s="389" t="str">
        <f>Exp_Imp!F46</f>
        <v>COST~2020</v>
      </c>
      <c r="D3" s="538" t="str">
        <f t="shared" ref="D3:D17" si="0">RIGHT(C3,4)</f>
        <v>2020</v>
      </c>
      <c r="G3" s="389">
        <f>Exp_Imp!F49</f>
        <v>20.795929580790002</v>
      </c>
      <c r="H3" s="89" t="str">
        <f>H2</f>
        <v>MUSD19/PJ</v>
      </c>
    </row>
    <row r="4" spans="1:10" x14ac:dyDescent="0.25">
      <c r="A4" s="89" t="s">
        <v>1118</v>
      </c>
      <c r="B4" s="389" t="str">
        <f>B3</f>
        <v>EXP-GSL</v>
      </c>
      <c r="C4" s="389" t="str" cm="1">
        <f t="array" ref="C4:C9">TRANSPOSE(Exp_Imp!G46:L46)</f>
        <v>COST~2025</v>
      </c>
      <c r="D4" s="538" t="str">
        <f t="shared" si="0"/>
        <v>2025</v>
      </c>
      <c r="G4" s="389" cm="1">
        <f t="array" ref="G4:G9">TRANSPOSE(Exp_Imp!G49:L49)</f>
        <v>20.716882590807003</v>
      </c>
      <c r="H4" s="89" t="str">
        <f>H3</f>
        <v>MUSD19/PJ</v>
      </c>
    </row>
    <row r="5" spans="1:10" x14ac:dyDescent="0.25">
      <c r="A5" s="89" t="s">
        <v>1118</v>
      </c>
      <c r="B5" s="389" t="str">
        <f t="shared" ref="B5:B9" si="1">B4</f>
        <v>EXP-GSL</v>
      </c>
      <c r="C5" s="389" t="str">
        <v>COST~2030</v>
      </c>
      <c r="D5" s="538" t="str">
        <f t="shared" si="0"/>
        <v>2030</v>
      </c>
      <c r="G5" s="389">
        <v>22.202066334591002</v>
      </c>
      <c r="H5" s="89" t="str">
        <f t="shared" ref="H5:H9" si="2">H4</f>
        <v>MUSD19/PJ</v>
      </c>
    </row>
    <row r="6" spans="1:10" x14ac:dyDescent="0.25">
      <c r="A6" s="89" t="s">
        <v>1118</v>
      </c>
      <c r="B6" s="389" t="str">
        <f t="shared" si="1"/>
        <v>EXP-GSL</v>
      </c>
      <c r="C6" s="389" t="str">
        <v>COST~2035</v>
      </c>
      <c r="D6" s="538" t="str">
        <f t="shared" si="0"/>
        <v>2035</v>
      </c>
      <c r="G6" s="389">
        <v>23.568165402677998</v>
      </c>
      <c r="H6" s="89" t="str">
        <f t="shared" si="2"/>
        <v>MUSD19/PJ</v>
      </c>
    </row>
    <row r="7" spans="1:10" x14ac:dyDescent="0.25">
      <c r="A7" s="89" t="s">
        <v>1118</v>
      </c>
      <c r="B7" s="389" t="str">
        <f t="shared" si="1"/>
        <v>EXP-GSL</v>
      </c>
      <c r="C7" s="389" t="str">
        <v>COST~2040</v>
      </c>
      <c r="D7" s="538" t="str">
        <f t="shared" si="0"/>
        <v>2040</v>
      </c>
      <c r="G7" s="389">
        <v>24.597135442035</v>
      </c>
      <c r="H7" s="89" t="str">
        <f t="shared" si="2"/>
        <v>MUSD19/PJ</v>
      </c>
    </row>
    <row r="8" spans="1:10" x14ac:dyDescent="0.25">
      <c r="A8" s="89" t="s">
        <v>1118</v>
      </c>
      <c r="B8" s="389" t="str">
        <f t="shared" si="1"/>
        <v>EXP-GSL</v>
      </c>
      <c r="C8" s="389" t="str">
        <v>COST~2045</v>
      </c>
      <c r="D8" s="538" t="str">
        <f t="shared" si="0"/>
        <v>2045</v>
      </c>
      <c r="G8" s="389">
        <v>25.886116327734001</v>
      </c>
      <c r="H8" s="89" t="str">
        <f t="shared" si="2"/>
        <v>MUSD19/PJ</v>
      </c>
    </row>
    <row r="9" spans="1:10" x14ac:dyDescent="0.25">
      <c r="A9" s="89" t="s">
        <v>1118</v>
      </c>
      <c r="B9" s="389" t="str">
        <f t="shared" si="1"/>
        <v>EXP-GSL</v>
      </c>
      <c r="C9" s="389" t="str">
        <v>COST~2050</v>
      </c>
      <c r="D9" s="538" t="str">
        <f t="shared" si="0"/>
        <v>2050</v>
      </c>
      <c r="G9" s="389">
        <v>27.153960894333</v>
      </c>
      <c r="H9" s="89" t="str">
        <f t="shared" si="2"/>
        <v>MUSD19/PJ</v>
      </c>
    </row>
    <row r="10" spans="1:10" x14ac:dyDescent="0.25">
      <c r="A10" s="89" t="s">
        <v>1118</v>
      </c>
      <c r="B10" s="389" t="str">
        <f>Exp_Imp!$B$50</f>
        <v>EXP-DSL</v>
      </c>
      <c r="C10" s="389" t="str" cm="1">
        <f t="array" ref="C10:C17">TRANSPOSE(Exp_Imp!E46:L46)</f>
        <v>COST~2019</v>
      </c>
      <c r="D10" s="538" t="str">
        <f t="shared" si="0"/>
        <v>2019</v>
      </c>
      <c r="G10" s="389" cm="1">
        <f t="array" ref="G10:G17">TRANSPOSE(Exp_Imp!E50:L50)</f>
        <v>20.905026160941002</v>
      </c>
    </row>
    <row r="11" spans="1:10" x14ac:dyDescent="0.25">
      <c r="A11" s="89" t="s">
        <v>1118</v>
      </c>
      <c r="B11" s="389" t="str">
        <f>Exp_Imp!$B$50</f>
        <v>EXP-DSL</v>
      </c>
      <c r="C11" s="389" t="str">
        <v>COST~2020</v>
      </c>
      <c r="D11" s="538" t="str">
        <f t="shared" si="0"/>
        <v>2020</v>
      </c>
      <c r="G11" s="389">
        <v>20.219447377232999</v>
      </c>
    </row>
    <row r="12" spans="1:10" x14ac:dyDescent="0.25">
      <c r="A12" s="89" t="s">
        <v>1118</v>
      </c>
      <c r="B12" s="389" t="str">
        <f>Exp_Imp!$B$50</f>
        <v>EXP-DSL</v>
      </c>
      <c r="C12" s="389" t="str">
        <v>COST~2025</v>
      </c>
      <c r="D12" s="538" t="str">
        <f t="shared" si="0"/>
        <v>2025</v>
      </c>
      <c r="G12" s="389">
        <v>20.630671999937999</v>
      </c>
    </row>
    <row r="13" spans="1:10" x14ac:dyDescent="0.25">
      <c r="A13" s="89" t="s">
        <v>1118</v>
      </c>
      <c r="B13" s="389" t="str">
        <f>Exp_Imp!$B$50</f>
        <v>EXP-DSL</v>
      </c>
      <c r="C13" s="389" t="str">
        <v>COST~2030</v>
      </c>
      <c r="D13" s="538" t="str">
        <f t="shared" si="0"/>
        <v>2030</v>
      </c>
      <c r="G13" s="389">
        <v>21.930071290101001</v>
      </c>
    </row>
    <row r="14" spans="1:10" x14ac:dyDescent="0.25">
      <c r="A14" s="89" t="s">
        <v>1118</v>
      </c>
      <c r="B14" s="389" t="str">
        <f>Exp_Imp!$B$50</f>
        <v>EXP-DSL</v>
      </c>
      <c r="C14" s="389" t="str">
        <v>COST~2035</v>
      </c>
      <c r="D14" s="538" t="str">
        <f t="shared" si="0"/>
        <v>2035</v>
      </c>
      <c r="G14" s="389">
        <v>23.082531458571001</v>
      </c>
    </row>
    <row r="15" spans="1:10" x14ac:dyDescent="0.25">
      <c r="A15" s="89" t="s">
        <v>1118</v>
      </c>
      <c r="B15" s="389" t="str">
        <f>Exp_Imp!$B$50</f>
        <v>EXP-DSL</v>
      </c>
      <c r="C15" s="389" t="str">
        <v>COST~2040</v>
      </c>
      <c r="D15" s="538" t="str">
        <f t="shared" si="0"/>
        <v>2040</v>
      </c>
      <c r="G15" s="389">
        <v>23.875429665555</v>
      </c>
    </row>
    <row r="16" spans="1:10" x14ac:dyDescent="0.25">
      <c r="A16" s="89" t="s">
        <v>1118</v>
      </c>
      <c r="B16" s="389" t="str">
        <f>Exp_Imp!$B$50</f>
        <v>EXP-DSL</v>
      </c>
      <c r="C16" s="389" t="str">
        <v>COST~2045</v>
      </c>
      <c r="D16" s="538" t="str">
        <f t="shared" si="0"/>
        <v>2045</v>
      </c>
      <c r="G16" s="389">
        <v>25.090517790116998</v>
      </c>
    </row>
    <row r="17" spans="1:8" x14ac:dyDescent="0.25">
      <c r="A17" s="89" t="s">
        <v>1118</v>
      </c>
      <c r="B17" s="389" t="str">
        <f>Exp_Imp!$B$50</f>
        <v>EXP-DSL</v>
      </c>
      <c r="C17" s="389" t="str">
        <v>COST~2050</v>
      </c>
      <c r="D17" s="538" t="str">
        <f t="shared" si="0"/>
        <v>2050</v>
      </c>
      <c r="G17" s="389">
        <v>25.880965890156002</v>
      </c>
    </row>
    <row r="18" spans="1:8" x14ac:dyDescent="0.25">
      <c r="A18" s="89" t="s">
        <v>490</v>
      </c>
      <c r="B18" s="389" t="str">
        <f>Demand!B5</f>
        <v>FTE-DKER</v>
      </c>
      <c r="C18" s="389" t="str">
        <f>Demand!E4</f>
        <v>EFF</v>
      </c>
      <c r="D18" s="538">
        <v>0</v>
      </c>
      <c r="G18" s="389">
        <f>Demand!E5</f>
        <v>1</v>
      </c>
    </row>
    <row r="19" spans="1:8" x14ac:dyDescent="0.25">
      <c r="A19" s="89" t="s">
        <v>490</v>
      </c>
      <c r="B19" s="389" t="str">
        <f>Demand!B6</f>
        <v>FTE-DLPG</v>
      </c>
      <c r="C19" s="389" t="str">
        <f>C18</f>
        <v>EFF</v>
      </c>
      <c r="D19" s="538">
        <v>0</v>
      </c>
      <c r="G19" s="389">
        <f>Demand!E6</f>
        <v>1</v>
      </c>
    </row>
    <row r="20" spans="1:8" x14ac:dyDescent="0.25">
      <c r="A20" s="89" t="s">
        <v>490</v>
      </c>
      <c r="B20" s="389" t="str">
        <f>Demand!B7</f>
        <v>FTE-DHFO</v>
      </c>
      <c r="C20" s="389" t="str">
        <f t="shared" ref="C20:C31" si="3">C19</f>
        <v>EFF</v>
      </c>
      <c r="D20" s="538">
        <v>0</v>
      </c>
      <c r="G20" s="389">
        <f>Demand!E7</f>
        <v>1</v>
      </c>
    </row>
    <row r="21" spans="1:8" x14ac:dyDescent="0.25">
      <c r="A21" s="89" t="s">
        <v>490</v>
      </c>
      <c r="B21" s="389" t="str">
        <f>Demand!B8</f>
        <v>FTE-DGAS</v>
      </c>
      <c r="C21" s="389" t="str">
        <f t="shared" si="3"/>
        <v>EFF</v>
      </c>
      <c r="D21" s="538">
        <v>0</v>
      </c>
      <c r="G21" s="389">
        <f>Demand!E8</f>
        <v>1</v>
      </c>
    </row>
    <row r="22" spans="1:8" x14ac:dyDescent="0.25">
      <c r="A22" s="89" t="s">
        <v>490</v>
      </c>
      <c r="B22" s="389" t="str">
        <f>Demand!B9</f>
        <v>FTE-DLOIL</v>
      </c>
      <c r="C22" s="389" t="str">
        <f t="shared" si="3"/>
        <v>EFF</v>
      </c>
      <c r="D22" s="538">
        <v>0</v>
      </c>
      <c r="G22" s="389">
        <f>Demand!E9</f>
        <v>1</v>
      </c>
    </row>
    <row r="23" spans="1:8" x14ac:dyDescent="0.25">
      <c r="A23" s="89" t="s">
        <v>490</v>
      </c>
      <c r="B23" s="389" t="str">
        <f>Demand!B10</f>
        <v>FTE-DAVG</v>
      </c>
      <c r="C23" s="389" t="str">
        <f t="shared" si="3"/>
        <v>EFF</v>
      </c>
      <c r="D23" s="538">
        <v>0</v>
      </c>
      <c r="G23" s="389">
        <f>Demand!E10</f>
        <v>1</v>
      </c>
    </row>
    <row r="24" spans="1:8" x14ac:dyDescent="0.25">
      <c r="A24" s="89" t="s">
        <v>490</v>
      </c>
      <c r="B24" s="389" t="str">
        <f>Demand!B11</f>
        <v>FTE-EKER</v>
      </c>
      <c r="C24" s="389" t="str">
        <f t="shared" si="3"/>
        <v>EFF</v>
      </c>
      <c r="D24" s="538">
        <v>0</v>
      </c>
      <c r="G24" s="389">
        <f>Demand!E11</f>
        <v>1</v>
      </c>
    </row>
    <row r="25" spans="1:8" x14ac:dyDescent="0.25">
      <c r="A25" s="89" t="s">
        <v>490</v>
      </c>
      <c r="B25" s="389" t="str">
        <f>Demand!B12</f>
        <v>FTE-ELPG</v>
      </c>
      <c r="C25" s="389" t="str">
        <f t="shared" si="3"/>
        <v>EFF</v>
      </c>
      <c r="D25" s="538">
        <v>0</v>
      </c>
      <c r="G25" s="389">
        <f>Demand!E12</f>
        <v>1</v>
      </c>
    </row>
    <row r="26" spans="1:8" x14ac:dyDescent="0.25">
      <c r="A26" s="89" t="s">
        <v>490</v>
      </c>
      <c r="B26" s="389" t="str">
        <f>Demand!B13</f>
        <v>FTE-EHFO</v>
      </c>
      <c r="C26" s="389" t="str">
        <f t="shared" si="3"/>
        <v>EFF</v>
      </c>
      <c r="D26" s="538">
        <v>0</v>
      </c>
      <c r="G26" s="389">
        <f>Demand!E13</f>
        <v>1</v>
      </c>
    </row>
    <row r="27" spans="1:8" x14ac:dyDescent="0.25">
      <c r="A27" s="89" t="s">
        <v>490</v>
      </c>
      <c r="B27" s="389" t="str">
        <f>Demand!B14</f>
        <v>FTE-EGAS</v>
      </c>
      <c r="C27" s="389" t="str">
        <f t="shared" si="3"/>
        <v>EFF</v>
      </c>
      <c r="D27" s="538">
        <v>0</v>
      </c>
      <c r="G27" s="389">
        <f>Demand!E14</f>
        <v>1</v>
      </c>
    </row>
    <row r="28" spans="1:8" x14ac:dyDescent="0.25">
      <c r="A28" s="89" t="s">
        <v>490</v>
      </c>
      <c r="B28" s="389" t="str">
        <f>Demand!B15</f>
        <v>FTE-ELOIL</v>
      </c>
      <c r="C28" s="389" t="str">
        <f t="shared" si="3"/>
        <v>EFF</v>
      </c>
      <c r="D28" s="538">
        <v>0</v>
      </c>
      <c r="G28" s="389">
        <f>Demand!E15</f>
        <v>1</v>
      </c>
    </row>
    <row r="29" spans="1:8" x14ac:dyDescent="0.25">
      <c r="A29" s="89" t="s">
        <v>490</v>
      </c>
      <c r="B29" s="389" t="str">
        <f>Demand!B16</f>
        <v>FTE-EMOIL</v>
      </c>
      <c r="C29" s="389" t="str">
        <f t="shared" si="3"/>
        <v>EFF</v>
      </c>
      <c r="D29" s="538">
        <v>0</v>
      </c>
      <c r="G29" s="389">
        <f>Demand!E16</f>
        <v>1</v>
      </c>
    </row>
    <row r="30" spans="1:8" x14ac:dyDescent="0.25">
      <c r="A30" s="89" t="s">
        <v>490</v>
      </c>
      <c r="B30" s="389" t="str">
        <f>Demand!B17</f>
        <v>FTE-EHOIL</v>
      </c>
      <c r="C30" s="389" t="str">
        <f t="shared" si="3"/>
        <v>EFF</v>
      </c>
      <c r="D30" s="538">
        <v>0</v>
      </c>
      <c r="G30" s="389">
        <f>Demand!E17</f>
        <v>1</v>
      </c>
    </row>
    <row r="31" spans="1:8" x14ac:dyDescent="0.25">
      <c r="A31" s="89" t="s">
        <v>490</v>
      </c>
      <c r="B31" s="389" t="str">
        <f>Demand!B18</f>
        <v>FTE-EAVG</v>
      </c>
      <c r="C31" s="389" t="str">
        <f t="shared" si="3"/>
        <v>EFF</v>
      </c>
      <c r="D31" s="538">
        <v>0</v>
      </c>
      <c r="G31" s="389">
        <f>Demand!E18</f>
        <v>1</v>
      </c>
    </row>
    <row r="32" spans="1:8" x14ac:dyDescent="0.25">
      <c r="A32" s="89" t="s">
        <v>490</v>
      </c>
      <c r="B32" s="389" t="str">
        <f>Demand!G5</f>
        <v>FTE-DKER</v>
      </c>
      <c r="C32" s="389" t="str">
        <f>Demand!I4</f>
        <v>ENV_ACT</v>
      </c>
      <c r="D32" s="538">
        <v>0</v>
      </c>
      <c r="G32" s="690">
        <f>Demand!I5</f>
        <v>87.735056011523966</v>
      </c>
      <c r="H32" s="89" t="s">
        <v>1119</v>
      </c>
    </row>
    <row r="33" spans="1:8" x14ac:dyDescent="0.25">
      <c r="A33" s="89" t="s">
        <v>1121</v>
      </c>
      <c r="B33" s="389" t="str">
        <f>R_Car!J131</f>
        <v>MIX-OIL-REF1</v>
      </c>
      <c r="C33" s="389" t="str">
        <f>R_Car!N130</f>
        <v>EFF</v>
      </c>
      <c r="D33" s="538">
        <v>0</v>
      </c>
      <c r="G33" s="691">
        <f>R_Car!N131</f>
        <v>1</v>
      </c>
      <c r="H33" s="89" t="s">
        <v>650</v>
      </c>
    </row>
    <row r="34" spans="1:8" x14ac:dyDescent="0.25">
      <c r="A34" s="89" t="s">
        <v>1121</v>
      </c>
      <c r="B34" s="389" t="str">
        <f>R_Car!J131</f>
        <v>MIX-OIL-REF1</v>
      </c>
      <c r="C34" s="389" t="str">
        <f>R_Car!M130</f>
        <v>Share-I~FX</v>
      </c>
      <c r="D34" s="538">
        <v>0</v>
      </c>
      <c r="E34" s="89" t="str">
        <f>R_Car!K131</f>
        <v>LOIL</v>
      </c>
      <c r="G34" s="691">
        <f>R_Car!M131</f>
        <v>0.15</v>
      </c>
    </row>
    <row r="35" spans="1:8" x14ac:dyDescent="0.25">
      <c r="A35" s="89" t="s">
        <v>1121</v>
      </c>
      <c r="B35" s="389" t="str">
        <f>B34</f>
        <v>MIX-OIL-REF1</v>
      </c>
      <c r="C35" s="389" t="str">
        <f>C34</f>
        <v>Share-I~FX</v>
      </c>
      <c r="D35" s="538">
        <v>0</v>
      </c>
      <c r="E35" s="89" t="str">
        <f>R_Car!K132</f>
        <v>HOIL</v>
      </c>
      <c r="G35" s="691">
        <f>R_Car!M132</f>
        <v>0.6</v>
      </c>
    </row>
    <row r="36" spans="1:8" x14ac:dyDescent="0.25">
      <c r="A36" s="89" t="s">
        <v>490</v>
      </c>
      <c r="C36" s="389" t="str">
        <f>Demand!H45</f>
        <v>Demand</v>
      </c>
      <c r="D36" s="538" cm="1">
        <f t="array" ref="D36:D43">TRANSPOSE(Demand!K44:R44)</f>
        <v>2019</v>
      </c>
      <c r="E36" s="89" t="str">
        <f>Demand!I45</f>
        <v>DAGR</v>
      </c>
      <c r="G36" s="389" cm="1">
        <f t="array" ref="G36:G43">TRANSPOSE(Demand!K45:R45)</f>
        <v>31.6646</v>
      </c>
      <c r="H36" s="89" t="s">
        <v>56</v>
      </c>
    </row>
    <row r="37" spans="1:8" x14ac:dyDescent="0.25">
      <c r="A37" s="89" t="s">
        <v>490</v>
      </c>
      <c r="C37" s="389" t="str">
        <f>C36</f>
        <v>Demand</v>
      </c>
      <c r="D37" s="538">
        <v>2020</v>
      </c>
      <c r="E37" s="89" t="str">
        <f>E36</f>
        <v>DAGR</v>
      </c>
      <c r="G37" s="389">
        <v>27.873699999999999</v>
      </c>
      <c r="H37" s="89" t="s">
        <v>56</v>
      </c>
    </row>
    <row r="38" spans="1:8" x14ac:dyDescent="0.25">
      <c r="A38" s="89" t="s">
        <v>490</v>
      </c>
      <c r="C38" s="389" t="str">
        <f t="shared" ref="C38:C43" si="4">C37</f>
        <v>Demand</v>
      </c>
      <c r="D38" s="538">
        <v>2025</v>
      </c>
      <c r="E38" s="89" t="str">
        <f t="shared" ref="E38:E43" si="5">E37</f>
        <v>DAGR</v>
      </c>
      <c r="G38" s="389">
        <v>34.688200000000002</v>
      </c>
      <c r="H38" s="89" t="s">
        <v>56</v>
      </c>
    </row>
    <row r="39" spans="1:8" x14ac:dyDescent="0.25">
      <c r="A39" s="89" t="s">
        <v>490</v>
      </c>
      <c r="C39" s="389" t="str">
        <f t="shared" si="4"/>
        <v>Demand</v>
      </c>
      <c r="D39" s="538">
        <v>2030</v>
      </c>
      <c r="E39" s="89" t="str">
        <f t="shared" si="5"/>
        <v>DAGR</v>
      </c>
      <c r="G39" s="389">
        <v>41.387799999999999</v>
      </c>
      <c r="H39" s="89" t="s">
        <v>56</v>
      </c>
    </row>
    <row r="40" spans="1:8" x14ac:dyDescent="0.25">
      <c r="A40" s="89" t="s">
        <v>490</v>
      </c>
      <c r="C40" s="389" t="str">
        <f t="shared" si="4"/>
        <v>Demand</v>
      </c>
      <c r="D40" s="538">
        <v>2035</v>
      </c>
      <c r="E40" s="89" t="str">
        <f t="shared" si="5"/>
        <v>DAGR</v>
      </c>
      <c r="G40" s="389">
        <v>48.775300000000001</v>
      </c>
      <c r="H40" s="89" t="s">
        <v>56</v>
      </c>
    </row>
    <row r="41" spans="1:8" x14ac:dyDescent="0.25">
      <c r="A41" s="89" t="s">
        <v>490</v>
      </c>
      <c r="C41" s="389" t="str">
        <f t="shared" si="4"/>
        <v>Demand</v>
      </c>
      <c r="D41" s="538">
        <v>2040</v>
      </c>
      <c r="E41" s="89" t="str">
        <f t="shared" si="5"/>
        <v>DAGR</v>
      </c>
      <c r="G41" s="389">
        <v>57.037600000000005</v>
      </c>
      <c r="H41" s="89" t="s">
        <v>56</v>
      </c>
    </row>
    <row r="42" spans="1:8" x14ac:dyDescent="0.25">
      <c r="A42" s="89" t="s">
        <v>490</v>
      </c>
      <c r="C42" s="389" t="str">
        <f t="shared" si="4"/>
        <v>Demand</v>
      </c>
      <c r="D42" s="538">
        <v>2045</v>
      </c>
      <c r="E42" s="89" t="str">
        <f t="shared" si="5"/>
        <v>DAGR</v>
      </c>
      <c r="G42" s="389">
        <v>66.4298</v>
      </c>
      <c r="H42" s="89" t="s">
        <v>56</v>
      </c>
    </row>
    <row r="43" spans="1:8" x14ac:dyDescent="0.25">
      <c r="A43" s="89" t="s">
        <v>490</v>
      </c>
      <c r="C43" s="389" t="str">
        <f t="shared" si="4"/>
        <v>Demand</v>
      </c>
      <c r="D43" s="538">
        <v>2050</v>
      </c>
      <c r="E43" s="89" t="str">
        <f t="shared" si="5"/>
        <v>DAGR</v>
      </c>
      <c r="G43" s="389">
        <v>76.873699999999999</v>
      </c>
      <c r="H43" s="89" t="s">
        <v>56</v>
      </c>
    </row>
    <row r="44" spans="1:8" x14ac:dyDescent="0.25">
      <c r="B44" s="389" t="str">
        <f>R_Bar!H186</f>
        <v>REF2</v>
      </c>
      <c r="C44" s="389" t="str">
        <f>R_Bar!I186</f>
        <v>ACT_BND</v>
      </c>
      <c r="D44" s="538">
        <f>R_Car!L177</f>
        <v>2019</v>
      </c>
      <c r="G44" s="697">
        <f>R_Bar!K186</f>
        <v>435.55913479422435</v>
      </c>
    </row>
    <row r="45" spans="1:8" x14ac:dyDescent="0.25">
      <c r="B45" s="389" t="str">
        <f>B44</f>
        <v>REF2</v>
      </c>
      <c r="C45" s="389" t="str">
        <f>C44</f>
        <v>ACT_BND</v>
      </c>
      <c r="D45" s="538">
        <f>R_Bar!J187</f>
        <v>2020</v>
      </c>
      <c r="G45" s="697">
        <f>R_Bar!K187</f>
        <v>449.54497857202057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4"/>
  <sheetViews>
    <sheetView topLeftCell="A14" zoomScale="50" zoomScaleNormal="50" workbookViewId="0">
      <selection activeCell="AL48" sqref="AL48"/>
    </sheetView>
  </sheetViews>
  <sheetFormatPr baseColWidth="10" defaultColWidth="8.85546875" defaultRowHeight="15" x14ac:dyDescent="0.25"/>
  <cols>
    <col min="1" max="1" width="9.140625" customWidth="1"/>
    <col min="2" max="2" width="14.85546875" customWidth="1"/>
    <col min="3" max="3" width="9.140625" customWidth="1"/>
    <col min="4" max="4" width="21.5703125" customWidth="1"/>
    <col min="5" max="5" width="52.85546875" customWidth="1"/>
    <col min="6" max="6" width="9.140625" customWidth="1"/>
    <col min="7" max="7" width="14.5703125" customWidth="1"/>
    <col min="8" max="11" width="9.140625" customWidth="1"/>
    <col min="12" max="12" width="12.7109375" customWidth="1"/>
    <col min="13" max="13" width="14.85546875" customWidth="1"/>
    <col min="14" max="14" width="9.140625" customWidth="1"/>
    <col min="15" max="15" width="14" customWidth="1"/>
    <col min="16" max="16" width="41.5703125" customWidth="1"/>
    <col min="17" max="17" width="9.140625" customWidth="1"/>
    <col min="18" max="18" width="14.5703125" customWidth="1"/>
    <col min="19" max="23" width="9.140625" customWidth="1"/>
    <col min="24" max="24" width="14.85546875" customWidth="1"/>
    <col min="25" max="25" width="9.140625" customWidth="1"/>
    <col min="26" max="26" width="14" customWidth="1"/>
    <col min="27" max="27" width="41.5703125" customWidth="1"/>
    <col min="28" max="28" width="9.140625" customWidth="1"/>
    <col min="29" max="29" width="14.5703125" customWidth="1"/>
    <col min="30" max="34" width="9.140625" customWidth="1"/>
    <col min="35" max="35" width="14.85546875" customWidth="1"/>
    <col min="36" max="36" width="9.140625" customWidth="1"/>
    <col min="37" max="37" width="20.7109375" customWidth="1"/>
    <col min="38" max="38" width="41.5703125" customWidth="1"/>
    <col min="39" max="39" width="9.140625" customWidth="1"/>
    <col min="40" max="40" width="14.5703125" customWidth="1"/>
    <col min="41" max="44" width="9.140625" customWidth="1"/>
    <col min="45" max="45" width="9.140625" style="679" customWidth="1"/>
    <col min="46" max="46" width="9.140625" style="108" customWidth="1"/>
    <col min="47" max="58" width="9.140625" customWidth="1"/>
  </cols>
  <sheetData>
    <row r="1" spans="1:58" hidden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680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idden="1" x14ac:dyDescent="0.25">
      <c r="A2" s="1"/>
      <c r="B2" s="2" t="s">
        <v>0</v>
      </c>
      <c r="C2" s="1"/>
      <c r="D2" s="1" t="s">
        <v>1</v>
      </c>
      <c r="E2" s="1"/>
      <c r="F2" s="1" t="s">
        <v>2</v>
      </c>
      <c r="G2" s="1"/>
      <c r="H2" s="1"/>
      <c r="I2" s="1" t="s">
        <v>3</v>
      </c>
      <c r="J2" s="1"/>
      <c r="K2" s="1" t="s">
        <v>4</v>
      </c>
      <c r="L2" s="1"/>
      <c r="M2" s="1" t="s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680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idden="1" x14ac:dyDescent="0.25">
      <c r="A3" s="1"/>
      <c r="B3" s="2" t="s">
        <v>6</v>
      </c>
      <c r="C3" s="1"/>
      <c r="D3" s="1" t="s">
        <v>7</v>
      </c>
      <c r="E3" s="1"/>
      <c r="F3" s="1" t="s">
        <v>8</v>
      </c>
      <c r="G3" s="1"/>
      <c r="H3" s="1"/>
      <c r="I3" s="1" t="s">
        <v>9</v>
      </c>
      <c r="J3" s="1"/>
      <c r="K3" s="1" t="s">
        <v>10</v>
      </c>
      <c r="L3" s="1"/>
      <c r="M3" s="1" t="s">
        <v>11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680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idden="1" x14ac:dyDescent="0.25">
      <c r="A4" s="3"/>
      <c r="B4" s="4" t="s">
        <v>12</v>
      </c>
      <c r="C4" s="3"/>
      <c r="D4" s="3" t="s">
        <v>13</v>
      </c>
      <c r="E4" s="3"/>
      <c r="F4" s="3" t="s">
        <v>14</v>
      </c>
      <c r="G4" s="3"/>
      <c r="H4" s="3"/>
      <c r="I4" s="3"/>
      <c r="J4" s="3"/>
      <c r="K4" s="3"/>
      <c r="L4" s="3"/>
      <c r="M4" s="3" t="s">
        <v>15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681"/>
      <c r="AT4" s="683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spans="1:58" hidden="1" x14ac:dyDescent="0.25">
      <c r="A5" s="1"/>
      <c r="B5" s="2" t="s">
        <v>16</v>
      </c>
      <c r="C5" s="1"/>
      <c r="D5" s="1" t="s">
        <v>17</v>
      </c>
      <c r="E5" s="1"/>
      <c r="F5" s="1" t="s">
        <v>18</v>
      </c>
      <c r="G5" s="1"/>
      <c r="H5" s="1"/>
      <c r="I5" s="1"/>
      <c r="J5" s="1"/>
      <c r="K5" s="1"/>
      <c r="L5" s="1"/>
      <c r="M5" s="1" t="s">
        <v>19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680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idden="1" x14ac:dyDescent="0.25">
      <c r="A6" s="1"/>
      <c r="B6" s="2" t="s">
        <v>20</v>
      </c>
      <c r="C6" s="1"/>
      <c r="D6" s="1" t="s">
        <v>21</v>
      </c>
      <c r="E6" s="1"/>
      <c r="F6" s="1" t="s">
        <v>22</v>
      </c>
      <c r="G6" s="1"/>
      <c r="H6" s="1"/>
      <c r="I6" s="1"/>
      <c r="J6" s="1"/>
      <c r="K6" s="1"/>
      <c r="L6" s="1"/>
      <c r="M6" s="1" t="s">
        <v>23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680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idden="1" x14ac:dyDescent="0.25">
      <c r="A7" s="1"/>
      <c r="B7" s="2" t="s">
        <v>24</v>
      </c>
      <c r="C7" s="1"/>
      <c r="D7" s="1" t="s">
        <v>25</v>
      </c>
      <c r="E7" s="1"/>
      <c r="F7" s="1" t="s">
        <v>26</v>
      </c>
      <c r="G7" s="1"/>
      <c r="H7" s="1"/>
      <c r="I7" s="1"/>
      <c r="J7" s="1"/>
      <c r="K7" s="1"/>
      <c r="L7" s="1"/>
      <c r="M7" s="1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680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idden="1" x14ac:dyDescent="0.25">
      <c r="A8" s="1"/>
      <c r="B8" s="2" t="s">
        <v>28</v>
      </c>
      <c r="C8" s="1"/>
      <c r="D8" s="1" t="s">
        <v>29</v>
      </c>
      <c r="E8" s="1"/>
      <c r="F8" s="1" t="s">
        <v>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680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idden="1" x14ac:dyDescent="0.25">
      <c r="A9" s="1"/>
      <c r="B9" s="2" t="s">
        <v>31</v>
      </c>
      <c r="C9" s="1"/>
      <c r="D9" s="1"/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680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idden="1" x14ac:dyDescent="0.25">
      <c r="A10" s="1"/>
      <c r="B10" s="2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680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idden="1" x14ac:dyDescent="0.25">
      <c r="A11" s="1"/>
      <c r="B11" s="2" t="s">
        <v>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680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hidden="1" x14ac:dyDescent="0.25">
      <c r="A12" s="1"/>
      <c r="B12" s="2" t="s">
        <v>35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680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hidden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680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711" t="s">
        <v>1335</v>
      </c>
      <c r="Y14" s="712"/>
      <c r="Z14" s="712"/>
      <c r="AA14" s="712"/>
      <c r="AB14" s="712"/>
      <c r="AC14" s="712"/>
      <c r="AD14" s="712"/>
      <c r="AE14" s="712"/>
      <c r="AF14" s="712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680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ht="36" customHeight="1" x14ac:dyDescent="0.25">
      <c r="A15" s="1"/>
      <c r="B15" s="711" t="s">
        <v>1260</v>
      </c>
      <c r="C15" s="712"/>
      <c r="D15" s="712"/>
      <c r="E15" s="712"/>
      <c r="F15" s="712"/>
      <c r="G15" s="712"/>
      <c r="H15" s="712"/>
      <c r="I15" s="712"/>
      <c r="J15" s="712"/>
      <c r="K15" s="1"/>
      <c r="L15" s="1"/>
      <c r="M15" s="711" t="s">
        <v>1334</v>
      </c>
      <c r="N15" s="712"/>
      <c r="O15" s="712"/>
      <c r="P15" s="712"/>
      <c r="Q15" s="712"/>
      <c r="R15" s="712"/>
      <c r="S15" s="712"/>
      <c r="T15" s="712"/>
      <c r="U15" s="71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711" t="s">
        <v>1366</v>
      </c>
      <c r="AJ15" s="712"/>
      <c r="AK15" s="712"/>
      <c r="AL15" s="712"/>
      <c r="AM15" s="712"/>
      <c r="AN15" s="712"/>
      <c r="AO15" s="712"/>
      <c r="AP15" s="712"/>
      <c r="AQ15" s="712"/>
      <c r="AR15" s="1"/>
      <c r="AS15" s="680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680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5">
      <c r="A17" s="1"/>
      <c r="B17" s="6" t="s">
        <v>37</v>
      </c>
      <c r="C17" s="6"/>
      <c r="D17" s="7"/>
      <c r="E17" s="7"/>
      <c r="F17" s="7"/>
      <c r="G17" s="7"/>
      <c r="H17" s="7"/>
      <c r="I17" s="7"/>
      <c r="J17" s="7"/>
      <c r="K17" s="1"/>
      <c r="L17" s="1"/>
      <c r="M17" s="6" t="s">
        <v>37</v>
      </c>
      <c r="N17" s="6"/>
      <c r="O17" s="7"/>
      <c r="P17" s="7"/>
      <c r="Q17" s="7"/>
      <c r="R17" s="7"/>
      <c r="S17" s="7"/>
      <c r="T17" s="7"/>
      <c r="U17" s="7"/>
      <c r="V17" s="1"/>
      <c r="W17" s="1"/>
      <c r="X17" s="6" t="s">
        <v>37</v>
      </c>
      <c r="Y17" s="6"/>
      <c r="Z17" s="7"/>
      <c r="AA17" s="7"/>
      <c r="AB17" s="7"/>
      <c r="AC17" s="7"/>
      <c r="AD17" s="7"/>
      <c r="AE17" s="7"/>
      <c r="AF17" s="7"/>
      <c r="AG17" s="1"/>
      <c r="AH17" s="1"/>
      <c r="AI17" s="6" t="s">
        <v>37</v>
      </c>
      <c r="AJ17" s="6"/>
      <c r="AK17" s="7"/>
      <c r="AL17" s="7"/>
      <c r="AM17" s="7"/>
      <c r="AN17" s="7"/>
      <c r="AO17" s="7"/>
      <c r="AP17" s="7"/>
      <c r="AQ17" s="7"/>
      <c r="AR17" s="1"/>
      <c r="AS17" s="680"/>
      <c r="AT17" s="1"/>
      <c r="AU17" s="172"/>
      <c r="AV17" s="172"/>
      <c r="AW17" s="173"/>
      <c r="AX17" s="173"/>
      <c r="AY17" s="1"/>
      <c r="AZ17" s="1"/>
      <c r="BA17" s="1"/>
      <c r="BB17" s="1"/>
      <c r="BC17" s="1"/>
      <c r="BD17" s="1"/>
      <c r="BE17" s="1"/>
      <c r="BF17" s="1"/>
    </row>
    <row r="18" spans="1:58" x14ac:dyDescent="0.25">
      <c r="A18" s="1"/>
      <c r="B18" s="8" t="s">
        <v>38</v>
      </c>
      <c r="C18" s="9" t="s">
        <v>39</v>
      </c>
      <c r="D18" s="8" t="s">
        <v>40</v>
      </c>
      <c r="E18" s="8" t="s">
        <v>41</v>
      </c>
      <c r="F18" s="8" t="s">
        <v>42</v>
      </c>
      <c r="G18" s="8" t="s">
        <v>43</v>
      </c>
      <c r="H18" s="8" t="s">
        <v>44</v>
      </c>
      <c r="I18" s="8" t="s">
        <v>45</v>
      </c>
      <c r="J18" s="8" t="s">
        <v>46</v>
      </c>
      <c r="K18" s="1"/>
      <c r="L18" s="1"/>
      <c r="M18" s="8" t="s">
        <v>38</v>
      </c>
      <c r="N18" s="9" t="s">
        <v>39</v>
      </c>
      <c r="O18" s="8" t="s">
        <v>40</v>
      </c>
      <c r="P18" s="8" t="s">
        <v>41</v>
      </c>
      <c r="Q18" s="8" t="s">
        <v>42</v>
      </c>
      <c r="R18" s="8" t="s">
        <v>43</v>
      </c>
      <c r="S18" s="8" t="s">
        <v>44</v>
      </c>
      <c r="T18" s="8" t="s">
        <v>45</v>
      </c>
      <c r="U18" s="8" t="s">
        <v>46</v>
      </c>
      <c r="V18" s="1"/>
      <c r="W18" s="1"/>
      <c r="X18" s="8" t="s">
        <v>38</v>
      </c>
      <c r="Y18" s="9" t="s">
        <v>39</v>
      </c>
      <c r="Z18" s="8" t="s">
        <v>40</v>
      </c>
      <c r="AA18" s="8" t="s">
        <v>41</v>
      </c>
      <c r="AB18" s="8" t="s">
        <v>42</v>
      </c>
      <c r="AC18" s="8" t="s">
        <v>43</v>
      </c>
      <c r="AD18" s="8" t="s">
        <v>44</v>
      </c>
      <c r="AE18" s="8" t="s">
        <v>45</v>
      </c>
      <c r="AF18" s="8" t="s">
        <v>46</v>
      </c>
      <c r="AG18" s="1"/>
      <c r="AH18" s="1"/>
      <c r="AI18" s="8" t="s">
        <v>38</v>
      </c>
      <c r="AJ18" s="9" t="s">
        <v>39</v>
      </c>
      <c r="AK18" s="8" t="s">
        <v>40</v>
      </c>
      <c r="AL18" s="8" t="s">
        <v>41</v>
      </c>
      <c r="AM18" s="8" t="s">
        <v>42</v>
      </c>
      <c r="AN18" s="8" t="s">
        <v>43</v>
      </c>
      <c r="AO18" s="8" t="s">
        <v>44</v>
      </c>
      <c r="AP18" s="8" t="s">
        <v>45</v>
      </c>
      <c r="AQ18" s="8" t="s">
        <v>46</v>
      </c>
      <c r="AR18" s="1"/>
      <c r="AS18" s="680"/>
      <c r="AT18" s="1"/>
      <c r="AU18" s="165" t="s">
        <v>38</v>
      </c>
      <c r="AV18" s="166" t="s">
        <v>39</v>
      </c>
      <c r="AW18" s="166" t="s">
        <v>40</v>
      </c>
      <c r="AX18" s="166" t="s">
        <v>41</v>
      </c>
      <c r="AY18" s="1"/>
      <c r="AZ18" s="1"/>
      <c r="BA18" s="1"/>
      <c r="BB18" s="1"/>
      <c r="BC18" s="1"/>
      <c r="BD18" s="1"/>
      <c r="BE18" s="1"/>
      <c r="BF18" s="1"/>
    </row>
    <row r="19" spans="1:58" ht="24" thickBot="1" x14ac:dyDescent="0.3">
      <c r="A19" s="3"/>
      <c r="B19" s="10" t="s">
        <v>47</v>
      </c>
      <c r="C19" s="10" t="s">
        <v>48</v>
      </c>
      <c r="D19" s="10" t="s">
        <v>49</v>
      </c>
      <c r="E19" s="10" t="s">
        <v>50</v>
      </c>
      <c r="F19" s="10" t="s">
        <v>42</v>
      </c>
      <c r="G19" s="10" t="s">
        <v>51</v>
      </c>
      <c r="H19" s="10" t="s">
        <v>52</v>
      </c>
      <c r="I19" s="10" t="s">
        <v>53</v>
      </c>
      <c r="J19" s="10" t="s">
        <v>54</v>
      </c>
      <c r="K19" s="3"/>
      <c r="L19" s="3"/>
      <c r="M19" s="10" t="s">
        <v>47</v>
      </c>
      <c r="N19" s="10" t="s">
        <v>48</v>
      </c>
      <c r="O19" s="10" t="s">
        <v>49</v>
      </c>
      <c r="P19" s="10" t="s">
        <v>50</v>
      </c>
      <c r="Q19" s="10" t="s">
        <v>42</v>
      </c>
      <c r="R19" s="10" t="s">
        <v>51</v>
      </c>
      <c r="S19" s="10" t="s">
        <v>52</v>
      </c>
      <c r="T19" s="10" t="s">
        <v>53</v>
      </c>
      <c r="U19" s="10" t="s">
        <v>54</v>
      </c>
      <c r="V19" s="3"/>
      <c r="W19" s="3"/>
      <c r="X19" s="10" t="s">
        <v>47</v>
      </c>
      <c r="Y19" s="10" t="s">
        <v>48</v>
      </c>
      <c r="Z19" s="10" t="s">
        <v>49</v>
      </c>
      <c r="AA19" s="10" t="s">
        <v>50</v>
      </c>
      <c r="AB19" s="10" t="s">
        <v>42</v>
      </c>
      <c r="AC19" s="10" t="s">
        <v>51</v>
      </c>
      <c r="AD19" s="10" t="s">
        <v>52</v>
      </c>
      <c r="AE19" s="10" t="s">
        <v>53</v>
      </c>
      <c r="AF19" s="10" t="s">
        <v>54</v>
      </c>
      <c r="AG19" s="3"/>
      <c r="AH19" s="3"/>
      <c r="AI19" s="10" t="s">
        <v>47</v>
      </c>
      <c r="AJ19" s="10" t="s">
        <v>48</v>
      </c>
      <c r="AK19" s="10" t="s">
        <v>49</v>
      </c>
      <c r="AL19" s="10" t="s">
        <v>50</v>
      </c>
      <c r="AM19" s="10" t="s">
        <v>42</v>
      </c>
      <c r="AN19" s="10" t="s">
        <v>51</v>
      </c>
      <c r="AO19" s="10" t="s">
        <v>52</v>
      </c>
      <c r="AP19" s="10" t="s">
        <v>53</v>
      </c>
      <c r="AQ19" s="10" t="s">
        <v>54</v>
      </c>
      <c r="AR19" s="3"/>
      <c r="AS19" s="682"/>
      <c r="AT19" s="3"/>
      <c r="AU19" s="174" t="s">
        <v>55</v>
      </c>
      <c r="AV19" s="174"/>
      <c r="AW19" s="1" t="s">
        <v>518</v>
      </c>
      <c r="AX19" s="1" t="s">
        <v>519</v>
      </c>
      <c r="AY19" s="3"/>
      <c r="AZ19" s="3"/>
      <c r="BA19" s="3"/>
      <c r="BB19" s="3"/>
      <c r="BC19" s="3"/>
      <c r="BD19" s="3"/>
      <c r="BE19" s="3"/>
      <c r="BF19" s="3"/>
    </row>
    <row r="20" spans="1:58" x14ac:dyDescent="0.25">
      <c r="A20" s="1"/>
      <c r="B20" s="1" t="s">
        <v>55</v>
      </c>
      <c r="C20" s="1"/>
      <c r="D20" s="1" t="s">
        <v>193</v>
      </c>
      <c r="E20" s="1" t="s">
        <v>1261</v>
      </c>
      <c r="F20" s="1" t="s">
        <v>56</v>
      </c>
      <c r="G20" s="1"/>
      <c r="H20" s="1"/>
      <c r="I20" s="1"/>
      <c r="J20" s="1"/>
      <c r="K20" s="1"/>
      <c r="L20" s="1"/>
      <c r="M20" s="1" t="s">
        <v>55</v>
      </c>
      <c r="N20" s="1"/>
      <c r="O20" s="1" t="s">
        <v>8</v>
      </c>
      <c r="P20" s="1" t="s">
        <v>297</v>
      </c>
      <c r="Q20" s="1" t="s">
        <v>56</v>
      </c>
      <c r="R20" s="1"/>
      <c r="S20" s="1"/>
      <c r="T20" s="1"/>
      <c r="U20" s="1"/>
      <c r="V20" s="1"/>
      <c r="W20" s="1"/>
      <c r="X20" s="1" t="s">
        <v>55</v>
      </c>
      <c r="Y20" s="1"/>
      <c r="Z20" s="1" t="s">
        <v>194</v>
      </c>
      <c r="AA20" s="1" t="s">
        <v>1336</v>
      </c>
      <c r="AB20" s="1" t="s">
        <v>56</v>
      </c>
      <c r="AC20" s="1"/>
      <c r="AD20" s="1"/>
      <c r="AE20" s="1"/>
      <c r="AF20" s="1"/>
      <c r="AG20" s="1"/>
      <c r="AH20" s="1"/>
      <c r="AI20" s="1" t="s">
        <v>58</v>
      </c>
      <c r="AJ20" s="1"/>
      <c r="AK20" s="1" t="s">
        <v>195</v>
      </c>
      <c r="AL20" s="1" t="s">
        <v>1367</v>
      </c>
      <c r="AM20" s="1" t="s">
        <v>59</v>
      </c>
      <c r="AN20" s="1"/>
      <c r="AO20" s="1"/>
      <c r="AP20" s="1"/>
      <c r="AQ20" s="1"/>
      <c r="AR20" s="1"/>
      <c r="AS20" s="680"/>
      <c r="AT20" s="1"/>
      <c r="AU20" s="1"/>
      <c r="AV20" s="1"/>
      <c r="AW20" s="12" t="s">
        <v>520</v>
      </c>
      <c r="AX20" s="12" t="s">
        <v>521</v>
      </c>
      <c r="AY20" s="1"/>
      <c r="AZ20" s="1"/>
      <c r="BA20" s="1"/>
      <c r="BB20" s="1"/>
      <c r="BC20" s="1"/>
      <c r="BD20" s="1"/>
      <c r="BE20" s="1"/>
      <c r="BF20" s="1"/>
    </row>
    <row r="21" spans="1:58" x14ac:dyDescent="0.25">
      <c r="A21" s="1"/>
      <c r="B21" s="1"/>
      <c r="C21" s="1"/>
      <c r="D21" s="1" t="s">
        <v>196</v>
      </c>
      <c r="E21" s="1" t="s">
        <v>1266</v>
      </c>
      <c r="F21" s="1" t="s">
        <v>56</v>
      </c>
      <c r="G21" s="1"/>
      <c r="H21" s="1"/>
      <c r="I21" s="1"/>
      <c r="J21" s="1"/>
      <c r="K21" s="1"/>
      <c r="L21" s="1"/>
      <c r="M21" s="1"/>
      <c r="N21" s="1"/>
      <c r="O21" s="1" t="s">
        <v>14</v>
      </c>
      <c r="P21" s="1" t="s">
        <v>60</v>
      </c>
      <c r="Q21" s="1" t="s">
        <v>56</v>
      </c>
      <c r="R21" s="1"/>
      <c r="S21" s="1"/>
      <c r="T21" s="1"/>
      <c r="U21" s="1"/>
      <c r="V21" s="1"/>
      <c r="W21" s="1"/>
      <c r="X21" s="1"/>
      <c r="Y21" s="1"/>
      <c r="Z21" s="1" t="s">
        <v>197</v>
      </c>
      <c r="AA21" s="1" t="s">
        <v>1337</v>
      </c>
      <c r="AB21" s="1" t="s">
        <v>56</v>
      </c>
      <c r="AC21" s="1"/>
      <c r="AD21" s="1"/>
      <c r="AE21" s="1"/>
      <c r="AF21" s="1"/>
      <c r="AG21" s="1"/>
      <c r="AH21" s="1"/>
      <c r="AI21" s="1"/>
      <c r="AJ21" s="1"/>
      <c r="AK21" s="1" t="s">
        <v>198</v>
      </c>
      <c r="AL21" s="1" t="s">
        <v>1368</v>
      </c>
      <c r="AM21" s="1" t="s">
        <v>59</v>
      </c>
      <c r="AN21" s="1"/>
      <c r="AO21" s="1"/>
      <c r="AP21" s="1"/>
      <c r="AQ21" s="1"/>
      <c r="AR21" s="1"/>
      <c r="AS21" s="680"/>
      <c r="AT21" s="1"/>
      <c r="AU21" s="1"/>
      <c r="AV21" s="169"/>
      <c r="AW21" s="12" t="s">
        <v>522</v>
      </c>
      <c r="AX21" s="12" t="s">
        <v>523</v>
      </c>
      <c r="AY21" s="1"/>
      <c r="AZ21" s="1"/>
      <c r="BA21" s="1"/>
      <c r="BB21" s="1"/>
      <c r="BC21" s="1"/>
      <c r="BD21" s="1"/>
      <c r="BE21" s="1"/>
      <c r="BF21" s="1"/>
    </row>
    <row r="22" spans="1:58" x14ac:dyDescent="0.25">
      <c r="A22" s="1"/>
      <c r="B22" s="1"/>
      <c r="C22" s="1"/>
      <c r="D22" s="1" t="s">
        <v>199</v>
      </c>
      <c r="E22" s="1" t="s">
        <v>1267</v>
      </c>
      <c r="F22" s="1" t="s">
        <v>56</v>
      </c>
      <c r="G22" s="1"/>
      <c r="H22" s="1"/>
      <c r="I22" s="1"/>
      <c r="J22" s="1"/>
      <c r="K22" s="1"/>
      <c r="L22" s="1"/>
      <c r="M22" s="1"/>
      <c r="N22" s="1"/>
      <c r="O22" s="1" t="s">
        <v>18</v>
      </c>
      <c r="P22" s="1" t="s">
        <v>61</v>
      </c>
      <c r="Q22" s="1" t="s">
        <v>56</v>
      </c>
      <c r="R22" s="1"/>
      <c r="S22" s="1"/>
      <c r="T22" s="1"/>
      <c r="U22" s="1"/>
      <c r="V22" s="1"/>
      <c r="W22" s="1"/>
      <c r="X22" s="1"/>
      <c r="Y22" s="1"/>
      <c r="Z22" s="1" t="s">
        <v>200</v>
      </c>
      <c r="AA22" s="1" t="s">
        <v>1338</v>
      </c>
      <c r="AB22" s="1" t="s">
        <v>56</v>
      </c>
      <c r="AC22" s="1"/>
      <c r="AD22" s="1"/>
      <c r="AE22" s="1"/>
      <c r="AF22" s="1"/>
      <c r="AG22" s="1"/>
      <c r="AH22" s="1"/>
      <c r="AI22" s="1"/>
      <c r="AJ22" s="1"/>
      <c r="AK22" s="1" t="s">
        <v>201</v>
      </c>
      <c r="AL22" s="1" t="s">
        <v>1369</v>
      </c>
      <c r="AM22" s="1" t="s">
        <v>59</v>
      </c>
      <c r="AN22" s="1"/>
      <c r="AO22" s="1"/>
      <c r="AP22" s="1"/>
      <c r="AQ22" s="1"/>
      <c r="AR22" s="1"/>
      <c r="AS22" s="680"/>
      <c r="AT22" s="1"/>
      <c r="AU22" s="1"/>
      <c r="AV22" s="169"/>
      <c r="AW22" s="16" t="s">
        <v>524</v>
      </c>
      <c r="AX22" s="12" t="s">
        <v>525</v>
      </c>
      <c r="AY22" s="1"/>
      <c r="AZ22" s="1"/>
      <c r="BA22" s="1"/>
      <c r="BB22" s="1"/>
      <c r="BC22" s="1"/>
      <c r="BD22" s="1"/>
      <c r="BE22" s="1"/>
      <c r="BF22" s="1"/>
    </row>
    <row r="23" spans="1:58" x14ac:dyDescent="0.25">
      <c r="A23" s="1"/>
      <c r="B23" s="1"/>
      <c r="C23" s="1"/>
      <c r="D23" s="1" t="s">
        <v>202</v>
      </c>
      <c r="E23" s="1" t="s">
        <v>1262</v>
      </c>
      <c r="F23" s="1" t="s">
        <v>56</v>
      </c>
      <c r="G23" s="1"/>
      <c r="H23" s="1"/>
      <c r="I23" s="1"/>
      <c r="J23" s="1"/>
      <c r="K23" s="1"/>
      <c r="L23" s="1"/>
      <c r="M23" s="1"/>
      <c r="N23" s="1"/>
      <c r="O23" s="1" t="s">
        <v>22</v>
      </c>
      <c r="P23" s="1" t="s">
        <v>22</v>
      </c>
      <c r="Q23" s="1" t="s">
        <v>56</v>
      </c>
      <c r="R23" s="1"/>
      <c r="S23" s="1"/>
      <c r="T23" s="1"/>
      <c r="U23" s="1"/>
      <c r="V23" s="1"/>
      <c r="W23" s="1"/>
      <c r="X23" s="1"/>
      <c r="Y23" s="1"/>
      <c r="Z23" s="1" t="s">
        <v>203</v>
      </c>
      <c r="AA23" s="1" t="s">
        <v>1340</v>
      </c>
      <c r="AB23" s="1" t="s">
        <v>56</v>
      </c>
      <c r="AC23" s="1"/>
      <c r="AD23" s="1"/>
      <c r="AE23" s="1"/>
      <c r="AF23" s="1"/>
      <c r="AG23" s="1"/>
      <c r="AH23" s="1"/>
      <c r="AI23" s="1"/>
      <c r="AJ23" s="1"/>
      <c r="AK23" s="1" t="s">
        <v>204</v>
      </c>
      <c r="AL23" s="1" t="s">
        <v>1370</v>
      </c>
      <c r="AM23" s="1" t="s">
        <v>59</v>
      </c>
      <c r="AN23" s="1"/>
      <c r="AO23" s="1"/>
      <c r="AP23" s="1"/>
      <c r="AQ23" s="1"/>
      <c r="AR23" s="1"/>
      <c r="AS23" s="680"/>
      <c r="AT23" s="1"/>
      <c r="AW23" s="676" t="s">
        <v>526</v>
      </c>
      <c r="AX23" s="676" t="s">
        <v>527</v>
      </c>
      <c r="AY23" s="1"/>
      <c r="AZ23" s="1"/>
      <c r="BA23" s="1"/>
      <c r="BB23" s="1"/>
      <c r="BC23" s="1"/>
      <c r="BD23" s="1"/>
      <c r="BE23" s="1"/>
      <c r="BF23" s="1"/>
    </row>
    <row r="24" spans="1:58" x14ac:dyDescent="0.25">
      <c r="A24" s="1"/>
      <c r="B24" s="1"/>
      <c r="C24" s="1"/>
      <c r="D24" s="1" t="s">
        <v>205</v>
      </c>
      <c r="E24" s="1" t="s">
        <v>1263</v>
      </c>
      <c r="F24" s="1" t="s">
        <v>56</v>
      </c>
      <c r="G24" s="1"/>
      <c r="H24" s="1"/>
      <c r="I24" s="1"/>
      <c r="J24" s="1"/>
      <c r="K24" s="1"/>
      <c r="L24" s="1"/>
      <c r="M24" s="1"/>
      <c r="N24" s="1"/>
      <c r="O24" s="1" t="s">
        <v>26</v>
      </c>
      <c r="P24" s="1" t="s">
        <v>836</v>
      </c>
      <c r="Q24" s="1" t="s">
        <v>56</v>
      </c>
      <c r="R24" s="1"/>
      <c r="S24" s="1"/>
      <c r="T24" s="1"/>
      <c r="U24" s="1"/>
      <c r="V24" s="1"/>
      <c r="W24" s="1"/>
      <c r="X24" s="1"/>
      <c r="Y24" s="1"/>
      <c r="Z24" s="1" t="s">
        <v>206</v>
      </c>
      <c r="AA24" s="1" t="s">
        <v>1339</v>
      </c>
      <c r="AB24" s="1" t="s">
        <v>56</v>
      </c>
      <c r="AC24" s="1"/>
      <c r="AD24" s="1"/>
      <c r="AE24" s="1"/>
      <c r="AF24" s="1"/>
      <c r="AG24" s="1"/>
      <c r="AH24" s="1"/>
      <c r="AI24" s="1"/>
      <c r="AJ24" s="1"/>
      <c r="AK24" s="1" t="s">
        <v>207</v>
      </c>
      <c r="AL24" s="1" t="s">
        <v>1371</v>
      </c>
      <c r="AM24" s="1" t="s">
        <v>59</v>
      </c>
      <c r="AN24" s="1"/>
      <c r="AO24" s="1"/>
      <c r="AP24" s="1"/>
      <c r="AQ24" s="1"/>
      <c r="AR24" s="1"/>
      <c r="AS24" s="680"/>
      <c r="AT24" s="1"/>
      <c r="AU24" s="1"/>
      <c r="AV24" s="1"/>
      <c r="AW24" s="16" t="s">
        <v>528</v>
      </c>
      <c r="AX24" s="16" t="s">
        <v>529</v>
      </c>
      <c r="AY24" s="1"/>
      <c r="AZ24" s="1"/>
      <c r="BA24" s="1"/>
      <c r="BB24" s="1"/>
      <c r="BC24" s="1"/>
      <c r="BD24" s="1"/>
      <c r="BE24" s="1"/>
      <c r="BF24" s="1"/>
    </row>
    <row r="25" spans="1:58" x14ac:dyDescent="0.25">
      <c r="A25" s="1"/>
      <c r="B25" s="1"/>
      <c r="C25" s="1"/>
      <c r="D25" s="1" t="s">
        <v>208</v>
      </c>
      <c r="E25" s="1" t="s">
        <v>1264</v>
      </c>
      <c r="F25" s="1" t="s">
        <v>56</v>
      </c>
      <c r="G25" s="1"/>
      <c r="H25" s="1"/>
      <c r="I25" s="1"/>
      <c r="J25" s="1"/>
      <c r="K25" s="1"/>
      <c r="L25" s="1"/>
      <c r="M25" s="1"/>
      <c r="N25" s="1"/>
      <c r="O25" s="1" t="s">
        <v>30</v>
      </c>
      <c r="P25" s="1" t="s">
        <v>308</v>
      </c>
      <c r="Q25" s="1" t="s">
        <v>56</v>
      </c>
      <c r="R25" s="1"/>
      <c r="S25" s="1"/>
      <c r="T25" s="1"/>
      <c r="U25" s="1"/>
      <c r="V25" s="1"/>
      <c r="W25" s="1"/>
      <c r="X25" s="1"/>
      <c r="Y25" s="1"/>
      <c r="Z25" s="1" t="s">
        <v>209</v>
      </c>
      <c r="AA25" s="1" t="s">
        <v>1341</v>
      </c>
      <c r="AB25" s="1" t="s">
        <v>56</v>
      </c>
      <c r="AC25" s="1"/>
      <c r="AD25" s="1"/>
      <c r="AE25" s="1"/>
      <c r="AF25" s="1"/>
      <c r="AG25" s="1"/>
      <c r="AH25" s="1"/>
      <c r="AI25" s="1"/>
      <c r="AJ25" s="1"/>
      <c r="AK25" s="1" t="s">
        <v>210</v>
      </c>
      <c r="AL25" s="1" t="s">
        <v>1372</v>
      </c>
      <c r="AM25" s="1" t="s">
        <v>59</v>
      </c>
      <c r="AN25" s="1"/>
      <c r="AO25" s="1"/>
      <c r="AP25" s="1"/>
      <c r="AQ25" s="1"/>
      <c r="AR25" s="1"/>
      <c r="AS25" s="680"/>
      <c r="AT25" s="1"/>
      <c r="AU25" s="1"/>
      <c r="AV25" s="1"/>
      <c r="AW25" s="16" t="s">
        <v>530</v>
      </c>
      <c r="AX25" s="12" t="s">
        <v>531</v>
      </c>
      <c r="AY25" s="1"/>
      <c r="AZ25" s="1"/>
      <c r="BA25" s="1"/>
      <c r="BB25" s="1"/>
      <c r="BC25" s="1"/>
      <c r="BD25" s="1"/>
      <c r="BE25" s="1"/>
      <c r="BF25" s="1"/>
    </row>
    <row r="26" spans="1:58" x14ac:dyDescent="0.25">
      <c r="A26" s="1"/>
      <c r="B26" s="1"/>
      <c r="C26" s="1"/>
      <c r="D26" s="1" t="s">
        <v>211</v>
      </c>
      <c r="E26" s="1" t="s">
        <v>1265</v>
      </c>
      <c r="F26" s="1" t="s">
        <v>56</v>
      </c>
      <c r="G26" s="1"/>
      <c r="H26" s="1"/>
      <c r="I26" s="1"/>
      <c r="J26" s="1"/>
      <c r="K26" s="1"/>
      <c r="L26" s="1"/>
      <c r="M26" s="1"/>
      <c r="N26" s="1"/>
      <c r="O26" s="1" t="s">
        <v>32</v>
      </c>
      <c r="P26" s="1" t="s">
        <v>62</v>
      </c>
      <c r="Q26" s="1" t="s">
        <v>56</v>
      </c>
      <c r="R26" s="1"/>
      <c r="S26" s="1"/>
      <c r="T26" s="1"/>
      <c r="U26" s="1"/>
      <c r="V26" s="1"/>
      <c r="W26" s="1"/>
      <c r="X26" s="1"/>
      <c r="Y26" s="1"/>
      <c r="Z26" s="1" t="s">
        <v>212</v>
      </c>
      <c r="AA26" s="1" t="s">
        <v>1342</v>
      </c>
      <c r="AB26" s="1" t="s">
        <v>56</v>
      </c>
      <c r="AC26" s="1"/>
      <c r="AD26" s="1"/>
      <c r="AE26" s="1"/>
      <c r="AF26" s="1"/>
      <c r="AG26" s="1"/>
      <c r="AH26" s="1"/>
      <c r="AI26" s="1"/>
      <c r="AJ26" s="1"/>
      <c r="AK26" s="1" t="s">
        <v>213</v>
      </c>
      <c r="AL26" s="1" t="s">
        <v>1373</v>
      </c>
      <c r="AM26" s="1" t="s">
        <v>59</v>
      </c>
      <c r="AN26" s="1"/>
      <c r="AO26" s="1"/>
      <c r="AP26" s="1"/>
      <c r="AQ26" s="1"/>
      <c r="AR26" s="1"/>
      <c r="AS26" s="680"/>
      <c r="AT26" s="1"/>
      <c r="AU26" s="1"/>
      <c r="AV26" s="1"/>
      <c r="AW26" s="1" t="s">
        <v>532</v>
      </c>
      <c r="AX26" s="1" t="s">
        <v>533</v>
      </c>
      <c r="AY26" s="1"/>
      <c r="AZ26" s="1"/>
      <c r="BA26" s="1"/>
      <c r="BB26" s="1"/>
      <c r="BC26" s="1"/>
      <c r="BD26" s="1"/>
      <c r="BE26" s="1"/>
      <c r="BF26" s="1"/>
    </row>
    <row r="27" spans="1:58" x14ac:dyDescent="0.25">
      <c r="A27" s="1"/>
      <c r="B27" s="1"/>
      <c r="C27" s="1"/>
      <c r="D27" s="1" t="s">
        <v>64</v>
      </c>
      <c r="E27" s="1" t="s">
        <v>1268</v>
      </c>
      <c r="F27" s="1" t="s">
        <v>56</v>
      </c>
      <c r="G27" s="1"/>
      <c r="H27" s="1"/>
      <c r="I27" s="1"/>
      <c r="J27" s="1"/>
      <c r="K27" s="1"/>
      <c r="L27" s="1"/>
      <c r="M27" s="1"/>
      <c r="N27" s="1"/>
      <c r="O27" s="1" t="s">
        <v>7</v>
      </c>
      <c r="P27" s="1" t="s">
        <v>1330</v>
      </c>
      <c r="Q27" s="1" t="s">
        <v>56</v>
      </c>
      <c r="R27" s="1"/>
      <c r="S27" s="1"/>
      <c r="T27" s="1"/>
      <c r="U27" s="1"/>
      <c r="V27" s="1"/>
      <c r="W27" s="1"/>
      <c r="X27" s="1"/>
      <c r="Y27" s="1"/>
      <c r="Z27" s="1" t="s">
        <v>214</v>
      </c>
      <c r="AA27" s="1" t="s">
        <v>1343</v>
      </c>
      <c r="AB27" s="1" t="s">
        <v>56</v>
      </c>
      <c r="AC27" s="1"/>
      <c r="AD27" s="1"/>
      <c r="AE27" s="1"/>
      <c r="AF27" s="1"/>
      <c r="AG27" s="1"/>
      <c r="AH27" s="1"/>
      <c r="AI27" s="1"/>
      <c r="AJ27" s="1"/>
      <c r="AK27" s="1" t="s">
        <v>215</v>
      </c>
      <c r="AL27" s="1" t="s">
        <v>216</v>
      </c>
      <c r="AM27" s="1" t="s">
        <v>59</v>
      </c>
      <c r="AN27" s="1"/>
      <c r="AO27" s="1"/>
      <c r="AP27" s="1"/>
      <c r="AQ27" s="1"/>
      <c r="AR27" s="1"/>
      <c r="AS27" s="680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25">
      <c r="A28" s="1"/>
      <c r="B28" s="1"/>
      <c r="C28" s="1"/>
      <c r="D28" s="1" t="s">
        <v>66</v>
      </c>
      <c r="E28" s="1" t="s">
        <v>1269</v>
      </c>
      <c r="F28" s="1" t="s">
        <v>56</v>
      </c>
      <c r="G28" s="1"/>
      <c r="H28" s="1"/>
      <c r="I28" s="1"/>
      <c r="J28" s="1"/>
      <c r="K28" s="1"/>
      <c r="L28" s="1"/>
      <c r="M28" s="1"/>
      <c r="N28" s="1"/>
      <c r="O28" s="1" t="s">
        <v>13</v>
      </c>
      <c r="P28" s="1" t="s">
        <v>1331</v>
      </c>
      <c r="Q28" s="1" t="s">
        <v>56</v>
      </c>
      <c r="R28" s="1"/>
      <c r="S28" s="1"/>
      <c r="T28" s="1"/>
      <c r="U28" s="1"/>
      <c r="V28" s="1"/>
      <c r="W28" s="1"/>
      <c r="X28" s="1"/>
      <c r="Y28" s="1"/>
      <c r="Z28" s="1" t="s">
        <v>217</v>
      </c>
      <c r="AA28" s="1" t="s">
        <v>1344</v>
      </c>
      <c r="AB28" s="1" t="s">
        <v>56</v>
      </c>
      <c r="AC28" s="1"/>
      <c r="AD28" s="1"/>
      <c r="AE28" s="1"/>
      <c r="AF28" s="1"/>
      <c r="AG28" s="1"/>
      <c r="AH28" s="1"/>
      <c r="AI28" s="1"/>
      <c r="AJ28" s="1"/>
      <c r="AK28" s="1" t="s">
        <v>221</v>
      </c>
      <c r="AL28" s="1" t="s">
        <v>1374</v>
      </c>
      <c r="AM28" s="1" t="s">
        <v>59</v>
      </c>
      <c r="AN28" s="1"/>
      <c r="AO28" s="1"/>
      <c r="AP28" s="1"/>
      <c r="AQ28" s="1"/>
      <c r="AR28" s="1"/>
      <c r="AS28" s="680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25">
      <c r="A29" s="1"/>
      <c r="B29" s="1"/>
      <c r="C29" s="1"/>
      <c r="D29" s="1" t="s">
        <v>67</v>
      </c>
      <c r="E29" s="1" t="s">
        <v>1270</v>
      </c>
      <c r="F29" s="1" t="s">
        <v>56</v>
      </c>
      <c r="G29" s="1"/>
      <c r="H29" s="1"/>
      <c r="I29" s="1"/>
      <c r="J29" s="1"/>
      <c r="K29" s="1"/>
      <c r="L29" s="1"/>
      <c r="M29" s="1"/>
      <c r="N29" s="1"/>
      <c r="O29" s="1" t="s">
        <v>17</v>
      </c>
      <c r="P29" s="1" t="s">
        <v>1332</v>
      </c>
      <c r="Q29" s="1" t="s">
        <v>56</v>
      </c>
      <c r="R29" s="1"/>
      <c r="S29" s="1"/>
      <c r="T29" s="1"/>
      <c r="U29" s="1"/>
      <c r="V29" s="1"/>
      <c r="W29" s="1"/>
      <c r="X29" s="1"/>
      <c r="Y29" s="1"/>
      <c r="Z29" s="1" t="s">
        <v>63</v>
      </c>
      <c r="AA29" s="1" t="s">
        <v>1345</v>
      </c>
      <c r="AB29" s="1" t="s">
        <v>56</v>
      </c>
      <c r="AC29" s="1"/>
      <c r="AD29" s="1"/>
      <c r="AE29" s="1"/>
      <c r="AF29" s="1"/>
      <c r="AG29" s="1"/>
      <c r="AH29" s="1"/>
      <c r="AI29" s="1"/>
      <c r="AJ29" s="1"/>
      <c r="AK29" s="1" t="s">
        <v>223</v>
      </c>
      <c r="AL29" s="1" t="s">
        <v>1375</v>
      </c>
      <c r="AM29" s="1" t="s">
        <v>59</v>
      </c>
      <c r="AN29" s="1"/>
      <c r="AO29" s="1"/>
      <c r="AP29" s="1"/>
      <c r="AQ29" s="1"/>
      <c r="AR29" s="1"/>
      <c r="AS29" s="680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25">
      <c r="A30" s="1"/>
      <c r="B30" s="1"/>
      <c r="C30" s="1"/>
      <c r="D30" s="1" t="s">
        <v>68</v>
      </c>
      <c r="E30" s="1" t="s">
        <v>1271</v>
      </c>
      <c r="F30" s="1" t="s">
        <v>56</v>
      </c>
      <c r="G30" s="1"/>
      <c r="H30" s="1"/>
      <c r="I30" s="1"/>
      <c r="J30" s="1"/>
      <c r="K30" s="1"/>
      <c r="L30" s="1"/>
      <c r="M30" s="1"/>
      <c r="N30" s="1"/>
      <c r="O30" s="1" t="s">
        <v>21</v>
      </c>
      <c r="P30" s="1" t="s">
        <v>1333</v>
      </c>
      <c r="Q30" s="1" t="s">
        <v>56</v>
      </c>
      <c r="R30" s="1"/>
      <c r="S30" s="1"/>
      <c r="T30" s="1"/>
      <c r="U30" s="1"/>
      <c r="V30" s="1"/>
      <c r="W30" s="1"/>
      <c r="X30" s="1" t="s">
        <v>65</v>
      </c>
      <c r="Y30" s="1"/>
      <c r="Z30" s="1" t="s">
        <v>218</v>
      </c>
      <c r="AA30" s="1" t="s">
        <v>1346</v>
      </c>
      <c r="AB30" s="1" t="s">
        <v>56</v>
      </c>
      <c r="AC30" s="1"/>
      <c r="AD30" s="1"/>
      <c r="AE30" s="1"/>
      <c r="AF30" s="1"/>
      <c r="AG30" s="1"/>
      <c r="AH30" s="1"/>
      <c r="AI30" s="1"/>
      <c r="AJ30" s="1"/>
      <c r="AK30" s="1" t="s">
        <v>225</v>
      </c>
      <c r="AL30" s="1" t="s">
        <v>1376</v>
      </c>
      <c r="AM30" s="1" t="s">
        <v>59</v>
      </c>
      <c r="AN30" s="1"/>
      <c r="AO30" s="1"/>
      <c r="AP30" s="1"/>
      <c r="AQ30" s="1"/>
      <c r="AR30" s="1"/>
      <c r="AS30" s="680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x14ac:dyDescent="0.25">
      <c r="A31" s="1"/>
      <c r="B31" s="1"/>
      <c r="C31" s="1"/>
      <c r="D31" s="1" t="s">
        <v>71</v>
      </c>
      <c r="E31" s="1" t="s">
        <v>1272</v>
      </c>
      <c r="F31" s="1" t="s">
        <v>56</v>
      </c>
      <c r="G31" s="1"/>
      <c r="H31" s="1"/>
      <c r="I31" s="1"/>
      <c r="J31" s="1"/>
      <c r="K31" s="1"/>
      <c r="L31" s="1"/>
      <c r="M31" s="1"/>
      <c r="N31" s="1"/>
      <c r="O31" s="1" t="s">
        <v>69</v>
      </c>
      <c r="P31" s="1" t="s">
        <v>70</v>
      </c>
      <c r="Q31" s="1" t="s">
        <v>56</v>
      </c>
      <c r="R31" s="1"/>
      <c r="S31" s="1"/>
      <c r="T31" s="1"/>
      <c r="U31" s="1"/>
      <c r="V31" s="1"/>
      <c r="W31" s="1"/>
      <c r="X31" s="1"/>
      <c r="Y31" s="1"/>
      <c r="Z31" s="1" t="s">
        <v>219</v>
      </c>
      <c r="AA31" s="1" t="s">
        <v>1347</v>
      </c>
      <c r="AB31" s="1" t="s">
        <v>56</v>
      </c>
      <c r="AC31" s="1"/>
      <c r="AD31" s="1"/>
      <c r="AE31" s="1"/>
      <c r="AF31" s="1"/>
      <c r="AG31" s="1"/>
      <c r="AH31" s="1"/>
      <c r="AI31" s="1"/>
      <c r="AJ31" s="1"/>
      <c r="AK31" s="1" t="s">
        <v>226</v>
      </c>
      <c r="AL31" s="1" t="s">
        <v>1377</v>
      </c>
      <c r="AM31" s="1" t="s">
        <v>59</v>
      </c>
      <c r="AN31" s="1"/>
      <c r="AO31" s="1"/>
      <c r="AP31" s="1"/>
      <c r="AQ31" s="1"/>
      <c r="AR31" s="1"/>
      <c r="AS31" s="680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25">
      <c r="A32" s="1"/>
      <c r="B32" s="1"/>
      <c r="C32" s="1"/>
      <c r="D32" s="1" t="s">
        <v>74</v>
      </c>
      <c r="E32" s="1" t="s">
        <v>1273</v>
      </c>
      <c r="F32" s="1" t="s">
        <v>56</v>
      </c>
      <c r="G32" s="1"/>
      <c r="H32" s="1"/>
      <c r="I32" s="1"/>
      <c r="J32" s="1"/>
      <c r="K32" s="1"/>
      <c r="L32" s="1"/>
      <c r="M32" s="1"/>
      <c r="N32" s="1"/>
      <c r="O32" s="1" t="s">
        <v>72</v>
      </c>
      <c r="P32" s="1" t="s">
        <v>73</v>
      </c>
      <c r="Q32" s="1" t="s">
        <v>56</v>
      </c>
      <c r="R32" s="1"/>
      <c r="S32" s="1"/>
      <c r="T32" s="1"/>
      <c r="U32" s="1"/>
      <c r="V32" s="1"/>
      <c r="W32" s="1"/>
      <c r="X32" s="1"/>
      <c r="Y32" s="1"/>
      <c r="Z32" s="1" t="s">
        <v>220</v>
      </c>
      <c r="AA32" s="1" t="s">
        <v>1348</v>
      </c>
      <c r="AB32" s="1" t="s">
        <v>56</v>
      </c>
      <c r="AC32" s="1"/>
      <c r="AD32" s="1"/>
      <c r="AE32" s="1"/>
      <c r="AF32" s="1"/>
      <c r="AG32" s="1"/>
      <c r="AH32" s="1"/>
      <c r="AI32" s="1"/>
      <c r="AJ32" s="1"/>
      <c r="AK32" s="1" t="s">
        <v>227</v>
      </c>
      <c r="AL32" s="1" t="s">
        <v>1378</v>
      </c>
      <c r="AM32" s="1" t="s">
        <v>59</v>
      </c>
      <c r="AN32" s="1"/>
      <c r="AO32" s="1"/>
      <c r="AP32" s="1"/>
      <c r="AQ32" s="1"/>
      <c r="AR32" s="1"/>
      <c r="AS32" s="680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25">
      <c r="A33" s="1"/>
      <c r="B33" s="1"/>
      <c r="C33" s="1"/>
      <c r="D33" s="1" t="s">
        <v>76</v>
      </c>
      <c r="E33" s="1" t="s">
        <v>1274</v>
      </c>
      <c r="F33" s="1" t="s">
        <v>56</v>
      </c>
      <c r="G33" s="1"/>
      <c r="H33" s="1"/>
      <c r="I33" s="1"/>
      <c r="J33" s="1"/>
      <c r="K33" s="1"/>
      <c r="L33" s="1"/>
      <c r="M33" s="1"/>
      <c r="N33" s="1"/>
      <c r="O33" s="1" t="s">
        <v>79</v>
      </c>
      <c r="P33" s="1" t="s">
        <v>80</v>
      </c>
      <c r="Q33" s="1" t="s">
        <v>56</v>
      </c>
      <c r="R33" s="1"/>
      <c r="S33" s="1"/>
      <c r="T33" s="1"/>
      <c r="U33" s="1"/>
      <c r="V33" s="1"/>
      <c r="W33" s="1"/>
      <c r="X33" s="1"/>
      <c r="Y33" s="1"/>
      <c r="Z33" s="1" t="s">
        <v>222</v>
      </c>
      <c r="AA33" s="1" t="s">
        <v>1349</v>
      </c>
      <c r="AB33" s="1" t="s">
        <v>56</v>
      </c>
      <c r="AC33" s="1"/>
      <c r="AD33" s="1"/>
      <c r="AE33" s="1"/>
      <c r="AF33" s="1"/>
      <c r="AG33" s="1"/>
      <c r="AH33" s="1"/>
      <c r="AI33" s="1"/>
      <c r="AJ33" s="1"/>
      <c r="AK33" s="1" t="s">
        <v>228</v>
      </c>
      <c r="AL33" s="1" t="s">
        <v>1379</v>
      </c>
      <c r="AM33" s="1" t="s">
        <v>59</v>
      </c>
      <c r="AN33" s="1"/>
      <c r="AO33" s="1"/>
      <c r="AP33" s="1"/>
      <c r="AQ33" s="1"/>
      <c r="AR33" s="1"/>
      <c r="AS33" s="680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25">
      <c r="A34" s="1"/>
      <c r="B34" s="1"/>
      <c r="C34" s="1"/>
      <c r="D34" s="1" t="s">
        <v>78</v>
      </c>
      <c r="E34" s="1" t="s">
        <v>1275</v>
      </c>
      <c r="F34" s="1" t="s">
        <v>56</v>
      </c>
      <c r="G34" s="1"/>
      <c r="H34" s="1"/>
      <c r="I34" s="1"/>
      <c r="J34" s="1"/>
      <c r="K34" s="1"/>
      <c r="L34" s="1"/>
      <c r="M34" s="1"/>
      <c r="N34" s="1"/>
      <c r="O34" s="1" t="s">
        <v>83</v>
      </c>
      <c r="P34" s="1" t="s">
        <v>84</v>
      </c>
      <c r="Q34" s="1" t="s">
        <v>56</v>
      </c>
      <c r="R34" s="1"/>
      <c r="S34" s="1"/>
      <c r="T34" s="1"/>
      <c r="U34" s="1"/>
      <c r="V34" s="1"/>
      <c r="W34" s="1"/>
      <c r="X34" s="1"/>
      <c r="Y34" s="1"/>
      <c r="Z34" s="1" t="s">
        <v>224</v>
      </c>
      <c r="AA34" s="1" t="s">
        <v>1350</v>
      </c>
      <c r="AB34" s="1" t="s">
        <v>56</v>
      </c>
      <c r="AC34" s="1"/>
      <c r="AD34" s="1"/>
      <c r="AE34" s="1"/>
      <c r="AF34" s="1"/>
      <c r="AG34" s="1"/>
      <c r="AH34" s="1"/>
      <c r="AI34" s="1"/>
      <c r="AJ34" s="1"/>
      <c r="AK34" s="1" t="s">
        <v>229</v>
      </c>
      <c r="AL34" s="1" t="s">
        <v>1380</v>
      </c>
      <c r="AM34" s="1" t="s">
        <v>59</v>
      </c>
      <c r="AN34" s="1"/>
      <c r="AO34" s="1"/>
      <c r="AP34" s="1"/>
      <c r="AQ34" s="1"/>
      <c r="AR34" s="1"/>
      <c r="AS34" s="680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25">
      <c r="A35" s="1"/>
      <c r="B35" s="1"/>
      <c r="C35" s="1"/>
      <c r="D35" s="1" t="s">
        <v>82</v>
      </c>
      <c r="E35" s="1" t="s">
        <v>1276</v>
      </c>
      <c r="F35" s="1" t="s">
        <v>56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55</v>
      </c>
      <c r="Y35" s="1"/>
      <c r="Z35" s="1" t="s">
        <v>75</v>
      </c>
      <c r="AA35" s="1" t="s">
        <v>1351</v>
      </c>
      <c r="AB35" s="1" t="s">
        <v>56</v>
      </c>
      <c r="AC35" s="1"/>
      <c r="AD35" s="1"/>
      <c r="AE35" s="1"/>
      <c r="AF35" s="1"/>
      <c r="AG35" s="1"/>
      <c r="AH35" s="1"/>
      <c r="AI35" s="1"/>
      <c r="AJ35" s="1"/>
      <c r="AK35" s="1" t="s">
        <v>230</v>
      </c>
      <c r="AL35" s="1" t="s">
        <v>1381</v>
      </c>
      <c r="AM35" s="1" t="s">
        <v>59</v>
      </c>
      <c r="AN35" s="1"/>
      <c r="AO35" s="1"/>
      <c r="AP35" s="1"/>
      <c r="AQ35" s="1"/>
      <c r="AR35" s="1"/>
      <c r="AS35" s="680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25">
      <c r="A36" s="1"/>
      <c r="B36" s="1"/>
      <c r="C36" s="1"/>
      <c r="D36" s="1" t="s">
        <v>85</v>
      </c>
      <c r="E36" s="1" t="s">
        <v>1277</v>
      </c>
      <c r="F36" s="1" t="s">
        <v>56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77</v>
      </c>
      <c r="AA36" s="1" t="s">
        <v>1352</v>
      </c>
      <c r="AB36" s="1" t="s">
        <v>56</v>
      </c>
      <c r="AC36" s="1"/>
      <c r="AD36" s="1"/>
      <c r="AE36" s="1"/>
      <c r="AF36" s="1"/>
      <c r="AG36" s="1"/>
      <c r="AH36" s="1"/>
      <c r="AI36" s="1"/>
      <c r="AJ36" s="1"/>
      <c r="AK36" s="1" t="s">
        <v>231</v>
      </c>
      <c r="AL36" s="1" t="s">
        <v>1382</v>
      </c>
      <c r="AM36" s="1" t="s">
        <v>59</v>
      </c>
      <c r="AN36" s="1"/>
      <c r="AO36" s="1"/>
      <c r="AP36" s="1"/>
      <c r="AQ36" s="1"/>
      <c r="AR36" s="1"/>
      <c r="AS36" s="680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25">
      <c r="A37" s="1"/>
      <c r="B37" s="1"/>
      <c r="C37" s="1"/>
      <c r="D37" s="1" t="s">
        <v>86</v>
      </c>
      <c r="E37" s="1" t="s">
        <v>1278</v>
      </c>
      <c r="F37" s="1" t="s">
        <v>56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81</v>
      </c>
      <c r="AA37" s="1" t="s">
        <v>1353</v>
      </c>
      <c r="AB37" s="1" t="s">
        <v>56</v>
      </c>
      <c r="AC37" s="1"/>
      <c r="AD37" s="1"/>
      <c r="AE37" s="1"/>
      <c r="AF37" s="1"/>
      <c r="AG37" s="1"/>
      <c r="AH37" s="1"/>
      <c r="AI37" s="1"/>
      <c r="AJ37" s="1"/>
      <c r="AK37" s="1" t="s">
        <v>88</v>
      </c>
      <c r="AL37" s="1" t="s">
        <v>1383</v>
      </c>
      <c r="AM37" s="1" t="s">
        <v>59</v>
      </c>
      <c r="AN37" s="1"/>
      <c r="AO37" s="1"/>
      <c r="AP37" s="1"/>
      <c r="AQ37" s="1"/>
      <c r="AR37" s="1"/>
      <c r="AS37" s="680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25">
      <c r="A38" s="1"/>
      <c r="B38" s="1"/>
      <c r="C38" s="1"/>
      <c r="D38" s="1" t="s">
        <v>87</v>
      </c>
      <c r="E38" s="1" t="s">
        <v>1279</v>
      </c>
      <c r="F38" s="1" t="s">
        <v>56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tr">
        <f>Exp_Imp!C49</f>
        <v>EGSL</v>
      </c>
      <c r="AA38" s="1" t="s">
        <v>1354</v>
      </c>
      <c r="AB38" s="1" t="s">
        <v>56</v>
      </c>
      <c r="AC38" s="1"/>
      <c r="AD38" s="1"/>
      <c r="AE38" s="1"/>
      <c r="AF38" s="1"/>
      <c r="AG38" s="1"/>
      <c r="AH38" s="1"/>
      <c r="AI38" s="1"/>
      <c r="AJ38" s="1"/>
      <c r="AK38" s="1" t="s">
        <v>926</v>
      </c>
      <c r="AL38" s="1" t="s">
        <v>1384</v>
      </c>
      <c r="AM38" s="1" t="s">
        <v>59</v>
      </c>
      <c r="AN38" s="1"/>
      <c r="AO38" s="1"/>
      <c r="AP38" s="1"/>
      <c r="AQ38" s="1"/>
      <c r="AR38" s="1"/>
      <c r="AS38" s="680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25">
      <c r="A39" s="1"/>
      <c r="B39" s="1"/>
      <c r="C39" s="1"/>
      <c r="D39" s="1" t="s">
        <v>89</v>
      </c>
      <c r="E39" s="1" t="s">
        <v>1280</v>
      </c>
      <c r="F39" s="1" t="s">
        <v>56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str">
        <f>Exp_Imp!C50</f>
        <v>EDSL</v>
      </c>
      <c r="AA39" s="1" t="s">
        <v>1355</v>
      </c>
      <c r="AB39" s="1" t="s">
        <v>56</v>
      </c>
      <c r="AC39" s="1"/>
      <c r="AD39" s="1"/>
      <c r="AE39" s="1"/>
      <c r="AF39" s="1"/>
      <c r="AG39" s="1"/>
      <c r="AH39" s="1"/>
      <c r="AI39" s="1"/>
      <c r="AJ39" s="1"/>
      <c r="AK39" s="1" t="s">
        <v>927</v>
      </c>
      <c r="AL39" s="1" t="s">
        <v>1385</v>
      </c>
      <c r="AM39" s="1" t="s">
        <v>59</v>
      </c>
      <c r="AN39" s="1"/>
      <c r="AO39" s="1"/>
      <c r="AP39" s="1"/>
      <c r="AQ39" s="1"/>
      <c r="AR39" s="1"/>
      <c r="AS39" s="680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25">
      <c r="A40" s="1"/>
      <c r="B40" s="1"/>
      <c r="C40" s="1"/>
      <c r="D40" s="1" t="s">
        <v>232</v>
      </c>
      <c r="E40" s="1" t="s">
        <v>1281</v>
      </c>
      <c r="F40" s="1" t="s">
        <v>56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str">
        <f>Exp_Imp!C51</f>
        <v>EKER</v>
      </c>
      <c r="AA40" s="1" t="s">
        <v>1356</v>
      </c>
      <c r="AB40" s="1" t="s">
        <v>56</v>
      </c>
      <c r="AC40" s="1"/>
      <c r="AD40" s="1"/>
      <c r="AE40" s="1"/>
      <c r="AF40" s="1"/>
      <c r="AG40" s="1"/>
      <c r="AH40" s="1"/>
      <c r="AI40" s="1"/>
      <c r="AJ40" s="1"/>
      <c r="AK40" s="1" t="s">
        <v>90</v>
      </c>
      <c r="AL40" s="1" t="s">
        <v>1386</v>
      </c>
      <c r="AM40" s="1" t="s">
        <v>59</v>
      </c>
      <c r="AN40" s="1"/>
      <c r="AO40" s="1"/>
      <c r="AP40" s="1"/>
      <c r="AQ40" s="1"/>
      <c r="AR40" s="1"/>
      <c r="AS40" s="680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5">
      <c r="A41" s="1"/>
      <c r="B41" s="1"/>
      <c r="C41" s="1"/>
      <c r="D41" s="1" t="s">
        <v>233</v>
      </c>
      <c r="E41" s="1" t="s">
        <v>1282</v>
      </c>
      <c r="F41" s="1" t="s">
        <v>56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str">
        <f>Exp_Imp!C52</f>
        <v>ELPG</v>
      </c>
      <c r="AA41" s="1" t="s">
        <v>1357</v>
      </c>
      <c r="AB41" s="1" t="s">
        <v>56</v>
      </c>
      <c r="AC41" s="1"/>
      <c r="AD41" s="1"/>
      <c r="AE41" s="1"/>
      <c r="AF41" s="1"/>
      <c r="AG41" s="1"/>
      <c r="AH41" s="1"/>
      <c r="AI41" s="1"/>
      <c r="AJ41" s="1"/>
      <c r="AK41" s="1" t="s">
        <v>928</v>
      </c>
      <c r="AL41" s="1" t="s">
        <v>1387</v>
      </c>
      <c r="AM41" s="1" t="s">
        <v>59</v>
      </c>
      <c r="AN41" s="1"/>
      <c r="AO41" s="1"/>
      <c r="AP41" s="1"/>
      <c r="AQ41" s="1"/>
      <c r="AR41" s="1"/>
      <c r="AS41" s="680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5">
      <c r="A42" s="1"/>
      <c r="B42" s="1"/>
      <c r="C42" s="1"/>
      <c r="D42" s="1" t="s">
        <v>234</v>
      </c>
      <c r="E42" s="1" t="s">
        <v>1283</v>
      </c>
      <c r="F42" s="1" t="s">
        <v>56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str">
        <f>Exp_Imp!C53</f>
        <v>EHFO</v>
      </c>
      <c r="AA42" s="1" t="s">
        <v>1358</v>
      </c>
      <c r="AB42" s="1" t="s">
        <v>56</v>
      </c>
      <c r="AC42" s="1"/>
      <c r="AD42" s="1"/>
      <c r="AE42" s="1"/>
      <c r="AF42" s="1"/>
      <c r="AG42" s="1"/>
      <c r="AH42" s="1"/>
      <c r="AI42" s="1"/>
      <c r="AJ42" s="1"/>
      <c r="AK42" s="1" t="s">
        <v>91</v>
      </c>
      <c r="AL42" s="1" t="s">
        <v>1388</v>
      </c>
      <c r="AM42" s="1" t="s">
        <v>59</v>
      </c>
      <c r="AN42" s="1"/>
      <c r="AO42" s="1"/>
      <c r="AP42" s="1"/>
      <c r="AQ42" s="1"/>
      <c r="AR42" s="1"/>
      <c r="AS42" s="680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5">
      <c r="A43" s="1"/>
      <c r="B43" s="1"/>
      <c r="C43" s="1"/>
      <c r="D43" s="1" t="s">
        <v>235</v>
      </c>
      <c r="E43" s="1" t="s">
        <v>1284</v>
      </c>
      <c r="F43" s="1" t="s">
        <v>56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tr">
        <f>Exp_Imp!C54</f>
        <v>EETH</v>
      </c>
      <c r="AA43" s="1" t="s">
        <v>1359</v>
      </c>
      <c r="AB43" s="1" t="s">
        <v>56</v>
      </c>
      <c r="AC43" s="1"/>
      <c r="AD43" s="1"/>
      <c r="AE43" s="1"/>
      <c r="AF43" s="1"/>
      <c r="AG43" s="1"/>
      <c r="AH43" s="1"/>
      <c r="AI43" s="1"/>
      <c r="AJ43" s="1"/>
      <c r="AK43" s="1" t="s">
        <v>92</v>
      </c>
      <c r="AL43" s="1" t="s">
        <v>1388</v>
      </c>
      <c r="AM43" s="1" t="s">
        <v>59</v>
      </c>
      <c r="AN43" s="1"/>
      <c r="AO43" s="1"/>
      <c r="AP43" s="1"/>
      <c r="AQ43" s="1"/>
      <c r="AR43" s="1"/>
      <c r="AS43" s="680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5">
      <c r="A44" s="1"/>
      <c r="B44" s="1"/>
      <c r="C44" s="1"/>
      <c r="D44" s="1" t="s">
        <v>236</v>
      </c>
      <c r="E44" s="1" t="s">
        <v>1285</v>
      </c>
      <c r="F44" s="1" t="s">
        <v>56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tr">
        <f>Exp_Imp!C55</f>
        <v>EBDSL</v>
      </c>
      <c r="AA44" s="1" t="s">
        <v>1360</v>
      </c>
      <c r="AB44" s="1" t="s">
        <v>56</v>
      </c>
      <c r="AC44" s="1"/>
      <c r="AD44" s="1"/>
      <c r="AE44" s="1"/>
      <c r="AF44" s="1"/>
      <c r="AG44" s="1"/>
      <c r="AH44" s="1"/>
      <c r="AI44" s="1"/>
      <c r="AJ44" s="1"/>
      <c r="AK44" s="1" t="s">
        <v>932</v>
      </c>
      <c r="AL44" s="1" t="s">
        <v>1389</v>
      </c>
      <c r="AM44" s="1" t="s">
        <v>59</v>
      </c>
      <c r="AN44" s="1"/>
      <c r="AO44" s="1"/>
      <c r="AP44" s="1"/>
      <c r="AQ44" s="1"/>
      <c r="AR44" s="1"/>
      <c r="AS44" s="680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5">
      <c r="A45" s="1"/>
      <c r="B45" s="1"/>
      <c r="C45" s="1"/>
      <c r="D45" s="1" t="s">
        <v>237</v>
      </c>
      <c r="E45" s="1" t="s">
        <v>1286</v>
      </c>
      <c r="F45" s="1" t="s">
        <v>56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tr">
        <f>Exp_Imp!C56</f>
        <v>EGAS</v>
      </c>
      <c r="AA45" s="1" t="s">
        <v>1361</v>
      </c>
      <c r="AB45" s="1" t="s">
        <v>56</v>
      </c>
      <c r="AC45" s="1"/>
      <c r="AD45" s="1"/>
      <c r="AE45" s="1"/>
      <c r="AF45" s="1"/>
      <c r="AG45" s="1"/>
      <c r="AH45" s="1"/>
      <c r="AI45" s="1"/>
      <c r="AJ45" s="1"/>
      <c r="AK45" s="108" t="s">
        <v>933</v>
      </c>
      <c r="AL45" s="108" t="s">
        <v>1390</v>
      </c>
      <c r="AM45" s="108" t="s">
        <v>59</v>
      </c>
      <c r="AN45" s="1"/>
      <c r="AO45" s="1"/>
      <c r="AP45" s="1"/>
      <c r="AQ45" s="1"/>
      <c r="AR45" s="1"/>
      <c r="AS45" s="680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5">
      <c r="A46" s="1"/>
      <c r="B46" s="1"/>
      <c r="C46" s="1"/>
      <c r="D46" s="1" t="s">
        <v>238</v>
      </c>
      <c r="E46" s="1" t="s">
        <v>1287</v>
      </c>
      <c r="F46" s="1" t="s">
        <v>56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tr">
        <f>Exp_Imp!C57</f>
        <v>ELOIL</v>
      </c>
      <c r="AA46" s="1" t="s">
        <v>1362</v>
      </c>
      <c r="AB46" s="1" t="s">
        <v>56</v>
      </c>
      <c r="AC46" s="1"/>
      <c r="AD46" s="1"/>
      <c r="AE46" s="1"/>
      <c r="AF46" s="1"/>
      <c r="AG46" s="1"/>
      <c r="AH46" s="1"/>
      <c r="AI46" s="1"/>
      <c r="AJ46" s="1"/>
      <c r="AK46" s="1" t="s">
        <v>930</v>
      </c>
      <c r="AL46" s="1" t="s">
        <v>1391</v>
      </c>
      <c r="AM46" s="1" t="s">
        <v>59</v>
      </c>
      <c r="AN46" s="1"/>
      <c r="AO46" s="1"/>
      <c r="AP46" s="1"/>
      <c r="AQ46" s="1"/>
      <c r="AR46" s="1"/>
      <c r="AS46" s="680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25">
      <c r="A47" s="1"/>
      <c r="B47" s="1"/>
      <c r="C47" s="1"/>
      <c r="D47" s="1" t="s">
        <v>239</v>
      </c>
      <c r="E47" s="1" t="s">
        <v>1288</v>
      </c>
      <c r="F47" s="1" t="s">
        <v>56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tr">
        <f>Exp_Imp!C58</f>
        <v>EMOIL</v>
      </c>
      <c r="AA47" s="1" t="s">
        <v>1363</v>
      </c>
      <c r="AB47" s="1" t="s">
        <v>56</v>
      </c>
      <c r="AC47" s="1"/>
      <c r="AD47" s="1"/>
      <c r="AE47" s="1"/>
      <c r="AF47" s="1"/>
      <c r="AG47" s="1"/>
      <c r="AH47" s="1"/>
      <c r="AI47" s="1"/>
      <c r="AJ47" s="1"/>
      <c r="AK47" s="108" t="s">
        <v>941</v>
      </c>
      <c r="AL47" s="108" t="s">
        <v>1392</v>
      </c>
      <c r="AM47" s="108" t="s">
        <v>59</v>
      </c>
      <c r="AN47" s="1"/>
      <c r="AO47" s="1"/>
      <c r="AP47" s="1"/>
      <c r="AQ47" s="1"/>
      <c r="AR47" s="1"/>
      <c r="AS47" s="680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5">
      <c r="A48" s="1"/>
      <c r="B48" s="1"/>
      <c r="C48" s="1"/>
      <c r="D48" s="1" t="s">
        <v>240</v>
      </c>
      <c r="E48" s="1" t="s">
        <v>1289</v>
      </c>
      <c r="F48" s="1" t="s">
        <v>56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tr">
        <f>Exp_Imp!C59</f>
        <v>EHOIL</v>
      </c>
      <c r="AA48" s="1" t="s">
        <v>1364</v>
      </c>
      <c r="AB48" s="1" t="s">
        <v>56</v>
      </c>
      <c r="AC48" s="1"/>
      <c r="AD48" s="1"/>
      <c r="AE48" s="1"/>
      <c r="AF48" s="1"/>
      <c r="AG48" s="1"/>
      <c r="AH48" s="1"/>
      <c r="AI48" s="1"/>
      <c r="AJ48" s="1"/>
      <c r="AN48" s="1"/>
      <c r="AO48" s="1"/>
      <c r="AP48" s="1"/>
      <c r="AQ48" s="1"/>
      <c r="AR48" s="1"/>
      <c r="AS48" s="680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5">
      <c r="A49" s="1"/>
      <c r="B49" s="1"/>
      <c r="C49" s="1"/>
      <c r="D49" s="1" t="s">
        <v>241</v>
      </c>
      <c r="E49" s="1" t="s">
        <v>1290</v>
      </c>
      <c r="F49" s="1" t="s">
        <v>56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str">
        <f>Exp_Imp!C61</f>
        <v>EAVG</v>
      </c>
      <c r="AA49" s="1" t="s">
        <v>1365</v>
      </c>
      <c r="AB49" s="1" t="s">
        <v>56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680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5">
      <c r="A50" s="1"/>
      <c r="B50" s="1"/>
      <c r="C50" s="1"/>
      <c r="D50" s="1" t="s">
        <v>242</v>
      </c>
      <c r="E50" s="1" t="s">
        <v>1291</v>
      </c>
      <c r="F50" s="1" t="s">
        <v>56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680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5">
      <c r="A51" s="1"/>
      <c r="B51" s="1"/>
      <c r="C51" s="1"/>
      <c r="D51" s="1" t="s">
        <v>243</v>
      </c>
      <c r="E51" s="1" t="s">
        <v>1292</v>
      </c>
      <c r="F51" s="1" t="s">
        <v>56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680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25">
      <c r="A52" s="1"/>
      <c r="B52" s="1"/>
      <c r="C52" s="1"/>
      <c r="D52" s="1" t="s">
        <v>244</v>
      </c>
      <c r="E52" s="1" t="s">
        <v>1293</v>
      </c>
      <c r="F52" s="1" t="s">
        <v>56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680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5">
      <c r="A53" s="1"/>
      <c r="B53" s="1"/>
      <c r="C53" s="1"/>
      <c r="D53" s="1" t="s">
        <v>245</v>
      </c>
      <c r="E53" s="1" t="s">
        <v>1294</v>
      </c>
      <c r="F53" s="1" t="s">
        <v>56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680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5">
      <c r="A54" s="1"/>
      <c r="B54" s="1"/>
      <c r="C54" s="1"/>
      <c r="D54" s="1" t="s">
        <v>100</v>
      </c>
      <c r="E54" s="1" t="s">
        <v>1297</v>
      </c>
      <c r="F54" s="1" t="s">
        <v>56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680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5">
      <c r="A55" s="1"/>
      <c r="B55" s="1"/>
      <c r="C55" s="1"/>
      <c r="D55" s="1" t="s">
        <v>101</v>
      </c>
      <c r="E55" s="1" t="s">
        <v>1298</v>
      </c>
      <c r="F55" s="1" t="s">
        <v>56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680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5">
      <c r="A56" s="1"/>
      <c r="B56" s="1"/>
      <c r="C56" s="1"/>
      <c r="D56" s="1" t="s">
        <v>102</v>
      </c>
      <c r="E56" s="1" t="s">
        <v>1299</v>
      </c>
      <c r="F56" s="1" t="s">
        <v>56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680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5">
      <c r="A57" s="1"/>
      <c r="B57" s="1"/>
      <c r="C57" s="1"/>
      <c r="D57" s="1" t="s">
        <v>103</v>
      </c>
      <c r="E57" s="1" t="s">
        <v>1300</v>
      </c>
      <c r="F57" s="1" t="s">
        <v>56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680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5">
      <c r="A58" s="1"/>
      <c r="B58" s="1"/>
      <c r="C58" s="1"/>
      <c r="D58" s="1" t="s">
        <v>104</v>
      </c>
      <c r="E58" s="1" t="s">
        <v>1301</v>
      </c>
      <c r="F58" s="1" t="s">
        <v>56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680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5">
      <c r="A59" s="1"/>
      <c r="B59" s="1"/>
      <c r="C59" s="1"/>
      <c r="D59" s="1" t="s">
        <v>105</v>
      </c>
      <c r="E59" s="1" t="s">
        <v>1302</v>
      </c>
      <c r="F59" s="1" t="s">
        <v>56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680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x14ac:dyDescent="0.25">
      <c r="A60" s="1"/>
      <c r="B60" s="1"/>
      <c r="C60" s="1"/>
      <c r="D60" s="1" t="s">
        <v>106</v>
      </c>
      <c r="E60" s="1" t="s">
        <v>1303</v>
      </c>
      <c r="F60" s="1" t="s">
        <v>56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680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5">
      <c r="A61" s="1"/>
      <c r="B61" s="1"/>
      <c r="C61" s="1"/>
      <c r="D61" s="1" t="s">
        <v>107</v>
      </c>
      <c r="E61" s="1" t="s">
        <v>1295</v>
      </c>
      <c r="F61" s="1" t="s">
        <v>56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680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5">
      <c r="A62" s="1"/>
      <c r="B62" s="1"/>
      <c r="C62" s="1"/>
      <c r="D62" s="1" t="s">
        <v>108</v>
      </c>
      <c r="E62" s="1" t="s">
        <v>1296</v>
      </c>
      <c r="F62" s="1" t="s">
        <v>56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680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5">
      <c r="A63" s="1"/>
      <c r="B63" s="1"/>
      <c r="C63" s="1"/>
      <c r="D63" s="1" t="s">
        <v>109</v>
      </c>
      <c r="E63" s="1" t="s">
        <v>1304</v>
      </c>
      <c r="F63" s="1" t="s">
        <v>56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680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5">
      <c r="A64" s="1"/>
      <c r="B64" s="1"/>
      <c r="C64" s="1"/>
      <c r="D64" s="1" t="s">
        <v>110</v>
      </c>
      <c r="E64" s="1" t="s">
        <v>1305</v>
      </c>
      <c r="F64" s="1" t="s">
        <v>56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680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5">
      <c r="A65" s="1"/>
      <c r="B65" s="1"/>
      <c r="C65" s="1"/>
      <c r="D65" s="1" t="s">
        <v>111</v>
      </c>
      <c r="E65" s="1" t="s">
        <v>1306</v>
      </c>
      <c r="F65" s="1" t="s">
        <v>56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680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25">
      <c r="A66" s="1"/>
      <c r="B66" s="1"/>
      <c r="C66" s="1"/>
      <c r="D66" s="1" t="s">
        <v>112</v>
      </c>
      <c r="E66" s="1" t="s">
        <v>1307</v>
      </c>
      <c r="F66" s="1" t="s">
        <v>56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680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5">
      <c r="A67" s="1"/>
      <c r="B67" s="1"/>
      <c r="C67" s="1"/>
      <c r="D67" s="1" t="s">
        <v>113</v>
      </c>
      <c r="E67" s="1" t="s">
        <v>1308</v>
      </c>
      <c r="F67" s="1" t="s">
        <v>56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680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5">
      <c r="A68" s="1"/>
      <c r="B68" s="1"/>
      <c r="C68" s="1"/>
      <c r="D68" s="1" t="s">
        <v>114</v>
      </c>
      <c r="E68" s="1" t="s">
        <v>1309</v>
      </c>
      <c r="F68" s="1" t="s">
        <v>56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680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5">
      <c r="A69" s="1"/>
      <c r="B69" s="1"/>
      <c r="C69" s="1"/>
      <c r="D69" s="1" t="s">
        <v>857</v>
      </c>
      <c r="E69" s="1" t="s">
        <v>1309</v>
      </c>
      <c r="F69" s="1" t="s">
        <v>56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680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5">
      <c r="A70" s="1"/>
      <c r="B70" s="1"/>
      <c r="C70" s="1"/>
      <c r="D70" s="1" t="s">
        <v>858</v>
      </c>
      <c r="E70" s="1" t="s">
        <v>1310</v>
      </c>
      <c r="F70" s="1" t="s">
        <v>56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680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25">
      <c r="A71" s="1"/>
      <c r="B71" s="1"/>
      <c r="C71" s="1"/>
      <c r="D71" s="1" t="s">
        <v>859</v>
      </c>
      <c r="E71" s="1" t="s">
        <v>1311</v>
      </c>
      <c r="F71" s="1" t="s">
        <v>56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680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5">
      <c r="A72" s="1"/>
      <c r="B72" s="1"/>
      <c r="C72" s="1"/>
      <c r="D72" s="1" t="str">
        <f>GenerationUP!C11</f>
        <v>FUEL-DSL</v>
      </c>
      <c r="E72" s="1" t="s">
        <v>1312</v>
      </c>
      <c r="F72" s="1" t="s">
        <v>56</v>
      </c>
      <c r="G72" s="1"/>
      <c r="H72" s="108"/>
      <c r="I72" s="108"/>
      <c r="J72" s="10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680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5">
      <c r="A73" s="1"/>
      <c r="B73" s="1"/>
      <c r="C73" s="1"/>
      <c r="D73" s="1" t="str">
        <f>GenerationUP!C12</f>
        <v>FUEL-HFO</v>
      </c>
      <c r="E73" s="1" t="s">
        <v>1313</v>
      </c>
      <c r="F73" s="1" t="s">
        <v>56</v>
      </c>
      <c r="G73" s="1"/>
      <c r="H73" s="108"/>
      <c r="I73" s="108"/>
      <c r="J73" s="10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680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5">
      <c r="A74" s="1"/>
      <c r="B74" s="1"/>
      <c r="C74" s="1"/>
      <c r="D74" s="1" t="s">
        <v>123</v>
      </c>
      <c r="E74" s="1" t="s">
        <v>1314</v>
      </c>
      <c r="F74" s="1" t="s">
        <v>56</v>
      </c>
      <c r="G74" s="1"/>
      <c r="H74" s="108"/>
      <c r="I74" s="108"/>
      <c r="J74" s="108" t="s">
        <v>9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680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25">
      <c r="A75" s="1"/>
      <c r="B75" s="1"/>
      <c r="C75" s="1"/>
      <c r="D75" s="1" t="s">
        <v>115</v>
      </c>
      <c r="E75" s="1" t="s">
        <v>1315</v>
      </c>
      <c r="F75" s="1" t="s">
        <v>56</v>
      </c>
      <c r="G75" s="1"/>
      <c r="H75" s="108"/>
      <c r="I75" s="108"/>
      <c r="J75" s="108" t="s">
        <v>9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680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x14ac:dyDescent="0.25">
      <c r="A76" s="1"/>
      <c r="B76" s="1"/>
      <c r="C76" s="1"/>
      <c r="D76" s="554" t="s">
        <v>116</v>
      </c>
      <c r="E76" s="554" t="s">
        <v>1316</v>
      </c>
      <c r="F76" s="554" t="s">
        <v>56</v>
      </c>
      <c r="G76" s="1"/>
      <c r="H76" s="108"/>
      <c r="I76" s="108"/>
      <c r="J76" s="108" t="s">
        <v>9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680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25">
      <c r="A77" s="1"/>
      <c r="B77" s="1"/>
      <c r="C77" s="1"/>
      <c r="D77" s="554" t="s">
        <v>117</v>
      </c>
      <c r="E77" s="554" t="s">
        <v>1317</v>
      </c>
      <c r="F77" s="554" t="s">
        <v>56</v>
      </c>
      <c r="G77" s="1"/>
      <c r="H77" s="108"/>
      <c r="I77" s="108"/>
      <c r="J77" s="108" t="s">
        <v>9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680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25">
      <c r="A78" s="1"/>
      <c r="B78" s="1"/>
      <c r="C78" s="1"/>
      <c r="D78" s="554" t="s">
        <v>118</v>
      </c>
      <c r="E78" s="554" t="s">
        <v>1318</v>
      </c>
      <c r="F78" s="554" t="s">
        <v>56</v>
      </c>
      <c r="G78" s="1"/>
      <c r="H78" s="108"/>
      <c r="I78" s="108"/>
      <c r="J78" s="108" t="s">
        <v>9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680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25">
      <c r="A79" s="1"/>
      <c r="B79" s="1"/>
      <c r="C79" s="1"/>
      <c r="D79" s="554" t="s">
        <v>119</v>
      </c>
      <c r="E79" s="554" t="s">
        <v>1319</v>
      </c>
      <c r="F79" s="554" t="s">
        <v>56</v>
      </c>
      <c r="G79" s="1"/>
      <c r="H79" s="1"/>
      <c r="I79" s="1"/>
      <c r="J79" s="108" t="s">
        <v>9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680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25">
      <c r="A80" s="1"/>
      <c r="B80" s="1"/>
      <c r="C80" s="1"/>
      <c r="D80" s="554" t="s">
        <v>120</v>
      </c>
      <c r="E80" s="554" t="s">
        <v>1320</v>
      </c>
      <c r="F80" s="554" t="s">
        <v>56</v>
      </c>
      <c r="G80" s="1"/>
      <c r="H80" s="1"/>
      <c r="I80" s="1"/>
      <c r="J80" s="108" t="s">
        <v>9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680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25">
      <c r="A81" s="1"/>
      <c r="B81" s="1"/>
      <c r="C81" s="1"/>
      <c r="D81" s="554" t="s">
        <v>121</v>
      </c>
      <c r="E81" s="554" t="s">
        <v>1321</v>
      </c>
      <c r="F81" s="554" t="s">
        <v>56</v>
      </c>
      <c r="G81" s="1"/>
      <c r="H81" s="1"/>
      <c r="I81" s="1"/>
      <c r="J81" s="108" t="s">
        <v>9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680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25">
      <c r="A82" s="1"/>
      <c r="B82" s="1"/>
      <c r="C82" s="1"/>
      <c r="D82" s="554" t="s">
        <v>122</v>
      </c>
      <c r="E82" s="554" t="s">
        <v>1322</v>
      </c>
      <c r="F82" s="554" t="s">
        <v>56</v>
      </c>
      <c r="G82" s="1"/>
      <c r="H82" s="1"/>
      <c r="I82" s="1"/>
      <c r="J82" s="108" t="s">
        <v>9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680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x14ac:dyDescent="0.25">
      <c r="A83" s="1"/>
      <c r="B83" s="1"/>
      <c r="C83" s="1"/>
      <c r="D83" s="554" t="s">
        <v>93</v>
      </c>
      <c r="E83" s="554" t="s">
        <v>1323</v>
      </c>
      <c r="F83" s="554" t="s">
        <v>56</v>
      </c>
      <c r="G83" s="1"/>
      <c r="H83" s="1"/>
      <c r="I83" s="1"/>
      <c r="J83" s="108" t="s">
        <v>9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680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x14ac:dyDescent="0.25">
      <c r="A84" s="1"/>
      <c r="B84" s="1"/>
      <c r="C84" s="1"/>
      <c r="D84" s="554" t="s">
        <v>94</v>
      </c>
      <c r="E84" s="554" t="s">
        <v>1324</v>
      </c>
      <c r="F84" s="554" t="s">
        <v>56</v>
      </c>
      <c r="G84" s="1"/>
      <c r="H84" s="1"/>
      <c r="I84" s="1"/>
      <c r="J84" s="108" t="s">
        <v>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680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x14ac:dyDescent="0.25">
      <c r="A85" s="1"/>
      <c r="B85" s="1"/>
      <c r="C85" s="1"/>
      <c r="D85" s="554" t="s">
        <v>95</v>
      </c>
      <c r="E85" s="554" t="s">
        <v>1325</v>
      </c>
      <c r="F85" s="554" t="s">
        <v>56</v>
      </c>
      <c r="G85" s="1"/>
      <c r="H85" s="1"/>
      <c r="I85" s="1"/>
      <c r="J85" s="108" t="s">
        <v>9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680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x14ac:dyDescent="0.25">
      <c r="A86" s="1"/>
      <c r="B86" s="1"/>
      <c r="C86" s="1"/>
      <c r="D86" s="554" t="s">
        <v>96</v>
      </c>
      <c r="E86" s="554" t="s">
        <v>1326</v>
      </c>
      <c r="F86" s="554" t="s">
        <v>56</v>
      </c>
      <c r="G86" s="1"/>
      <c r="H86" s="1"/>
      <c r="I86" s="1"/>
      <c r="J86" s="108" t="s">
        <v>9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680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x14ac:dyDescent="0.25">
      <c r="A87" s="1"/>
      <c r="B87" s="1"/>
      <c r="C87" s="1"/>
      <c r="D87" s="554" t="s">
        <v>97</v>
      </c>
      <c r="E87" s="554" t="s">
        <v>1327</v>
      </c>
      <c r="F87" s="554" t="s">
        <v>56</v>
      </c>
      <c r="G87" s="1"/>
      <c r="H87" s="1"/>
      <c r="I87" s="1"/>
      <c r="J87" s="108" t="s">
        <v>9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680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x14ac:dyDescent="0.25">
      <c r="A88" s="1"/>
      <c r="B88" s="1"/>
      <c r="C88" s="1"/>
      <c r="D88" s="554" t="s">
        <v>98</v>
      </c>
      <c r="E88" s="554" t="s">
        <v>1328</v>
      </c>
      <c r="F88" s="554" t="s">
        <v>56</v>
      </c>
      <c r="G88" s="1"/>
      <c r="H88" s="1"/>
      <c r="I88" s="1"/>
      <c r="J88" s="108" t="s">
        <v>9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680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x14ac:dyDescent="0.25">
      <c r="A89" s="1"/>
      <c r="B89" s="1"/>
      <c r="C89" s="1"/>
      <c r="D89" s="554" t="s">
        <v>99</v>
      </c>
      <c r="E89" s="554" t="s">
        <v>1329</v>
      </c>
      <c r="F89" s="554" t="s">
        <v>56</v>
      </c>
      <c r="G89" s="1"/>
      <c r="H89" s="1"/>
      <c r="I89" s="1"/>
      <c r="J89" s="108" t="s">
        <v>9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680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x14ac:dyDescent="0.25">
      <c r="A90" s="1"/>
      <c r="B90" s="1"/>
      <c r="C90" s="1"/>
      <c r="D90" s="108"/>
      <c r="E90" s="108"/>
      <c r="F90" s="10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680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x14ac:dyDescent="0.25">
      <c r="A91" s="1"/>
      <c r="B91" s="1"/>
      <c r="C91" s="1"/>
      <c r="D91" s="108"/>
      <c r="E91" s="108"/>
      <c r="F91" s="10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680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25">
      <c r="A92" s="1"/>
      <c r="B92" s="1"/>
      <c r="C92" s="1"/>
      <c r="D92" s="108"/>
      <c r="E92" s="108"/>
      <c r="F92" s="10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680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25">
      <c r="A93" s="1"/>
      <c r="B93" s="1"/>
      <c r="C93" s="1"/>
      <c r="D93" s="108"/>
      <c r="E93" s="108"/>
      <c r="F93" s="10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680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25">
      <c r="A94" s="1"/>
      <c r="B94" s="1"/>
      <c r="C94" s="1"/>
      <c r="D94" s="108"/>
      <c r="E94" s="108"/>
      <c r="F94" s="10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680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x14ac:dyDescent="0.25">
      <c r="A95" s="1"/>
      <c r="B95" s="1"/>
      <c r="C95" s="1"/>
      <c r="D95" s="108"/>
      <c r="E95" s="108"/>
      <c r="F95" s="10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680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x14ac:dyDescent="0.25">
      <c r="A96" s="1"/>
      <c r="B96" s="1"/>
      <c r="C96" s="1"/>
      <c r="D96" s="108"/>
      <c r="E96" s="108"/>
      <c r="F96" s="10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680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x14ac:dyDescent="0.25">
      <c r="A97" s="1"/>
      <c r="B97" s="1"/>
      <c r="C97" s="1"/>
      <c r="D97" s="108"/>
      <c r="E97" s="108"/>
      <c r="F97" s="108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680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x14ac:dyDescent="0.25">
      <c r="A98" s="1"/>
      <c r="B98" s="1"/>
      <c r="C98" s="1"/>
      <c r="D98" s="108"/>
      <c r="E98" s="108"/>
      <c r="F98" s="108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680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680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680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680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680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680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680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680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680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680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680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680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680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680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680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680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680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680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680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680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680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680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680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680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680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680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680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680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680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680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680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680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680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680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680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680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680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680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680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680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680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680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680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680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680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680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680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680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680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680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680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680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680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680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680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680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680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680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680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680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680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680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680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680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680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680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680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680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680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680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680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680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680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680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680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680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680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680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680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680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680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680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680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680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680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680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680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680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680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680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680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680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680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680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680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680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680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680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680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680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680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680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680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680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680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680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680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680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680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680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680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680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680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680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680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680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680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680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680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680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680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680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680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680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680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680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680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680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680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680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680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680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680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680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680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680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680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680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680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680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680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680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680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680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680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680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680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680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680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680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680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680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680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680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680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680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680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680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680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680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680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680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680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680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680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680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680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680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680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680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680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680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680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680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680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680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680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680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680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680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680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680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680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680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680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680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680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680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680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680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680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680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680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680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680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680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680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680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680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680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680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680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680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680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680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680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680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680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680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680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680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680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680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680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680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680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680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680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680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680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680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680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680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680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680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680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680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680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680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680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680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680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680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680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680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680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680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680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680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680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680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680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680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680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680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680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680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680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680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680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680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680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680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680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680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680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680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680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680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680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680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680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680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680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680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680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680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680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680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680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680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680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680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680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680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680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680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680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680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680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680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680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680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680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680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680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680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680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680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680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680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680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680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680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680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680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680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680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680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680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680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680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680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680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680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680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680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680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680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680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680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680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680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680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680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680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680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680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680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680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680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680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680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680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680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680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680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680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680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680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680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680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680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680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680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680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680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680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680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680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680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680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680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680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680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680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680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680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680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680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680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680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680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680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680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680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680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680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680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680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680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680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680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680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680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680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680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680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680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680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680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680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680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680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680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680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680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680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680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680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680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680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680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680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680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680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680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680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680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680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680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680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680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680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680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680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680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680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680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680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680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680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680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680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680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680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680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680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680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680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680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680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680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680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680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680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680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680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680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680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680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680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680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680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680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680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680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680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680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680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680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680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680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680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680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680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680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680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680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680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680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680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680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680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680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680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680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680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680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680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680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680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680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680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680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680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680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680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680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680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680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680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680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680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680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680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680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680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680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680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680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680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680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680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680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680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680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680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680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680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680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680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680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680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680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680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680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680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680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680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680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680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680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680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680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680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680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680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680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680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680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680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680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680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680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680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680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680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680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680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680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680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680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680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680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680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680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680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680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680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680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680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680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680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680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680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680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680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680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680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680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680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680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680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680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680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680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680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680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680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680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680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680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680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680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680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680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680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680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680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680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680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680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680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680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680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680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680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680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680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680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680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680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680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680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680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680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680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680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680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680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680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680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680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680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680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680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680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680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680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680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680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680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680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680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680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680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680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680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680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680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680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680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680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680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680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680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680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680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680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680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680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680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680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680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680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680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680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680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680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680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680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680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680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680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680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680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680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680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680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680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680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680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680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680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680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680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680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680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680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680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680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680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680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680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680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680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680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680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680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680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680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680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680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680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680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680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680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680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680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680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680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680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680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680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680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680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680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680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680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680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680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680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680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680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680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680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680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680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680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680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680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680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680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680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680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680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680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680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680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680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680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680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680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680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680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680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680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680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680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680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680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680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680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680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680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680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680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680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680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680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680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680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680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680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680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680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680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680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680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680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680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680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680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680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680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680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680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680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680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680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680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680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680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680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680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680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680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680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680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680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680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680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680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680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680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680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680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680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680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680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680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680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680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680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680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680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680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680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680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680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680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680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680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680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680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680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680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680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680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680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680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680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680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680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680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680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680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680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680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680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680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680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680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680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680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680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680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680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680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680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680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680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680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680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680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680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680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680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680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680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680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680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680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680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680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680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680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680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680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680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680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680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680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680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680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680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680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680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680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680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680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680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680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680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680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680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680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680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680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680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680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680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x14ac:dyDescent="0.25">
      <c r="A921" s="1"/>
      <c r="B921" s="1"/>
      <c r="C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680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x14ac:dyDescent="0.25">
      <c r="A922" s="1"/>
      <c r="B922" s="1"/>
      <c r="C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680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x14ac:dyDescent="0.25">
      <c r="A923" s="1"/>
      <c r="B923" s="1"/>
      <c r="C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680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x14ac:dyDescent="0.25">
      <c r="A924" s="1"/>
      <c r="B924" s="1"/>
      <c r="C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680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x14ac:dyDescent="0.25">
      <c r="A925" s="1"/>
      <c r="B925" s="1"/>
      <c r="C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680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x14ac:dyDescent="0.25">
      <c r="A926" s="1"/>
      <c r="B926" s="1"/>
      <c r="C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680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x14ac:dyDescent="0.25">
      <c r="A927" s="1"/>
      <c r="B927" s="1"/>
      <c r="C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680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x14ac:dyDescent="0.25">
      <c r="A928" s="1"/>
      <c r="B928" s="1"/>
      <c r="C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680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x14ac:dyDescent="0.25">
      <c r="A929" s="1"/>
      <c r="B929" s="1"/>
      <c r="C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680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x14ac:dyDescent="0.25">
      <c r="A930" s="1"/>
      <c r="B930" s="1"/>
      <c r="C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680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x14ac:dyDescent="0.25">
      <c r="A931" s="1"/>
      <c r="B931" s="1"/>
      <c r="C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680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x14ac:dyDescent="0.25">
      <c r="A932" s="1"/>
      <c r="B932" s="1"/>
      <c r="C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680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x14ac:dyDescent="0.25">
      <c r="A933" s="1"/>
      <c r="B933" s="1"/>
      <c r="C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680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x14ac:dyDescent="0.25">
      <c r="A934" s="1"/>
      <c r="B934" s="1"/>
      <c r="C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680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x14ac:dyDescent="0.25">
      <c r="A935" s="1"/>
      <c r="B935" s="1"/>
      <c r="C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680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x14ac:dyDescent="0.25">
      <c r="A936" s="1"/>
      <c r="B936" s="1"/>
      <c r="C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680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x14ac:dyDescent="0.25">
      <c r="A937" s="1"/>
      <c r="B937" s="1"/>
      <c r="C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680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x14ac:dyDescent="0.25">
      <c r="A938" s="1"/>
      <c r="B938" s="1"/>
      <c r="C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680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x14ac:dyDescent="0.25">
      <c r="A939" s="1"/>
      <c r="B939" s="1"/>
      <c r="C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680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x14ac:dyDescent="0.25">
      <c r="A940" s="1"/>
      <c r="B940" s="1"/>
      <c r="C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680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x14ac:dyDescent="0.25">
      <c r="A941" s="1"/>
      <c r="B941" s="1"/>
      <c r="C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680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x14ac:dyDescent="0.25">
      <c r="A942" s="1"/>
      <c r="B942" s="1"/>
      <c r="C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680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x14ac:dyDescent="0.25">
      <c r="A943" s="1"/>
      <c r="B943" s="1"/>
      <c r="C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680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x14ac:dyDescent="0.25">
      <c r="A944" s="1"/>
      <c r="B944" s="1"/>
      <c r="C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680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x14ac:dyDescent="0.25">
      <c r="A945" s="1"/>
      <c r="B945" s="1"/>
      <c r="C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680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x14ac:dyDescent="0.25">
      <c r="A946" s="1"/>
      <c r="B946" s="1"/>
      <c r="C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680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x14ac:dyDescent="0.25">
      <c r="A947" s="1"/>
      <c r="B947" s="1"/>
      <c r="C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680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x14ac:dyDescent="0.25">
      <c r="A948" s="1"/>
      <c r="B948" s="1"/>
      <c r="C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680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x14ac:dyDescent="0.25">
      <c r="A949" s="1"/>
      <c r="B949" s="1"/>
      <c r="C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680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x14ac:dyDescent="0.25">
      <c r="A950" s="1"/>
      <c r="B950" s="1"/>
      <c r="C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680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x14ac:dyDescent="0.25">
      <c r="A951" s="1"/>
      <c r="B951" s="1"/>
      <c r="C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680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x14ac:dyDescent="0.25">
      <c r="A952" s="1"/>
      <c r="B952" s="1"/>
      <c r="C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680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x14ac:dyDescent="0.25">
      <c r="A953" s="1"/>
      <c r="B953" s="1"/>
      <c r="C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680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x14ac:dyDescent="0.25">
      <c r="A954" s="1"/>
      <c r="B954" s="1"/>
      <c r="C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680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x14ac:dyDescent="0.25">
      <c r="A955" s="1"/>
      <c r="B955" s="1"/>
      <c r="C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680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x14ac:dyDescent="0.25">
      <c r="A956" s="1"/>
      <c r="B956" s="1"/>
      <c r="C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680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x14ac:dyDescent="0.25">
      <c r="A957" s="1"/>
      <c r="B957" s="1"/>
      <c r="C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680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x14ac:dyDescent="0.25">
      <c r="A958" s="1"/>
      <c r="B958" s="1"/>
      <c r="C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680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x14ac:dyDescent="0.25">
      <c r="A959" s="1"/>
      <c r="B959" s="1"/>
      <c r="C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680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x14ac:dyDescent="0.25">
      <c r="A960" s="1"/>
      <c r="B960" s="1"/>
      <c r="C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680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x14ac:dyDescent="0.25">
      <c r="A961" s="1"/>
      <c r="B961" s="1"/>
      <c r="C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680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x14ac:dyDescent="0.25">
      <c r="A962" s="1"/>
      <c r="B962" s="1"/>
      <c r="C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680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x14ac:dyDescent="0.25">
      <c r="A963" s="1"/>
      <c r="B963" s="1"/>
      <c r="C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680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x14ac:dyDescent="0.25">
      <c r="A964" s="1"/>
      <c r="B964" s="1"/>
      <c r="C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680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x14ac:dyDescent="0.25">
      <c r="A965" s="1"/>
      <c r="B965" s="1"/>
      <c r="C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680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x14ac:dyDescent="0.25">
      <c r="A966" s="1"/>
      <c r="B966" s="1"/>
      <c r="C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680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x14ac:dyDescent="0.25">
      <c r="A967" s="1"/>
      <c r="B967" s="1"/>
      <c r="C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680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x14ac:dyDescent="0.25">
      <c r="A968" s="1"/>
      <c r="B968" s="1"/>
      <c r="C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680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x14ac:dyDescent="0.25">
      <c r="A969" s="1"/>
      <c r="B969" s="1"/>
      <c r="C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680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x14ac:dyDescent="0.25">
      <c r="A970" s="1"/>
      <c r="B970" s="1"/>
      <c r="C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680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x14ac:dyDescent="0.25">
      <c r="A971" s="1"/>
      <c r="B971" s="1"/>
      <c r="C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680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x14ac:dyDescent="0.25">
      <c r="A972" s="1"/>
      <c r="B972" s="1"/>
      <c r="C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680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x14ac:dyDescent="0.25">
      <c r="A973" s="1"/>
      <c r="B973" s="1"/>
      <c r="C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680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x14ac:dyDescent="0.25">
      <c r="A974" s="1"/>
      <c r="B974" s="1"/>
      <c r="C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680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x14ac:dyDescent="0.25">
      <c r="A975" s="1"/>
      <c r="B975" s="1"/>
      <c r="C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680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x14ac:dyDescent="0.25">
      <c r="A976" s="1"/>
      <c r="B976" s="1"/>
      <c r="C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680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x14ac:dyDescent="0.25">
      <c r="A977" s="1"/>
      <c r="B977" s="1"/>
      <c r="C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680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x14ac:dyDescent="0.25">
      <c r="A978" s="1"/>
      <c r="B978" s="1"/>
      <c r="C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680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x14ac:dyDescent="0.25">
      <c r="A979" s="1"/>
      <c r="B979" s="1"/>
      <c r="C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680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x14ac:dyDescent="0.25">
      <c r="A980" s="1"/>
      <c r="B980" s="1"/>
      <c r="C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680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x14ac:dyDescent="0.25">
      <c r="A981" s="1"/>
      <c r="B981" s="1"/>
      <c r="C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680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x14ac:dyDescent="0.25">
      <c r="A982" s="1"/>
      <c r="B982" s="1"/>
      <c r="C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680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x14ac:dyDescent="0.25">
      <c r="A983" s="1"/>
      <c r="B983" s="1"/>
      <c r="C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680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x14ac:dyDescent="0.25">
      <c r="A984" s="1"/>
      <c r="B984" s="1"/>
      <c r="C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680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x14ac:dyDescent="0.25">
      <c r="A985" s="1"/>
      <c r="B985" s="1"/>
      <c r="C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680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x14ac:dyDescent="0.25">
      <c r="A986" s="1"/>
      <c r="B986" s="1"/>
      <c r="C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680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x14ac:dyDescent="0.25">
      <c r="A987" s="1"/>
      <c r="B987" s="1"/>
      <c r="C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680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x14ac:dyDescent="0.25">
      <c r="A988" s="1"/>
      <c r="B988" s="1"/>
      <c r="C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680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x14ac:dyDescent="0.25">
      <c r="A989" s="1"/>
      <c r="B989" s="1"/>
      <c r="C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680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x14ac:dyDescent="0.25">
      <c r="A990" s="1"/>
      <c r="B990" s="1"/>
      <c r="C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680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x14ac:dyDescent="0.25">
      <c r="A991" s="1"/>
      <c r="B991" s="1"/>
      <c r="C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680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x14ac:dyDescent="0.25">
      <c r="A992" s="1"/>
      <c r="B992" s="1"/>
      <c r="C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680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x14ac:dyDescent="0.25">
      <c r="A993" s="1"/>
      <c r="B993" s="1"/>
      <c r="C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680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x14ac:dyDescent="0.25">
      <c r="A994" s="1"/>
      <c r="B994" s="1"/>
      <c r="C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680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x14ac:dyDescent="0.25">
      <c r="A995" s="1"/>
      <c r="B995" s="1"/>
      <c r="C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680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x14ac:dyDescent="0.25">
      <c r="A996" s="1"/>
      <c r="B996" s="1"/>
      <c r="C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680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x14ac:dyDescent="0.25">
      <c r="A997" s="1"/>
      <c r="B997" s="1"/>
      <c r="C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680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x14ac:dyDescent="0.25">
      <c r="A998" s="1"/>
      <c r="B998" s="1"/>
      <c r="C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680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x14ac:dyDescent="0.25">
      <c r="A999" s="1"/>
      <c r="B999" s="1"/>
      <c r="C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680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x14ac:dyDescent="0.25">
      <c r="A1000" s="1"/>
      <c r="B1000" s="1"/>
      <c r="C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680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  <row r="1001" spans="1:58" x14ac:dyDescent="0.25">
      <c r="A1001" s="1"/>
      <c r="B1001" s="1"/>
      <c r="C1001" s="1"/>
      <c r="H1001" s="1"/>
      <c r="I1001" s="1"/>
      <c r="J1001" s="1"/>
      <c r="K1001" s="1"/>
      <c r="L1001" s="1"/>
      <c r="M1001" s="1"/>
      <c r="N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680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</row>
    <row r="1002" spans="1:58" x14ac:dyDescent="0.25">
      <c r="A1002" s="1"/>
      <c r="B1002" s="1"/>
      <c r="C1002" s="1"/>
      <c r="H1002" s="1"/>
      <c r="I1002" s="1"/>
      <c r="J1002" s="1"/>
      <c r="K1002" s="1"/>
      <c r="L1002" s="1"/>
      <c r="M1002" s="1"/>
      <c r="N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N1002" s="1"/>
      <c r="AO1002" s="1"/>
      <c r="AP1002" s="1"/>
      <c r="AQ1002" s="1"/>
      <c r="AR1002" s="1"/>
      <c r="AS1002" s="680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</row>
    <row r="1003" spans="1:58" x14ac:dyDescent="0.25">
      <c r="A1003" s="1"/>
      <c r="B1003" s="1"/>
      <c r="C1003" s="1"/>
      <c r="H1003" s="1"/>
      <c r="I1003" s="1"/>
      <c r="J1003" s="1"/>
      <c r="K1003" s="1"/>
      <c r="L1003" s="1"/>
      <c r="M1003" s="1"/>
      <c r="N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N1003" s="1"/>
      <c r="AO1003" s="1"/>
      <c r="AP1003" s="1"/>
      <c r="AQ1003" s="1"/>
      <c r="AR1003" s="1"/>
      <c r="AS1003" s="680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</row>
    <row r="1004" spans="1:58" x14ac:dyDescent="0.25">
      <c r="A1004" s="1"/>
      <c r="B1004" s="1"/>
      <c r="C1004" s="1"/>
      <c r="H1004" s="1"/>
      <c r="I1004" s="1"/>
      <c r="J1004" s="1"/>
      <c r="K1004" s="1"/>
      <c r="L1004" s="1"/>
      <c r="M1004" s="1"/>
      <c r="N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N1004" s="1"/>
      <c r="AO1004" s="1"/>
      <c r="AP1004" s="1"/>
      <c r="AQ1004" s="1"/>
      <c r="AR1004" s="1"/>
      <c r="AS1004" s="680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</row>
  </sheetData>
  <mergeCells count="4">
    <mergeCell ref="X14:AF14"/>
    <mergeCell ref="B15:J15"/>
    <mergeCell ref="M15:U15"/>
    <mergeCell ref="AI15:AQ15"/>
  </mergeCells>
  <phoneticPr fontId="4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9977-4B3F-4C31-8D8C-01C2255391F0}">
  <dimension ref="A1:X148"/>
  <sheetViews>
    <sheetView showGridLines="0" tabSelected="1" topLeftCell="G18" zoomScale="69" zoomScaleNormal="69" workbookViewId="0">
      <selection activeCell="I31" sqref="I31"/>
    </sheetView>
  </sheetViews>
  <sheetFormatPr baseColWidth="10" defaultRowHeight="15" x14ac:dyDescent="0.25"/>
  <cols>
    <col min="1" max="2" width="10.7109375" customWidth="1"/>
    <col min="3" max="3" width="7.140625" customWidth="1"/>
    <col min="4" max="4" width="25.7109375" customWidth="1"/>
    <col min="5" max="5" width="57.42578125" customWidth="1"/>
    <col min="6" max="7" width="10.7109375" customWidth="1"/>
    <col min="8" max="8" width="15.28515625" customWidth="1"/>
    <col min="9" max="9" width="14.85546875" customWidth="1"/>
    <col min="10" max="11" width="10.7109375" customWidth="1"/>
    <col min="12" max="12" width="7.140625" customWidth="1"/>
    <col min="13" max="13" width="16.85546875" style="679" customWidth="1"/>
    <col min="14" max="14" width="42.85546875" customWidth="1"/>
    <col min="15" max="15" width="28.5703125" customWidth="1"/>
    <col min="16" max="16" width="35.28515625" customWidth="1"/>
    <col min="17" max="17" width="15.28515625" customWidth="1"/>
    <col min="18" max="18" width="14.85546875" customWidth="1"/>
    <col min="19" max="19" width="10.7109375" customWidth="1"/>
    <col min="22" max="22" width="57.28515625" customWidth="1"/>
  </cols>
  <sheetData>
    <row r="1" spans="2:6" hidden="1" x14ac:dyDescent="0.25"/>
    <row r="2" spans="2:6" hidden="1" x14ac:dyDescent="0.25"/>
    <row r="3" spans="2:6" hidden="1" x14ac:dyDescent="0.25">
      <c r="B3" s="12" t="s">
        <v>0</v>
      </c>
      <c r="D3" s="12" t="s">
        <v>124</v>
      </c>
      <c r="E3" s="12" t="s">
        <v>125</v>
      </c>
      <c r="F3" s="13" t="s">
        <v>126</v>
      </c>
    </row>
    <row r="4" spans="2:6" hidden="1" x14ac:dyDescent="0.25">
      <c r="B4" s="12" t="s">
        <v>6</v>
      </c>
      <c r="D4" s="12" t="s">
        <v>127</v>
      </c>
      <c r="E4" s="1" t="s">
        <v>8</v>
      </c>
      <c r="F4" s="14" t="s">
        <v>128</v>
      </c>
    </row>
    <row r="5" spans="2:6" hidden="1" x14ac:dyDescent="0.25">
      <c r="B5" s="12" t="s">
        <v>12</v>
      </c>
      <c r="D5" s="12" t="s">
        <v>129</v>
      </c>
      <c r="E5" s="3" t="s">
        <v>14</v>
      </c>
      <c r="F5" s="14" t="s">
        <v>130</v>
      </c>
    </row>
    <row r="6" spans="2:6" hidden="1" x14ac:dyDescent="0.25">
      <c r="B6" s="12" t="s">
        <v>16</v>
      </c>
      <c r="D6" s="12" t="s">
        <v>131</v>
      </c>
      <c r="E6" s="1" t="s">
        <v>18</v>
      </c>
    </row>
    <row r="7" spans="2:6" hidden="1" x14ac:dyDescent="0.25">
      <c r="B7" s="12" t="s">
        <v>20</v>
      </c>
      <c r="D7" s="12" t="s">
        <v>132</v>
      </c>
      <c r="E7" s="1" t="s">
        <v>22</v>
      </c>
    </row>
    <row r="8" spans="2:6" hidden="1" x14ac:dyDescent="0.25">
      <c r="B8" s="12" t="s">
        <v>24</v>
      </c>
      <c r="D8" s="12" t="s">
        <v>133</v>
      </c>
      <c r="E8" s="1" t="s">
        <v>26</v>
      </c>
    </row>
    <row r="9" spans="2:6" hidden="1" x14ac:dyDescent="0.25">
      <c r="B9" s="12" t="s">
        <v>28</v>
      </c>
      <c r="D9" s="12" t="s">
        <v>134</v>
      </c>
      <c r="E9" s="1" t="s">
        <v>30</v>
      </c>
    </row>
    <row r="10" spans="2:6" hidden="1" x14ac:dyDescent="0.25">
      <c r="B10" s="12" t="s">
        <v>31</v>
      </c>
      <c r="D10" s="12" t="s">
        <v>135</v>
      </c>
      <c r="E10" s="1" t="s">
        <v>32</v>
      </c>
    </row>
    <row r="11" spans="2:6" hidden="1" x14ac:dyDescent="0.25">
      <c r="B11" s="12" t="s">
        <v>33</v>
      </c>
      <c r="E11" s="1" t="s">
        <v>7</v>
      </c>
    </row>
    <row r="12" spans="2:6" hidden="1" x14ac:dyDescent="0.25">
      <c r="B12" s="12" t="s">
        <v>34</v>
      </c>
      <c r="E12" s="3" t="s">
        <v>13</v>
      </c>
    </row>
    <row r="13" spans="2:6" hidden="1" x14ac:dyDescent="0.25">
      <c r="B13" s="12" t="s">
        <v>35</v>
      </c>
      <c r="E13" s="1" t="s">
        <v>17</v>
      </c>
    </row>
    <row r="14" spans="2:6" hidden="1" x14ac:dyDescent="0.25">
      <c r="E14" s="1" t="s">
        <v>21</v>
      </c>
    </row>
    <row r="15" spans="2:6" hidden="1" x14ac:dyDescent="0.25">
      <c r="E15" s="1"/>
    </row>
    <row r="16" spans="2:6" hidden="1" x14ac:dyDescent="0.25">
      <c r="E16" s="1"/>
    </row>
    <row r="17" spans="1:24" x14ac:dyDescent="0.25">
      <c r="E17" s="1"/>
    </row>
    <row r="18" spans="1:24" ht="53.25" customHeight="1" x14ac:dyDescent="0.25">
      <c r="B18" s="713" t="s">
        <v>1224</v>
      </c>
      <c r="C18" s="714"/>
      <c r="D18" s="714"/>
      <c r="E18" s="714"/>
      <c r="F18" s="714"/>
      <c r="G18" s="714"/>
      <c r="H18" s="714"/>
      <c r="I18" s="714"/>
      <c r="J18" s="714"/>
    </row>
    <row r="20" spans="1:24" x14ac:dyDescent="0.25">
      <c r="B20" s="15" t="s">
        <v>136</v>
      </c>
      <c r="C20" s="1"/>
      <c r="D20" s="1"/>
      <c r="E20" s="1"/>
      <c r="F20" s="1"/>
      <c r="G20" s="1"/>
      <c r="H20" s="1"/>
      <c r="I20" s="1"/>
      <c r="J20" s="1"/>
    </row>
    <row r="21" spans="1:24" x14ac:dyDescent="0.25">
      <c r="B21" s="8" t="s">
        <v>137</v>
      </c>
      <c r="C21" s="9" t="s">
        <v>39</v>
      </c>
      <c r="D21" s="8" t="s">
        <v>138</v>
      </c>
      <c r="E21" s="8" t="s">
        <v>139</v>
      </c>
      <c r="F21" s="8" t="s">
        <v>140</v>
      </c>
      <c r="G21" s="8" t="s">
        <v>141</v>
      </c>
      <c r="H21" s="8" t="s">
        <v>142</v>
      </c>
      <c r="I21" s="8" t="s">
        <v>143</v>
      </c>
      <c r="J21" s="8" t="s">
        <v>144</v>
      </c>
      <c r="N21" s="15"/>
      <c r="O21" s="1"/>
      <c r="P21" s="1"/>
      <c r="Q21" s="1"/>
      <c r="R21" s="1"/>
    </row>
    <row r="22" spans="1:24" ht="24" thickBot="1" x14ac:dyDescent="0.3">
      <c r="A22" s="5"/>
      <c r="B22" s="10" t="s">
        <v>145</v>
      </c>
      <c r="C22" s="10" t="s">
        <v>48</v>
      </c>
      <c r="D22" s="10" t="s">
        <v>146</v>
      </c>
      <c r="E22" s="10" t="s">
        <v>147</v>
      </c>
      <c r="F22" s="10" t="s">
        <v>148</v>
      </c>
      <c r="G22" s="10" t="s">
        <v>149</v>
      </c>
      <c r="H22" s="10" t="s">
        <v>150</v>
      </c>
      <c r="I22" s="10" t="s">
        <v>151</v>
      </c>
      <c r="J22" s="10" t="s">
        <v>152</v>
      </c>
      <c r="K22" s="5"/>
      <c r="N22" s="8" t="s">
        <v>137</v>
      </c>
      <c r="O22" s="8" t="s">
        <v>138</v>
      </c>
      <c r="P22" s="8" t="s">
        <v>139</v>
      </c>
      <c r="Q22" s="8" t="s">
        <v>140</v>
      </c>
      <c r="R22" s="8" t="s">
        <v>141</v>
      </c>
      <c r="T22" s="141" t="s">
        <v>137</v>
      </c>
      <c r="U22" s="141" t="s">
        <v>138</v>
      </c>
      <c r="V22" s="141" t="s">
        <v>139</v>
      </c>
      <c r="W22" s="141" t="s">
        <v>140</v>
      </c>
      <c r="X22" s="141" t="s">
        <v>141</v>
      </c>
    </row>
    <row r="23" spans="1:24" ht="24" thickBot="1" x14ac:dyDescent="0.3">
      <c r="B23" s="10" t="s">
        <v>153</v>
      </c>
      <c r="C23" s="10"/>
      <c r="D23" s="10"/>
      <c r="E23" s="10"/>
      <c r="F23" s="10"/>
      <c r="G23" s="10"/>
      <c r="H23" s="10"/>
      <c r="I23" s="10"/>
      <c r="J23" s="10"/>
      <c r="N23" s="10" t="s">
        <v>145</v>
      </c>
      <c r="O23" s="10" t="s">
        <v>146</v>
      </c>
      <c r="P23" s="10" t="s">
        <v>147</v>
      </c>
      <c r="Q23" s="10" t="s">
        <v>148</v>
      </c>
      <c r="R23" s="10" t="s">
        <v>149</v>
      </c>
      <c r="T23" s="133" t="s">
        <v>155</v>
      </c>
      <c r="U23" s="138" t="s">
        <v>448</v>
      </c>
      <c r="V23" s="138" t="s">
        <v>1254</v>
      </c>
      <c r="W23" s="138" t="s">
        <v>56</v>
      </c>
      <c r="X23" s="138" t="s">
        <v>154</v>
      </c>
    </row>
    <row r="24" spans="1:24" ht="15.75" thickBot="1" x14ac:dyDescent="0.3">
      <c r="B24" s="12" t="s">
        <v>127</v>
      </c>
      <c r="D24" s="12" t="s">
        <v>246</v>
      </c>
      <c r="E24" s="12" t="s">
        <v>1125</v>
      </c>
      <c r="F24" s="12" t="s">
        <v>56</v>
      </c>
      <c r="G24" s="12" t="s">
        <v>154</v>
      </c>
      <c r="N24" s="10" t="s">
        <v>153</v>
      </c>
      <c r="O24" s="10"/>
      <c r="P24" s="10"/>
      <c r="Q24" s="10"/>
      <c r="R24" s="10"/>
      <c r="T24" s="138"/>
      <c r="U24" s="138" t="s">
        <v>449</v>
      </c>
      <c r="V24" s="138" t="s">
        <v>1255</v>
      </c>
      <c r="W24" s="138" t="s">
        <v>56</v>
      </c>
      <c r="X24" s="138" t="s">
        <v>154</v>
      </c>
    </row>
    <row r="25" spans="1:24" x14ac:dyDescent="0.25">
      <c r="D25" s="12" t="s">
        <v>247</v>
      </c>
      <c r="E25" s="12" t="s">
        <v>1127</v>
      </c>
      <c r="F25" s="12" t="s">
        <v>56</v>
      </c>
      <c r="G25" s="12" t="s">
        <v>154</v>
      </c>
      <c r="N25" s="12" t="s">
        <v>130</v>
      </c>
      <c r="O25" s="12" t="s">
        <v>372</v>
      </c>
      <c r="P25" s="12" t="s">
        <v>1225</v>
      </c>
      <c r="Q25" s="12" t="s">
        <v>56</v>
      </c>
      <c r="R25" s="12" t="s">
        <v>154</v>
      </c>
      <c r="T25" s="138"/>
      <c r="U25" s="138" t="s">
        <v>450</v>
      </c>
      <c r="V25" s="138" t="s">
        <v>1256</v>
      </c>
      <c r="W25" s="138" t="s">
        <v>56</v>
      </c>
      <c r="X25" s="138" t="s">
        <v>154</v>
      </c>
    </row>
    <row r="26" spans="1:24" x14ac:dyDescent="0.25">
      <c r="D26" s="12" t="s">
        <v>248</v>
      </c>
      <c r="E26" s="12" t="s">
        <v>1128</v>
      </c>
      <c r="F26" s="12" t="s">
        <v>56</v>
      </c>
      <c r="G26" s="12" t="s">
        <v>154</v>
      </c>
      <c r="O26" s="12" t="s">
        <v>374</v>
      </c>
      <c r="P26" s="12" t="s">
        <v>1231</v>
      </c>
      <c r="Q26" s="12" t="s">
        <v>56</v>
      </c>
      <c r="R26" s="12" t="s">
        <v>154</v>
      </c>
      <c r="T26" s="138"/>
      <c r="U26" s="138" t="s">
        <v>451</v>
      </c>
      <c r="V26" s="138" t="s">
        <v>1257</v>
      </c>
      <c r="W26" s="138" t="s">
        <v>56</v>
      </c>
      <c r="X26" s="138" t="s">
        <v>154</v>
      </c>
    </row>
    <row r="27" spans="1:24" x14ac:dyDescent="0.25">
      <c r="D27" s="12" t="s">
        <v>249</v>
      </c>
      <c r="E27" s="12" t="s">
        <v>1126</v>
      </c>
      <c r="F27" s="12" t="s">
        <v>56</v>
      </c>
      <c r="G27" s="12" t="s">
        <v>154</v>
      </c>
      <c r="O27" s="12" t="s">
        <v>376</v>
      </c>
      <c r="P27" s="12" t="s">
        <v>1232</v>
      </c>
      <c r="Q27" s="12" t="s">
        <v>56</v>
      </c>
      <c r="R27" s="12" t="s">
        <v>154</v>
      </c>
      <c r="T27" s="138"/>
      <c r="U27" s="138" t="s">
        <v>452</v>
      </c>
      <c r="V27" s="138" t="s">
        <v>1258</v>
      </c>
      <c r="W27" s="138" t="s">
        <v>56</v>
      </c>
      <c r="X27" s="138" t="s">
        <v>154</v>
      </c>
    </row>
    <row r="28" spans="1:24" x14ac:dyDescent="0.25">
      <c r="D28" s="12" t="s">
        <v>250</v>
      </c>
      <c r="E28" s="12" t="s">
        <v>1129</v>
      </c>
      <c r="F28" s="12" t="s">
        <v>56</v>
      </c>
      <c r="G28" s="12" t="s">
        <v>154</v>
      </c>
      <c r="O28" s="12" t="s">
        <v>378</v>
      </c>
      <c r="P28" s="12" t="s">
        <v>1233</v>
      </c>
      <c r="Q28" s="12" t="s">
        <v>56</v>
      </c>
      <c r="R28" s="12" t="s">
        <v>154</v>
      </c>
      <c r="T28" s="138"/>
      <c r="U28" s="138" t="s">
        <v>453</v>
      </c>
      <c r="V28" s="138" t="s">
        <v>1259</v>
      </c>
      <c r="W28" s="138" t="s">
        <v>56</v>
      </c>
      <c r="X28" s="138" t="s">
        <v>154</v>
      </c>
    </row>
    <row r="29" spans="1:24" x14ac:dyDescent="0.25">
      <c r="D29" s="12" t="s">
        <v>251</v>
      </c>
      <c r="E29" s="12" t="s">
        <v>1130</v>
      </c>
      <c r="F29" s="12" t="s">
        <v>56</v>
      </c>
      <c r="G29" s="12" t="s">
        <v>154</v>
      </c>
      <c r="O29" s="12" t="s">
        <v>380</v>
      </c>
      <c r="P29" s="12" t="s">
        <v>1226</v>
      </c>
      <c r="Q29" s="12" t="s">
        <v>56</v>
      </c>
      <c r="R29" s="12" t="s">
        <v>154</v>
      </c>
    </row>
    <row r="30" spans="1:24" x14ac:dyDescent="0.25">
      <c r="D30" s="12" t="s">
        <v>252</v>
      </c>
      <c r="E30" s="12" t="s">
        <v>1131</v>
      </c>
      <c r="F30" s="12" t="s">
        <v>56</v>
      </c>
      <c r="G30" s="12" t="s">
        <v>154</v>
      </c>
      <c r="O30" s="12" t="s">
        <v>382</v>
      </c>
      <c r="P30" s="12" t="s">
        <v>1227</v>
      </c>
      <c r="Q30" s="12" t="s">
        <v>56</v>
      </c>
      <c r="R30" s="12" t="s">
        <v>154</v>
      </c>
    </row>
    <row r="31" spans="1:24" x14ac:dyDescent="0.25">
      <c r="B31" s="12" t="s">
        <v>155</v>
      </c>
      <c r="D31" s="12" t="s">
        <v>253</v>
      </c>
      <c r="E31" s="12" t="s">
        <v>1159</v>
      </c>
      <c r="F31" s="12" t="s">
        <v>56</v>
      </c>
      <c r="G31" s="12" t="s">
        <v>154</v>
      </c>
      <c r="O31" s="12" t="s">
        <v>384</v>
      </c>
      <c r="P31" s="12" t="s">
        <v>1228</v>
      </c>
      <c r="Q31" s="12" t="s">
        <v>56</v>
      </c>
      <c r="R31" s="12" t="s">
        <v>154</v>
      </c>
    </row>
    <row r="32" spans="1:24" x14ac:dyDescent="0.25">
      <c r="D32" s="12" t="s">
        <v>254</v>
      </c>
      <c r="E32" s="12" t="s">
        <v>1160</v>
      </c>
      <c r="F32" s="12" t="s">
        <v>56</v>
      </c>
      <c r="G32" s="12" t="s">
        <v>154</v>
      </c>
      <c r="O32" s="12" t="s">
        <v>386</v>
      </c>
      <c r="P32" s="12" t="s">
        <v>1229</v>
      </c>
      <c r="Q32" s="12" t="s">
        <v>56</v>
      </c>
      <c r="R32" s="12" t="s">
        <v>154</v>
      </c>
    </row>
    <row r="33" spans="4:18" x14ac:dyDescent="0.25">
      <c r="D33" s="12" t="s">
        <v>255</v>
      </c>
      <c r="E33" s="12" t="s">
        <v>1161</v>
      </c>
      <c r="F33" s="12" t="s">
        <v>56</v>
      </c>
      <c r="G33" s="12" t="s">
        <v>154</v>
      </c>
      <c r="O33" s="12" t="s">
        <v>388</v>
      </c>
      <c r="P33" s="12" t="s">
        <v>1230</v>
      </c>
      <c r="Q33" s="12" t="s">
        <v>56</v>
      </c>
      <c r="R33" s="12" t="s">
        <v>154</v>
      </c>
    </row>
    <row r="34" spans="4:18" x14ac:dyDescent="0.25">
      <c r="D34" s="12" t="s">
        <v>256</v>
      </c>
      <c r="E34" s="12" t="s">
        <v>1162</v>
      </c>
      <c r="F34" s="12" t="s">
        <v>56</v>
      </c>
      <c r="G34" s="12" t="s">
        <v>154</v>
      </c>
      <c r="O34" s="12" t="s">
        <v>390</v>
      </c>
      <c r="P34" s="12" t="s">
        <v>1234</v>
      </c>
      <c r="Q34" s="12" t="s">
        <v>56</v>
      </c>
      <c r="R34" s="12" t="s">
        <v>154</v>
      </c>
    </row>
    <row r="35" spans="4:18" x14ac:dyDescent="0.25">
      <c r="D35" s="12" t="s">
        <v>257</v>
      </c>
      <c r="E35" s="12" t="s">
        <v>1163</v>
      </c>
      <c r="F35" s="12" t="s">
        <v>56</v>
      </c>
      <c r="G35" s="12" t="s">
        <v>154</v>
      </c>
      <c r="O35" s="12" t="s">
        <v>392</v>
      </c>
      <c r="P35" s="12" t="s">
        <v>1235</v>
      </c>
      <c r="Q35" s="12" t="s">
        <v>56</v>
      </c>
      <c r="R35" s="12" t="s">
        <v>154</v>
      </c>
    </row>
    <row r="36" spans="4:18" x14ac:dyDescent="0.25">
      <c r="D36" s="12" t="s">
        <v>258</v>
      </c>
      <c r="E36" s="12" t="s">
        <v>1164</v>
      </c>
      <c r="F36" s="12" t="s">
        <v>56</v>
      </c>
      <c r="G36" s="12" t="s">
        <v>154</v>
      </c>
      <c r="O36" s="12" t="s">
        <v>358</v>
      </c>
      <c r="P36" s="12" t="s">
        <v>1236</v>
      </c>
      <c r="Q36" s="12" t="s">
        <v>56</v>
      </c>
      <c r="R36" s="12" t="s">
        <v>154</v>
      </c>
    </row>
    <row r="37" spans="4:18" x14ac:dyDescent="0.25">
      <c r="D37" s="12" t="s">
        <v>259</v>
      </c>
      <c r="E37" s="12" t="s">
        <v>1165</v>
      </c>
      <c r="F37" s="12" t="s">
        <v>56</v>
      </c>
      <c r="G37" s="12" t="s">
        <v>154</v>
      </c>
      <c r="O37" s="12" t="s">
        <v>360</v>
      </c>
      <c r="P37" s="12" t="s">
        <v>1237</v>
      </c>
      <c r="Q37" s="12" t="s">
        <v>56</v>
      </c>
      <c r="R37" s="12" t="s">
        <v>154</v>
      </c>
    </row>
    <row r="38" spans="4:18" x14ac:dyDescent="0.25">
      <c r="D38" s="12" t="s">
        <v>260</v>
      </c>
      <c r="E38" s="12" t="s">
        <v>1132</v>
      </c>
      <c r="F38" s="12" t="s">
        <v>56</v>
      </c>
      <c r="G38" s="12" t="s">
        <v>154</v>
      </c>
      <c r="N38" s="12" t="s">
        <v>128</v>
      </c>
      <c r="O38" s="12" t="s">
        <v>394</v>
      </c>
      <c r="P38" s="12" t="s">
        <v>1238</v>
      </c>
      <c r="Q38" s="12" t="s">
        <v>56</v>
      </c>
      <c r="R38" s="12" t="s">
        <v>154</v>
      </c>
    </row>
    <row r="39" spans="4:18" x14ac:dyDescent="0.25">
      <c r="D39" s="12" t="s">
        <v>261</v>
      </c>
      <c r="E39" s="12" t="s">
        <v>1133</v>
      </c>
      <c r="F39" s="12" t="s">
        <v>56</v>
      </c>
      <c r="G39" s="12" t="s">
        <v>154</v>
      </c>
      <c r="O39" s="12" t="s">
        <v>396</v>
      </c>
      <c r="P39" s="12" t="s">
        <v>1239</v>
      </c>
      <c r="Q39" s="12" t="s">
        <v>56</v>
      </c>
      <c r="R39" s="12" t="s">
        <v>154</v>
      </c>
    </row>
    <row r="40" spans="4:18" x14ac:dyDescent="0.25">
      <c r="D40" s="12" t="s">
        <v>262</v>
      </c>
      <c r="E40" s="12" t="s">
        <v>1134</v>
      </c>
      <c r="F40" s="12" t="s">
        <v>56</v>
      </c>
      <c r="G40" s="12" t="s">
        <v>154</v>
      </c>
      <c r="O40" s="12" t="s">
        <v>398</v>
      </c>
      <c r="P40" s="12" t="s">
        <v>1240</v>
      </c>
      <c r="Q40" s="12" t="s">
        <v>56</v>
      </c>
      <c r="R40" s="12" t="s">
        <v>154</v>
      </c>
    </row>
    <row r="41" spans="4:18" x14ac:dyDescent="0.25">
      <c r="D41" s="12" t="s">
        <v>263</v>
      </c>
      <c r="E41" s="12" t="s">
        <v>1135</v>
      </c>
      <c r="F41" s="12" t="s">
        <v>56</v>
      </c>
      <c r="G41" s="12" t="s">
        <v>154</v>
      </c>
      <c r="O41" s="12" t="s">
        <v>400</v>
      </c>
      <c r="P41" s="12" t="s">
        <v>1241</v>
      </c>
      <c r="Q41" s="12" t="s">
        <v>56</v>
      </c>
      <c r="R41" s="12" t="s">
        <v>154</v>
      </c>
    </row>
    <row r="42" spans="4:18" x14ac:dyDescent="0.25">
      <c r="D42" s="12" t="s">
        <v>264</v>
      </c>
      <c r="E42" s="12" t="s">
        <v>1136</v>
      </c>
      <c r="F42" s="12" t="s">
        <v>56</v>
      </c>
      <c r="G42" s="12" t="s">
        <v>154</v>
      </c>
      <c r="O42" s="12" t="s">
        <v>402</v>
      </c>
      <c r="P42" s="12" t="s">
        <v>1242</v>
      </c>
      <c r="Q42" s="12" t="s">
        <v>56</v>
      </c>
      <c r="R42" s="12" t="s">
        <v>154</v>
      </c>
    </row>
    <row r="43" spans="4:18" x14ac:dyDescent="0.25">
      <c r="D43" s="12" t="s">
        <v>265</v>
      </c>
      <c r="E43" s="12" t="s">
        <v>1137</v>
      </c>
      <c r="F43" s="12" t="s">
        <v>56</v>
      </c>
      <c r="G43" s="12" t="s">
        <v>154</v>
      </c>
      <c r="O43" s="12" t="s">
        <v>404</v>
      </c>
      <c r="P43" s="12" t="s">
        <v>1243</v>
      </c>
      <c r="Q43" s="12" t="s">
        <v>56</v>
      </c>
      <c r="R43" s="12" t="s">
        <v>154</v>
      </c>
    </row>
    <row r="44" spans="4:18" x14ac:dyDescent="0.25">
      <c r="D44" s="12" t="s">
        <v>266</v>
      </c>
      <c r="E44" s="12" t="s">
        <v>1138</v>
      </c>
      <c r="F44" s="12" t="s">
        <v>56</v>
      </c>
      <c r="G44" s="12" t="s">
        <v>154</v>
      </c>
      <c r="O44" s="12" t="s">
        <v>406</v>
      </c>
      <c r="P44" s="12" t="s">
        <v>1244</v>
      </c>
      <c r="Q44" s="12" t="s">
        <v>56</v>
      </c>
      <c r="R44" s="12" t="s">
        <v>154</v>
      </c>
    </row>
    <row r="45" spans="4:18" x14ac:dyDescent="0.25">
      <c r="D45" s="12" t="s">
        <v>267</v>
      </c>
      <c r="E45" s="12" t="s">
        <v>1139</v>
      </c>
      <c r="F45" s="12" t="s">
        <v>56</v>
      </c>
      <c r="G45" s="12" t="s">
        <v>154</v>
      </c>
      <c r="O45" s="12" t="s">
        <v>408</v>
      </c>
      <c r="P45" s="12" t="s">
        <v>1245</v>
      </c>
      <c r="Q45" s="12" t="s">
        <v>56</v>
      </c>
      <c r="R45" s="12" t="s">
        <v>154</v>
      </c>
    </row>
    <row r="46" spans="4:18" x14ac:dyDescent="0.25">
      <c r="D46" s="12" t="s">
        <v>268</v>
      </c>
      <c r="E46" s="12" t="s">
        <v>1140</v>
      </c>
      <c r="F46" s="12" t="s">
        <v>56</v>
      </c>
      <c r="G46" s="12" t="s">
        <v>154</v>
      </c>
      <c r="O46" s="12" t="s">
        <v>410</v>
      </c>
      <c r="P46" s="12" t="s">
        <v>1246</v>
      </c>
      <c r="Q46" s="12" t="s">
        <v>56</v>
      </c>
      <c r="R46" s="12" t="s">
        <v>154</v>
      </c>
    </row>
    <row r="47" spans="4:18" x14ac:dyDescent="0.25">
      <c r="D47" s="12" t="s">
        <v>269</v>
      </c>
      <c r="E47" s="12" t="s">
        <v>1141</v>
      </c>
      <c r="F47" s="12" t="s">
        <v>56</v>
      </c>
      <c r="G47" s="12" t="s">
        <v>154</v>
      </c>
      <c r="O47" s="12" t="s">
        <v>412</v>
      </c>
      <c r="P47" s="12" t="s">
        <v>1247</v>
      </c>
      <c r="Q47" s="12" t="s">
        <v>56</v>
      </c>
      <c r="R47" s="12" t="s">
        <v>154</v>
      </c>
    </row>
    <row r="48" spans="4:18" x14ac:dyDescent="0.25">
      <c r="D48" s="12" t="s">
        <v>277</v>
      </c>
      <c r="E48" s="16" t="s">
        <v>1142</v>
      </c>
      <c r="F48" s="16" t="s">
        <v>56</v>
      </c>
      <c r="G48" s="16" t="s">
        <v>154</v>
      </c>
      <c r="O48" s="12" t="s">
        <v>414</v>
      </c>
      <c r="P48" s="12" t="s">
        <v>1248</v>
      </c>
      <c r="Q48" s="12" t="s">
        <v>56</v>
      </c>
      <c r="R48" s="12" t="s">
        <v>154</v>
      </c>
    </row>
    <row r="49" spans="2:18" x14ac:dyDescent="0.25">
      <c r="D49" s="12" t="s">
        <v>278</v>
      </c>
      <c r="E49" s="16" t="s">
        <v>1143</v>
      </c>
      <c r="F49" s="16" t="s">
        <v>56</v>
      </c>
      <c r="G49" s="16" t="s">
        <v>154</v>
      </c>
      <c r="O49" s="12" t="s">
        <v>362</v>
      </c>
      <c r="P49" s="12" t="s">
        <v>1249</v>
      </c>
      <c r="Q49" s="12" t="s">
        <v>56</v>
      </c>
      <c r="R49" s="12" t="s">
        <v>154</v>
      </c>
    </row>
    <row r="50" spans="2:18" x14ac:dyDescent="0.25">
      <c r="D50" s="12" t="s">
        <v>279</v>
      </c>
      <c r="E50" s="16" t="s">
        <v>1144</v>
      </c>
      <c r="F50" s="16" t="s">
        <v>56</v>
      </c>
      <c r="G50" s="16" t="s">
        <v>154</v>
      </c>
      <c r="O50" s="12" t="s">
        <v>364</v>
      </c>
      <c r="P50" s="12" t="s">
        <v>1250</v>
      </c>
      <c r="Q50" s="12" t="s">
        <v>56</v>
      </c>
      <c r="R50" s="12" t="s">
        <v>154</v>
      </c>
    </row>
    <row r="51" spans="2:18" x14ac:dyDescent="0.25">
      <c r="D51" s="1" t="s">
        <v>280</v>
      </c>
      <c r="E51" s="16" t="s">
        <v>1145</v>
      </c>
      <c r="F51" s="16" t="s">
        <v>56</v>
      </c>
      <c r="G51" s="16" t="s">
        <v>154</v>
      </c>
      <c r="O51" s="12" t="s">
        <v>366</v>
      </c>
      <c r="P51" s="12" t="s">
        <v>1251</v>
      </c>
      <c r="Q51" s="12" t="s">
        <v>56</v>
      </c>
      <c r="R51" s="12" t="s">
        <v>154</v>
      </c>
    </row>
    <row r="52" spans="2:18" x14ac:dyDescent="0.25">
      <c r="D52" s="1" t="s">
        <v>281</v>
      </c>
      <c r="E52" s="16" t="s">
        <v>1146</v>
      </c>
      <c r="F52" s="16" t="s">
        <v>56</v>
      </c>
      <c r="G52" s="16" t="s">
        <v>154</v>
      </c>
      <c r="O52" s="12" t="s">
        <v>368</v>
      </c>
      <c r="P52" s="12" t="s">
        <v>1252</v>
      </c>
      <c r="Q52" s="12" t="s">
        <v>56</v>
      </c>
      <c r="R52" s="12" t="s">
        <v>154</v>
      </c>
    </row>
    <row r="53" spans="2:18" x14ac:dyDescent="0.25">
      <c r="D53" s="1" t="s">
        <v>282</v>
      </c>
      <c r="E53" s="16" t="s">
        <v>1147</v>
      </c>
      <c r="F53" s="16" t="s">
        <v>56</v>
      </c>
      <c r="G53" s="16" t="s">
        <v>154</v>
      </c>
      <c r="O53" s="12" t="s">
        <v>370</v>
      </c>
      <c r="P53" s="12" t="s">
        <v>1253</v>
      </c>
      <c r="Q53" s="12" t="s">
        <v>56</v>
      </c>
      <c r="R53" s="12" t="s">
        <v>154</v>
      </c>
    </row>
    <row r="54" spans="2:18" x14ac:dyDescent="0.25">
      <c r="D54" s="1" t="s">
        <v>283</v>
      </c>
      <c r="E54" s="16" t="s">
        <v>1148</v>
      </c>
      <c r="F54" s="16" t="s">
        <v>56</v>
      </c>
      <c r="G54" s="16" t="s">
        <v>154</v>
      </c>
    </row>
    <row r="55" spans="2:18" x14ac:dyDescent="0.25">
      <c r="D55" s="12" t="s">
        <v>270</v>
      </c>
      <c r="E55" s="16" t="s">
        <v>1149</v>
      </c>
      <c r="F55" s="16" t="s">
        <v>56</v>
      </c>
      <c r="G55" s="16" t="s">
        <v>154</v>
      </c>
    </row>
    <row r="56" spans="2:18" x14ac:dyDescent="0.25">
      <c r="D56" s="12" t="s">
        <v>271</v>
      </c>
      <c r="E56" s="16" t="s">
        <v>1150</v>
      </c>
      <c r="F56" s="16" t="s">
        <v>56</v>
      </c>
      <c r="G56" s="16" t="s">
        <v>154</v>
      </c>
    </row>
    <row r="57" spans="2:18" x14ac:dyDescent="0.25">
      <c r="D57" s="12" t="s">
        <v>272</v>
      </c>
      <c r="E57" s="16" t="s">
        <v>1151</v>
      </c>
      <c r="F57" s="16" t="s">
        <v>56</v>
      </c>
      <c r="G57" s="16" t="s">
        <v>154</v>
      </c>
    </row>
    <row r="58" spans="2:18" x14ac:dyDescent="0.25">
      <c r="D58" s="1" t="s">
        <v>273</v>
      </c>
      <c r="E58" s="16" t="s">
        <v>1152</v>
      </c>
      <c r="F58" s="16" t="s">
        <v>56</v>
      </c>
      <c r="G58" s="16" t="s">
        <v>154</v>
      </c>
    </row>
    <row r="59" spans="2:18" x14ac:dyDescent="0.25">
      <c r="D59" s="1" t="s">
        <v>274</v>
      </c>
      <c r="E59" s="16" t="s">
        <v>1153</v>
      </c>
      <c r="F59" s="16" t="s">
        <v>56</v>
      </c>
      <c r="G59" s="16" t="s">
        <v>154</v>
      </c>
    </row>
    <row r="60" spans="2:18" x14ac:dyDescent="0.25">
      <c r="D60" s="1" t="s">
        <v>275</v>
      </c>
      <c r="E60" s="16" t="s">
        <v>1154</v>
      </c>
      <c r="F60" s="16" t="s">
        <v>56</v>
      </c>
      <c r="G60" s="16" t="s">
        <v>154</v>
      </c>
    </row>
    <row r="61" spans="2:18" x14ac:dyDescent="0.25">
      <c r="D61" s="1" t="s">
        <v>276</v>
      </c>
      <c r="E61" s="16" t="s">
        <v>1155</v>
      </c>
      <c r="F61" s="16" t="s">
        <v>56</v>
      </c>
      <c r="G61" s="16" t="s">
        <v>154</v>
      </c>
    </row>
    <row r="62" spans="2:18" x14ac:dyDescent="0.25">
      <c r="D62" s="12" t="s">
        <v>157</v>
      </c>
      <c r="E62" s="16" t="s">
        <v>1156</v>
      </c>
      <c r="F62" s="16" t="s">
        <v>56</v>
      </c>
      <c r="G62" s="16" t="s">
        <v>154</v>
      </c>
    </row>
    <row r="63" spans="2:18" x14ac:dyDescent="0.25">
      <c r="B63" s="560" t="s">
        <v>893</v>
      </c>
      <c r="D63" s="555" t="s">
        <v>158</v>
      </c>
      <c r="E63" s="556" t="s">
        <v>1157</v>
      </c>
      <c r="F63" s="556" t="s">
        <v>56</v>
      </c>
      <c r="G63" s="556" t="s">
        <v>820</v>
      </c>
    </row>
    <row r="64" spans="2:18" x14ac:dyDescent="0.25">
      <c r="B64" s="560"/>
      <c r="D64" s="555" t="s">
        <v>159</v>
      </c>
      <c r="E64" s="556" t="s">
        <v>1158</v>
      </c>
      <c r="F64" s="556" t="s">
        <v>56</v>
      </c>
      <c r="G64" s="556" t="s">
        <v>820</v>
      </c>
    </row>
    <row r="65" spans="2:7" x14ac:dyDescent="0.25">
      <c r="B65" s="560"/>
      <c r="D65" s="555" t="s">
        <v>160</v>
      </c>
      <c r="E65" s="556" t="s">
        <v>1166</v>
      </c>
      <c r="F65" s="556" t="s">
        <v>56</v>
      </c>
      <c r="G65" s="556" t="s">
        <v>820</v>
      </c>
    </row>
    <row r="66" spans="2:7" x14ac:dyDescent="0.25">
      <c r="B66" s="560"/>
      <c r="D66" s="555" t="s">
        <v>161</v>
      </c>
      <c r="E66" s="556" t="s">
        <v>1167</v>
      </c>
      <c r="F66" s="556" t="s">
        <v>56</v>
      </c>
      <c r="G66" s="556" t="s">
        <v>820</v>
      </c>
    </row>
    <row r="67" spans="2:7" x14ac:dyDescent="0.25">
      <c r="B67" s="560"/>
      <c r="D67" s="555" t="s">
        <v>162</v>
      </c>
      <c r="E67" s="556" t="s">
        <v>1168</v>
      </c>
      <c r="F67" s="556" t="s">
        <v>56</v>
      </c>
      <c r="G67" s="556" t="s">
        <v>820</v>
      </c>
    </row>
    <row r="68" spans="2:7" x14ac:dyDescent="0.25">
      <c r="B68" s="560"/>
      <c r="D68" s="555" t="s">
        <v>163</v>
      </c>
      <c r="E68" s="556" t="s">
        <v>1169</v>
      </c>
      <c r="F68" s="556" t="s">
        <v>56</v>
      </c>
      <c r="G68" s="556" t="s">
        <v>820</v>
      </c>
    </row>
    <row r="69" spans="2:7" x14ac:dyDescent="0.25">
      <c r="B69" s="560"/>
      <c r="D69" s="555" t="s">
        <v>164</v>
      </c>
      <c r="E69" s="556" t="s">
        <v>1170</v>
      </c>
      <c r="F69" s="556" t="s">
        <v>56</v>
      </c>
      <c r="G69" s="556" t="s">
        <v>820</v>
      </c>
    </row>
    <row r="70" spans="2:7" x14ac:dyDescent="0.25">
      <c r="B70" s="560"/>
      <c r="D70" s="555" t="s">
        <v>165</v>
      </c>
      <c r="E70" s="556" t="s">
        <v>1171</v>
      </c>
      <c r="F70" s="556" t="s">
        <v>56</v>
      </c>
      <c r="G70" s="556" t="s">
        <v>820</v>
      </c>
    </row>
    <row r="71" spans="2:7" x14ac:dyDescent="0.25">
      <c r="B71" s="560"/>
      <c r="D71" s="555" t="s">
        <v>166</v>
      </c>
      <c r="E71" s="556" t="s">
        <v>1172</v>
      </c>
      <c r="F71" s="556" t="s">
        <v>56</v>
      </c>
      <c r="G71" s="556" t="s">
        <v>820</v>
      </c>
    </row>
    <row r="72" spans="2:7" x14ac:dyDescent="0.25">
      <c r="B72" s="560"/>
      <c r="D72" s="555" t="s">
        <v>167</v>
      </c>
      <c r="E72" s="556" t="s">
        <v>1173</v>
      </c>
      <c r="F72" s="556" t="s">
        <v>56</v>
      </c>
      <c r="G72" s="556" t="s">
        <v>820</v>
      </c>
    </row>
    <row r="73" spans="2:7" x14ac:dyDescent="0.25">
      <c r="B73" s="560"/>
      <c r="D73" s="555" t="s">
        <v>168</v>
      </c>
      <c r="E73" s="556" t="s">
        <v>1174</v>
      </c>
      <c r="F73" s="556" t="s">
        <v>56</v>
      </c>
      <c r="G73" s="556" t="s">
        <v>820</v>
      </c>
    </row>
    <row r="74" spans="2:7" x14ac:dyDescent="0.25">
      <c r="B74" s="560"/>
      <c r="D74" s="555" t="s">
        <v>169</v>
      </c>
      <c r="E74" s="556" t="s">
        <v>1175</v>
      </c>
      <c r="F74" s="556" t="s">
        <v>56</v>
      </c>
      <c r="G74" s="556" t="s">
        <v>820</v>
      </c>
    </row>
    <row r="75" spans="2:7" x14ac:dyDescent="0.25">
      <c r="B75" s="560"/>
      <c r="D75" s="555" t="s">
        <v>170</v>
      </c>
      <c r="E75" s="556" t="s">
        <v>1176</v>
      </c>
      <c r="F75" s="556" t="s">
        <v>56</v>
      </c>
      <c r="G75" s="556" t="s">
        <v>820</v>
      </c>
    </row>
    <row r="76" spans="2:7" x14ac:dyDescent="0.25">
      <c r="B76" s="560"/>
      <c r="D76" s="555" t="s">
        <v>171</v>
      </c>
      <c r="E76" s="556" t="s">
        <v>1177</v>
      </c>
      <c r="F76" s="556" t="s">
        <v>56</v>
      </c>
      <c r="G76" s="556" t="s">
        <v>820</v>
      </c>
    </row>
    <row r="77" spans="2:7" x14ac:dyDescent="0.25">
      <c r="B77" s="560"/>
      <c r="D77" s="555" t="s">
        <v>172</v>
      </c>
      <c r="E77" s="556" t="s">
        <v>1178</v>
      </c>
      <c r="F77" s="556" t="s">
        <v>56</v>
      </c>
      <c r="G77" s="556" t="s">
        <v>820</v>
      </c>
    </row>
    <row r="78" spans="2:7" x14ac:dyDescent="0.25">
      <c r="B78" s="560"/>
      <c r="D78" s="555" t="s">
        <v>173</v>
      </c>
      <c r="E78" s="556" t="s">
        <v>1179</v>
      </c>
      <c r="F78" s="556" t="s">
        <v>56</v>
      </c>
      <c r="G78" s="556" t="s">
        <v>820</v>
      </c>
    </row>
    <row r="79" spans="2:7" x14ac:dyDescent="0.25">
      <c r="B79" s="560"/>
      <c r="D79" s="555" t="s">
        <v>174</v>
      </c>
      <c r="E79" s="556" t="s">
        <v>1180</v>
      </c>
      <c r="F79" s="556" t="s">
        <v>56</v>
      </c>
      <c r="G79" s="556" t="s">
        <v>820</v>
      </c>
    </row>
    <row r="80" spans="2:7" x14ac:dyDescent="0.25">
      <c r="B80" s="560"/>
      <c r="D80" s="555" t="s">
        <v>175</v>
      </c>
      <c r="E80" s="556" t="s">
        <v>1181</v>
      </c>
      <c r="F80" s="556" t="s">
        <v>56</v>
      </c>
      <c r="G80" s="556" t="s">
        <v>820</v>
      </c>
    </row>
    <row r="81" spans="2:7" x14ac:dyDescent="0.25">
      <c r="B81" s="560"/>
      <c r="D81" s="555" t="s">
        <v>176</v>
      </c>
      <c r="E81" s="556" t="s">
        <v>1182</v>
      </c>
      <c r="F81" s="556" t="s">
        <v>56</v>
      </c>
      <c r="G81" s="556" t="s">
        <v>820</v>
      </c>
    </row>
    <row r="82" spans="2:7" x14ac:dyDescent="0.25">
      <c r="B82" s="560"/>
      <c r="D82" s="555" t="s">
        <v>177</v>
      </c>
      <c r="E82" s="556" t="s">
        <v>1183</v>
      </c>
      <c r="F82" s="556" t="s">
        <v>56</v>
      </c>
      <c r="G82" s="556" t="s">
        <v>820</v>
      </c>
    </row>
    <row r="83" spans="2:7" x14ac:dyDescent="0.25">
      <c r="B83" s="560"/>
      <c r="D83" s="555" t="s">
        <v>178</v>
      </c>
      <c r="E83" s="556" t="s">
        <v>1184</v>
      </c>
      <c r="F83" s="556" t="s">
        <v>56</v>
      </c>
      <c r="G83" s="556" t="s">
        <v>820</v>
      </c>
    </row>
    <row r="84" spans="2:7" x14ac:dyDescent="0.25">
      <c r="B84" s="560"/>
      <c r="D84" s="555" t="s">
        <v>179</v>
      </c>
      <c r="E84" s="556" t="s">
        <v>1185</v>
      </c>
      <c r="F84" s="556" t="s">
        <v>56</v>
      </c>
      <c r="G84" s="556" t="s">
        <v>820</v>
      </c>
    </row>
    <row r="85" spans="2:7" x14ac:dyDescent="0.25">
      <c r="B85" s="560"/>
      <c r="D85" s="555" t="s">
        <v>180</v>
      </c>
      <c r="E85" s="556" t="s">
        <v>1186</v>
      </c>
      <c r="F85" s="556" t="s">
        <v>56</v>
      </c>
      <c r="G85" s="556" t="s">
        <v>820</v>
      </c>
    </row>
    <row r="86" spans="2:7" x14ac:dyDescent="0.25">
      <c r="B86" s="560"/>
      <c r="D86" s="510" t="s">
        <v>894</v>
      </c>
      <c r="E86" s="556" t="s">
        <v>1187</v>
      </c>
      <c r="F86" s="556" t="s">
        <v>56</v>
      </c>
      <c r="G86" s="556" t="s">
        <v>820</v>
      </c>
    </row>
    <row r="87" spans="2:7" x14ac:dyDescent="0.25">
      <c r="B87" s="560"/>
      <c r="D87" s="510" t="s">
        <v>895</v>
      </c>
      <c r="E87" s="556" t="s">
        <v>1188</v>
      </c>
      <c r="F87" s="556" t="s">
        <v>56</v>
      </c>
      <c r="G87" s="556" t="s">
        <v>820</v>
      </c>
    </row>
    <row r="88" spans="2:7" x14ac:dyDescent="0.25">
      <c r="B88" s="560"/>
      <c r="D88" s="510" t="s">
        <v>896</v>
      </c>
      <c r="E88" s="556" t="s">
        <v>1189</v>
      </c>
      <c r="F88" s="556" t="s">
        <v>56</v>
      </c>
      <c r="G88" s="556" t="s">
        <v>820</v>
      </c>
    </row>
    <row r="89" spans="2:7" x14ac:dyDescent="0.25">
      <c r="B89" s="560"/>
      <c r="D89" s="510" t="s">
        <v>897</v>
      </c>
      <c r="E89" s="556" t="s">
        <v>1190</v>
      </c>
      <c r="F89" s="556" t="s">
        <v>56</v>
      </c>
      <c r="G89" s="556" t="s">
        <v>820</v>
      </c>
    </row>
    <row r="90" spans="2:7" x14ac:dyDescent="0.25">
      <c r="B90" s="560"/>
      <c r="D90" s="510" t="s">
        <v>898</v>
      </c>
      <c r="E90" s="556" t="s">
        <v>1191</v>
      </c>
      <c r="F90" s="556" t="s">
        <v>56</v>
      </c>
      <c r="G90" s="556" t="s">
        <v>820</v>
      </c>
    </row>
    <row r="91" spans="2:7" x14ac:dyDescent="0.25">
      <c r="B91" s="560"/>
      <c r="D91" s="510" t="s">
        <v>899</v>
      </c>
      <c r="E91" s="556" t="s">
        <v>1192</v>
      </c>
      <c r="F91" s="556" t="s">
        <v>56</v>
      </c>
      <c r="G91" s="556" t="s">
        <v>820</v>
      </c>
    </row>
    <row r="92" spans="2:7" x14ac:dyDescent="0.25">
      <c r="B92" s="560"/>
      <c r="D92" s="510" t="s">
        <v>900</v>
      </c>
      <c r="E92" s="556" t="s">
        <v>1193</v>
      </c>
      <c r="F92" s="556" t="s">
        <v>56</v>
      </c>
      <c r="G92" s="556" t="s">
        <v>820</v>
      </c>
    </row>
    <row r="93" spans="2:7" x14ac:dyDescent="0.25">
      <c r="B93" s="560"/>
      <c r="D93" s="510" t="s">
        <v>901</v>
      </c>
      <c r="E93" s="556" t="s">
        <v>1194</v>
      </c>
      <c r="F93" s="556" t="s">
        <v>56</v>
      </c>
      <c r="G93" s="556" t="s">
        <v>820</v>
      </c>
    </row>
    <row r="94" spans="2:7" x14ac:dyDescent="0.25">
      <c r="B94" s="560"/>
      <c r="D94" s="510" t="s">
        <v>902</v>
      </c>
      <c r="E94" s="556" t="s">
        <v>1195</v>
      </c>
      <c r="F94" s="556" t="s">
        <v>56</v>
      </c>
      <c r="G94" s="556" t="s">
        <v>820</v>
      </c>
    </row>
    <row r="95" spans="2:7" x14ac:dyDescent="0.25">
      <c r="B95" s="560"/>
      <c r="D95" s="510" t="s">
        <v>903</v>
      </c>
      <c r="E95" s="556" t="s">
        <v>1196</v>
      </c>
      <c r="F95" s="556" t="s">
        <v>56</v>
      </c>
      <c r="G95" s="556" t="s">
        <v>820</v>
      </c>
    </row>
    <row r="96" spans="2:7" x14ac:dyDescent="0.25">
      <c r="B96" s="560"/>
      <c r="D96" s="510" t="s">
        <v>904</v>
      </c>
      <c r="E96" s="556" t="s">
        <v>1197</v>
      </c>
      <c r="F96" s="556" t="s">
        <v>56</v>
      </c>
      <c r="G96" s="556" t="s">
        <v>820</v>
      </c>
    </row>
    <row r="97" spans="2:7" x14ac:dyDescent="0.25">
      <c r="B97" s="560"/>
      <c r="D97" s="510" t="s">
        <v>905</v>
      </c>
      <c r="E97" s="556" t="s">
        <v>1198</v>
      </c>
      <c r="F97" s="556" t="s">
        <v>56</v>
      </c>
      <c r="G97" s="556" t="s">
        <v>820</v>
      </c>
    </row>
    <row r="98" spans="2:7" x14ac:dyDescent="0.25">
      <c r="B98" s="560"/>
      <c r="D98" s="510" t="s">
        <v>906</v>
      </c>
      <c r="E98" s="556" t="s">
        <v>1199</v>
      </c>
      <c r="F98" s="556" t="s">
        <v>56</v>
      </c>
      <c r="G98" s="556" t="s">
        <v>820</v>
      </c>
    </row>
    <row r="99" spans="2:7" x14ac:dyDescent="0.25">
      <c r="B99" s="560"/>
      <c r="D99" s="510" t="s">
        <v>907</v>
      </c>
      <c r="E99" s="556" t="s">
        <v>1200</v>
      </c>
      <c r="F99" s="556" t="s">
        <v>56</v>
      </c>
      <c r="G99" s="556" t="s">
        <v>820</v>
      </c>
    </row>
    <row r="100" spans="2:7" x14ac:dyDescent="0.25">
      <c r="B100" s="560"/>
      <c r="D100" s="510" t="s">
        <v>908</v>
      </c>
      <c r="E100" s="556" t="s">
        <v>1201</v>
      </c>
      <c r="F100" s="556" t="s">
        <v>56</v>
      </c>
      <c r="G100" s="556" t="s">
        <v>820</v>
      </c>
    </row>
    <row r="101" spans="2:7" x14ac:dyDescent="0.25">
      <c r="B101" s="560"/>
      <c r="D101" s="510" t="s">
        <v>909</v>
      </c>
      <c r="E101" s="556" t="s">
        <v>1202</v>
      </c>
      <c r="F101" s="556" t="s">
        <v>56</v>
      </c>
      <c r="G101" s="556" t="s">
        <v>820</v>
      </c>
    </row>
    <row r="102" spans="2:7" x14ac:dyDescent="0.25">
      <c r="B102" s="560"/>
      <c r="D102" s="510" t="s">
        <v>910</v>
      </c>
      <c r="E102" s="556" t="s">
        <v>1203</v>
      </c>
      <c r="F102" s="556" t="s">
        <v>56</v>
      </c>
      <c r="G102" s="556" t="s">
        <v>820</v>
      </c>
    </row>
    <row r="103" spans="2:7" x14ac:dyDescent="0.25">
      <c r="B103" s="560"/>
      <c r="D103" s="510" t="s">
        <v>911</v>
      </c>
      <c r="E103" s="556" t="s">
        <v>1204</v>
      </c>
      <c r="F103" s="556" t="s">
        <v>56</v>
      </c>
      <c r="G103" s="556" t="s">
        <v>820</v>
      </c>
    </row>
    <row r="104" spans="2:7" x14ac:dyDescent="0.25">
      <c r="B104" s="560"/>
      <c r="D104" s="510" t="s">
        <v>912</v>
      </c>
      <c r="E104" s="556" t="s">
        <v>1205</v>
      </c>
      <c r="F104" s="556" t="s">
        <v>56</v>
      </c>
      <c r="G104" s="556" t="s">
        <v>820</v>
      </c>
    </row>
    <row r="105" spans="2:7" x14ac:dyDescent="0.25">
      <c r="B105" s="560"/>
      <c r="D105" s="510" t="s">
        <v>913</v>
      </c>
      <c r="E105" s="556" t="s">
        <v>1206</v>
      </c>
      <c r="F105" s="556" t="s">
        <v>56</v>
      </c>
      <c r="G105" s="556" t="s">
        <v>820</v>
      </c>
    </row>
    <row r="106" spans="2:7" x14ac:dyDescent="0.25">
      <c r="B106" s="560"/>
      <c r="D106" s="510" t="s">
        <v>914</v>
      </c>
      <c r="E106" s="556" t="s">
        <v>1207</v>
      </c>
      <c r="F106" s="556" t="s">
        <v>56</v>
      </c>
      <c r="G106" s="556" t="s">
        <v>820</v>
      </c>
    </row>
    <row r="107" spans="2:7" x14ac:dyDescent="0.25">
      <c r="B107" t="s">
        <v>155</v>
      </c>
      <c r="D107" s="557" t="s">
        <v>181</v>
      </c>
      <c r="E107" s="558" t="s">
        <v>182</v>
      </c>
      <c r="F107" s="559" t="s">
        <v>56</v>
      </c>
      <c r="G107" s="559" t="s">
        <v>154</v>
      </c>
    </row>
    <row r="108" spans="2:7" x14ac:dyDescent="0.25">
      <c r="D108" s="557" t="s">
        <v>183</v>
      </c>
      <c r="E108" s="558" t="s">
        <v>184</v>
      </c>
      <c r="F108" s="559" t="s">
        <v>56</v>
      </c>
      <c r="G108" s="559" t="s">
        <v>154</v>
      </c>
    </row>
    <row r="109" spans="2:7" x14ac:dyDescent="0.25">
      <c r="D109" s="557" t="s">
        <v>185</v>
      </c>
      <c r="E109" s="558" t="s">
        <v>186</v>
      </c>
      <c r="F109" s="559" t="s">
        <v>56</v>
      </c>
      <c r="G109" s="559" t="s">
        <v>154</v>
      </c>
    </row>
    <row r="110" spans="2:7" x14ac:dyDescent="0.25">
      <c r="D110" s="557" t="s">
        <v>187</v>
      </c>
      <c r="E110" s="558" t="s">
        <v>188</v>
      </c>
      <c r="F110" s="559" t="s">
        <v>56</v>
      </c>
      <c r="G110" s="559" t="s">
        <v>154</v>
      </c>
    </row>
    <row r="111" spans="2:7" x14ac:dyDescent="0.25">
      <c r="D111" s="557" t="s">
        <v>189</v>
      </c>
      <c r="E111" s="558" t="s">
        <v>190</v>
      </c>
      <c r="F111" s="559" t="s">
        <v>56</v>
      </c>
      <c r="G111" s="559" t="s">
        <v>154</v>
      </c>
    </row>
    <row r="112" spans="2:7" x14ac:dyDescent="0.25">
      <c r="D112" s="557" t="s">
        <v>191</v>
      </c>
      <c r="E112" s="558" t="s">
        <v>192</v>
      </c>
      <c r="F112" s="559" t="s">
        <v>56</v>
      </c>
      <c r="G112" s="559" t="s">
        <v>154</v>
      </c>
    </row>
    <row r="113" spans="4:7" x14ac:dyDescent="0.25">
      <c r="D113" s="557" t="s">
        <v>865</v>
      </c>
      <c r="E113" s="558" t="s">
        <v>866</v>
      </c>
      <c r="F113" s="559" t="s">
        <v>56</v>
      </c>
      <c r="G113" s="559" t="s">
        <v>154</v>
      </c>
    </row>
    <row r="114" spans="4:7" x14ac:dyDescent="0.25">
      <c r="D114" s="557" t="s">
        <v>867</v>
      </c>
      <c r="E114" s="558" t="s">
        <v>868</v>
      </c>
      <c r="F114" s="559" t="s">
        <v>56</v>
      </c>
      <c r="G114" s="559" t="s">
        <v>154</v>
      </c>
    </row>
    <row r="115" spans="4:7" x14ac:dyDescent="0.25">
      <c r="D115" s="557" t="s">
        <v>869</v>
      </c>
      <c r="E115" s="558" t="s">
        <v>870</v>
      </c>
      <c r="F115" s="559" t="s">
        <v>56</v>
      </c>
      <c r="G115" s="559" t="s">
        <v>154</v>
      </c>
    </row>
    <row r="116" spans="4:7" x14ac:dyDescent="0.25">
      <c r="D116" s="557" t="s">
        <v>871</v>
      </c>
      <c r="E116" s="558" t="s">
        <v>872</v>
      </c>
      <c r="F116" s="559" t="s">
        <v>56</v>
      </c>
      <c r="G116" s="559" t="s">
        <v>154</v>
      </c>
    </row>
    <row r="117" spans="4:7" x14ac:dyDescent="0.25">
      <c r="D117" s="557" t="s">
        <v>873</v>
      </c>
      <c r="E117" s="558" t="s">
        <v>874</v>
      </c>
      <c r="F117" s="559" t="s">
        <v>56</v>
      </c>
      <c r="G117" s="559" t="s">
        <v>154</v>
      </c>
    </row>
    <row r="118" spans="4:7" x14ac:dyDescent="0.25">
      <c r="D118" s="557" t="s">
        <v>875</v>
      </c>
      <c r="E118" s="558" t="s">
        <v>876</v>
      </c>
      <c r="F118" s="559" t="s">
        <v>56</v>
      </c>
      <c r="G118" s="559" t="s">
        <v>154</v>
      </c>
    </row>
    <row r="119" spans="4:7" x14ac:dyDescent="0.25">
      <c r="D119" s="557" t="s">
        <v>877</v>
      </c>
      <c r="E119" s="558" t="s">
        <v>878</v>
      </c>
      <c r="F119" s="559" t="s">
        <v>56</v>
      </c>
      <c r="G119" s="559" t="s">
        <v>154</v>
      </c>
    </row>
    <row r="120" spans="4:7" x14ac:dyDescent="0.25">
      <c r="D120" s="553" t="s">
        <v>879</v>
      </c>
      <c r="E120" s="554" t="s">
        <v>1208</v>
      </c>
      <c r="F120" s="109" t="s">
        <v>56</v>
      </c>
      <c r="G120" s="109" t="s">
        <v>154</v>
      </c>
    </row>
    <row r="121" spans="4:7" x14ac:dyDescent="0.25">
      <c r="D121" s="553" t="s">
        <v>880</v>
      </c>
      <c r="E121" s="554" t="s">
        <v>1208</v>
      </c>
      <c r="F121" s="109" t="s">
        <v>56</v>
      </c>
      <c r="G121" s="109" t="s">
        <v>154</v>
      </c>
    </row>
    <row r="122" spans="4:7" x14ac:dyDescent="0.25">
      <c r="D122" s="553" t="s">
        <v>881</v>
      </c>
      <c r="E122" s="554" t="s">
        <v>1208</v>
      </c>
      <c r="F122" s="109" t="s">
        <v>56</v>
      </c>
      <c r="G122" s="109" t="s">
        <v>154</v>
      </c>
    </row>
    <row r="123" spans="4:7" x14ac:dyDescent="0.25">
      <c r="D123" s="553" t="s">
        <v>882</v>
      </c>
      <c r="E123" s="554" t="s">
        <v>1208</v>
      </c>
      <c r="F123" s="109" t="s">
        <v>56</v>
      </c>
      <c r="G123" s="109" t="s">
        <v>154</v>
      </c>
    </row>
    <row r="124" spans="4:7" x14ac:dyDescent="0.25">
      <c r="D124" s="553" t="s">
        <v>883</v>
      </c>
      <c r="E124" s="554" t="s">
        <v>1208</v>
      </c>
      <c r="F124" s="109" t="s">
        <v>56</v>
      </c>
      <c r="G124" s="109" t="s">
        <v>154</v>
      </c>
    </row>
    <row r="125" spans="4:7" x14ac:dyDescent="0.25">
      <c r="D125" s="553" t="s">
        <v>884</v>
      </c>
      <c r="E125" s="554" t="s">
        <v>1208</v>
      </c>
      <c r="F125" s="109" t="s">
        <v>56</v>
      </c>
      <c r="G125" s="109" t="s">
        <v>154</v>
      </c>
    </row>
    <row r="126" spans="4:7" x14ac:dyDescent="0.25">
      <c r="D126" s="553" t="s">
        <v>885</v>
      </c>
      <c r="E126" s="554" t="s">
        <v>1208</v>
      </c>
      <c r="F126" s="109" t="s">
        <v>56</v>
      </c>
      <c r="G126" s="109" t="s">
        <v>154</v>
      </c>
    </row>
    <row r="127" spans="4:7" x14ac:dyDescent="0.25">
      <c r="D127" s="553" t="s">
        <v>886</v>
      </c>
      <c r="E127" s="554" t="s">
        <v>1209</v>
      </c>
      <c r="F127" s="109" t="s">
        <v>56</v>
      </c>
      <c r="G127" s="109" t="s">
        <v>154</v>
      </c>
    </row>
    <row r="128" spans="4:7" x14ac:dyDescent="0.25">
      <c r="D128" s="553" t="s">
        <v>887</v>
      </c>
      <c r="E128" s="554" t="s">
        <v>1209</v>
      </c>
      <c r="F128" s="109" t="s">
        <v>56</v>
      </c>
      <c r="G128" s="109" t="s">
        <v>154</v>
      </c>
    </row>
    <row r="129" spans="4:7" x14ac:dyDescent="0.25">
      <c r="D129" s="553" t="s">
        <v>888</v>
      </c>
      <c r="E129" s="554" t="s">
        <v>1209</v>
      </c>
      <c r="F129" s="109" t="s">
        <v>56</v>
      </c>
      <c r="G129" s="109" t="s">
        <v>154</v>
      </c>
    </row>
    <row r="130" spans="4:7" x14ac:dyDescent="0.25">
      <c r="D130" s="553" t="s">
        <v>889</v>
      </c>
      <c r="E130" s="554" t="s">
        <v>1209</v>
      </c>
      <c r="F130" s="109" t="s">
        <v>56</v>
      </c>
      <c r="G130" s="109" t="s">
        <v>154</v>
      </c>
    </row>
    <row r="131" spans="4:7" x14ac:dyDescent="0.25">
      <c r="D131" s="553" t="s">
        <v>890</v>
      </c>
      <c r="E131" s="554" t="s">
        <v>1209</v>
      </c>
      <c r="F131" s="109" t="s">
        <v>56</v>
      </c>
      <c r="G131" s="109" t="s">
        <v>154</v>
      </c>
    </row>
    <row r="132" spans="4:7" x14ac:dyDescent="0.25">
      <c r="D132" s="553" t="s">
        <v>891</v>
      </c>
      <c r="E132" s="554" t="s">
        <v>1209</v>
      </c>
      <c r="F132" s="109" t="s">
        <v>56</v>
      </c>
      <c r="G132" s="109" t="s">
        <v>154</v>
      </c>
    </row>
    <row r="133" spans="4:7" x14ac:dyDescent="0.25">
      <c r="D133" s="553" t="s">
        <v>892</v>
      </c>
      <c r="E133" s="554" t="s">
        <v>1209</v>
      </c>
      <c r="F133" s="109" t="s">
        <v>56</v>
      </c>
      <c r="G133" s="109" t="s">
        <v>154</v>
      </c>
    </row>
    <row r="134" spans="4:7" x14ac:dyDescent="0.25">
      <c r="D134" s="19" t="s">
        <v>860</v>
      </c>
      <c r="E134" s="1" t="s">
        <v>1210</v>
      </c>
      <c r="F134" s="12" t="s">
        <v>56</v>
      </c>
      <c r="G134" s="12" t="s">
        <v>154</v>
      </c>
    </row>
    <row r="135" spans="4:7" x14ac:dyDescent="0.25">
      <c r="D135" s="19" t="str">
        <f>GenerationUP!A11</f>
        <v>FTE-FUEL-DSL</v>
      </c>
      <c r="E135" s="1" t="s">
        <v>1211</v>
      </c>
      <c r="F135" s="12" t="s">
        <v>56</v>
      </c>
      <c r="G135" s="12" t="s">
        <v>154</v>
      </c>
    </row>
    <row r="136" spans="4:7" x14ac:dyDescent="0.25">
      <c r="D136" s="19" t="str">
        <f>GenerationUP!A12</f>
        <v>FTE-FUEL-HFO</v>
      </c>
      <c r="E136" s="1" t="s">
        <v>1212</v>
      </c>
      <c r="F136" s="12" t="s">
        <v>56</v>
      </c>
      <c r="G136" s="12" t="s">
        <v>154</v>
      </c>
    </row>
    <row r="137" spans="4:7" x14ac:dyDescent="0.25">
      <c r="D137" t="str">
        <f>Demand!G11</f>
        <v>FTE-EKER</v>
      </c>
      <c r="E137" s="1" t="s">
        <v>1213</v>
      </c>
      <c r="F137" s="12" t="s">
        <v>56</v>
      </c>
      <c r="G137" s="12" t="s">
        <v>154</v>
      </c>
    </row>
    <row r="138" spans="4:7" x14ac:dyDescent="0.25">
      <c r="D138" t="str">
        <f>Demand!G12</f>
        <v>FTE-ELPG</v>
      </c>
      <c r="E138" s="1" t="s">
        <v>1214</v>
      </c>
      <c r="F138" s="12" t="s">
        <v>56</v>
      </c>
      <c r="G138" s="12" t="s">
        <v>154</v>
      </c>
    </row>
    <row r="139" spans="4:7" x14ac:dyDescent="0.25">
      <c r="D139" t="str">
        <f>Demand!G13</f>
        <v>FTE-EHFO</v>
      </c>
      <c r="E139" s="1" t="s">
        <v>1215</v>
      </c>
      <c r="F139" s="12" t="s">
        <v>56</v>
      </c>
      <c r="G139" s="12" t="s">
        <v>154</v>
      </c>
    </row>
    <row r="140" spans="4:7" x14ac:dyDescent="0.25">
      <c r="D140" t="str">
        <f>Demand!G14</f>
        <v>FTE-EGAS</v>
      </c>
      <c r="E140" s="169" t="s">
        <v>1216</v>
      </c>
      <c r="F140" s="12" t="s">
        <v>56</v>
      </c>
      <c r="G140" s="12" t="s">
        <v>154</v>
      </c>
    </row>
    <row r="141" spans="4:7" x14ac:dyDescent="0.25">
      <c r="D141" t="str">
        <f>Demand!G15</f>
        <v>FTE-ELOIL</v>
      </c>
      <c r="E141" s="169" t="s">
        <v>1217</v>
      </c>
      <c r="F141" s="12" t="s">
        <v>56</v>
      </c>
      <c r="G141" s="12" t="s">
        <v>154</v>
      </c>
    </row>
    <row r="142" spans="4:7" x14ac:dyDescent="0.25">
      <c r="D142" t="str">
        <f>Demand!G16</f>
        <v>FTE-EMOIL</v>
      </c>
      <c r="E142" s="169" t="s">
        <v>1218</v>
      </c>
      <c r="F142" s="12" t="s">
        <v>56</v>
      </c>
      <c r="G142" s="12" t="s">
        <v>154</v>
      </c>
    </row>
    <row r="143" spans="4:7" x14ac:dyDescent="0.25">
      <c r="D143" t="str">
        <f>Demand!G17</f>
        <v>FTE-EHOIL</v>
      </c>
      <c r="E143" s="169" t="s">
        <v>1219</v>
      </c>
      <c r="F143" s="12" t="s">
        <v>56</v>
      </c>
      <c r="G143" s="12" t="s">
        <v>154</v>
      </c>
    </row>
    <row r="144" spans="4:7" x14ac:dyDescent="0.25">
      <c r="D144" t="str">
        <f>Demand!G18</f>
        <v>FTE-EAVG</v>
      </c>
      <c r="E144" s="169" t="s">
        <v>1220</v>
      </c>
      <c r="F144" s="12" t="s">
        <v>56</v>
      </c>
      <c r="G144" s="12" t="s">
        <v>154</v>
      </c>
    </row>
    <row r="145" spans="4:7" x14ac:dyDescent="0.25">
      <c r="D145" t="str" cm="1">
        <f t="array" ref="D145:D148">Demand!G27:G30</f>
        <v>FTE-EGSL</v>
      </c>
      <c r="E145" s="169" t="s">
        <v>1221</v>
      </c>
      <c r="F145" s="12" t="s">
        <v>56</v>
      </c>
      <c r="G145" s="12" t="s">
        <v>154</v>
      </c>
    </row>
    <row r="146" spans="4:7" x14ac:dyDescent="0.25">
      <c r="D146" t="str">
        <v>FTE-EDSL</v>
      </c>
      <c r="E146" s="169" t="s">
        <v>1222</v>
      </c>
      <c r="F146" s="12" t="s">
        <v>56</v>
      </c>
      <c r="G146" s="12" t="s">
        <v>154</v>
      </c>
    </row>
    <row r="147" spans="4:7" x14ac:dyDescent="0.25">
      <c r="D147" t="str">
        <v>FTE-EETH</v>
      </c>
      <c r="E147" s="169" t="s">
        <v>1223</v>
      </c>
      <c r="F147" s="12" t="s">
        <v>56</v>
      </c>
      <c r="G147" s="12" t="s">
        <v>154</v>
      </c>
    </row>
    <row r="148" spans="4:7" x14ac:dyDescent="0.25">
      <c r="D148" t="str">
        <v>FTE-EBDSL</v>
      </c>
      <c r="E148" s="169" t="s">
        <v>1222</v>
      </c>
      <c r="F148" s="12" t="s">
        <v>56</v>
      </c>
      <c r="G148" s="12" t="s">
        <v>154</v>
      </c>
    </row>
  </sheetData>
  <mergeCells count="1">
    <mergeCell ref="B18:J18"/>
  </mergeCells>
  <phoneticPr fontId="49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6D85-C7CA-4610-B054-86851C159C70}">
  <dimension ref="A1:W44"/>
  <sheetViews>
    <sheetView showGridLines="0" zoomScale="55" zoomScaleNormal="55" workbookViewId="0">
      <selection activeCell="F37" sqref="F37"/>
    </sheetView>
  </sheetViews>
  <sheetFormatPr baseColWidth="10" defaultRowHeight="15" x14ac:dyDescent="0.25"/>
  <cols>
    <col min="4" max="4" width="23.28515625" customWidth="1"/>
  </cols>
  <sheetData>
    <row r="1" spans="2:15" s="20" customFormat="1" x14ac:dyDescent="0.25"/>
    <row r="2" spans="2:15" s="20" customFormat="1" x14ac:dyDescent="0.25"/>
    <row r="3" spans="2:15" s="20" customFormat="1" x14ac:dyDescent="0.25">
      <c r="J3" s="75"/>
      <c r="K3" s="32"/>
      <c r="L3" s="32" t="s">
        <v>318</v>
      </c>
      <c r="M3" s="32" t="s">
        <v>353</v>
      </c>
      <c r="N3" s="32" t="s">
        <v>352</v>
      </c>
      <c r="O3" s="32" t="s">
        <v>354</v>
      </c>
    </row>
    <row r="4" spans="2:15" s="20" customFormat="1" ht="45" x14ac:dyDescent="0.25">
      <c r="B4" s="67" t="s">
        <v>284</v>
      </c>
      <c r="C4" s="67" t="s">
        <v>49</v>
      </c>
      <c r="D4" s="67" t="s">
        <v>285</v>
      </c>
      <c r="E4" s="67" t="s">
        <v>286</v>
      </c>
      <c r="F4" s="67" t="s">
        <v>287</v>
      </c>
      <c r="G4" s="67" t="s">
        <v>288</v>
      </c>
      <c r="J4" s="76" t="s">
        <v>323</v>
      </c>
      <c r="K4" s="77" t="s">
        <v>49</v>
      </c>
      <c r="L4" s="32" t="s">
        <v>351</v>
      </c>
      <c r="M4" s="32" t="s">
        <v>350</v>
      </c>
      <c r="N4" s="32" t="s">
        <v>350</v>
      </c>
      <c r="O4" s="77" t="s">
        <v>356</v>
      </c>
    </row>
    <row r="5" spans="2:15" s="20" customFormat="1" x14ac:dyDescent="0.25">
      <c r="B5" s="67" t="s">
        <v>289</v>
      </c>
      <c r="C5" s="67" t="s">
        <v>7</v>
      </c>
      <c r="D5" s="67" t="s">
        <v>290</v>
      </c>
      <c r="E5" s="67" t="s">
        <v>291</v>
      </c>
      <c r="F5" s="68">
        <v>1.0095573442026637E-3</v>
      </c>
      <c r="G5" s="69">
        <v>55.539114956987063</v>
      </c>
      <c r="J5" s="76" t="s">
        <v>291</v>
      </c>
      <c r="K5" s="77" t="s">
        <v>7</v>
      </c>
      <c r="L5" s="78">
        <f t="shared" ref="L5:L17" si="0">G5</f>
        <v>55.539114956987063</v>
      </c>
      <c r="M5" s="79">
        <f>N5/1000</f>
        <v>1.01E-3</v>
      </c>
      <c r="N5" s="80">
        <f>F25</f>
        <v>1.01</v>
      </c>
      <c r="O5" s="79">
        <f>(1/M5)/365</f>
        <v>2.7126000271260002</v>
      </c>
    </row>
    <row r="6" spans="2:15" s="20" customFormat="1" x14ac:dyDescent="0.25">
      <c r="B6" s="67" t="s">
        <v>292</v>
      </c>
      <c r="C6" s="67" t="s">
        <v>13</v>
      </c>
      <c r="D6" s="67" t="s">
        <v>293</v>
      </c>
      <c r="E6" s="67" t="s">
        <v>294</v>
      </c>
      <c r="F6" s="70">
        <v>6.0871741676095334</v>
      </c>
      <c r="G6" s="71">
        <v>77.841777688967127</v>
      </c>
      <c r="J6" s="76" t="s">
        <v>355</v>
      </c>
      <c r="K6" s="77" t="s">
        <v>13</v>
      </c>
      <c r="L6" s="78">
        <f t="shared" si="0"/>
        <v>77.841777688967127</v>
      </c>
      <c r="M6" s="79">
        <f t="shared" ref="M6:M17" si="1">N6/1000</f>
        <v>6.0899999999999999E-3</v>
      </c>
      <c r="N6" s="80">
        <f t="shared" ref="N6:N15" si="2">F26</f>
        <v>6.09</v>
      </c>
      <c r="O6" s="79">
        <f t="shared" ref="O6:O17" si="3">(1/M6)/365</f>
        <v>0.44987291090267001</v>
      </c>
    </row>
    <row r="7" spans="2:15" s="20" customFormat="1" x14ac:dyDescent="0.25">
      <c r="B7" s="67" t="s">
        <v>295</v>
      </c>
      <c r="C7" s="67" t="s">
        <v>17</v>
      </c>
      <c r="D7" s="67" t="s">
        <v>293</v>
      </c>
      <c r="E7" s="67" t="s">
        <v>294</v>
      </c>
      <c r="F7" s="70"/>
      <c r="G7" s="71"/>
      <c r="J7" s="76" t="s">
        <v>355</v>
      </c>
      <c r="K7" s="77" t="s">
        <v>17</v>
      </c>
      <c r="L7" s="78">
        <f t="shared" si="0"/>
        <v>0</v>
      </c>
      <c r="M7" s="79">
        <f t="shared" si="1"/>
        <v>6.0899999999999999E-3</v>
      </c>
      <c r="N7" s="80">
        <f t="shared" si="2"/>
        <v>6.09</v>
      </c>
      <c r="O7" s="79">
        <f t="shared" si="3"/>
        <v>0.44987291090267001</v>
      </c>
    </row>
    <row r="8" spans="2:15" s="20" customFormat="1" x14ac:dyDescent="0.25">
      <c r="B8" s="67" t="s">
        <v>296</v>
      </c>
      <c r="C8" s="67" t="s">
        <v>21</v>
      </c>
      <c r="D8" s="67" t="s">
        <v>293</v>
      </c>
      <c r="E8" s="67" t="s">
        <v>294</v>
      </c>
      <c r="F8" s="70"/>
      <c r="G8" s="71"/>
      <c r="J8" s="76" t="s">
        <v>355</v>
      </c>
      <c r="K8" s="77" t="s">
        <v>21</v>
      </c>
      <c r="L8" s="78">
        <f t="shared" si="0"/>
        <v>0</v>
      </c>
      <c r="M8" s="79">
        <f t="shared" si="1"/>
        <v>6.0899999999999999E-3</v>
      </c>
      <c r="N8" s="80">
        <f t="shared" si="2"/>
        <v>6.09</v>
      </c>
      <c r="O8" s="79">
        <f t="shared" si="3"/>
        <v>0.44987291090267001</v>
      </c>
    </row>
    <row r="9" spans="2:15" s="20" customFormat="1" x14ac:dyDescent="0.25">
      <c r="B9" s="67" t="s">
        <v>297</v>
      </c>
      <c r="C9" s="67" t="s">
        <v>8</v>
      </c>
      <c r="D9" s="67" t="s">
        <v>298</v>
      </c>
      <c r="E9" s="67" t="s">
        <v>294</v>
      </c>
      <c r="F9" s="68">
        <v>5.3308987344700309</v>
      </c>
      <c r="G9" s="69">
        <v>69.193827140333724</v>
      </c>
      <c r="J9" s="76" t="s">
        <v>355</v>
      </c>
      <c r="K9" s="77" t="s">
        <v>8</v>
      </c>
      <c r="L9" s="78">
        <f t="shared" si="0"/>
        <v>69.193827140333724</v>
      </c>
      <c r="M9" s="79">
        <f t="shared" si="1"/>
        <v>5.3299999999999997E-3</v>
      </c>
      <c r="N9" s="80">
        <f t="shared" si="2"/>
        <v>5.33</v>
      </c>
      <c r="O9" s="79">
        <f t="shared" si="3"/>
        <v>0.51401989256984248</v>
      </c>
    </row>
    <row r="10" spans="2:15" s="20" customFormat="1" x14ac:dyDescent="0.25">
      <c r="B10" s="67" t="s">
        <v>60</v>
      </c>
      <c r="C10" s="67" t="s">
        <v>14</v>
      </c>
      <c r="D10" s="67" t="s">
        <v>299</v>
      </c>
      <c r="E10" s="67" t="s">
        <v>294</v>
      </c>
      <c r="F10" s="68">
        <v>5.6708498400612823</v>
      </c>
      <c r="G10" s="69">
        <v>75.166375708662926</v>
      </c>
      <c r="J10" s="76" t="s">
        <v>355</v>
      </c>
      <c r="K10" s="77" t="s">
        <v>14</v>
      </c>
      <c r="L10" s="78">
        <f t="shared" si="0"/>
        <v>75.166375708662926</v>
      </c>
      <c r="M10" s="79">
        <f t="shared" si="1"/>
        <v>5.6699999999999997E-3</v>
      </c>
      <c r="N10" s="80">
        <f t="shared" si="2"/>
        <v>5.67</v>
      </c>
      <c r="O10" s="79">
        <f t="shared" si="3"/>
        <v>0.48319683022879367</v>
      </c>
    </row>
    <row r="11" spans="2:15" s="20" customFormat="1" x14ac:dyDescent="0.25">
      <c r="B11" s="67" t="s">
        <v>300</v>
      </c>
      <c r="C11" s="67" t="s">
        <v>18</v>
      </c>
      <c r="D11" s="67" t="s">
        <v>301</v>
      </c>
      <c r="E11" s="67" t="s">
        <v>294</v>
      </c>
      <c r="F11" s="68">
        <v>4.7117947967516214</v>
      </c>
      <c r="G11" s="69">
        <v>87.735056011523966</v>
      </c>
      <c r="J11" s="76" t="s">
        <v>355</v>
      </c>
      <c r="K11" s="77" t="s">
        <v>18</v>
      </c>
      <c r="L11" s="78">
        <f t="shared" si="0"/>
        <v>87.735056011523966</v>
      </c>
      <c r="M11" s="79">
        <f t="shared" si="1"/>
        <v>4.7099999999999998E-3</v>
      </c>
      <c r="N11" s="80">
        <f t="shared" si="2"/>
        <v>4.71</v>
      </c>
      <c r="O11" s="79">
        <f t="shared" si="3"/>
        <v>0.58168280836459885</v>
      </c>
    </row>
    <row r="12" spans="2:15" s="20" customFormat="1" ht="30" x14ac:dyDescent="0.25">
      <c r="B12" s="67" t="s">
        <v>22</v>
      </c>
      <c r="C12" s="67" t="s">
        <v>22</v>
      </c>
      <c r="D12" s="67" t="s">
        <v>302</v>
      </c>
      <c r="E12" s="67" t="s">
        <v>294</v>
      </c>
      <c r="F12" s="68">
        <v>4.0562660463586173</v>
      </c>
      <c r="G12" s="69">
        <v>47.28933824683137</v>
      </c>
      <c r="J12" s="76" t="s">
        <v>355</v>
      </c>
      <c r="K12" s="77" t="s">
        <v>22</v>
      </c>
      <c r="L12" s="78">
        <f t="shared" si="0"/>
        <v>47.28933824683137</v>
      </c>
      <c r="M12" s="79">
        <f t="shared" si="1"/>
        <v>4.0599999999999994E-3</v>
      </c>
      <c r="N12" s="80">
        <f t="shared" si="2"/>
        <v>4.0599999999999996</v>
      </c>
      <c r="O12" s="79">
        <f t="shared" si="3"/>
        <v>0.67480936635400512</v>
      </c>
    </row>
    <row r="13" spans="2:15" s="20" customFormat="1" x14ac:dyDescent="0.25">
      <c r="B13" s="67" t="s">
        <v>303</v>
      </c>
      <c r="C13" s="67" t="s">
        <v>26</v>
      </c>
      <c r="D13" s="67" t="s">
        <v>304</v>
      </c>
      <c r="E13" s="67" t="s">
        <v>294</v>
      </c>
      <c r="F13" s="68">
        <v>5.4608206169323079</v>
      </c>
      <c r="G13" s="69">
        <v>78.281203343664757</v>
      </c>
      <c r="J13" s="76" t="s">
        <v>355</v>
      </c>
      <c r="K13" s="77" t="s">
        <v>26</v>
      </c>
      <c r="L13" s="78">
        <f t="shared" si="0"/>
        <v>78.281203343664757</v>
      </c>
      <c r="M13" s="79">
        <f t="shared" si="1"/>
        <v>5.4599999999999996E-3</v>
      </c>
      <c r="N13" s="80">
        <f t="shared" si="2"/>
        <v>5.46</v>
      </c>
      <c r="O13" s="79">
        <f t="shared" si="3"/>
        <v>0.50178132369913198</v>
      </c>
    </row>
    <row r="14" spans="2:15" s="20" customFormat="1" x14ac:dyDescent="0.25">
      <c r="B14" s="67" t="s">
        <v>305</v>
      </c>
      <c r="C14" s="67" t="s">
        <v>69</v>
      </c>
      <c r="D14" s="67" t="s">
        <v>306</v>
      </c>
      <c r="E14" s="67" t="s">
        <v>294</v>
      </c>
      <c r="F14" s="68">
        <v>4.7615165047769556</v>
      </c>
      <c r="G14" s="69">
        <v>56.337812381502502</v>
      </c>
      <c r="J14" s="76" t="s">
        <v>355</v>
      </c>
      <c r="K14" s="77" t="s">
        <v>69</v>
      </c>
      <c r="L14" s="78">
        <f t="shared" si="0"/>
        <v>56.337812381502502</v>
      </c>
      <c r="M14" s="79">
        <f t="shared" si="1"/>
        <v>4.7599999999999995E-3</v>
      </c>
      <c r="N14" s="80">
        <f t="shared" si="2"/>
        <v>4.76</v>
      </c>
      <c r="O14" s="79">
        <f t="shared" si="3"/>
        <v>0.57557269483135731</v>
      </c>
    </row>
    <row r="15" spans="2:15" s="20" customFormat="1" ht="30" x14ac:dyDescent="0.25">
      <c r="B15" s="67" t="s">
        <v>73</v>
      </c>
      <c r="C15" s="67" t="s">
        <v>72</v>
      </c>
      <c r="D15" s="67" t="s">
        <v>307</v>
      </c>
      <c r="E15" s="67" t="s">
        <v>291</v>
      </c>
      <c r="F15" s="68">
        <v>5.2741115873405024E-3</v>
      </c>
      <c r="G15" s="69">
        <v>40.784041574326501</v>
      </c>
      <c r="J15" s="76" t="s">
        <v>291</v>
      </c>
      <c r="K15" s="77" t="s">
        <v>72</v>
      </c>
      <c r="L15" s="78">
        <f t="shared" si="0"/>
        <v>40.784041574326501</v>
      </c>
      <c r="M15" s="79">
        <f t="shared" si="1"/>
        <v>1E-3</v>
      </c>
      <c r="N15" s="80">
        <f t="shared" si="2"/>
        <v>1</v>
      </c>
      <c r="O15" s="79">
        <f t="shared" si="3"/>
        <v>2.7397260273972601</v>
      </c>
    </row>
    <row r="16" spans="2:15" s="20" customFormat="1" x14ac:dyDescent="0.25">
      <c r="B16" s="67" t="s">
        <v>308</v>
      </c>
      <c r="C16" s="67" t="s">
        <v>32</v>
      </c>
      <c r="D16" s="67" t="s">
        <v>309</v>
      </c>
      <c r="E16" s="67" t="s">
        <v>294</v>
      </c>
      <c r="F16" s="68">
        <v>5.1927630695557223</v>
      </c>
      <c r="G16" s="69">
        <v>84.75811612074672</v>
      </c>
      <c r="J16" s="76" t="s">
        <v>355</v>
      </c>
      <c r="K16" s="77" t="s">
        <v>32</v>
      </c>
      <c r="L16" s="78">
        <f t="shared" si="0"/>
        <v>84.75811612074672</v>
      </c>
      <c r="M16" s="79">
        <f t="shared" si="1"/>
        <v>5.2741115873405006E-3</v>
      </c>
      <c r="N16" s="80">
        <f>1/O38</f>
        <v>5.2741115873405002</v>
      </c>
      <c r="O16" s="79">
        <f t="shared" si="3"/>
        <v>0.51946683001047045</v>
      </c>
    </row>
    <row r="17" spans="1:23" s="20" customFormat="1" x14ac:dyDescent="0.25">
      <c r="B17" s="67" t="s">
        <v>62</v>
      </c>
      <c r="C17" s="67" t="s">
        <v>30</v>
      </c>
      <c r="D17" s="67" t="s">
        <v>310</v>
      </c>
      <c r="E17" s="67" t="s">
        <v>294</v>
      </c>
      <c r="F17" s="68">
        <v>5.6336916725609152</v>
      </c>
      <c r="G17" s="69">
        <v>54.806487022879928</v>
      </c>
      <c r="J17" s="76" t="s">
        <v>355</v>
      </c>
      <c r="K17" s="77" t="s">
        <v>30</v>
      </c>
      <c r="L17" s="78">
        <f t="shared" si="0"/>
        <v>54.806487022879928</v>
      </c>
      <c r="M17" s="79">
        <f t="shared" si="1"/>
        <v>2.93359348985015E-3</v>
      </c>
      <c r="N17" s="80">
        <f>1/O37</f>
        <v>2.9335934898501499</v>
      </c>
      <c r="O17" s="79">
        <f t="shared" si="3"/>
        <v>0.93391468070690575</v>
      </c>
    </row>
    <row r="18" spans="1:23" s="20" customFormat="1" x14ac:dyDescent="0.25">
      <c r="B18" s="72" t="s">
        <v>311</v>
      </c>
      <c r="C18" s="72" t="s">
        <v>9</v>
      </c>
      <c r="D18" s="72" t="s">
        <v>312</v>
      </c>
      <c r="E18" s="72" t="s">
        <v>313</v>
      </c>
      <c r="F18" s="72" t="s">
        <v>314</v>
      </c>
      <c r="G18" s="72"/>
      <c r="K18" s="61"/>
      <c r="L18" s="73"/>
      <c r="M18" s="74"/>
      <c r="N18" s="61"/>
      <c r="O18" s="61"/>
    </row>
    <row r="19" spans="1:23" s="20" customFormat="1" x14ac:dyDescent="0.25">
      <c r="J19" s="32" t="s">
        <v>59</v>
      </c>
      <c r="K19" s="32" t="s">
        <v>357</v>
      </c>
      <c r="L19" s="32">
        <v>0</v>
      </c>
      <c r="M19" s="32">
        <v>0.1201</v>
      </c>
      <c r="N19" s="61"/>
      <c r="O19" s="61"/>
    </row>
    <row r="20" spans="1:23" s="20" customFormat="1" x14ac:dyDescent="0.25"/>
    <row r="21" spans="1:23" s="20" customFormat="1" x14ac:dyDescent="0.25"/>
    <row r="22" spans="1:23" s="20" customFormat="1" x14ac:dyDescent="0.25">
      <c r="A22" s="22" t="s">
        <v>315</v>
      </c>
      <c r="B22" s="23" t="str">
        <f>+"DIC11"</f>
        <v>DIC11</v>
      </c>
      <c r="C22" s="24"/>
      <c r="D22" s="24"/>
      <c r="E22" s="25"/>
      <c r="F22" s="26" t="s">
        <v>316</v>
      </c>
      <c r="G22" s="26" t="s">
        <v>317</v>
      </c>
    </row>
    <row r="23" spans="1:23" s="20" customFormat="1" ht="15.75" thickBot="1" x14ac:dyDescent="0.3">
      <c r="A23" s="24"/>
      <c r="B23" s="24"/>
      <c r="C23" s="24"/>
      <c r="D23" s="24"/>
      <c r="E23" s="25"/>
      <c r="F23" s="26"/>
      <c r="G23" s="26" t="s">
        <v>318</v>
      </c>
      <c r="L23" s="20">
        <f>1000*42</f>
        <v>42000</v>
      </c>
    </row>
    <row r="24" spans="1:23" s="20" customFormat="1" ht="34.5" x14ac:dyDescent="0.3">
      <c r="A24" s="27" t="s">
        <v>6</v>
      </c>
      <c r="B24" s="28" t="str">
        <f>+C24</f>
        <v>GU - Gas</v>
      </c>
      <c r="C24" s="21" t="s">
        <v>319</v>
      </c>
      <c r="D24" s="24"/>
      <c r="E24" s="29" t="s">
        <v>320</v>
      </c>
      <c r="F24" s="26" t="s">
        <v>321</v>
      </c>
      <c r="G24" s="26" t="s">
        <v>322</v>
      </c>
      <c r="H24" s="30" t="s">
        <v>323</v>
      </c>
      <c r="I24" s="31" t="s">
        <v>324</v>
      </c>
      <c r="J24" s="32"/>
      <c r="L24" s="20" t="s">
        <v>325</v>
      </c>
    </row>
    <row r="25" spans="1:23" s="20" customFormat="1" ht="15.75" x14ac:dyDescent="0.25">
      <c r="A25" s="27" t="s">
        <v>12</v>
      </c>
      <c r="B25" s="28" t="str">
        <f t="shared" ref="B25:B30" si="4">+C25</f>
        <v>LLO - Ligth</v>
      </c>
      <c r="C25" s="33" t="s">
        <v>326</v>
      </c>
      <c r="D25" s="24"/>
      <c r="E25" s="34" t="s">
        <v>7</v>
      </c>
      <c r="F25" s="35">
        <v>1.01</v>
      </c>
      <c r="G25" s="35">
        <v>55.54</v>
      </c>
      <c r="H25" s="36">
        <f t="shared" ref="H25:I34" si="5">+S25</f>
        <v>2.7126000271260002</v>
      </c>
      <c r="I25" s="37" t="str">
        <f t="shared" si="5"/>
        <v>MPC/d</v>
      </c>
      <c r="J25" s="38"/>
      <c r="O25" s="20">
        <f t="shared" ref="O25:O35" si="6">1/F25</f>
        <v>0.99009900990099009</v>
      </c>
      <c r="P25" s="39" t="s">
        <v>327</v>
      </c>
      <c r="Q25" s="20">
        <f>+O25*1000</f>
        <v>990.09900990099004</v>
      </c>
      <c r="R25" s="39" t="s">
        <v>328</v>
      </c>
      <c r="S25" s="20">
        <f>+Q25/365</f>
        <v>2.7126000271260002</v>
      </c>
      <c r="T25" s="39" t="s">
        <v>329</v>
      </c>
      <c r="W25" s="20">
        <v>2.7126000271260002</v>
      </c>
    </row>
    <row r="26" spans="1:23" s="20" customFormat="1" x14ac:dyDescent="0.25">
      <c r="A26" s="27" t="s">
        <v>16</v>
      </c>
      <c r="B26" s="28" t="str">
        <f t="shared" si="4"/>
        <v>LLO - Heavy</v>
      </c>
      <c r="C26" s="40" t="s">
        <v>330</v>
      </c>
      <c r="D26" s="24"/>
      <c r="E26" s="34" t="s">
        <v>13</v>
      </c>
      <c r="F26" s="35">
        <v>6.09</v>
      </c>
      <c r="G26" s="35">
        <v>77.84</v>
      </c>
      <c r="H26" s="36">
        <f t="shared" si="5"/>
        <v>0.44987291090267001</v>
      </c>
      <c r="I26" s="37" t="str">
        <f t="shared" si="5"/>
        <v>Kb/d</v>
      </c>
      <c r="J26" s="38"/>
      <c r="L26" s="41">
        <f>+H26*1000*42</f>
        <v>18894.662257912139</v>
      </c>
      <c r="O26" s="20">
        <f t="shared" si="6"/>
        <v>0.16420361247947454</v>
      </c>
      <c r="P26" s="39" t="s">
        <v>331</v>
      </c>
      <c r="Q26" s="20">
        <f>+O26*1000</f>
        <v>164.20361247947454</v>
      </c>
      <c r="R26" s="39" t="s">
        <v>332</v>
      </c>
      <c r="S26" s="20">
        <f>+Q26/365</f>
        <v>0.44987291090267001</v>
      </c>
      <c r="T26" s="39" t="s">
        <v>333</v>
      </c>
      <c r="W26" s="20">
        <v>0.44987291090267001</v>
      </c>
    </row>
    <row r="27" spans="1:23" s="20" customFormat="1" x14ac:dyDescent="0.25">
      <c r="A27" s="27" t="s">
        <v>20</v>
      </c>
      <c r="B27" s="28" t="str">
        <f t="shared" si="4"/>
        <v>PU - Ligth</v>
      </c>
      <c r="C27" s="40" t="s">
        <v>334</v>
      </c>
      <c r="D27" s="24"/>
      <c r="E27" s="34" t="s">
        <v>17</v>
      </c>
      <c r="F27" s="35">
        <v>6.09</v>
      </c>
      <c r="G27" s="35">
        <v>77.84</v>
      </c>
      <c r="H27" s="36">
        <f t="shared" si="5"/>
        <v>0.44987291090267001</v>
      </c>
      <c r="I27" s="37" t="str">
        <f t="shared" si="5"/>
        <v>Kb/d</v>
      </c>
      <c r="J27" s="38"/>
      <c r="L27" s="41">
        <f t="shared" ref="L27:L34" si="7">+H27*1000*42</f>
        <v>18894.662257912139</v>
      </c>
      <c r="O27" s="20">
        <f t="shared" si="6"/>
        <v>0.16420361247947454</v>
      </c>
      <c r="P27" s="39" t="s">
        <v>331</v>
      </c>
      <c r="Q27" s="20">
        <f t="shared" ref="Q27:Q35" si="8">+O27*1000</f>
        <v>164.20361247947454</v>
      </c>
      <c r="R27" s="39" t="s">
        <v>332</v>
      </c>
      <c r="S27" s="20">
        <f t="shared" ref="S27:S35" si="9">+Q27/365</f>
        <v>0.44987291090267001</v>
      </c>
      <c r="T27" s="39" t="s">
        <v>333</v>
      </c>
      <c r="W27" s="20">
        <v>0.44987291090267001</v>
      </c>
    </row>
    <row r="28" spans="1:23" s="20" customFormat="1" ht="30" x14ac:dyDescent="0.25">
      <c r="A28" s="27" t="s">
        <v>24</v>
      </c>
      <c r="B28" s="28" t="str">
        <f t="shared" si="4"/>
        <v>VMM - Medium</v>
      </c>
      <c r="C28" s="40" t="s">
        <v>335</v>
      </c>
      <c r="D28" s="24"/>
      <c r="E28" s="34" t="s">
        <v>21</v>
      </c>
      <c r="F28" s="35">
        <v>6.09</v>
      </c>
      <c r="G28" s="35">
        <v>77.84</v>
      </c>
      <c r="H28" s="36">
        <f t="shared" si="5"/>
        <v>0.44987291090267001</v>
      </c>
      <c r="I28" s="37" t="str">
        <f t="shared" si="5"/>
        <v>Kb/d</v>
      </c>
      <c r="J28" s="38"/>
      <c r="L28" s="41">
        <f t="shared" si="7"/>
        <v>18894.662257912139</v>
      </c>
      <c r="O28" s="20">
        <f t="shared" si="6"/>
        <v>0.16420361247947454</v>
      </c>
      <c r="P28" s="39" t="s">
        <v>331</v>
      </c>
      <c r="Q28" s="20">
        <f t="shared" si="8"/>
        <v>164.20361247947454</v>
      </c>
      <c r="R28" s="39" t="s">
        <v>332</v>
      </c>
      <c r="S28" s="20">
        <f t="shared" si="9"/>
        <v>0.44987291090267001</v>
      </c>
      <c r="T28" s="39" t="s">
        <v>333</v>
      </c>
      <c r="W28" s="20">
        <v>0.44987291090267001</v>
      </c>
    </row>
    <row r="29" spans="1:23" s="20" customFormat="1" ht="31.5" x14ac:dyDescent="0.25">
      <c r="A29" s="27" t="s">
        <v>28</v>
      </c>
      <c r="B29" s="28" t="str">
        <f t="shared" si="4"/>
        <v>VSM - Medium</v>
      </c>
      <c r="C29" s="33" t="s">
        <v>336</v>
      </c>
      <c r="D29" s="24"/>
      <c r="E29" s="34" t="s">
        <v>8</v>
      </c>
      <c r="F29" s="35">
        <v>5.33</v>
      </c>
      <c r="G29" s="35">
        <v>69.19</v>
      </c>
      <c r="H29" s="36">
        <f t="shared" si="5"/>
        <v>0.51401989256984237</v>
      </c>
      <c r="I29" s="37" t="str">
        <f t="shared" si="5"/>
        <v>Kb/d</v>
      </c>
      <c r="J29" s="38"/>
      <c r="L29" s="41">
        <f t="shared" si="7"/>
        <v>21588.835487933378</v>
      </c>
      <c r="O29" s="20">
        <f t="shared" si="6"/>
        <v>0.18761726078799248</v>
      </c>
      <c r="P29" s="39" t="s">
        <v>331</v>
      </c>
      <c r="Q29" s="20">
        <f t="shared" si="8"/>
        <v>187.61726078799248</v>
      </c>
      <c r="R29" s="39" t="s">
        <v>332</v>
      </c>
      <c r="S29" s="20">
        <f t="shared" si="9"/>
        <v>0.51401989256984237</v>
      </c>
      <c r="T29" s="39" t="s">
        <v>333</v>
      </c>
      <c r="W29" s="20">
        <v>0.51401989256984237</v>
      </c>
    </row>
    <row r="30" spans="1:23" s="20" customFormat="1" ht="15.75" x14ac:dyDescent="0.25">
      <c r="A30" s="27" t="s">
        <v>31</v>
      </c>
      <c r="B30" s="28" t="str">
        <f t="shared" si="4"/>
        <v>VIM - GAS</v>
      </c>
      <c r="C30" s="33" t="s">
        <v>337</v>
      </c>
      <c r="D30" s="24"/>
      <c r="E30" s="34" t="s">
        <v>14</v>
      </c>
      <c r="F30" s="35">
        <v>5.67</v>
      </c>
      <c r="G30" s="35">
        <v>75.17</v>
      </c>
      <c r="H30" s="36">
        <f t="shared" si="5"/>
        <v>0.48319683022879367</v>
      </c>
      <c r="I30" s="37" t="str">
        <f t="shared" si="5"/>
        <v>Kb/d</v>
      </c>
      <c r="J30" s="38"/>
      <c r="L30" s="41">
        <f t="shared" si="7"/>
        <v>20294.266869609335</v>
      </c>
      <c r="O30" s="20">
        <f t="shared" si="6"/>
        <v>0.17636684303350969</v>
      </c>
      <c r="P30" s="39" t="s">
        <v>331</v>
      </c>
      <c r="Q30" s="20">
        <f t="shared" si="8"/>
        <v>176.3668430335097</v>
      </c>
      <c r="R30" s="39" t="s">
        <v>332</v>
      </c>
      <c r="S30" s="20">
        <f t="shared" si="9"/>
        <v>0.48319683022879367</v>
      </c>
      <c r="T30" s="39" t="s">
        <v>333</v>
      </c>
      <c r="W30" s="20">
        <v>0.48319683022879367</v>
      </c>
    </row>
    <row r="31" spans="1:23" s="20" customFormat="1" x14ac:dyDescent="0.25">
      <c r="A31" s="42" t="s">
        <v>338</v>
      </c>
      <c r="B31" s="28"/>
      <c r="D31" s="24"/>
      <c r="E31" s="34" t="s">
        <v>18</v>
      </c>
      <c r="F31" s="35">
        <v>4.71</v>
      </c>
      <c r="G31" s="35">
        <v>87.74</v>
      </c>
      <c r="H31" s="36">
        <f t="shared" si="5"/>
        <v>0.58168280836459885</v>
      </c>
      <c r="I31" s="37" t="str">
        <f t="shared" si="5"/>
        <v>Kb/d</v>
      </c>
      <c r="J31" s="38"/>
      <c r="L31" s="41">
        <f t="shared" si="7"/>
        <v>24430.677951313151</v>
      </c>
      <c r="O31" s="20">
        <f t="shared" si="6"/>
        <v>0.21231422505307856</v>
      </c>
      <c r="P31" s="39" t="s">
        <v>331</v>
      </c>
      <c r="Q31" s="20">
        <f t="shared" si="8"/>
        <v>212.31422505307856</v>
      </c>
      <c r="R31" s="39" t="s">
        <v>332</v>
      </c>
      <c r="S31" s="20">
        <f t="shared" si="9"/>
        <v>0.58168280836459885</v>
      </c>
      <c r="T31" s="39" t="s">
        <v>333</v>
      </c>
      <c r="W31" s="20">
        <v>0.58168280836459885</v>
      </c>
    </row>
    <row r="32" spans="1:23" s="20" customFormat="1" x14ac:dyDescent="0.25">
      <c r="A32" s="24"/>
      <c r="B32" s="24"/>
      <c r="C32" s="24"/>
      <c r="D32" s="24"/>
      <c r="E32" s="34" t="s">
        <v>22</v>
      </c>
      <c r="F32" s="35">
        <v>4.0599999999999996</v>
      </c>
      <c r="G32" s="35">
        <v>47.29</v>
      </c>
      <c r="H32" s="36">
        <f t="shared" si="5"/>
        <v>0.67480936635400501</v>
      </c>
      <c r="I32" s="37" t="str">
        <f t="shared" si="5"/>
        <v>Kb/d</v>
      </c>
      <c r="J32" s="38"/>
      <c r="L32" s="41">
        <f t="shared" si="7"/>
        <v>28341.993386868209</v>
      </c>
      <c r="O32" s="20">
        <f t="shared" si="6"/>
        <v>0.24630541871921185</v>
      </c>
      <c r="P32" s="39" t="s">
        <v>331</v>
      </c>
      <c r="Q32" s="20">
        <f t="shared" si="8"/>
        <v>246.30541871921184</v>
      </c>
      <c r="R32" s="39" t="s">
        <v>332</v>
      </c>
      <c r="S32" s="20">
        <f t="shared" si="9"/>
        <v>0.67480936635400501</v>
      </c>
      <c r="T32" s="39" t="s">
        <v>333</v>
      </c>
      <c r="W32" s="20">
        <v>0.67480936635400501</v>
      </c>
    </row>
    <row r="33" spans="1:23" s="20" customFormat="1" ht="15.75" thickBot="1" x14ac:dyDescent="0.3">
      <c r="A33" s="24"/>
      <c r="B33" s="24"/>
      <c r="C33" s="24"/>
      <c r="D33" s="24"/>
      <c r="E33" s="34" t="s">
        <v>26</v>
      </c>
      <c r="F33" s="35">
        <v>5.46</v>
      </c>
      <c r="G33" s="35">
        <v>78.28</v>
      </c>
      <c r="H33" s="36">
        <f t="shared" si="5"/>
        <v>0.50178132369913186</v>
      </c>
      <c r="I33" s="37" t="str">
        <f t="shared" si="5"/>
        <v>Kb/d</v>
      </c>
      <c r="J33" s="38"/>
      <c r="L33" s="41">
        <f t="shared" si="7"/>
        <v>21074.81559536354</v>
      </c>
      <c r="O33" s="20">
        <f t="shared" si="6"/>
        <v>0.18315018315018314</v>
      </c>
      <c r="P33" s="39" t="s">
        <v>331</v>
      </c>
      <c r="Q33" s="20">
        <f t="shared" si="8"/>
        <v>183.15018315018312</v>
      </c>
      <c r="R33" s="39" t="s">
        <v>332</v>
      </c>
      <c r="S33" s="20">
        <f t="shared" si="9"/>
        <v>0.50178132369913186</v>
      </c>
      <c r="T33" s="39" t="s">
        <v>333</v>
      </c>
      <c r="W33" s="20">
        <v>0.50178132369913186</v>
      </c>
    </row>
    <row r="34" spans="1:23" s="20" customFormat="1" ht="15.75" x14ac:dyDescent="0.3">
      <c r="A34" s="715" t="s">
        <v>339</v>
      </c>
      <c r="B34" s="716"/>
      <c r="C34" s="24"/>
      <c r="D34" s="24"/>
      <c r="E34" s="34" t="s">
        <v>69</v>
      </c>
      <c r="F34" s="35">
        <v>4.76</v>
      </c>
      <c r="G34" s="35">
        <v>56.34</v>
      </c>
      <c r="H34" s="36">
        <f t="shared" si="5"/>
        <v>0.5755726948313572</v>
      </c>
      <c r="I34" s="37" t="str">
        <f t="shared" si="5"/>
        <v>Kb/d</v>
      </c>
      <c r="J34" s="38"/>
      <c r="L34" s="41">
        <f t="shared" si="7"/>
        <v>24174.053182917003</v>
      </c>
      <c r="O34" s="20">
        <f t="shared" si="6"/>
        <v>0.21008403361344538</v>
      </c>
      <c r="P34" s="39" t="s">
        <v>331</v>
      </c>
      <c r="Q34" s="20">
        <f t="shared" si="8"/>
        <v>210.08403361344537</v>
      </c>
      <c r="R34" s="39" t="s">
        <v>332</v>
      </c>
      <c r="S34" s="20">
        <f t="shared" si="9"/>
        <v>0.5755726948313572</v>
      </c>
      <c r="T34" s="39" t="s">
        <v>333</v>
      </c>
      <c r="W34" s="20">
        <v>0.5755726948313572</v>
      </c>
    </row>
    <row r="35" spans="1:23" s="20" customFormat="1" x14ac:dyDescent="0.25">
      <c r="A35" s="43">
        <v>1</v>
      </c>
      <c r="B35" s="44" t="s">
        <v>340</v>
      </c>
      <c r="C35" s="24"/>
      <c r="D35" s="24"/>
      <c r="E35" s="34" t="s">
        <v>72</v>
      </c>
      <c r="F35" s="35">
        <v>1</v>
      </c>
      <c r="G35" s="35">
        <v>40.78</v>
      </c>
      <c r="H35" s="36">
        <f>+S35</f>
        <v>2.7397260273972601</v>
      </c>
      <c r="I35" s="37" t="str">
        <f>+I25</f>
        <v>MPC/d</v>
      </c>
      <c r="J35" s="38"/>
      <c r="O35" s="20">
        <f t="shared" si="6"/>
        <v>1</v>
      </c>
      <c r="P35" s="39" t="s">
        <v>331</v>
      </c>
      <c r="Q35" s="20">
        <f t="shared" si="8"/>
        <v>1000</v>
      </c>
      <c r="R35" s="39" t="s">
        <v>332</v>
      </c>
      <c r="S35" s="20">
        <f t="shared" si="9"/>
        <v>2.7397260273972601</v>
      </c>
      <c r="T35" s="39" t="s">
        <v>333</v>
      </c>
      <c r="W35" s="20">
        <v>0.65387256023800955</v>
      </c>
    </row>
    <row r="36" spans="1:23" s="20" customFormat="1" ht="15.75" thickBot="1" x14ac:dyDescent="0.3">
      <c r="A36" s="45">
        <v>3299</v>
      </c>
      <c r="B36" s="46" t="s">
        <v>341</v>
      </c>
      <c r="C36" s="24"/>
      <c r="D36" s="24"/>
      <c r="E36" s="34" t="s">
        <v>9</v>
      </c>
      <c r="H36" s="36">
        <f>1/0.0036</f>
        <v>277.77777777777777</v>
      </c>
      <c r="I36" s="37" t="s">
        <v>342</v>
      </c>
      <c r="J36" s="38"/>
      <c r="W36" s="20">
        <v>277.77777777777777</v>
      </c>
    </row>
    <row r="37" spans="1:23" s="20" customFormat="1" x14ac:dyDescent="0.25">
      <c r="A37" s="24"/>
      <c r="B37" s="24"/>
      <c r="C37" s="24"/>
      <c r="D37" s="24"/>
      <c r="E37" s="34" t="s">
        <v>30</v>
      </c>
      <c r="G37" s="20">
        <v>84.8</v>
      </c>
      <c r="H37" s="36">
        <f>+S37</f>
        <v>0.93391468070690575</v>
      </c>
      <c r="I37" s="37" t="str">
        <f>+T37</f>
        <v>Kb/d</v>
      </c>
      <c r="J37" s="38"/>
      <c r="L37" s="41">
        <f>+H37*1000*42</f>
        <v>39224.416589690045</v>
      </c>
      <c r="O37" s="20">
        <f>1/2.93359348985015</f>
        <v>0.34087885845802063</v>
      </c>
      <c r="P37" s="39" t="s">
        <v>331</v>
      </c>
      <c r="Q37" s="20">
        <f>+O37*1000</f>
        <v>340.8788584580206</v>
      </c>
      <c r="R37" s="39" t="s">
        <v>332</v>
      </c>
      <c r="S37" s="20">
        <f>+Q37/365</f>
        <v>0.93391468070690575</v>
      </c>
      <c r="T37" s="39" t="s">
        <v>333</v>
      </c>
    </row>
    <row r="38" spans="1:23" s="20" customFormat="1" ht="15.75" thickBot="1" x14ac:dyDescent="0.3">
      <c r="A38" s="24"/>
      <c r="B38" s="24"/>
      <c r="C38" s="24"/>
      <c r="D38" s="24"/>
      <c r="E38" s="34" t="s">
        <v>32</v>
      </c>
      <c r="G38" s="20">
        <v>54.8</v>
      </c>
      <c r="H38" s="36">
        <f>+S38</f>
        <v>0.51946683001047056</v>
      </c>
      <c r="I38" s="37" t="str">
        <f>+T38</f>
        <v>Kb/d</v>
      </c>
      <c r="J38" s="38"/>
      <c r="L38" s="41">
        <f>+H38*1000*42</f>
        <v>21817.606860439762</v>
      </c>
      <c r="O38" s="20">
        <f>1/5.2741115873405</f>
        <v>0.18960539295382173</v>
      </c>
      <c r="P38" s="39" t="s">
        <v>331</v>
      </c>
      <c r="Q38" s="20">
        <f>+O38*1000</f>
        <v>189.60539295382173</v>
      </c>
      <c r="R38" s="39" t="s">
        <v>332</v>
      </c>
      <c r="S38" s="20">
        <f>+Q38/365</f>
        <v>0.51946683001047056</v>
      </c>
      <c r="T38" s="39" t="s">
        <v>333</v>
      </c>
    </row>
    <row r="39" spans="1:23" s="20" customFormat="1" x14ac:dyDescent="0.25">
      <c r="A39" s="47">
        <v>1</v>
      </c>
      <c r="B39" s="48" t="s">
        <v>343</v>
      </c>
      <c r="C39" s="49"/>
      <c r="D39" s="24"/>
      <c r="E39" s="34" t="s">
        <v>36</v>
      </c>
      <c r="H39" s="50">
        <v>1</v>
      </c>
      <c r="I39" s="51" t="s">
        <v>344</v>
      </c>
      <c r="J39" s="52"/>
      <c r="W39" s="20">
        <v>1</v>
      </c>
    </row>
    <row r="40" spans="1:23" s="20" customFormat="1" ht="30.75" thickBot="1" x14ac:dyDescent="0.3">
      <c r="A40" s="53">
        <f>+A36*1000000</f>
        <v>3299000000</v>
      </c>
      <c r="B40" s="54" t="s">
        <v>345</v>
      </c>
      <c r="C40" s="24"/>
      <c r="D40" s="24"/>
      <c r="E40" s="34" t="s">
        <v>346</v>
      </c>
      <c r="H40" s="50">
        <f>+H25/H26</f>
        <v>6.0297029702970297</v>
      </c>
      <c r="I40" s="51" t="s">
        <v>347</v>
      </c>
      <c r="J40" s="52"/>
      <c r="W40" s="20">
        <v>6.0297029702970297</v>
      </c>
    </row>
    <row r="41" spans="1:23" s="20" customFormat="1" ht="15.75" thickBot="1" x14ac:dyDescent="0.3">
      <c r="A41" s="24"/>
      <c r="B41" s="24"/>
      <c r="C41" s="24"/>
      <c r="D41" s="24"/>
      <c r="E41" s="55" t="s">
        <v>348</v>
      </c>
      <c r="F41" s="24"/>
      <c r="H41" s="56" t="e">
        <f>+O41/1000</f>
        <v>#DIV/0!</v>
      </c>
      <c r="I41" s="57" t="s">
        <v>318</v>
      </c>
      <c r="J41" s="58"/>
      <c r="O41" s="20" t="e">
        <f>1/D956</f>
        <v>#DIV/0!</v>
      </c>
      <c r="P41" s="59" t="s">
        <v>349</v>
      </c>
    </row>
    <row r="42" spans="1:23" s="20" customFormat="1" x14ac:dyDescent="0.25">
      <c r="A42" s="60"/>
      <c r="B42" s="60"/>
      <c r="C42" s="60"/>
      <c r="D42" s="60"/>
      <c r="E42" s="60"/>
      <c r="F42" s="24"/>
      <c r="H42" s="61"/>
      <c r="I42" s="61"/>
      <c r="J42" s="61"/>
      <c r="M42" s="28"/>
    </row>
    <row r="43" spans="1:23" s="64" customFormat="1" ht="15.75" thickBot="1" x14ac:dyDescent="0.3">
      <c r="A43" s="62"/>
      <c r="B43" s="62"/>
      <c r="C43" s="62"/>
      <c r="D43" s="62"/>
      <c r="E43" s="62"/>
      <c r="F43" s="63"/>
      <c r="H43" s="65"/>
      <c r="I43" s="65"/>
      <c r="J43" s="65"/>
      <c r="M43" s="66"/>
    </row>
    <row r="44" spans="1:23" s="20" customFormat="1" x14ac:dyDescent="0.25"/>
  </sheetData>
  <mergeCells count="1">
    <mergeCell ref="A34:B34"/>
  </mergeCells>
  <conditionalFormatting sqref="K22:K43">
    <cfRule type="containsText" dxfId="44" priority="1" operator="containsText" text="ELC">
      <formula>NOT(ISERROR(SEARCH("ELC",K22)))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4B80-AE71-4299-8970-006F8A4C982E}">
  <dimension ref="B3:AI183"/>
  <sheetViews>
    <sheetView showGridLines="0" topLeftCell="A37" zoomScale="85" zoomScaleNormal="85" workbookViewId="0">
      <selection activeCell="E46" sqref="E46"/>
    </sheetView>
  </sheetViews>
  <sheetFormatPr baseColWidth="10" defaultRowHeight="15" x14ac:dyDescent="0.25"/>
  <cols>
    <col min="3" max="3" width="16.7109375" customWidth="1"/>
    <col min="4" max="4" width="36.5703125" customWidth="1"/>
    <col min="5" max="12" width="15.7109375" customWidth="1"/>
  </cols>
  <sheetData>
    <row r="3" spans="2:19" x14ac:dyDescent="0.25">
      <c r="R3" s="110">
        <v>947817</v>
      </c>
      <c r="S3" s="110" t="s">
        <v>437</v>
      </c>
    </row>
    <row r="4" spans="2:19" x14ac:dyDescent="0.25">
      <c r="B4" s="15" t="s">
        <v>136</v>
      </c>
      <c r="C4" s="1"/>
      <c r="D4" s="1"/>
      <c r="E4" s="1"/>
      <c r="F4" s="1"/>
      <c r="H4" s="15"/>
      <c r="I4" s="1"/>
      <c r="J4" s="1"/>
      <c r="K4" s="1"/>
      <c r="L4" s="1"/>
    </row>
    <row r="5" spans="2:19" x14ac:dyDescent="0.25">
      <c r="B5" s="8" t="s">
        <v>137</v>
      </c>
      <c r="C5" s="8" t="s">
        <v>138</v>
      </c>
      <c r="D5" s="8" t="s">
        <v>139</v>
      </c>
      <c r="E5" s="8" t="s">
        <v>140</v>
      </c>
      <c r="F5" s="8" t="s">
        <v>141</v>
      </c>
    </row>
    <row r="6" spans="2:19" ht="24" thickBot="1" x14ac:dyDescent="0.3">
      <c r="B6" s="10" t="s">
        <v>145</v>
      </c>
      <c r="C6" s="10" t="s">
        <v>146</v>
      </c>
      <c r="D6" s="10" t="s">
        <v>147</v>
      </c>
      <c r="E6" s="10" t="s">
        <v>148</v>
      </c>
      <c r="F6" s="10" t="s">
        <v>149</v>
      </c>
    </row>
    <row r="7" spans="2:19" ht="15.75" thickBot="1" x14ac:dyDescent="0.3">
      <c r="B7" s="10" t="s">
        <v>153</v>
      </c>
      <c r="C7" s="10"/>
      <c r="D7" s="10"/>
      <c r="E7" s="10"/>
      <c r="F7" s="10"/>
    </row>
    <row r="8" spans="2:19" x14ac:dyDescent="0.25">
      <c r="B8" s="12" t="s">
        <v>130</v>
      </c>
      <c r="C8" s="12" t="s">
        <v>372</v>
      </c>
      <c r="D8" s="12" t="s">
        <v>373</v>
      </c>
      <c r="E8" s="12" t="s">
        <v>56</v>
      </c>
      <c r="F8" s="12" t="s">
        <v>154</v>
      </c>
    </row>
    <row r="9" spans="2:19" x14ac:dyDescent="0.25">
      <c r="C9" s="12" t="s">
        <v>374</v>
      </c>
      <c r="D9" s="12" t="s">
        <v>375</v>
      </c>
      <c r="E9" s="12" t="s">
        <v>56</v>
      </c>
      <c r="F9" s="12" t="s">
        <v>154</v>
      </c>
    </row>
    <row r="10" spans="2:19" x14ac:dyDescent="0.25">
      <c r="C10" s="12" t="s">
        <v>376</v>
      </c>
      <c r="D10" s="12" t="s">
        <v>377</v>
      </c>
      <c r="E10" s="12" t="s">
        <v>56</v>
      </c>
      <c r="F10" s="12" t="s">
        <v>154</v>
      </c>
    </row>
    <row r="11" spans="2:19" x14ac:dyDescent="0.25">
      <c r="C11" s="12" t="s">
        <v>378</v>
      </c>
      <c r="D11" s="12" t="s">
        <v>379</v>
      </c>
      <c r="E11" s="12" t="s">
        <v>56</v>
      </c>
      <c r="F11" s="12" t="s">
        <v>154</v>
      </c>
    </row>
    <row r="12" spans="2:19" x14ac:dyDescent="0.25">
      <c r="C12" s="12" t="s">
        <v>380</v>
      </c>
      <c r="D12" s="12" t="s">
        <v>381</v>
      </c>
      <c r="E12" s="12" t="s">
        <v>56</v>
      </c>
      <c r="F12" s="12" t="s">
        <v>154</v>
      </c>
    </row>
    <row r="13" spans="2:19" x14ac:dyDescent="0.25">
      <c r="C13" s="12" t="s">
        <v>382</v>
      </c>
      <c r="D13" s="12" t="s">
        <v>383</v>
      </c>
      <c r="E13" s="12" t="s">
        <v>56</v>
      </c>
      <c r="F13" s="12" t="s">
        <v>154</v>
      </c>
    </row>
    <row r="14" spans="2:19" x14ac:dyDescent="0.25">
      <c r="C14" s="12" t="s">
        <v>384</v>
      </c>
      <c r="D14" s="12" t="s">
        <v>385</v>
      </c>
      <c r="E14" s="12" t="s">
        <v>56</v>
      </c>
      <c r="F14" s="12" t="s">
        <v>154</v>
      </c>
    </row>
    <row r="15" spans="2:19" x14ac:dyDescent="0.25">
      <c r="C15" s="12" t="s">
        <v>386</v>
      </c>
      <c r="D15" s="12" t="s">
        <v>387</v>
      </c>
      <c r="E15" s="12" t="s">
        <v>56</v>
      </c>
      <c r="F15" s="12" t="s">
        <v>154</v>
      </c>
    </row>
    <row r="16" spans="2:19" x14ac:dyDescent="0.25">
      <c r="C16" s="12" t="s">
        <v>388</v>
      </c>
      <c r="D16" s="12" t="s">
        <v>389</v>
      </c>
      <c r="E16" s="12" t="s">
        <v>56</v>
      </c>
      <c r="F16" s="12" t="s">
        <v>154</v>
      </c>
    </row>
    <row r="17" spans="2:6" x14ac:dyDescent="0.25">
      <c r="C17" s="12" t="s">
        <v>390</v>
      </c>
      <c r="D17" s="12" t="s">
        <v>391</v>
      </c>
      <c r="E17" s="12" t="s">
        <v>56</v>
      </c>
      <c r="F17" s="12" t="s">
        <v>154</v>
      </c>
    </row>
    <row r="18" spans="2:6" x14ac:dyDescent="0.25">
      <c r="C18" s="12" t="s">
        <v>392</v>
      </c>
      <c r="D18" s="12" t="s">
        <v>393</v>
      </c>
      <c r="E18" s="12" t="s">
        <v>56</v>
      </c>
      <c r="F18" s="12" t="s">
        <v>154</v>
      </c>
    </row>
    <row r="19" spans="2:6" x14ac:dyDescent="0.25">
      <c r="C19" s="12" t="s">
        <v>358</v>
      </c>
      <c r="D19" s="12" t="s">
        <v>359</v>
      </c>
      <c r="E19" s="12" t="s">
        <v>56</v>
      </c>
      <c r="F19" s="12" t="s">
        <v>154</v>
      </c>
    </row>
    <row r="20" spans="2:6" x14ac:dyDescent="0.25">
      <c r="C20" s="12" t="s">
        <v>360</v>
      </c>
      <c r="D20" s="12" t="s">
        <v>361</v>
      </c>
      <c r="E20" s="12" t="s">
        <v>56</v>
      </c>
      <c r="F20" s="12" t="s">
        <v>154</v>
      </c>
    </row>
    <row r="21" spans="2:6" x14ac:dyDescent="0.25">
      <c r="B21" s="12" t="s">
        <v>128</v>
      </c>
      <c r="C21" s="12" t="s">
        <v>394</v>
      </c>
      <c r="D21" s="12" t="s">
        <v>395</v>
      </c>
      <c r="E21" s="12" t="s">
        <v>56</v>
      </c>
      <c r="F21" s="12" t="s">
        <v>154</v>
      </c>
    </row>
    <row r="22" spans="2:6" x14ac:dyDescent="0.25">
      <c r="C22" s="12" t="s">
        <v>396</v>
      </c>
      <c r="D22" s="12" t="s">
        <v>397</v>
      </c>
      <c r="E22" s="12" t="s">
        <v>56</v>
      </c>
      <c r="F22" s="12" t="s">
        <v>154</v>
      </c>
    </row>
    <row r="23" spans="2:6" x14ac:dyDescent="0.25">
      <c r="C23" s="12" t="s">
        <v>398</v>
      </c>
      <c r="D23" s="12" t="s">
        <v>399</v>
      </c>
      <c r="E23" s="12" t="s">
        <v>56</v>
      </c>
      <c r="F23" s="12" t="s">
        <v>154</v>
      </c>
    </row>
    <row r="24" spans="2:6" x14ac:dyDescent="0.25">
      <c r="C24" s="12" t="s">
        <v>400</v>
      </c>
      <c r="D24" s="12" t="s">
        <v>401</v>
      </c>
      <c r="E24" s="12" t="s">
        <v>56</v>
      </c>
      <c r="F24" s="12" t="s">
        <v>154</v>
      </c>
    </row>
    <row r="25" spans="2:6" x14ac:dyDescent="0.25">
      <c r="C25" s="12" t="s">
        <v>402</v>
      </c>
      <c r="D25" s="12" t="s">
        <v>403</v>
      </c>
      <c r="E25" s="12" t="s">
        <v>56</v>
      </c>
      <c r="F25" s="12" t="s">
        <v>154</v>
      </c>
    </row>
    <row r="26" spans="2:6" x14ac:dyDescent="0.25">
      <c r="C26" s="12" t="s">
        <v>404</v>
      </c>
      <c r="D26" s="12" t="s">
        <v>405</v>
      </c>
      <c r="E26" s="12" t="s">
        <v>56</v>
      </c>
      <c r="F26" s="12" t="s">
        <v>154</v>
      </c>
    </row>
    <row r="27" spans="2:6" x14ac:dyDescent="0.25">
      <c r="C27" s="12" t="s">
        <v>406</v>
      </c>
      <c r="D27" s="12" t="s">
        <v>407</v>
      </c>
      <c r="E27" s="12" t="s">
        <v>56</v>
      </c>
      <c r="F27" s="12" t="s">
        <v>154</v>
      </c>
    </row>
    <row r="28" spans="2:6" x14ac:dyDescent="0.25">
      <c r="C28" s="12" t="s">
        <v>408</v>
      </c>
      <c r="D28" s="12" t="s">
        <v>409</v>
      </c>
      <c r="E28" s="12" t="s">
        <v>56</v>
      </c>
      <c r="F28" s="12" t="s">
        <v>154</v>
      </c>
    </row>
    <row r="29" spans="2:6" x14ac:dyDescent="0.25">
      <c r="C29" s="12" t="s">
        <v>410</v>
      </c>
      <c r="D29" s="12" t="s">
        <v>411</v>
      </c>
      <c r="E29" s="12" t="s">
        <v>56</v>
      </c>
      <c r="F29" s="12" t="s">
        <v>154</v>
      </c>
    </row>
    <row r="30" spans="2:6" x14ac:dyDescent="0.25">
      <c r="C30" s="12" t="s">
        <v>412</v>
      </c>
      <c r="D30" s="12" t="s">
        <v>413</v>
      </c>
      <c r="E30" s="12" t="s">
        <v>56</v>
      </c>
      <c r="F30" s="12" t="s">
        <v>154</v>
      </c>
    </row>
    <row r="31" spans="2:6" x14ac:dyDescent="0.25">
      <c r="C31" s="12" t="s">
        <v>414</v>
      </c>
      <c r="D31" s="12" t="s">
        <v>415</v>
      </c>
      <c r="E31" s="12" t="s">
        <v>56</v>
      </c>
      <c r="F31" s="12" t="s">
        <v>154</v>
      </c>
    </row>
    <row r="32" spans="2:6" x14ac:dyDescent="0.25">
      <c r="C32" s="12" t="s">
        <v>362</v>
      </c>
      <c r="D32" s="12" t="s">
        <v>363</v>
      </c>
      <c r="E32" s="12" t="s">
        <v>56</v>
      </c>
      <c r="F32" s="12" t="s">
        <v>154</v>
      </c>
    </row>
    <row r="33" spans="2:20" x14ac:dyDescent="0.25">
      <c r="C33" s="12" t="s">
        <v>364</v>
      </c>
      <c r="D33" s="12" t="s">
        <v>365</v>
      </c>
      <c r="E33" s="12" t="s">
        <v>56</v>
      </c>
      <c r="F33" s="12" t="s">
        <v>154</v>
      </c>
    </row>
    <row r="34" spans="2:20" x14ac:dyDescent="0.25">
      <c r="C34" s="12" t="s">
        <v>366</v>
      </c>
      <c r="D34" s="12" t="s">
        <v>367</v>
      </c>
      <c r="E34" s="12" t="s">
        <v>56</v>
      </c>
      <c r="F34" s="12" t="s">
        <v>154</v>
      </c>
    </row>
    <row r="35" spans="2:20" x14ac:dyDescent="0.25">
      <c r="C35" s="12" t="s">
        <v>368</v>
      </c>
      <c r="D35" s="12" t="s">
        <v>369</v>
      </c>
      <c r="E35" s="12" t="s">
        <v>56</v>
      </c>
      <c r="F35" s="12" t="s">
        <v>154</v>
      </c>
    </row>
    <row r="36" spans="2:20" x14ac:dyDescent="0.25">
      <c r="C36" s="12" t="s">
        <v>370</v>
      </c>
      <c r="D36" s="12" t="s">
        <v>371</v>
      </c>
      <c r="E36" s="12" t="s">
        <v>56</v>
      </c>
      <c r="F36" s="12" t="s">
        <v>154</v>
      </c>
    </row>
    <row r="37" spans="2:20" x14ac:dyDescent="0.25">
      <c r="C37" s="12"/>
      <c r="D37" s="12"/>
      <c r="E37" s="12"/>
      <c r="F37" s="12"/>
    </row>
    <row r="38" spans="2:20" x14ac:dyDescent="0.25">
      <c r="C38" s="12"/>
      <c r="D38" s="12"/>
      <c r="E38" s="12"/>
      <c r="F38" s="12"/>
    </row>
    <row r="39" spans="2:20" x14ac:dyDescent="0.25">
      <c r="B39" s="154" t="s">
        <v>441</v>
      </c>
      <c r="C39" s="12"/>
      <c r="D39" s="12"/>
      <c r="E39" s="12"/>
      <c r="F39" s="12"/>
    </row>
    <row r="40" spans="2:20" x14ac:dyDescent="0.25">
      <c r="B40" s="103" t="s">
        <v>855</v>
      </c>
      <c r="C40" s="154"/>
      <c r="D40" s="552">
        <v>0.23</v>
      </c>
      <c r="E40" s="12"/>
      <c r="F40" s="12"/>
    </row>
    <row r="41" spans="2:20" x14ac:dyDescent="0.25">
      <c r="B41" t="s">
        <v>854</v>
      </c>
      <c r="C41" s="12"/>
      <c r="D41" s="497">
        <v>0.2</v>
      </c>
      <c r="E41" s="12"/>
      <c r="F41" s="12"/>
    </row>
    <row r="42" spans="2:20" x14ac:dyDescent="0.25">
      <c r="B42" t="s">
        <v>856</v>
      </c>
      <c r="C42" s="12"/>
      <c r="D42" s="497">
        <v>0.3</v>
      </c>
      <c r="E42" s="12"/>
      <c r="F42" s="12"/>
    </row>
    <row r="45" spans="2:20" x14ac:dyDescent="0.25">
      <c r="B45" s="81" t="s">
        <v>416</v>
      </c>
      <c r="C45" s="82"/>
      <c r="D45" s="82"/>
      <c r="E45" s="82"/>
      <c r="F45" s="81"/>
    </row>
    <row r="46" spans="2:20" x14ac:dyDescent="0.25">
      <c r="B46" s="686" t="s">
        <v>138</v>
      </c>
      <c r="C46" s="687" t="s">
        <v>417</v>
      </c>
      <c r="D46" s="686" t="s">
        <v>418</v>
      </c>
      <c r="E46" s="688" t="s">
        <v>419</v>
      </c>
      <c r="F46" s="688" t="s">
        <v>420</v>
      </c>
      <c r="G46" s="688" t="s">
        <v>421</v>
      </c>
      <c r="H46" s="688" t="s">
        <v>422</v>
      </c>
      <c r="I46" s="688" t="s">
        <v>423</v>
      </c>
      <c r="J46" s="688" t="s">
        <v>424</v>
      </c>
      <c r="K46" s="688" t="s">
        <v>425</v>
      </c>
      <c r="L46" s="688" t="s">
        <v>426</v>
      </c>
    </row>
    <row r="47" spans="2:20" ht="24" thickBot="1" x14ac:dyDescent="0.3">
      <c r="B47" s="84" t="s">
        <v>427</v>
      </c>
      <c r="C47" s="84" t="s">
        <v>428</v>
      </c>
      <c r="D47" s="84" t="s">
        <v>429</v>
      </c>
      <c r="E47" s="85" t="s">
        <v>430</v>
      </c>
      <c r="F47" s="85" t="s">
        <v>430</v>
      </c>
      <c r="G47" s="85" t="s">
        <v>430</v>
      </c>
      <c r="H47" s="85" t="s">
        <v>430</v>
      </c>
      <c r="I47" s="85" t="s">
        <v>430</v>
      </c>
      <c r="J47" s="85" t="s">
        <v>430</v>
      </c>
      <c r="K47" s="85" t="s">
        <v>430</v>
      </c>
      <c r="L47" s="85" t="s">
        <v>430</v>
      </c>
      <c r="Q47" s="81"/>
      <c r="R47" s="108"/>
      <c r="S47" s="108"/>
      <c r="T47" s="108"/>
    </row>
    <row r="48" spans="2:20" ht="15.75" thickBot="1" x14ac:dyDescent="0.3">
      <c r="B48" s="84"/>
      <c r="C48" s="86"/>
      <c r="D48" s="86"/>
      <c r="E48" s="86" t="s">
        <v>431</v>
      </c>
      <c r="F48" s="86" t="s">
        <v>431</v>
      </c>
      <c r="G48" s="86" t="s">
        <v>431</v>
      </c>
      <c r="H48" s="86" t="s">
        <v>431</v>
      </c>
      <c r="I48" s="86" t="s">
        <v>431</v>
      </c>
      <c r="J48" s="86" t="s">
        <v>431</v>
      </c>
      <c r="K48" s="86" t="s">
        <v>431</v>
      </c>
      <c r="L48" s="86" t="s">
        <v>431</v>
      </c>
      <c r="Q48" s="440"/>
      <c r="R48" s="442"/>
      <c r="S48" s="442"/>
      <c r="T48" s="108"/>
    </row>
    <row r="49" spans="2:20" x14ac:dyDescent="0.25">
      <c r="B49" s="104" t="str">
        <f>PROCESS!O25</f>
        <v>EXP-GSL</v>
      </c>
      <c r="C49" s="105" t="s">
        <v>958</v>
      </c>
      <c r="D49" s="105"/>
      <c r="E49" s="130">
        <f>D101</f>
        <v>20.996445954041999</v>
      </c>
      <c r="F49" s="130">
        <f t="shared" ref="F49:L49" si="0">E101</f>
        <v>20.795929580790002</v>
      </c>
      <c r="G49" s="130">
        <f t="shared" si="0"/>
        <v>20.716882590807003</v>
      </c>
      <c r="H49" s="130">
        <f t="shared" si="0"/>
        <v>22.202066334591002</v>
      </c>
      <c r="I49" s="130">
        <f t="shared" si="0"/>
        <v>23.568165402677998</v>
      </c>
      <c r="J49" s="130">
        <f t="shared" si="0"/>
        <v>24.597135442035</v>
      </c>
      <c r="K49" s="130">
        <f t="shared" si="0"/>
        <v>25.886116327734001</v>
      </c>
      <c r="L49" s="130">
        <f t="shared" si="0"/>
        <v>27.153960894333</v>
      </c>
      <c r="O49">
        <f>E62/E49</f>
        <v>1.23</v>
      </c>
      <c r="Q49" s="104"/>
      <c r="R49" s="592"/>
      <c r="S49" s="108"/>
      <c r="T49" s="108"/>
    </row>
    <row r="50" spans="2:20" x14ac:dyDescent="0.25">
      <c r="B50" s="104" t="str">
        <f>PROCESS!O26</f>
        <v>EXP-DSL</v>
      </c>
      <c r="C50" s="105" t="s">
        <v>959</v>
      </c>
      <c r="D50" s="105"/>
      <c r="E50" s="130">
        <f t="shared" ref="E50:L59" si="1">D102</f>
        <v>20.905026160941002</v>
      </c>
      <c r="F50" s="130">
        <f t="shared" si="1"/>
        <v>20.219447377232999</v>
      </c>
      <c r="G50" s="130">
        <f t="shared" si="1"/>
        <v>20.630671999937999</v>
      </c>
      <c r="H50" s="130">
        <f t="shared" si="1"/>
        <v>21.930071290101001</v>
      </c>
      <c r="I50" s="130">
        <f t="shared" si="1"/>
        <v>23.082531458571001</v>
      </c>
      <c r="J50" s="130">
        <f t="shared" si="1"/>
        <v>23.875429665555</v>
      </c>
      <c r="K50" s="130">
        <f t="shared" si="1"/>
        <v>25.090517790116998</v>
      </c>
      <c r="L50" s="130">
        <f t="shared" si="1"/>
        <v>25.880965890156002</v>
      </c>
      <c r="O50">
        <f t="shared" ref="O50:O59" si="2">E63/E50</f>
        <v>1.23</v>
      </c>
      <c r="Q50" s="104"/>
      <c r="R50" s="108"/>
      <c r="S50" s="108"/>
      <c r="T50" s="108"/>
    </row>
    <row r="51" spans="2:20" x14ac:dyDescent="0.25">
      <c r="B51" s="104" t="str">
        <f t="shared" ref="B51:B60" si="3">+C10</f>
        <v>EXP-KER</v>
      </c>
      <c r="C51" s="105" t="s">
        <v>950</v>
      </c>
      <c r="D51" s="105"/>
      <c r="E51" s="130">
        <f t="shared" si="1"/>
        <v>13.877034192216</v>
      </c>
      <c r="F51" s="130">
        <f t="shared" si="1"/>
        <v>13.695434350650002</v>
      </c>
      <c r="G51" s="130">
        <f t="shared" si="1"/>
        <v>14.458260219857999</v>
      </c>
      <c r="H51" s="130">
        <f t="shared" si="1"/>
        <v>15.795199697939999</v>
      </c>
      <c r="I51" s="130">
        <f t="shared" si="1"/>
        <v>17.191836481949998</v>
      </c>
      <c r="J51" s="130">
        <f t="shared" si="1"/>
        <v>18.196136740431001</v>
      </c>
      <c r="K51" s="130">
        <f t="shared" si="1"/>
        <v>19.62033319935</v>
      </c>
      <c r="L51" s="130">
        <f t="shared" si="1"/>
        <v>20.718097692200999</v>
      </c>
      <c r="O51">
        <f t="shared" si="2"/>
        <v>1.23</v>
      </c>
      <c r="Q51" s="104"/>
      <c r="R51" s="592"/>
      <c r="S51" s="108"/>
      <c r="T51" s="108"/>
    </row>
    <row r="52" spans="2:20" x14ac:dyDescent="0.25">
      <c r="B52" s="104" t="str">
        <f t="shared" si="3"/>
        <v>EXP-LPG</v>
      </c>
      <c r="C52" s="105" t="s">
        <v>951</v>
      </c>
      <c r="D52" s="105"/>
      <c r="E52" s="130">
        <f>D104</f>
        <v>17.551047751146001</v>
      </c>
      <c r="F52" s="130">
        <f t="shared" ref="F52:L52" si="4">E104</f>
        <v>16.867144707893999</v>
      </c>
      <c r="G52" s="130">
        <f t="shared" si="4"/>
        <v>19.872932116751997</v>
      </c>
      <c r="H52" s="130">
        <f t="shared" si="4"/>
        <v>22.022557377326997</v>
      </c>
      <c r="I52" s="130">
        <f t="shared" si="4"/>
        <v>22.891725470484001</v>
      </c>
      <c r="J52" s="130">
        <f t="shared" si="4"/>
        <v>24.412499742618003</v>
      </c>
      <c r="K52" s="130">
        <f t="shared" si="4"/>
        <v>25.877700660591003</v>
      </c>
      <c r="L52" s="130">
        <f t="shared" si="4"/>
        <v>27.425805235919999</v>
      </c>
      <c r="O52">
        <f t="shared" si="2"/>
        <v>1.23</v>
      </c>
      <c r="Q52" s="104"/>
      <c r="R52" s="592"/>
      <c r="S52" s="108"/>
      <c r="T52" s="108"/>
    </row>
    <row r="53" spans="2:20" x14ac:dyDescent="0.25">
      <c r="B53" s="104" t="str">
        <f t="shared" si="3"/>
        <v>EXP-HFO</v>
      </c>
      <c r="C53" s="105" t="s">
        <v>952</v>
      </c>
      <c r="D53" s="105"/>
      <c r="E53" s="130">
        <f t="shared" si="1"/>
        <v>9.2415067298189992</v>
      </c>
      <c r="F53" s="130">
        <f t="shared" si="1"/>
        <v>9.6605963379900004</v>
      </c>
      <c r="G53" s="130">
        <f t="shared" si="1"/>
        <v>9.3615136314569991</v>
      </c>
      <c r="H53" s="130">
        <f t="shared" si="1"/>
        <v>10.777456499940001</v>
      </c>
      <c r="I53" s="130">
        <f t="shared" si="1"/>
        <v>12.03505800822</v>
      </c>
      <c r="J53" s="130">
        <f t="shared" si="1"/>
        <v>13.376972577735</v>
      </c>
      <c r="K53" s="130">
        <f t="shared" si="1"/>
        <v>14.299692331392</v>
      </c>
      <c r="L53" s="130">
        <f t="shared" si="1"/>
        <v>15.089726235401999</v>
      </c>
      <c r="O53">
        <f t="shared" si="2"/>
        <v>1.23</v>
      </c>
      <c r="Q53" s="104"/>
      <c r="R53" s="592"/>
      <c r="S53" s="108"/>
      <c r="T53" s="108"/>
    </row>
    <row r="54" spans="2:20" x14ac:dyDescent="0.25">
      <c r="B54" s="104" t="str">
        <f t="shared" si="3"/>
        <v>EXP-ETH</v>
      </c>
      <c r="C54" s="105" t="s">
        <v>960</v>
      </c>
      <c r="D54" s="105"/>
      <c r="E54" s="130">
        <f t="shared" si="1"/>
        <v>15.484369752577541</v>
      </c>
      <c r="F54" s="130">
        <f t="shared" si="1"/>
        <v>15.076841521470868</v>
      </c>
      <c r="G54" s="130">
        <f t="shared" si="1"/>
        <v>16.842423718223472</v>
      </c>
      <c r="H54" s="130">
        <f t="shared" si="1"/>
        <v>19.600166238545455</v>
      </c>
      <c r="I54" s="130">
        <f t="shared" si="1"/>
        <v>19.747825616593868</v>
      </c>
      <c r="J54" s="130">
        <f t="shared" si="1"/>
        <v>20.304548193105546</v>
      </c>
      <c r="K54" s="130">
        <f t="shared" si="1"/>
        <v>21.409220503499576</v>
      </c>
      <c r="L54" s="130">
        <f t="shared" si="1"/>
        <v>24.151142776321418</v>
      </c>
      <c r="O54">
        <f t="shared" si="2"/>
        <v>1.23</v>
      </c>
      <c r="Q54" s="104"/>
      <c r="R54" s="108"/>
      <c r="S54" s="108"/>
      <c r="T54" s="108"/>
    </row>
    <row r="55" spans="2:20" x14ac:dyDescent="0.25">
      <c r="B55" s="104" t="str">
        <f t="shared" si="3"/>
        <v>EXP-BDSL</v>
      </c>
      <c r="C55" s="105" t="s">
        <v>961</v>
      </c>
      <c r="D55" s="105"/>
      <c r="E55" s="130">
        <f>D107</f>
        <v>27.015813128159731</v>
      </c>
      <c r="F55" s="130">
        <f t="shared" ref="F55:L55" si="5">E107</f>
        <v>26.129831538723028</v>
      </c>
      <c r="G55" s="130">
        <f t="shared" si="5"/>
        <v>26.661261993541277</v>
      </c>
      <c r="H55" s="130">
        <f t="shared" si="5"/>
        <v>28.340491100056148</v>
      </c>
      <c r="I55" s="130">
        <f t="shared" si="5"/>
        <v>29.829829037705093</v>
      </c>
      <c r="J55" s="130">
        <f t="shared" si="5"/>
        <v>30.854500790068418</v>
      </c>
      <c r="K55" s="130">
        <f t="shared" si="5"/>
        <v>32.424773577803386</v>
      </c>
      <c r="L55" s="130">
        <f t="shared" si="5"/>
        <v>33.446279027916688</v>
      </c>
      <c r="O55">
        <f t="shared" si="2"/>
        <v>1.23</v>
      </c>
      <c r="Q55" s="104"/>
      <c r="R55" s="108"/>
      <c r="S55" s="108"/>
      <c r="T55" s="108"/>
    </row>
    <row r="56" spans="2:20" x14ac:dyDescent="0.25">
      <c r="B56" s="104" t="str">
        <f t="shared" si="3"/>
        <v>EXP-GAS</v>
      </c>
      <c r="C56" s="105" t="s">
        <v>953</v>
      </c>
      <c r="D56" s="105"/>
      <c r="E56" s="130">
        <f>D108</f>
        <v>4.769127007632</v>
      </c>
      <c r="F56" s="130">
        <f t="shared" si="1"/>
        <v>4.5122894526059998</v>
      </c>
      <c r="G56" s="130">
        <f t="shared" si="1"/>
        <v>4.9274484636779992</v>
      </c>
      <c r="H56" s="130">
        <f t="shared" si="1"/>
        <v>5.3827086642029993</v>
      </c>
      <c r="I56" s="130">
        <f t="shared" si="1"/>
        <v>5.4401245746119997</v>
      </c>
      <c r="J56" s="130">
        <f t="shared" si="1"/>
        <v>5.4800854871490001</v>
      </c>
      <c r="K56" s="130">
        <f t="shared" si="1"/>
        <v>5.5431115263809998</v>
      </c>
      <c r="L56" s="130">
        <f t="shared" si="1"/>
        <v>5.7037579775280003</v>
      </c>
      <c r="O56">
        <f t="shared" si="2"/>
        <v>1.3</v>
      </c>
      <c r="Q56" s="104"/>
      <c r="R56" s="592"/>
      <c r="S56" s="108"/>
      <c r="T56" s="108"/>
    </row>
    <row r="57" spans="2:20" x14ac:dyDescent="0.25">
      <c r="B57" s="104" t="str">
        <f t="shared" si="3"/>
        <v>EXP-LOIL</v>
      </c>
      <c r="C57" s="105" t="s">
        <v>954</v>
      </c>
      <c r="D57" s="105"/>
      <c r="E57" s="130">
        <f>D109</f>
        <v>9.4202649837693002</v>
      </c>
      <c r="F57" s="130">
        <f t="shared" si="1"/>
        <v>8.8971488688237894</v>
      </c>
      <c r="G57" s="130">
        <f t="shared" si="1"/>
        <v>10.809495075642701</v>
      </c>
      <c r="H57" s="130">
        <f t="shared" si="1"/>
        <v>11.944874310089356</v>
      </c>
      <c r="I57" s="130">
        <f t="shared" si="1"/>
        <v>13.287214218828185</v>
      </c>
      <c r="J57" s="130">
        <f t="shared" si="1"/>
        <v>14.355702223711937</v>
      </c>
      <c r="K57" s="130">
        <f t="shared" si="1"/>
        <v>15.630732976072419</v>
      </c>
      <c r="L57" s="130">
        <f t="shared" si="1"/>
        <v>16.864994934098721</v>
      </c>
      <c r="O57">
        <f t="shared" si="2"/>
        <v>1.23</v>
      </c>
      <c r="Q57" s="104"/>
      <c r="R57" s="592"/>
      <c r="S57" s="108"/>
      <c r="T57" s="108"/>
    </row>
    <row r="58" spans="2:20" x14ac:dyDescent="0.25">
      <c r="B58" s="104" t="str">
        <f t="shared" si="3"/>
        <v>EXP-MOIL</v>
      </c>
      <c r="C58" s="105" t="s">
        <v>955</v>
      </c>
      <c r="D58" s="105"/>
      <c r="E58" s="130">
        <f t="shared" si="1"/>
        <v>8.7188804037692993</v>
      </c>
      <c r="F58" s="130">
        <f t="shared" si="1"/>
        <v>8.1957642888237885</v>
      </c>
      <c r="G58" s="130">
        <f t="shared" si="1"/>
        <v>10.108110495642702</v>
      </c>
      <c r="H58" s="130">
        <f t="shared" si="1"/>
        <v>11.243489730089355</v>
      </c>
      <c r="I58" s="130">
        <f t="shared" si="1"/>
        <v>12.585829638828184</v>
      </c>
      <c r="J58" s="130">
        <f t="shared" si="1"/>
        <v>13.654317643711938</v>
      </c>
      <c r="K58" s="130">
        <f t="shared" si="1"/>
        <v>14.929348396072418</v>
      </c>
      <c r="L58" s="130">
        <f t="shared" si="1"/>
        <v>16.163610354098726</v>
      </c>
      <c r="O58">
        <f t="shared" si="2"/>
        <v>1.23</v>
      </c>
      <c r="Q58" s="104"/>
      <c r="R58" s="592"/>
      <c r="S58" s="108"/>
      <c r="T58" s="108"/>
    </row>
    <row r="59" spans="2:20" x14ac:dyDescent="0.25">
      <c r="B59" s="104" t="str">
        <f t="shared" si="3"/>
        <v>EXP-HOIL</v>
      </c>
      <c r="C59" s="105" t="s">
        <v>956</v>
      </c>
      <c r="D59" s="105"/>
      <c r="E59" s="130">
        <f t="shared" si="1"/>
        <v>8.0174958237693001</v>
      </c>
      <c r="F59" s="130">
        <f>E111</f>
        <v>7.4943797088237876</v>
      </c>
      <c r="G59" s="130">
        <f t="shared" si="1"/>
        <v>9.406725915642701</v>
      </c>
      <c r="H59" s="130">
        <f t="shared" si="1"/>
        <v>10.542105150089355</v>
      </c>
      <c r="I59" s="130">
        <f t="shared" si="1"/>
        <v>11.884445058828184</v>
      </c>
      <c r="J59" s="130">
        <f t="shared" si="1"/>
        <v>12.952933063711937</v>
      </c>
      <c r="K59" s="130">
        <f t="shared" si="1"/>
        <v>14.227963816072419</v>
      </c>
      <c r="L59" s="130">
        <f t="shared" si="1"/>
        <v>15.462225774098723</v>
      </c>
      <c r="O59">
        <f t="shared" si="2"/>
        <v>1.23</v>
      </c>
      <c r="Q59" s="104"/>
      <c r="R59" s="592"/>
      <c r="S59" s="108"/>
      <c r="T59" s="108"/>
    </row>
    <row r="60" spans="2:20" x14ac:dyDescent="0.25">
      <c r="B60" s="104" t="str">
        <f t="shared" si="3"/>
        <v>EXP-SIN</v>
      </c>
      <c r="C60" s="106" t="s">
        <v>123</v>
      </c>
      <c r="E60" s="129">
        <f>D114</f>
        <v>32.222222222222221</v>
      </c>
      <c r="F60" s="129">
        <f t="shared" ref="F60:L60" si="6">E114</f>
        <v>32.317556155538618</v>
      </c>
      <c r="G60" s="129">
        <f t="shared" si="6"/>
        <v>32.707009572337903</v>
      </c>
      <c r="H60" s="129">
        <f t="shared" si="6"/>
        <v>32.931671348954701</v>
      </c>
      <c r="I60" s="129">
        <f t="shared" si="6"/>
        <v>33.187507161899113</v>
      </c>
      <c r="J60" s="129">
        <f t="shared" si="6"/>
        <v>33.451893631104028</v>
      </c>
      <c r="K60" s="129">
        <f t="shared" si="6"/>
        <v>33.743643976640961</v>
      </c>
      <c r="L60" s="129">
        <f t="shared" si="6"/>
        <v>34.141956681541899</v>
      </c>
      <c r="O60">
        <f>E74/E61</f>
        <v>1.23</v>
      </c>
      <c r="Q60" s="104"/>
      <c r="R60" s="592"/>
      <c r="S60" s="108"/>
      <c r="T60" s="108"/>
    </row>
    <row r="61" spans="2:20" x14ac:dyDescent="0.25">
      <c r="B61" s="104" t="s">
        <v>360</v>
      </c>
      <c r="C61" s="107" t="s">
        <v>957</v>
      </c>
      <c r="D61" s="108"/>
      <c r="E61" s="131">
        <f>D113</f>
        <v>21.450884058013838</v>
      </c>
      <c r="F61" s="131">
        <f t="shared" ref="F61:L61" si="7">E113</f>
        <v>21.173796174722664</v>
      </c>
      <c r="G61" s="131">
        <f t="shared" si="7"/>
        <v>22.060639953463127</v>
      </c>
      <c r="H61" s="131">
        <f t="shared" si="7"/>
        <v>24.100563154252466</v>
      </c>
      <c r="I61" s="131">
        <f t="shared" si="7"/>
        <v>26.231573439673227</v>
      </c>
      <c r="J61" s="131">
        <f t="shared" si="7"/>
        <v>27.763950507910614</v>
      </c>
      <c r="K61" s="131">
        <f t="shared" si="7"/>
        <v>29.937011777070548</v>
      </c>
      <c r="L61" s="131">
        <f t="shared" si="7"/>
        <v>31.611998038364984</v>
      </c>
      <c r="Q61" s="108"/>
      <c r="R61" s="108"/>
      <c r="S61" s="108"/>
      <c r="T61" s="108"/>
    </row>
    <row r="62" spans="2:20" x14ac:dyDescent="0.25">
      <c r="B62" s="506" t="str">
        <f t="shared" ref="B62:B73" si="8">+C21</f>
        <v>IMP-GSL</v>
      </c>
      <c r="C62" s="507"/>
      <c r="D62" s="507" t="str">
        <f t="shared" ref="D62:D67" si="9">+RIGHT(B62,3)</f>
        <v>GSL</v>
      </c>
      <c r="E62" s="508">
        <f>E49*(100%+$D$40)</f>
        <v>25.825628523471657</v>
      </c>
      <c r="F62" s="508">
        <f t="shared" ref="F62:L62" si="10">F49*(100%+$D$40)</f>
        <v>25.578993384371703</v>
      </c>
      <c r="G62" s="508">
        <f t="shared" si="10"/>
        <v>25.481765586692614</v>
      </c>
      <c r="H62" s="508">
        <f t="shared" si="10"/>
        <v>27.308541591546934</v>
      </c>
      <c r="I62" s="508">
        <f t="shared" si="10"/>
        <v>28.988843445293938</v>
      </c>
      <c r="J62" s="508">
        <f t="shared" si="10"/>
        <v>30.25447659370305</v>
      </c>
      <c r="K62" s="508">
        <f t="shared" si="10"/>
        <v>31.839923083112822</v>
      </c>
      <c r="L62" s="508">
        <f t="shared" si="10"/>
        <v>33.399371900029593</v>
      </c>
    </row>
    <row r="63" spans="2:20" x14ac:dyDescent="0.25">
      <c r="B63" s="506" t="str">
        <f t="shared" si="8"/>
        <v>IMP-DSL</v>
      </c>
      <c r="C63" s="507"/>
      <c r="D63" s="507" t="str">
        <f t="shared" si="9"/>
        <v>DSL</v>
      </c>
      <c r="E63" s="508">
        <f t="shared" ref="E63:L74" si="11">E50*(100%+$D$40)</f>
        <v>25.713182177957432</v>
      </c>
      <c r="F63" s="508">
        <f t="shared" si="11"/>
        <v>24.869920273996588</v>
      </c>
      <c r="G63" s="508">
        <f t="shared" si="11"/>
        <v>25.375726559923738</v>
      </c>
      <c r="H63" s="508">
        <f t="shared" si="11"/>
        <v>26.973987686824231</v>
      </c>
      <c r="I63" s="508">
        <f t="shared" si="11"/>
        <v>28.391513694042331</v>
      </c>
      <c r="J63" s="508">
        <f t="shared" si="11"/>
        <v>29.366778488632651</v>
      </c>
      <c r="K63" s="508">
        <f t="shared" si="11"/>
        <v>30.861336881843908</v>
      </c>
      <c r="L63" s="508">
        <f t="shared" si="11"/>
        <v>31.833588044891883</v>
      </c>
    </row>
    <row r="64" spans="2:20" x14ac:dyDescent="0.25">
      <c r="B64" s="506" t="str">
        <f t="shared" si="8"/>
        <v>IMP-KER</v>
      </c>
      <c r="C64" s="507"/>
      <c r="D64" s="507" t="str">
        <f t="shared" si="9"/>
        <v>KER</v>
      </c>
      <c r="E64" s="508">
        <f t="shared" si="11"/>
        <v>17.06875205642568</v>
      </c>
      <c r="F64" s="508">
        <f t="shared" si="11"/>
        <v>16.845384251299503</v>
      </c>
      <c r="G64" s="508">
        <f t="shared" si="11"/>
        <v>17.783660070425338</v>
      </c>
      <c r="H64" s="508">
        <f t="shared" si="11"/>
        <v>19.428095628466199</v>
      </c>
      <c r="I64" s="508">
        <f t="shared" si="11"/>
        <v>21.145958872798499</v>
      </c>
      <c r="J64" s="508">
        <f t="shared" si="11"/>
        <v>22.38124819073013</v>
      </c>
      <c r="K64" s="508">
        <f t="shared" si="11"/>
        <v>24.1330098352005</v>
      </c>
      <c r="L64" s="508">
        <f t="shared" si="11"/>
        <v>25.483260161407227</v>
      </c>
    </row>
    <row r="65" spans="2:12" x14ac:dyDescent="0.25">
      <c r="B65" s="506" t="str">
        <f t="shared" si="8"/>
        <v>IMP-LPG</v>
      </c>
      <c r="C65" s="507"/>
      <c r="D65" s="507" t="str">
        <f t="shared" si="9"/>
        <v>LPG</v>
      </c>
      <c r="E65" s="508">
        <f>E52*(100%+$D$40)</f>
        <v>21.58778873390958</v>
      </c>
      <c r="F65" s="508">
        <f t="shared" si="11"/>
        <v>20.746587990709617</v>
      </c>
      <c r="G65" s="508">
        <f t="shared" si="11"/>
        <v>24.443706503604957</v>
      </c>
      <c r="H65" s="508">
        <f t="shared" si="11"/>
        <v>27.087745574112205</v>
      </c>
      <c r="I65" s="508">
        <f t="shared" si="11"/>
        <v>28.15682232869532</v>
      </c>
      <c r="J65" s="508">
        <f t="shared" si="11"/>
        <v>30.027374683420142</v>
      </c>
      <c r="K65" s="508">
        <f t="shared" si="11"/>
        <v>31.829571812526932</v>
      </c>
      <c r="L65" s="508">
        <f t="shared" si="11"/>
        <v>33.733740440181599</v>
      </c>
    </row>
    <row r="66" spans="2:12" x14ac:dyDescent="0.25">
      <c r="B66" s="506" t="str">
        <f t="shared" si="8"/>
        <v>IMP-HFO</v>
      </c>
      <c r="C66" s="507"/>
      <c r="D66" s="507" t="str">
        <f t="shared" si="9"/>
        <v>HFO</v>
      </c>
      <c r="E66" s="508">
        <f t="shared" si="11"/>
        <v>11.367053277677369</v>
      </c>
      <c r="F66" s="508">
        <f t="shared" si="11"/>
        <v>11.882533495727701</v>
      </c>
      <c r="G66" s="508">
        <f t="shared" si="11"/>
        <v>11.514661766692109</v>
      </c>
      <c r="H66" s="508">
        <f t="shared" si="11"/>
        <v>13.256271494926201</v>
      </c>
      <c r="I66" s="508">
        <f t="shared" si="11"/>
        <v>14.803121350110599</v>
      </c>
      <c r="J66" s="508">
        <f t="shared" si="11"/>
        <v>16.45367627061405</v>
      </c>
      <c r="K66" s="508">
        <f t="shared" si="11"/>
        <v>17.588621567612162</v>
      </c>
      <c r="L66" s="508">
        <f t="shared" si="11"/>
        <v>18.560363269544457</v>
      </c>
    </row>
    <row r="67" spans="2:12" x14ac:dyDescent="0.25">
      <c r="B67" s="506" t="str">
        <f t="shared" si="8"/>
        <v>IMP-ETH</v>
      </c>
      <c r="C67" s="507"/>
      <c r="D67" s="507" t="str">
        <f t="shared" si="9"/>
        <v>ETH</v>
      </c>
      <c r="E67" s="508">
        <f t="shared" si="11"/>
        <v>19.045774795670376</v>
      </c>
      <c r="F67" s="508">
        <f t="shared" si="11"/>
        <v>18.544515071409169</v>
      </c>
      <c r="G67" s="508">
        <f t="shared" si="11"/>
        <v>20.716181173414871</v>
      </c>
      <c r="H67" s="508">
        <f t="shared" si="11"/>
        <v>24.108204473410911</v>
      </c>
      <c r="I67" s="508">
        <f t="shared" si="11"/>
        <v>24.289825508410459</v>
      </c>
      <c r="J67" s="508">
        <f t="shared" si="11"/>
        <v>24.97459427751982</v>
      </c>
      <c r="K67" s="508">
        <f t="shared" si="11"/>
        <v>26.333341219304479</v>
      </c>
      <c r="L67" s="508">
        <f t="shared" si="11"/>
        <v>29.705905614875345</v>
      </c>
    </row>
    <row r="68" spans="2:12" x14ac:dyDescent="0.25">
      <c r="B68" s="506" t="str">
        <f t="shared" si="8"/>
        <v>IMP-BDSL</v>
      </c>
      <c r="C68" s="507"/>
      <c r="D68" s="507" t="str">
        <f>+RIGHT(B68,4)</f>
        <v>BDSL</v>
      </c>
      <c r="E68" s="508">
        <f t="shared" si="11"/>
        <v>33.22945014763647</v>
      </c>
      <c r="F68" s="508">
        <f t="shared" si="11"/>
        <v>32.139692792629326</v>
      </c>
      <c r="G68" s="508">
        <f t="shared" si="11"/>
        <v>32.793352252055769</v>
      </c>
      <c r="H68" s="508">
        <f t="shared" si="11"/>
        <v>34.858804053069065</v>
      </c>
      <c r="I68" s="508">
        <f t="shared" si="11"/>
        <v>36.690689716377264</v>
      </c>
      <c r="J68" s="508">
        <f t="shared" si="11"/>
        <v>37.951035971784151</v>
      </c>
      <c r="K68" s="508">
        <f t="shared" si="11"/>
        <v>39.882471500698166</v>
      </c>
      <c r="L68" s="508">
        <f t="shared" si="11"/>
        <v>41.138923204337523</v>
      </c>
    </row>
    <row r="69" spans="2:12" x14ac:dyDescent="0.25">
      <c r="B69" s="506" t="str">
        <f t="shared" si="8"/>
        <v>IMP-GAS</v>
      </c>
      <c r="C69" s="507"/>
      <c r="D69" s="507" t="str">
        <f>+RIGHT(B69,3)</f>
        <v>GAS</v>
      </c>
      <c r="E69" s="508">
        <f>E56*(100%+$D$42)</f>
        <v>6.1998651099216007</v>
      </c>
      <c r="F69" s="508">
        <f t="shared" ref="F69:L69" si="12">F56*(100%+$D$42)</f>
        <v>5.8659762883877997</v>
      </c>
      <c r="G69" s="508">
        <f t="shared" si="12"/>
        <v>6.4056830027813989</v>
      </c>
      <c r="H69" s="508">
        <f t="shared" si="12"/>
        <v>6.9975212634638995</v>
      </c>
      <c r="I69" s="508">
        <f t="shared" si="12"/>
        <v>7.0721619469955996</v>
      </c>
      <c r="J69" s="508">
        <f t="shared" si="12"/>
        <v>7.1241111332937006</v>
      </c>
      <c r="K69" s="508">
        <f t="shared" si="12"/>
        <v>7.2060449842952998</v>
      </c>
      <c r="L69" s="508">
        <f t="shared" si="12"/>
        <v>7.4148853707864006</v>
      </c>
    </row>
    <row r="70" spans="2:12" x14ac:dyDescent="0.25">
      <c r="B70" s="506" t="str">
        <f t="shared" si="8"/>
        <v>IMP-LOIL</v>
      </c>
      <c r="C70" s="507"/>
      <c r="D70" s="507" t="str">
        <f t="shared" ref="D70:D72" si="13">+RIGHT(B70,4)</f>
        <v>LOIL</v>
      </c>
      <c r="E70" s="508">
        <f t="shared" si="11"/>
        <v>11.586925930036239</v>
      </c>
      <c r="F70" s="508">
        <f t="shared" si="11"/>
        <v>10.943493108653261</v>
      </c>
      <c r="G70" s="508">
        <f t="shared" si="11"/>
        <v>13.295678943040523</v>
      </c>
      <c r="H70" s="508">
        <f t="shared" si="11"/>
        <v>14.692195401409908</v>
      </c>
      <c r="I70" s="508">
        <f t="shared" si="11"/>
        <v>16.343273489158666</v>
      </c>
      <c r="J70" s="508">
        <f t="shared" si="11"/>
        <v>17.657513735165683</v>
      </c>
      <c r="K70" s="508">
        <f t="shared" si="11"/>
        <v>19.225801560569074</v>
      </c>
      <c r="L70" s="508">
        <f t="shared" si="11"/>
        <v>20.743943768941428</v>
      </c>
    </row>
    <row r="71" spans="2:12" x14ac:dyDescent="0.25">
      <c r="B71" s="506" t="str">
        <f t="shared" si="8"/>
        <v>IMP-MOIL</v>
      </c>
      <c r="C71" s="507"/>
      <c r="D71" s="507" t="str">
        <f t="shared" si="13"/>
        <v>MOIL</v>
      </c>
      <c r="E71" s="508">
        <f>E58*(100%+$D$40)</f>
        <v>10.724222896636238</v>
      </c>
      <c r="F71" s="508">
        <f t="shared" si="11"/>
        <v>10.08079007525326</v>
      </c>
      <c r="G71" s="508">
        <f t="shared" si="11"/>
        <v>12.432975909640524</v>
      </c>
      <c r="H71" s="508">
        <f t="shared" si="11"/>
        <v>13.829492368009905</v>
      </c>
      <c r="I71" s="508">
        <f t="shared" si="11"/>
        <v>15.480570455758665</v>
      </c>
      <c r="J71" s="508">
        <f t="shared" si="11"/>
        <v>16.794810701765684</v>
      </c>
      <c r="K71" s="508">
        <f t="shared" si="11"/>
        <v>18.363098527169075</v>
      </c>
      <c r="L71" s="508">
        <f t="shared" si="11"/>
        <v>19.881240735541432</v>
      </c>
    </row>
    <row r="72" spans="2:12" x14ac:dyDescent="0.25">
      <c r="B72" s="506" t="str">
        <f t="shared" si="8"/>
        <v>IMP-HOIL</v>
      </c>
      <c r="C72" s="507"/>
      <c r="D72" s="507" t="str">
        <f t="shared" si="13"/>
        <v>HOIL</v>
      </c>
      <c r="E72" s="508">
        <f t="shared" si="11"/>
        <v>9.8615198632362393</v>
      </c>
      <c r="F72" s="508">
        <f t="shared" si="11"/>
        <v>9.2180870418532592</v>
      </c>
      <c r="G72" s="508">
        <f t="shared" si="11"/>
        <v>11.570272876240523</v>
      </c>
      <c r="H72" s="508">
        <f t="shared" si="11"/>
        <v>12.966789334609906</v>
      </c>
      <c r="I72" s="508">
        <f t="shared" si="11"/>
        <v>14.617867422358668</v>
      </c>
      <c r="J72" s="508">
        <f t="shared" si="11"/>
        <v>15.932107668365681</v>
      </c>
      <c r="K72" s="508">
        <f t="shared" si="11"/>
        <v>17.500395493769076</v>
      </c>
      <c r="L72" s="508">
        <f t="shared" si="11"/>
        <v>19.01853770214143</v>
      </c>
    </row>
    <row r="73" spans="2:12" x14ac:dyDescent="0.25">
      <c r="B73" s="506" t="str">
        <f t="shared" si="8"/>
        <v>IMP-SIN</v>
      </c>
      <c r="C73" s="507"/>
      <c r="D73" s="509" t="s">
        <v>123</v>
      </c>
      <c r="E73" s="508">
        <f>E60*(100%+$D$40)</f>
        <v>39.633333333333333</v>
      </c>
      <c r="F73" s="508">
        <f t="shared" ref="F73:L73" si="14">F60*(100%+$D$40)</f>
        <v>39.750594071312499</v>
      </c>
      <c r="G73" s="508">
        <f t="shared" si="14"/>
        <v>40.229621773975623</v>
      </c>
      <c r="H73" s="508">
        <f t="shared" si="14"/>
        <v>40.505955759214281</v>
      </c>
      <c r="I73" s="508">
        <f t="shared" si="14"/>
        <v>40.820633809135906</v>
      </c>
      <c r="J73" s="508">
        <f t="shared" si="14"/>
        <v>41.145829166257954</v>
      </c>
      <c r="K73" s="508">
        <f t="shared" si="14"/>
        <v>41.504682091268378</v>
      </c>
      <c r="L73" s="508">
        <f t="shared" si="14"/>
        <v>41.994606718296538</v>
      </c>
    </row>
    <row r="74" spans="2:12" x14ac:dyDescent="0.25">
      <c r="B74" s="506" t="s">
        <v>364</v>
      </c>
      <c r="C74" s="510"/>
      <c r="D74" s="511" t="s">
        <v>69</v>
      </c>
      <c r="E74" s="508">
        <f>E61*(100%+$D$40)</f>
        <v>26.384587391357019</v>
      </c>
      <c r="F74" s="508">
        <f t="shared" si="11"/>
        <v>26.043769294908877</v>
      </c>
      <c r="G74" s="508">
        <f t="shared" si="11"/>
        <v>27.134587142759646</v>
      </c>
      <c r="H74" s="508">
        <f t="shared" si="11"/>
        <v>29.643692679730531</v>
      </c>
      <c r="I74" s="508">
        <f t="shared" si="11"/>
        <v>32.264835330798071</v>
      </c>
      <c r="J74" s="508">
        <f t="shared" si="11"/>
        <v>34.149659124730057</v>
      </c>
      <c r="K74" s="508">
        <f t="shared" si="11"/>
        <v>36.822524485796777</v>
      </c>
      <c r="L74" s="508">
        <f t="shared" si="11"/>
        <v>38.882757587188927</v>
      </c>
    </row>
    <row r="75" spans="2:12" x14ac:dyDescent="0.25">
      <c r="B75" s="506" t="str">
        <f>C36</f>
        <v>IMP-SIN-TRA</v>
      </c>
      <c r="C75" s="510"/>
      <c r="D75" s="512" t="s">
        <v>115</v>
      </c>
      <c r="E75" s="508">
        <f>E60*(100%+$D$40)</f>
        <v>39.633333333333333</v>
      </c>
      <c r="F75" s="508">
        <f t="shared" ref="F75:L75" si="15">F60*(100%+$D$40)</f>
        <v>39.750594071312499</v>
      </c>
      <c r="G75" s="508">
        <f t="shared" si="15"/>
        <v>40.229621773975623</v>
      </c>
      <c r="H75" s="508">
        <f t="shared" si="15"/>
        <v>40.505955759214281</v>
      </c>
      <c r="I75" s="508">
        <f t="shared" si="15"/>
        <v>40.820633809135906</v>
      </c>
      <c r="J75" s="508">
        <f t="shared" si="15"/>
        <v>41.145829166257954</v>
      </c>
      <c r="K75" s="508">
        <f t="shared" si="15"/>
        <v>41.504682091268378</v>
      </c>
      <c r="L75" s="508">
        <f t="shared" si="15"/>
        <v>41.994606718296538</v>
      </c>
    </row>
    <row r="81" spans="3:35" ht="15.75" customHeight="1" x14ac:dyDescent="0.35">
      <c r="C81" s="102" t="s">
        <v>432</v>
      </c>
    </row>
    <row r="82" spans="3:35" ht="15.75" customHeight="1" x14ac:dyDescent="0.25">
      <c r="C82" s="92"/>
      <c r="D82" s="93">
        <v>2019</v>
      </c>
      <c r="E82" s="93">
        <v>2020</v>
      </c>
      <c r="F82" s="93">
        <v>2021</v>
      </c>
      <c r="G82" s="93">
        <v>2022</v>
      </c>
      <c r="H82" s="93">
        <v>2023</v>
      </c>
      <c r="I82" s="93">
        <v>2024</v>
      </c>
      <c r="J82" s="93">
        <v>2025</v>
      </c>
      <c r="K82" s="93">
        <v>2026</v>
      </c>
      <c r="L82" s="93">
        <v>2027</v>
      </c>
      <c r="M82" s="93">
        <v>2028</v>
      </c>
      <c r="N82" s="93">
        <v>2029</v>
      </c>
      <c r="O82" s="93">
        <v>2030</v>
      </c>
      <c r="P82" s="93">
        <v>2031</v>
      </c>
      <c r="Q82" s="93">
        <v>2032</v>
      </c>
      <c r="R82" s="93">
        <v>2033</v>
      </c>
      <c r="S82" s="93">
        <v>2034</v>
      </c>
      <c r="T82" s="93">
        <v>2035</v>
      </c>
      <c r="U82" s="93">
        <v>2036</v>
      </c>
      <c r="V82" s="93">
        <v>2037</v>
      </c>
      <c r="W82" s="93">
        <v>2038</v>
      </c>
      <c r="X82" s="93">
        <v>2039</v>
      </c>
      <c r="Y82" s="93">
        <v>2040</v>
      </c>
      <c r="Z82" s="93">
        <v>2041</v>
      </c>
      <c r="AA82" s="93">
        <v>2042</v>
      </c>
      <c r="AB82" s="93">
        <v>2043</v>
      </c>
      <c r="AC82" s="93">
        <v>2044</v>
      </c>
      <c r="AD82" s="93">
        <v>2045</v>
      </c>
      <c r="AE82" s="93">
        <v>2046</v>
      </c>
      <c r="AF82" s="93">
        <v>2047</v>
      </c>
      <c r="AG82" s="93">
        <v>2048</v>
      </c>
      <c r="AH82" s="93">
        <v>2049</v>
      </c>
      <c r="AI82" s="94">
        <v>2050</v>
      </c>
    </row>
    <row r="83" spans="3:35" ht="15.75" customHeight="1" x14ac:dyDescent="0.25">
      <c r="C83" s="95" t="s">
        <v>8</v>
      </c>
      <c r="D83" s="90">
        <v>22.152425999999998</v>
      </c>
      <c r="E83" s="91">
        <v>21.94087</v>
      </c>
      <c r="F83" s="90">
        <v>21.968945999999999</v>
      </c>
      <c r="G83" s="91">
        <v>21.978165000000001</v>
      </c>
      <c r="H83" s="90">
        <v>21.894269999999999</v>
      </c>
      <c r="I83" s="91">
        <v>21.607965</v>
      </c>
      <c r="J83" s="90">
        <v>21.857471</v>
      </c>
      <c r="K83" s="91">
        <v>22.043116000000001</v>
      </c>
      <c r="L83" s="90">
        <v>22.312280999999999</v>
      </c>
      <c r="M83" s="91">
        <v>22.424955000000001</v>
      </c>
      <c r="N83" s="90">
        <v>22.720831</v>
      </c>
      <c r="O83" s="91">
        <v>23.424423000000001</v>
      </c>
      <c r="P83" s="90">
        <v>23.588041</v>
      </c>
      <c r="Q83" s="91">
        <v>23.796983999999998</v>
      </c>
      <c r="R83" s="90">
        <v>24.220589</v>
      </c>
      <c r="S83" s="91">
        <v>24.608730000000001</v>
      </c>
      <c r="T83" s="90">
        <v>24.865734</v>
      </c>
      <c r="U83" s="91">
        <v>25.162941</v>
      </c>
      <c r="V83" s="90">
        <v>25.240604000000001</v>
      </c>
      <c r="W83" s="91">
        <v>25.517137999999999</v>
      </c>
      <c r="X83" s="90">
        <v>25.858951999999999</v>
      </c>
      <c r="Y83" s="91">
        <v>25.951355</v>
      </c>
      <c r="Z83" s="90">
        <v>26.136623</v>
      </c>
      <c r="AA83" s="91">
        <v>26.539719000000002</v>
      </c>
      <c r="AB83" s="90">
        <v>26.75515</v>
      </c>
      <c r="AC83" s="91">
        <v>26.964805999999999</v>
      </c>
      <c r="AD83" s="90">
        <v>27.311302000000001</v>
      </c>
      <c r="AE83" s="91">
        <v>27.396849</v>
      </c>
      <c r="AF83" s="90">
        <v>27.872745999999999</v>
      </c>
      <c r="AG83" s="91">
        <v>28.194441000000001</v>
      </c>
      <c r="AH83" s="90">
        <v>28.439672000000002</v>
      </c>
      <c r="AI83" s="96">
        <v>28.648949000000002</v>
      </c>
    </row>
    <row r="84" spans="3:35" ht="15.75" customHeight="1" x14ac:dyDescent="0.25">
      <c r="C84" s="95" t="s">
        <v>14</v>
      </c>
      <c r="D84" s="90">
        <v>22.055973000000002</v>
      </c>
      <c r="E84" s="91">
        <v>21.332649</v>
      </c>
      <c r="F84" s="90">
        <v>21.307634</v>
      </c>
      <c r="G84" s="91">
        <v>21.509706000000001</v>
      </c>
      <c r="H84" s="90">
        <v>21.507311000000001</v>
      </c>
      <c r="I84" s="91">
        <v>21.769124999999999</v>
      </c>
      <c r="J84" s="90">
        <v>21.766514000000001</v>
      </c>
      <c r="K84" s="91">
        <v>22.167186999999998</v>
      </c>
      <c r="L84" s="90">
        <v>22.215661999999998</v>
      </c>
      <c r="M84" s="91">
        <v>22.559709999999999</v>
      </c>
      <c r="N84" s="90">
        <v>22.7668</v>
      </c>
      <c r="O84" s="91">
        <v>23.137453000000001</v>
      </c>
      <c r="P84" s="90">
        <v>23.400127000000001</v>
      </c>
      <c r="Q84" s="91">
        <v>23.565245000000001</v>
      </c>
      <c r="R84" s="90">
        <v>23.939878</v>
      </c>
      <c r="S84" s="91">
        <v>24.132757000000002</v>
      </c>
      <c r="T84" s="90">
        <v>24.353363000000002</v>
      </c>
      <c r="U84" s="91">
        <v>24.599989000000001</v>
      </c>
      <c r="V84" s="90">
        <v>24.760366000000001</v>
      </c>
      <c r="W84" s="91">
        <v>24.966681000000001</v>
      </c>
      <c r="X84" s="90">
        <v>25.188585</v>
      </c>
      <c r="Y84" s="91">
        <v>25.189914999999999</v>
      </c>
      <c r="Z84" s="90">
        <v>25.361546000000001</v>
      </c>
      <c r="AA84" s="91">
        <v>25.739941000000002</v>
      </c>
      <c r="AB84" s="90">
        <v>25.903061000000001</v>
      </c>
      <c r="AC84" s="91">
        <v>26.101400000000002</v>
      </c>
      <c r="AD84" s="90">
        <v>26.471900999999999</v>
      </c>
      <c r="AE84" s="91">
        <v>26.487107999999999</v>
      </c>
      <c r="AF84" s="90">
        <v>26.746400999999999</v>
      </c>
      <c r="AG84" s="91">
        <v>26.985009999999999</v>
      </c>
      <c r="AH84" s="90">
        <v>27.152633999999999</v>
      </c>
      <c r="AI84" s="96">
        <v>27.305868</v>
      </c>
    </row>
    <row r="85" spans="3:35" ht="15.75" customHeight="1" x14ac:dyDescent="0.25">
      <c r="C85" s="95" t="s">
        <v>18</v>
      </c>
      <c r="D85" s="90">
        <v>14.641048</v>
      </c>
      <c r="E85" s="91">
        <v>14.449450000000001</v>
      </c>
      <c r="F85" s="90">
        <v>14.469915</v>
      </c>
      <c r="G85" s="91">
        <v>14.677915</v>
      </c>
      <c r="H85" s="90">
        <v>14.784328</v>
      </c>
      <c r="I85" s="91">
        <v>15.181978000000001</v>
      </c>
      <c r="J85" s="90">
        <v>15.254274000000001</v>
      </c>
      <c r="K85" s="91">
        <v>15.71048</v>
      </c>
      <c r="L85" s="90">
        <v>15.739540999999999</v>
      </c>
      <c r="M85" s="91">
        <v>16.214652999999998</v>
      </c>
      <c r="N85" s="90">
        <v>16.425370999999998</v>
      </c>
      <c r="O85" s="91">
        <v>16.664819999999999</v>
      </c>
      <c r="P85" s="90">
        <v>17.012841999999999</v>
      </c>
      <c r="Q85" s="91">
        <v>17.187419999999999</v>
      </c>
      <c r="R85" s="90">
        <v>17.583839000000001</v>
      </c>
      <c r="S85" s="91">
        <v>17.868292</v>
      </c>
      <c r="T85" s="90">
        <v>18.138349999999999</v>
      </c>
      <c r="U85" s="91">
        <v>18.383088999999998</v>
      </c>
      <c r="V85" s="90">
        <v>18.624289999999998</v>
      </c>
      <c r="W85" s="91">
        <v>18.83005</v>
      </c>
      <c r="X85" s="90">
        <v>19.106794000000001</v>
      </c>
      <c r="Y85" s="91">
        <v>19.197942999999999</v>
      </c>
      <c r="Z85" s="90">
        <v>19.450199000000001</v>
      </c>
      <c r="AA85" s="91">
        <v>19.834574</v>
      </c>
      <c r="AB85" s="90">
        <v>20.040814999999998</v>
      </c>
      <c r="AC85" s="91">
        <v>20.276285000000001</v>
      </c>
      <c r="AD85" s="90">
        <v>20.70055</v>
      </c>
      <c r="AE85" s="91">
        <v>20.752966000000001</v>
      </c>
      <c r="AF85" s="90">
        <v>21.175343999999999</v>
      </c>
      <c r="AG85" s="91">
        <v>21.518598999999998</v>
      </c>
      <c r="AH85" s="90">
        <v>21.766680000000001</v>
      </c>
      <c r="AI85" s="96">
        <v>21.858753</v>
      </c>
    </row>
    <row r="86" spans="3:35" ht="15.75" customHeight="1" x14ac:dyDescent="0.25">
      <c r="C86" s="95" t="s">
        <v>22</v>
      </c>
      <c r="D86" s="90">
        <v>18.517337999999999</v>
      </c>
      <c r="E86" s="91">
        <v>17.795781999999999</v>
      </c>
      <c r="F86" s="90">
        <v>18.164116</v>
      </c>
      <c r="G86" s="91">
        <v>18.891821</v>
      </c>
      <c r="H86" s="90">
        <v>19.477640000000001</v>
      </c>
      <c r="I86" s="91">
        <v>20.115549000000001</v>
      </c>
      <c r="J86" s="90">
        <v>20.967055999999999</v>
      </c>
      <c r="K86" s="91">
        <v>21.841379</v>
      </c>
      <c r="L86" s="90">
        <v>22.424021</v>
      </c>
      <c r="M86" s="91">
        <v>22.825673999999999</v>
      </c>
      <c r="N86" s="90">
        <v>23.067326999999999</v>
      </c>
      <c r="O86" s="91">
        <v>23.235030999999999</v>
      </c>
      <c r="P86" s="90">
        <v>23.271035999999999</v>
      </c>
      <c r="Q86" s="91">
        <v>23.351419</v>
      </c>
      <c r="R86" s="90">
        <v>23.62575</v>
      </c>
      <c r="S86" s="91">
        <v>23.87743</v>
      </c>
      <c r="T86" s="90">
        <v>24.152052000000001</v>
      </c>
      <c r="U86" s="91">
        <v>24.470886</v>
      </c>
      <c r="V86" s="90">
        <v>24.818118999999999</v>
      </c>
      <c r="W86" s="91">
        <v>25.156732999999999</v>
      </c>
      <c r="X86" s="90">
        <v>25.476082000000002</v>
      </c>
      <c r="Y86" s="91">
        <v>25.756554000000001</v>
      </c>
      <c r="Z86" s="90">
        <v>26.017603000000001</v>
      </c>
      <c r="AA86" s="91">
        <v>26.396612000000001</v>
      </c>
      <c r="AB86" s="90">
        <v>26.704369</v>
      </c>
      <c r="AC86" s="91">
        <v>27.004362</v>
      </c>
      <c r="AD86" s="90">
        <v>27.302423000000001</v>
      </c>
      <c r="AE86" s="91">
        <v>27.590530000000001</v>
      </c>
      <c r="AF86" s="90">
        <v>27.952341000000001</v>
      </c>
      <c r="AG86" s="91">
        <v>28.331855999999998</v>
      </c>
      <c r="AH86" s="90">
        <v>28.642916</v>
      </c>
      <c r="AI86" s="96">
        <v>28.935759999999998</v>
      </c>
    </row>
    <row r="87" spans="3:35" ht="15.75" customHeight="1" x14ac:dyDescent="0.25">
      <c r="C87" s="95" t="s">
        <v>26</v>
      </c>
      <c r="D87" s="90">
        <v>9.7503069999999994</v>
      </c>
      <c r="E87" s="91">
        <v>10.19247</v>
      </c>
      <c r="F87" s="90">
        <v>10.271381</v>
      </c>
      <c r="G87" s="91">
        <v>10.173702</v>
      </c>
      <c r="H87" s="90">
        <v>9.1834290000000003</v>
      </c>
      <c r="I87" s="91">
        <v>9.5545159999999996</v>
      </c>
      <c r="J87" s="90">
        <v>9.8769209999999994</v>
      </c>
      <c r="K87" s="91">
        <v>10.457724000000001</v>
      </c>
      <c r="L87" s="90">
        <v>11.210336</v>
      </c>
      <c r="M87" s="91">
        <v>11.536975999999999</v>
      </c>
      <c r="N87" s="90">
        <v>11.842731000000001</v>
      </c>
      <c r="O87" s="91">
        <v>11.37082</v>
      </c>
      <c r="P87" s="90">
        <v>11.605115</v>
      </c>
      <c r="Q87" s="91">
        <v>11.676685000000001</v>
      </c>
      <c r="R87" s="90">
        <v>11.933399</v>
      </c>
      <c r="S87" s="91">
        <v>12.064242</v>
      </c>
      <c r="T87" s="90">
        <v>12.697660000000001</v>
      </c>
      <c r="U87" s="91">
        <v>13.116432</v>
      </c>
      <c r="V87" s="90">
        <v>13.224297</v>
      </c>
      <c r="W87" s="91">
        <v>13.736769000000001</v>
      </c>
      <c r="X87" s="90">
        <v>13.914393</v>
      </c>
      <c r="Y87" s="91">
        <v>14.113455</v>
      </c>
      <c r="Z87" s="90">
        <v>14.229108</v>
      </c>
      <c r="AA87" s="91">
        <v>14.283981000000001</v>
      </c>
      <c r="AB87" s="90">
        <v>14.843826</v>
      </c>
      <c r="AC87" s="91">
        <v>15.073577</v>
      </c>
      <c r="AD87" s="90">
        <v>15.086976</v>
      </c>
      <c r="AE87" s="91">
        <v>15.677839000000001</v>
      </c>
      <c r="AF87" s="90">
        <v>15.942997</v>
      </c>
      <c r="AG87" s="91">
        <v>16.146730000000002</v>
      </c>
      <c r="AH87" s="90">
        <v>16.344221000000001</v>
      </c>
      <c r="AI87" s="96">
        <v>15.920506</v>
      </c>
    </row>
    <row r="88" spans="3:35" ht="15.75" customHeight="1" x14ac:dyDescent="0.25">
      <c r="C88" s="95" t="s">
        <v>30</v>
      </c>
      <c r="D88" s="97">
        <v>16.336877005347596</v>
      </c>
      <c r="E88" s="97">
        <v>15.906911905432029</v>
      </c>
      <c r="F88" s="97">
        <v>16.583545735997749</v>
      </c>
      <c r="G88" s="97">
        <v>17.425744441317196</v>
      </c>
      <c r="H88" s="97">
        <v>17.265841823810863</v>
      </c>
      <c r="I88" s="97">
        <v>17.183804109203489</v>
      </c>
      <c r="J88" s="97">
        <v>17.76969997185477</v>
      </c>
      <c r="K88" s="97">
        <v>17.949379116239797</v>
      </c>
      <c r="L88" s="97">
        <v>18.489267661131436</v>
      </c>
      <c r="M88" s="97">
        <v>19.181316070925977</v>
      </c>
      <c r="N88" s="97">
        <v>19.59553560371517</v>
      </c>
      <c r="O88" s="97">
        <v>20.679272727272728</v>
      </c>
      <c r="P88" s="97">
        <v>20.745623979735434</v>
      </c>
      <c r="Q88" s="97">
        <v>20.815344216155363</v>
      </c>
      <c r="R88" s="97">
        <v>20.860866873065014</v>
      </c>
      <c r="S88" s="97">
        <v>20.756759358288768</v>
      </c>
      <c r="T88" s="97">
        <v>20.835061638052352</v>
      </c>
      <c r="U88" s="97">
        <v>20.885974669293553</v>
      </c>
      <c r="V88" s="97">
        <v>20.979112299465239</v>
      </c>
      <c r="W88" s="97">
        <v>21.052343371798479</v>
      </c>
      <c r="X88" s="97">
        <v>21.330976076555025</v>
      </c>
      <c r="Y88" s="97">
        <v>21.42243512524627</v>
      </c>
      <c r="Z88" s="97">
        <v>21.491599774838164</v>
      </c>
      <c r="AA88" s="97">
        <v>21.928314663664509</v>
      </c>
      <c r="AB88" s="97">
        <v>22.202857303687022</v>
      </c>
      <c r="AC88" s="97">
        <v>22.659845201238387</v>
      </c>
      <c r="AD88" s="97">
        <v>22.587926259499014</v>
      </c>
      <c r="AE88" s="97">
        <v>22.963514776245425</v>
      </c>
      <c r="AF88" s="97">
        <v>23.469701660568532</v>
      </c>
      <c r="AG88" s="97">
        <v>23.726725584013508</v>
      </c>
      <c r="AH88" s="97">
        <v>24.321664508865748</v>
      </c>
      <c r="AI88" s="98">
        <v>25.480807768083309</v>
      </c>
    </row>
    <row r="89" spans="3:35" ht="15.75" customHeight="1" x14ac:dyDescent="0.25">
      <c r="C89" s="95" t="s">
        <v>32</v>
      </c>
      <c r="D89" s="97">
        <v>28.503195372270948</v>
      </c>
      <c r="E89" s="97">
        <v>27.56843519236628</v>
      </c>
      <c r="F89" s="97">
        <v>27.536108011323876</v>
      </c>
      <c r="G89" s="97">
        <v>27.797248052403248</v>
      </c>
      <c r="H89" s="97">
        <v>27.794152965511518</v>
      </c>
      <c r="I89" s="97">
        <v>28.132498301407413</v>
      </c>
      <c r="J89" s="97">
        <v>28.129124075155097</v>
      </c>
      <c r="K89" s="97">
        <v>28.646918542866576</v>
      </c>
      <c r="L89" s="97">
        <v>28.709563360017508</v>
      </c>
      <c r="M89" s="97">
        <v>29.154180668963214</v>
      </c>
      <c r="N89" s="97">
        <v>29.421805530928889</v>
      </c>
      <c r="O89" s="97">
        <v>29.90080479676578</v>
      </c>
      <c r="P89" s="97">
        <v>30.240261520856617</v>
      </c>
      <c r="Q89" s="97">
        <v>30.453645469661708</v>
      </c>
      <c r="R89" s="97">
        <v>30.937788136679849</v>
      </c>
      <c r="S89" s="97">
        <v>31.187047954880036</v>
      </c>
      <c r="T89" s="97">
        <v>31.472139703872259</v>
      </c>
      <c r="U89" s="97">
        <v>31.79085740732074</v>
      </c>
      <c r="V89" s="97">
        <v>31.99811450562326</v>
      </c>
      <c r="W89" s="97">
        <v>32.264737825901626</v>
      </c>
      <c r="X89" s="97">
        <v>32.551506995681095</v>
      </c>
      <c r="Y89" s="97">
        <v>32.553225770447689</v>
      </c>
      <c r="Z89" s="97">
        <v>32.775026546361701</v>
      </c>
      <c r="AA89" s="97">
        <v>33.264030890576777</v>
      </c>
      <c r="AB89" s="97">
        <v>33.474832800296412</v>
      </c>
      <c r="AC89" s="97">
        <v>33.731148641222632</v>
      </c>
      <c r="AD89" s="97">
        <v>34.209951475657626</v>
      </c>
      <c r="AE89" s="97">
        <v>34.229603662030271</v>
      </c>
      <c r="AF89" s="97">
        <v>34.564691079740761</v>
      </c>
      <c r="AG89" s="97">
        <v>34.873048319051037</v>
      </c>
      <c r="AH89" s="97">
        <v>35.089670801363731</v>
      </c>
      <c r="AI89" s="98">
        <v>35.287696916088954</v>
      </c>
    </row>
    <row r="90" spans="3:35" ht="15.75" customHeight="1" x14ac:dyDescent="0.25">
      <c r="C90" s="95" t="s">
        <v>7</v>
      </c>
      <c r="D90" s="90">
        <v>5.0316960000000002</v>
      </c>
      <c r="E90" s="91">
        <v>4.7607179999999998</v>
      </c>
      <c r="F90" s="90">
        <v>4.8476780000000002</v>
      </c>
      <c r="G90" s="91">
        <v>4.8332069999999998</v>
      </c>
      <c r="H90" s="90">
        <v>4.8686489999999996</v>
      </c>
      <c r="I90" s="91">
        <v>4.9797479999999998</v>
      </c>
      <c r="J90" s="90">
        <v>5.198734</v>
      </c>
      <c r="K90" s="91">
        <v>5.4027200000000004</v>
      </c>
      <c r="L90" s="90">
        <v>5.5522840000000002</v>
      </c>
      <c r="M90" s="91">
        <v>5.6320800000000002</v>
      </c>
      <c r="N90" s="90">
        <v>5.6439170000000001</v>
      </c>
      <c r="O90" s="91">
        <v>5.6790589999999996</v>
      </c>
      <c r="P90" s="90">
        <v>5.6373389999999999</v>
      </c>
      <c r="Q90" s="91">
        <v>5.6477459999999997</v>
      </c>
      <c r="R90" s="90">
        <v>5.7140750000000002</v>
      </c>
      <c r="S90" s="91">
        <v>5.7420039999999997</v>
      </c>
      <c r="T90" s="90">
        <v>5.739636</v>
      </c>
      <c r="U90" s="91">
        <v>5.7297529999999997</v>
      </c>
      <c r="V90" s="90">
        <v>5.7619749999999996</v>
      </c>
      <c r="W90" s="91">
        <v>5.7804820000000001</v>
      </c>
      <c r="X90" s="90">
        <v>5.7848649999999999</v>
      </c>
      <c r="Y90" s="91">
        <v>5.7817970000000001</v>
      </c>
      <c r="Z90" s="90">
        <v>5.7831630000000001</v>
      </c>
      <c r="AA90" s="91">
        <v>5.7969949999999999</v>
      </c>
      <c r="AB90" s="90">
        <v>5.8079429999999999</v>
      </c>
      <c r="AC90" s="91">
        <v>5.8250010000000003</v>
      </c>
      <c r="AD90" s="90">
        <v>5.848293</v>
      </c>
      <c r="AE90" s="91">
        <v>5.8874190000000004</v>
      </c>
      <c r="AF90" s="90">
        <v>5.9310219999999996</v>
      </c>
      <c r="AG90" s="91">
        <v>5.9516270000000002</v>
      </c>
      <c r="AH90" s="90">
        <v>5.9727379999999997</v>
      </c>
      <c r="AI90" s="96">
        <v>6.0177839999999998</v>
      </c>
    </row>
    <row r="91" spans="3:35" ht="16.5" customHeight="1" x14ac:dyDescent="0.25">
      <c r="C91" s="95" t="s">
        <v>13</v>
      </c>
      <c r="D91" s="97">
        <v>9.9389069659747609</v>
      </c>
      <c r="E91" s="97">
        <v>9.3869901772428523</v>
      </c>
      <c r="F91" s="97">
        <v>10.287079260646848</v>
      </c>
      <c r="G91" s="97">
        <v>10.535673289409495</v>
      </c>
      <c r="H91" s="97">
        <v>10.74174170797278</v>
      </c>
      <c r="I91" s="97">
        <v>11.129993971580372</v>
      </c>
      <c r="J91" s="97">
        <v>11.404622491095539</v>
      </c>
      <c r="K91" s="97">
        <v>11.693615001593368</v>
      </c>
      <c r="L91" s="97">
        <v>11.97288183063062</v>
      </c>
      <c r="M91" s="97">
        <v>12.106750658115047</v>
      </c>
      <c r="N91" s="97">
        <v>12.377995487022886</v>
      </c>
      <c r="O91" s="97">
        <v>12.602511149398413</v>
      </c>
      <c r="P91" s="97">
        <v>12.89947849257279</v>
      </c>
      <c r="Q91" s="97">
        <v>13.05019617018589</v>
      </c>
      <c r="R91" s="97">
        <v>13.528408425775462</v>
      </c>
      <c r="S91" s="97">
        <v>13.746138157938017</v>
      </c>
      <c r="T91" s="97">
        <v>14.018754906092827</v>
      </c>
      <c r="U91" s="97">
        <v>14.383410900612422</v>
      </c>
      <c r="V91" s="97">
        <v>14.451363477705129</v>
      </c>
      <c r="W91" s="97">
        <v>14.722348267322275</v>
      </c>
      <c r="X91" s="97">
        <v>14.97849385828558</v>
      </c>
      <c r="Y91" s="97">
        <v>15.146069572197943</v>
      </c>
      <c r="Z91" s="97">
        <v>15.324567642948036</v>
      </c>
      <c r="AA91" s="97">
        <v>15.726956186501802</v>
      </c>
      <c r="AB91" s="97">
        <v>15.920432485064548</v>
      </c>
      <c r="AC91" s="97">
        <v>16.14669086999627</v>
      </c>
      <c r="AD91" s="97">
        <v>16.491298400506025</v>
      </c>
      <c r="AE91" s="97">
        <v>16.614746224078669</v>
      </c>
      <c r="AF91" s="97">
        <v>17.032564177747016</v>
      </c>
      <c r="AG91" s="97">
        <v>17.354044993811897</v>
      </c>
      <c r="AH91" s="97">
        <v>17.615031873336019</v>
      </c>
      <c r="AI91" s="98">
        <v>17.793513868287572</v>
      </c>
    </row>
    <row r="92" spans="3:35" ht="15.75" customHeight="1" x14ac:dyDescent="0.25">
      <c r="C92" s="95" t="s">
        <v>17</v>
      </c>
      <c r="D92" s="97">
        <f>D91-0.74</f>
        <v>9.1989069659747607</v>
      </c>
      <c r="E92" s="97">
        <f t="shared" ref="E92:AI92" si="16">E91-0.74</f>
        <v>8.6469901772428521</v>
      </c>
      <c r="F92" s="97">
        <f t="shared" si="16"/>
        <v>9.5470792606468482</v>
      </c>
      <c r="G92" s="97">
        <f t="shared" si="16"/>
        <v>9.7956732894094944</v>
      </c>
      <c r="H92" s="97">
        <f t="shared" si="16"/>
        <v>10.00174170797278</v>
      </c>
      <c r="I92" s="97">
        <f t="shared" si="16"/>
        <v>10.389993971580372</v>
      </c>
      <c r="J92" s="97">
        <f t="shared" si="16"/>
        <v>10.664622491095539</v>
      </c>
      <c r="K92" s="97">
        <f t="shared" si="16"/>
        <v>10.953615001593368</v>
      </c>
      <c r="L92" s="97">
        <f t="shared" si="16"/>
        <v>11.232881830630619</v>
      </c>
      <c r="M92" s="97">
        <f t="shared" si="16"/>
        <v>11.366750658115047</v>
      </c>
      <c r="N92" s="97">
        <f t="shared" si="16"/>
        <v>11.637995487022886</v>
      </c>
      <c r="O92" s="97">
        <f t="shared" si="16"/>
        <v>11.862511149398413</v>
      </c>
      <c r="P92" s="97">
        <f t="shared" si="16"/>
        <v>12.15947849257279</v>
      </c>
      <c r="Q92" s="97">
        <f t="shared" si="16"/>
        <v>12.31019617018589</v>
      </c>
      <c r="R92" s="97">
        <f t="shared" si="16"/>
        <v>12.788408425775462</v>
      </c>
      <c r="S92" s="97">
        <f t="shared" si="16"/>
        <v>13.006138157938016</v>
      </c>
      <c r="T92" s="97">
        <f t="shared" si="16"/>
        <v>13.278754906092827</v>
      </c>
      <c r="U92" s="97">
        <f t="shared" si="16"/>
        <v>13.643410900612421</v>
      </c>
      <c r="V92" s="97">
        <f t="shared" si="16"/>
        <v>13.711363477705129</v>
      </c>
      <c r="W92" s="97">
        <f t="shared" si="16"/>
        <v>13.982348267322275</v>
      </c>
      <c r="X92" s="97">
        <f t="shared" si="16"/>
        <v>14.23849385828558</v>
      </c>
      <c r="Y92" s="97">
        <f t="shared" si="16"/>
        <v>14.406069572197943</v>
      </c>
      <c r="Z92" s="97">
        <f t="shared" si="16"/>
        <v>14.584567642948036</v>
      </c>
      <c r="AA92" s="97">
        <f t="shared" si="16"/>
        <v>14.986956186501802</v>
      </c>
      <c r="AB92" s="97">
        <f t="shared" si="16"/>
        <v>15.180432485064548</v>
      </c>
      <c r="AC92" s="97">
        <f t="shared" si="16"/>
        <v>15.40669086999627</v>
      </c>
      <c r="AD92" s="97">
        <f t="shared" si="16"/>
        <v>15.751298400506025</v>
      </c>
      <c r="AE92" s="97">
        <f t="shared" si="16"/>
        <v>15.874746224078669</v>
      </c>
      <c r="AF92" s="97">
        <f t="shared" si="16"/>
        <v>16.292564177747018</v>
      </c>
      <c r="AG92" s="97">
        <f t="shared" si="16"/>
        <v>16.614044993811898</v>
      </c>
      <c r="AH92" s="97">
        <f t="shared" si="16"/>
        <v>16.87503187333602</v>
      </c>
      <c r="AI92" s="98">
        <f t="shared" si="16"/>
        <v>17.053513868287574</v>
      </c>
    </row>
    <row r="93" spans="3:35" ht="15.75" customHeight="1" x14ac:dyDescent="0.25">
      <c r="C93" s="95" t="s">
        <v>433</v>
      </c>
      <c r="D93" s="97">
        <f>D91-1.48</f>
        <v>8.4589069659747604</v>
      </c>
      <c r="E93" s="97">
        <f t="shared" ref="E93:AI93" si="17">E91-1.48</f>
        <v>7.9069901772428519</v>
      </c>
      <c r="F93" s="97">
        <f t="shared" si="17"/>
        <v>8.807079260646848</v>
      </c>
      <c r="G93" s="97">
        <f t="shared" si="17"/>
        <v>9.0556732894094942</v>
      </c>
      <c r="H93" s="97">
        <f t="shared" si="17"/>
        <v>9.2617417079727797</v>
      </c>
      <c r="I93" s="97">
        <f t="shared" si="17"/>
        <v>9.649993971580372</v>
      </c>
      <c r="J93" s="97">
        <f t="shared" si="17"/>
        <v>9.9246224910955387</v>
      </c>
      <c r="K93" s="97">
        <f t="shared" si="17"/>
        <v>10.213615001593368</v>
      </c>
      <c r="L93" s="97">
        <f t="shared" si="17"/>
        <v>10.492881830630619</v>
      </c>
      <c r="M93" s="97">
        <f t="shared" si="17"/>
        <v>10.626750658115046</v>
      </c>
      <c r="N93" s="97">
        <f t="shared" si="17"/>
        <v>10.897995487022886</v>
      </c>
      <c r="O93" s="97">
        <f t="shared" si="17"/>
        <v>11.122511149398413</v>
      </c>
      <c r="P93" s="97">
        <f t="shared" si="17"/>
        <v>11.419478492572789</v>
      </c>
      <c r="Q93" s="97">
        <f t="shared" si="17"/>
        <v>11.57019617018589</v>
      </c>
      <c r="R93" s="97">
        <f t="shared" si="17"/>
        <v>12.048408425775461</v>
      </c>
      <c r="S93" s="97">
        <f t="shared" si="17"/>
        <v>12.266138157938016</v>
      </c>
      <c r="T93" s="97">
        <f t="shared" si="17"/>
        <v>12.538754906092827</v>
      </c>
      <c r="U93" s="97">
        <f t="shared" si="17"/>
        <v>12.903410900612421</v>
      </c>
      <c r="V93" s="97">
        <f t="shared" si="17"/>
        <v>12.971363477705129</v>
      </c>
      <c r="W93" s="97">
        <f t="shared" si="17"/>
        <v>13.242348267322274</v>
      </c>
      <c r="X93" s="97">
        <f t="shared" si="17"/>
        <v>13.498493858285579</v>
      </c>
      <c r="Y93" s="97">
        <f t="shared" si="17"/>
        <v>13.666069572197943</v>
      </c>
      <c r="Z93" s="97">
        <f t="shared" si="17"/>
        <v>13.844567642948036</v>
      </c>
      <c r="AA93" s="97">
        <f t="shared" si="17"/>
        <v>14.246956186501802</v>
      </c>
      <c r="AB93" s="97">
        <f t="shared" si="17"/>
        <v>14.440432485064548</v>
      </c>
      <c r="AC93" s="97">
        <f t="shared" si="17"/>
        <v>14.66669086999627</v>
      </c>
      <c r="AD93" s="97">
        <f t="shared" si="17"/>
        <v>15.011298400506025</v>
      </c>
      <c r="AE93" s="97">
        <f t="shared" si="17"/>
        <v>15.134746224078668</v>
      </c>
      <c r="AF93" s="97">
        <f t="shared" si="17"/>
        <v>15.552564177747016</v>
      </c>
      <c r="AG93" s="97">
        <f t="shared" si="17"/>
        <v>15.874044993811896</v>
      </c>
      <c r="AH93" s="97">
        <f t="shared" si="17"/>
        <v>16.135031873336018</v>
      </c>
      <c r="AI93" s="98">
        <f t="shared" si="17"/>
        <v>16.313513868287572</v>
      </c>
    </row>
    <row r="94" spans="3:35" ht="15.75" customHeight="1" x14ac:dyDescent="0.25">
      <c r="C94" s="95" t="s">
        <v>434</v>
      </c>
      <c r="D94" s="97">
        <v>9.9389069659747609</v>
      </c>
      <c r="E94" s="97">
        <v>9.3869901772428523</v>
      </c>
      <c r="F94" s="97">
        <v>10.287079260646848</v>
      </c>
      <c r="G94" s="97">
        <v>10.535673289409495</v>
      </c>
      <c r="H94" s="97">
        <v>10.74174170797278</v>
      </c>
      <c r="I94" s="97">
        <v>11.129993971580372</v>
      </c>
      <c r="J94" s="97">
        <v>11.404622491095539</v>
      </c>
      <c r="K94" s="97">
        <v>11.693615001593368</v>
      </c>
      <c r="L94" s="97">
        <v>11.97288183063062</v>
      </c>
      <c r="M94" s="97">
        <v>12.106750658115047</v>
      </c>
      <c r="N94" s="97">
        <v>12.377995487022886</v>
      </c>
      <c r="O94" s="97">
        <v>12.602511149398413</v>
      </c>
      <c r="P94" s="97">
        <v>12.89947849257279</v>
      </c>
      <c r="Q94" s="97">
        <v>13.05019617018589</v>
      </c>
      <c r="R94" s="97">
        <v>13.528408425775462</v>
      </c>
      <c r="S94" s="97">
        <v>13.746138157938017</v>
      </c>
      <c r="T94" s="97">
        <v>14.018754906092827</v>
      </c>
      <c r="U94" s="97">
        <v>14.383410900612422</v>
      </c>
      <c r="V94" s="97">
        <v>14.451363477705129</v>
      </c>
      <c r="W94" s="97">
        <v>14.722348267322275</v>
      </c>
      <c r="X94" s="97">
        <v>14.97849385828558</v>
      </c>
      <c r="Y94" s="97">
        <v>15.146069572197943</v>
      </c>
      <c r="Z94" s="97">
        <v>15.324567642948036</v>
      </c>
      <c r="AA94" s="97">
        <v>15.726956186501802</v>
      </c>
      <c r="AB94" s="97">
        <v>15.920432485064548</v>
      </c>
      <c r="AC94" s="97">
        <v>16.14669086999627</v>
      </c>
      <c r="AD94" s="97">
        <v>16.491298400506025</v>
      </c>
      <c r="AE94" s="97">
        <v>16.614746224078669</v>
      </c>
      <c r="AF94" s="97">
        <v>17.032564177747016</v>
      </c>
      <c r="AG94" s="97">
        <v>17.354044993811897</v>
      </c>
      <c r="AH94" s="97">
        <v>17.615031873336019</v>
      </c>
      <c r="AI94" s="98">
        <v>17.793513868287572</v>
      </c>
    </row>
    <row r="95" spans="3:35" ht="15.75" customHeight="1" x14ac:dyDescent="0.25">
      <c r="C95" s="99" t="s">
        <v>69</v>
      </c>
      <c r="D95" s="100">
        <v>22.631883642110068</v>
      </c>
      <c r="E95" s="100">
        <v>22.339540412044375</v>
      </c>
      <c r="F95" s="100">
        <v>22.078422999593137</v>
      </c>
      <c r="G95" s="100">
        <v>22.39579265822039</v>
      </c>
      <c r="H95" s="100">
        <v>22.558159280737229</v>
      </c>
      <c r="I95" s="100">
        <v>23.164899880511875</v>
      </c>
      <c r="J95" s="100">
        <v>23.275210249935512</v>
      </c>
      <c r="K95" s="100">
        <v>23.971296511876403</v>
      </c>
      <c r="L95" s="100">
        <v>24.015638240959891</v>
      </c>
      <c r="M95" s="100">
        <v>24.740571573891199</v>
      </c>
      <c r="N95" s="100">
        <v>25.062088399499931</v>
      </c>
      <c r="O95" s="100">
        <v>25.42744343502223</v>
      </c>
      <c r="P95" s="100">
        <v>25.958460854900952</v>
      </c>
      <c r="Q95" s="100">
        <v>26.224834702323204</v>
      </c>
      <c r="R95" s="100">
        <v>26.829697023012422</v>
      </c>
      <c r="S95" s="100">
        <v>27.263719866788854</v>
      </c>
      <c r="T95" s="100">
        <v>27.675778594046346</v>
      </c>
      <c r="U95" s="100">
        <v>28.049205194444301</v>
      </c>
      <c r="V95" s="100">
        <v>28.417233459014266</v>
      </c>
      <c r="W95" s="100">
        <v>28.731185290548609</v>
      </c>
      <c r="X95" s="100">
        <v>29.153445621352176</v>
      </c>
      <c r="Y95" s="100">
        <v>29.292522193535898</v>
      </c>
      <c r="Z95" s="100">
        <v>29.677418350298769</v>
      </c>
      <c r="AA95" s="100">
        <v>30.263903747100933</v>
      </c>
      <c r="AB95" s="100">
        <v>30.578589495970853</v>
      </c>
      <c r="AC95" s="100">
        <v>30.937873310956238</v>
      </c>
      <c r="AD95" s="100">
        <v>31.585223494694176</v>
      </c>
      <c r="AE95" s="100">
        <v>31.665200648668247</v>
      </c>
      <c r="AF95" s="100">
        <v>32.309671618243542</v>
      </c>
      <c r="AG95" s="100">
        <v>32.833415474840166</v>
      </c>
      <c r="AH95" s="100">
        <v>33.211941351195492</v>
      </c>
      <c r="AI95" s="101">
        <v>33.352427777055048</v>
      </c>
    </row>
    <row r="96" spans="3:35" ht="15.75" customHeight="1" x14ac:dyDescent="0.25">
      <c r="C96" s="12"/>
    </row>
    <row r="97" spans="2:11" ht="15.75" customHeight="1" x14ac:dyDescent="0.25"/>
    <row r="98" spans="2:11" ht="15.75" customHeight="1" thickBot="1" x14ac:dyDescent="0.3"/>
    <row r="99" spans="2:11" ht="18.600000000000001" customHeight="1" thickBot="1" x14ac:dyDescent="0.4">
      <c r="B99" s="121"/>
      <c r="C99" s="122" t="s">
        <v>435</v>
      </c>
      <c r="D99" s="123"/>
      <c r="E99" s="123"/>
      <c r="F99" s="123"/>
      <c r="G99" s="123"/>
      <c r="H99" s="123"/>
      <c r="I99" s="123"/>
      <c r="J99" s="123"/>
      <c r="K99" s="124"/>
    </row>
    <row r="100" spans="2:11" ht="15.75" customHeight="1" x14ac:dyDescent="0.25">
      <c r="B100" s="116"/>
      <c r="C100" s="117"/>
      <c r="D100" s="117">
        <v>2019</v>
      </c>
      <c r="E100" s="117">
        <v>2020</v>
      </c>
      <c r="F100" s="117">
        <v>2025</v>
      </c>
      <c r="G100" s="117">
        <v>2030</v>
      </c>
      <c r="H100" s="117">
        <v>2035</v>
      </c>
      <c r="I100" s="117">
        <v>2040</v>
      </c>
      <c r="J100" s="117">
        <v>2045</v>
      </c>
      <c r="K100" s="118">
        <v>2050</v>
      </c>
    </row>
    <row r="101" spans="2:11" ht="15.75" customHeight="1" x14ac:dyDescent="0.25">
      <c r="B101" s="116" t="s">
        <v>8</v>
      </c>
      <c r="C101" s="117" t="s">
        <v>297</v>
      </c>
      <c r="D101" s="125">
        <f t="shared" ref="D101:D113" si="18">+D83*$R$3/1000000</f>
        <v>20.996445954041999</v>
      </c>
      <c r="E101" s="125">
        <f t="shared" ref="E101:E113" si="19">+E83*$R$3/1000000</f>
        <v>20.795929580790002</v>
      </c>
      <c r="F101" s="125">
        <f t="shared" ref="F101:F113" si="20">+J83*$R$3/1000000</f>
        <v>20.716882590807003</v>
      </c>
      <c r="G101" s="125">
        <f t="shared" ref="G101:G113" si="21">+O83*$R$3/1000000</f>
        <v>22.202066334591002</v>
      </c>
      <c r="H101" s="125">
        <f t="shared" ref="H101:H113" si="22">+T83*$R$3/1000000</f>
        <v>23.568165402677998</v>
      </c>
      <c r="I101" s="125">
        <f t="shared" ref="I101:I113" si="23">+Y83*$R$3/1000000</f>
        <v>24.597135442035</v>
      </c>
      <c r="J101" s="125">
        <f t="shared" ref="J101:J113" si="24">+AD83*$R$3/1000000</f>
        <v>25.886116327734001</v>
      </c>
      <c r="K101" s="126">
        <f t="shared" ref="K101:K113" si="25">+AI83*$R$3/1000000</f>
        <v>27.153960894333</v>
      </c>
    </row>
    <row r="102" spans="2:11" ht="15.75" customHeight="1" x14ac:dyDescent="0.25">
      <c r="B102" s="116" t="s">
        <v>14</v>
      </c>
      <c r="C102" s="117" t="s">
        <v>60</v>
      </c>
      <c r="D102" s="125">
        <f t="shared" si="18"/>
        <v>20.905026160941002</v>
      </c>
      <c r="E102" s="125">
        <f t="shared" si="19"/>
        <v>20.219447377232999</v>
      </c>
      <c r="F102" s="125">
        <f t="shared" si="20"/>
        <v>20.630671999937999</v>
      </c>
      <c r="G102" s="125">
        <f t="shared" si="21"/>
        <v>21.930071290101001</v>
      </c>
      <c r="H102" s="125">
        <f t="shared" si="22"/>
        <v>23.082531458571001</v>
      </c>
      <c r="I102" s="125">
        <f t="shared" si="23"/>
        <v>23.875429665555</v>
      </c>
      <c r="J102" s="125">
        <f t="shared" si="24"/>
        <v>25.090517790116998</v>
      </c>
      <c r="K102" s="126">
        <f t="shared" si="25"/>
        <v>25.880965890156002</v>
      </c>
    </row>
    <row r="103" spans="2:11" ht="15.75" customHeight="1" x14ac:dyDescent="0.25">
      <c r="B103" s="116" t="s">
        <v>18</v>
      </c>
      <c r="C103" s="117" t="s">
        <v>436</v>
      </c>
      <c r="D103" s="125">
        <f t="shared" si="18"/>
        <v>13.877034192216</v>
      </c>
      <c r="E103" s="125">
        <f t="shared" si="19"/>
        <v>13.695434350650002</v>
      </c>
      <c r="F103" s="125">
        <f t="shared" si="20"/>
        <v>14.458260219857999</v>
      </c>
      <c r="G103" s="125">
        <f t="shared" si="21"/>
        <v>15.795199697939999</v>
      </c>
      <c r="H103" s="125">
        <f t="shared" si="22"/>
        <v>17.191836481949998</v>
      </c>
      <c r="I103" s="125">
        <f t="shared" si="23"/>
        <v>18.196136740431001</v>
      </c>
      <c r="J103" s="125">
        <f t="shared" si="24"/>
        <v>19.62033319935</v>
      </c>
      <c r="K103" s="126">
        <f t="shared" si="25"/>
        <v>20.718097692200999</v>
      </c>
    </row>
    <row r="104" spans="2:11" ht="15.75" customHeight="1" x14ac:dyDescent="0.25">
      <c r="B104" s="116" t="s">
        <v>22</v>
      </c>
      <c r="C104" s="117" t="s">
        <v>22</v>
      </c>
      <c r="D104" s="125">
        <f t="shared" si="18"/>
        <v>17.551047751146001</v>
      </c>
      <c r="E104" s="125">
        <f t="shared" si="19"/>
        <v>16.867144707893999</v>
      </c>
      <c r="F104" s="125">
        <f t="shared" si="20"/>
        <v>19.872932116751997</v>
      </c>
      <c r="G104" s="125">
        <f t="shared" si="21"/>
        <v>22.022557377326997</v>
      </c>
      <c r="H104" s="125">
        <f t="shared" si="22"/>
        <v>22.891725470484001</v>
      </c>
      <c r="I104" s="125">
        <f t="shared" si="23"/>
        <v>24.412499742618003</v>
      </c>
      <c r="J104" s="125">
        <f t="shared" si="24"/>
        <v>25.877700660591003</v>
      </c>
      <c r="K104" s="126">
        <f t="shared" si="25"/>
        <v>27.425805235919999</v>
      </c>
    </row>
    <row r="105" spans="2:11" ht="15.75" customHeight="1" x14ac:dyDescent="0.25">
      <c r="B105" s="116" t="s">
        <v>26</v>
      </c>
      <c r="C105" s="117" t="s">
        <v>303</v>
      </c>
      <c r="D105" s="125">
        <f t="shared" si="18"/>
        <v>9.2415067298189992</v>
      </c>
      <c r="E105" s="125">
        <f t="shared" si="19"/>
        <v>9.6605963379900004</v>
      </c>
      <c r="F105" s="125">
        <f t="shared" si="20"/>
        <v>9.3615136314569991</v>
      </c>
      <c r="G105" s="125">
        <f t="shared" si="21"/>
        <v>10.777456499940001</v>
      </c>
      <c r="H105" s="125">
        <f t="shared" si="22"/>
        <v>12.03505800822</v>
      </c>
      <c r="I105" s="125">
        <f t="shared" si="23"/>
        <v>13.376972577735</v>
      </c>
      <c r="J105" s="125">
        <f t="shared" si="24"/>
        <v>14.299692331392</v>
      </c>
      <c r="K105" s="126">
        <f t="shared" si="25"/>
        <v>15.089726235401999</v>
      </c>
    </row>
    <row r="106" spans="2:11" ht="15.75" customHeight="1" x14ac:dyDescent="0.25">
      <c r="B106" s="116" t="s">
        <v>30</v>
      </c>
      <c r="C106" s="117" t="s">
        <v>308</v>
      </c>
      <c r="D106" s="125">
        <f t="shared" si="18"/>
        <v>15.484369752577541</v>
      </c>
      <c r="E106" s="125">
        <f t="shared" si="19"/>
        <v>15.076841521470868</v>
      </c>
      <c r="F106" s="125">
        <f t="shared" si="20"/>
        <v>16.842423718223472</v>
      </c>
      <c r="G106" s="125">
        <f t="shared" si="21"/>
        <v>19.600166238545455</v>
      </c>
      <c r="H106" s="125">
        <f t="shared" si="22"/>
        <v>19.747825616593868</v>
      </c>
      <c r="I106" s="125">
        <f t="shared" si="23"/>
        <v>20.304548193105546</v>
      </c>
      <c r="J106" s="125">
        <f t="shared" si="24"/>
        <v>21.409220503499576</v>
      </c>
      <c r="K106" s="126">
        <f t="shared" si="25"/>
        <v>24.151142776321418</v>
      </c>
    </row>
    <row r="107" spans="2:11" ht="15.75" customHeight="1" x14ac:dyDescent="0.25">
      <c r="B107" s="116" t="s">
        <v>32</v>
      </c>
      <c r="C107" s="117" t="s">
        <v>62</v>
      </c>
      <c r="D107" s="125">
        <f t="shared" si="18"/>
        <v>27.015813128159731</v>
      </c>
      <c r="E107" s="125">
        <f t="shared" si="19"/>
        <v>26.129831538723028</v>
      </c>
      <c r="F107" s="125">
        <f t="shared" si="20"/>
        <v>26.661261993541277</v>
      </c>
      <c r="G107" s="125">
        <f t="shared" si="21"/>
        <v>28.340491100056148</v>
      </c>
      <c r="H107" s="125">
        <f t="shared" si="22"/>
        <v>29.829829037705093</v>
      </c>
      <c r="I107" s="125">
        <f t="shared" si="23"/>
        <v>30.854500790068418</v>
      </c>
      <c r="J107" s="125">
        <f t="shared" si="24"/>
        <v>32.424773577803386</v>
      </c>
      <c r="K107" s="126">
        <f t="shared" si="25"/>
        <v>33.446279027916688</v>
      </c>
    </row>
    <row r="108" spans="2:11" ht="15.75" customHeight="1" x14ac:dyDescent="0.25">
      <c r="B108" s="116" t="s">
        <v>7</v>
      </c>
      <c r="C108" s="117" t="s">
        <v>289</v>
      </c>
      <c r="D108" s="125">
        <f t="shared" si="18"/>
        <v>4.769127007632</v>
      </c>
      <c r="E108" s="125">
        <f t="shared" si="19"/>
        <v>4.5122894526059998</v>
      </c>
      <c r="F108" s="125">
        <f t="shared" si="20"/>
        <v>4.9274484636779992</v>
      </c>
      <c r="G108" s="125">
        <f t="shared" si="21"/>
        <v>5.3827086642029993</v>
      </c>
      <c r="H108" s="125">
        <f t="shared" si="22"/>
        <v>5.4401245746119997</v>
      </c>
      <c r="I108" s="125">
        <f t="shared" si="23"/>
        <v>5.4800854871490001</v>
      </c>
      <c r="J108" s="125">
        <f t="shared" si="24"/>
        <v>5.5431115263809998</v>
      </c>
      <c r="K108" s="126">
        <f t="shared" si="25"/>
        <v>5.7037579775280003</v>
      </c>
    </row>
    <row r="109" spans="2:11" ht="15.75" customHeight="1" x14ac:dyDescent="0.25">
      <c r="B109" s="116" t="s">
        <v>13</v>
      </c>
      <c r="C109" s="117" t="s">
        <v>13</v>
      </c>
      <c r="D109" s="125">
        <f t="shared" si="18"/>
        <v>9.4202649837693002</v>
      </c>
      <c r="E109" s="125">
        <f t="shared" si="19"/>
        <v>8.8971488688237894</v>
      </c>
      <c r="F109" s="125">
        <f t="shared" si="20"/>
        <v>10.809495075642701</v>
      </c>
      <c r="G109" s="125">
        <f t="shared" si="21"/>
        <v>11.944874310089356</v>
      </c>
      <c r="H109" s="125">
        <f t="shared" si="22"/>
        <v>13.287214218828185</v>
      </c>
      <c r="I109" s="125">
        <f t="shared" si="23"/>
        <v>14.355702223711937</v>
      </c>
      <c r="J109" s="125">
        <f t="shared" si="24"/>
        <v>15.630732976072419</v>
      </c>
      <c r="K109" s="126">
        <f t="shared" si="25"/>
        <v>16.864994934098721</v>
      </c>
    </row>
    <row r="110" spans="2:11" ht="15.75" customHeight="1" x14ac:dyDescent="0.25">
      <c r="B110" s="116" t="s">
        <v>17</v>
      </c>
      <c r="C110" s="117" t="s">
        <v>17</v>
      </c>
      <c r="D110" s="125">
        <f t="shared" si="18"/>
        <v>8.7188804037692993</v>
      </c>
      <c r="E110" s="125">
        <f t="shared" si="19"/>
        <v>8.1957642888237885</v>
      </c>
      <c r="F110" s="125">
        <f t="shared" si="20"/>
        <v>10.108110495642702</v>
      </c>
      <c r="G110" s="125">
        <f t="shared" si="21"/>
        <v>11.243489730089355</v>
      </c>
      <c r="H110" s="125">
        <f t="shared" si="22"/>
        <v>12.585829638828184</v>
      </c>
      <c r="I110" s="125">
        <f t="shared" si="23"/>
        <v>13.654317643711938</v>
      </c>
      <c r="J110" s="125">
        <f t="shared" si="24"/>
        <v>14.929348396072418</v>
      </c>
      <c r="K110" s="126">
        <f t="shared" si="25"/>
        <v>16.163610354098726</v>
      </c>
    </row>
    <row r="111" spans="2:11" ht="15.75" customHeight="1" x14ac:dyDescent="0.25">
      <c r="B111" s="116" t="s">
        <v>433</v>
      </c>
      <c r="C111" s="117" t="s">
        <v>433</v>
      </c>
      <c r="D111" s="125">
        <f t="shared" si="18"/>
        <v>8.0174958237693001</v>
      </c>
      <c r="E111" s="125">
        <f t="shared" si="19"/>
        <v>7.4943797088237876</v>
      </c>
      <c r="F111" s="125">
        <f t="shared" si="20"/>
        <v>9.406725915642701</v>
      </c>
      <c r="G111" s="125">
        <f t="shared" si="21"/>
        <v>10.542105150089355</v>
      </c>
      <c r="H111" s="125">
        <f t="shared" si="22"/>
        <v>11.884445058828184</v>
      </c>
      <c r="I111" s="125">
        <f t="shared" si="23"/>
        <v>12.952933063711937</v>
      </c>
      <c r="J111" s="125">
        <f t="shared" si="24"/>
        <v>14.227963816072419</v>
      </c>
      <c r="K111" s="126">
        <f t="shared" si="25"/>
        <v>15.462225774098723</v>
      </c>
    </row>
    <row r="112" spans="2:11" ht="15.75" customHeight="1" x14ac:dyDescent="0.25">
      <c r="B112" s="116" t="s">
        <v>434</v>
      </c>
      <c r="C112" s="117" t="s">
        <v>434</v>
      </c>
      <c r="D112" s="125">
        <f t="shared" si="18"/>
        <v>9.4202649837693002</v>
      </c>
      <c r="E112" s="125">
        <f t="shared" si="19"/>
        <v>8.8971488688237894</v>
      </c>
      <c r="F112" s="125">
        <f t="shared" si="20"/>
        <v>10.809495075642701</v>
      </c>
      <c r="G112" s="125">
        <f t="shared" si="21"/>
        <v>11.944874310089356</v>
      </c>
      <c r="H112" s="125">
        <f t="shared" si="22"/>
        <v>13.287214218828185</v>
      </c>
      <c r="I112" s="125">
        <f t="shared" si="23"/>
        <v>14.355702223711937</v>
      </c>
      <c r="J112" s="125">
        <f t="shared" si="24"/>
        <v>15.630732976072419</v>
      </c>
      <c r="K112" s="126">
        <f t="shared" si="25"/>
        <v>16.864994934098721</v>
      </c>
    </row>
    <row r="113" spans="2:34" ht="15.75" customHeight="1" x14ac:dyDescent="0.25">
      <c r="B113" s="116" t="s">
        <v>69</v>
      </c>
      <c r="C113" s="117" t="s">
        <v>305</v>
      </c>
      <c r="D113" s="125">
        <f t="shared" si="18"/>
        <v>21.450884058013838</v>
      </c>
      <c r="E113" s="125">
        <f t="shared" si="19"/>
        <v>21.173796174722664</v>
      </c>
      <c r="F113" s="125">
        <f t="shared" si="20"/>
        <v>22.060639953463127</v>
      </c>
      <c r="G113" s="125">
        <f t="shared" si="21"/>
        <v>24.100563154252466</v>
      </c>
      <c r="H113" s="125">
        <f t="shared" si="22"/>
        <v>26.231573439673227</v>
      </c>
      <c r="I113" s="125">
        <f t="shared" si="23"/>
        <v>27.763950507910614</v>
      </c>
      <c r="J113" s="125">
        <f t="shared" si="24"/>
        <v>29.937011777070548</v>
      </c>
      <c r="K113" s="126">
        <f t="shared" si="25"/>
        <v>31.611998038364984</v>
      </c>
    </row>
    <row r="114" spans="2:34" s="103" customFormat="1" ht="15.75" customHeight="1" thickBot="1" x14ac:dyDescent="0.3">
      <c r="B114" s="119" t="s">
        <v>9</v>
      </c>
      <c r="C114" s="120" t="s">
        <v>311</v>
      </c>
      <c r="D114" s="127">
        <f>C120</f>
        <v>32.222222222222221</v>
      </c>
      <c r="E114" s="127">
        <f>D120</f>
        <v>32.317556155538618</v>
      </c>
      <c r="F114" s="127">
        <f>I120</f>
        <v>32.707009572337903</v>
      </c>
      <c r="G114" s="127">
        <f>N120</f>
        <v>32.931671348954701</v>
      </c>
      <c r="H114" s="127">
        <f>S120</f>
        <v>33.187507161899113</v>
      </c>
      <c r="I114" s="127">
        <f>X120</f>
        <v>33.451893631104028</v>
      </c>
      <c r="J114" s="127">
        <f>AC120</f>
        <v>33.743643976640961</v>
      </c>
      <c r="K114" s="128">
        <f>AH120</f>
        <v>34.141956681541899</v>
      </c>
    </row>
    <row r="115" spans="2:34" ht="15.75" customHeight="1" x14ac:dyDescent="0.25"/>
    <row r="117" spans="2:34" ht="15.75" customHeight="1" x14ac:dyDescent="0.25">
      <c r="C117" s="12">
        <v>2019</v>
      </c>
      <c r="D117" s="12">
        <v>2020</v>
      </c>
      <c r="E117" s="12">
        <v>2021</v>
      </c>
      <c r="F117" s="12">
        <v>2022</v>
      </c>
      <c r="G117" s="12">
        <v>2023</v>
      </c>
      <c r="H117" s="12">
        <v>2024</v>
      </c>
      <c r="I117" s="12">
        <v>2025</v>
      </c>
      <c r="J117" s="12">
        <v>2026</v>
      </c>
      <c r="K117" s="12">
        <v>2027</v>
      </c>
      <c r="L117" s="12">
        <v>2028</v>
      </c>
      <c r="M117" s="12">
        <v>2029</v>
      </c>
      <c r="N117" s="12">
        <v>2030</v>
      </c>
      <c r="O117" s="12">
        <v>2031</v>
      </c>
      <c r="P117" s="12">
        <v>2032</v>
      </c>
      <c r="Q117" s="12">
        <v>2033</v>
      </c>
      <c r="R117" s="12">
        <v>2034</v>
      </c>
      <c r="S117" s="12">
        <v>2035</v>
      </c>
      <c r="T117" s="12">
        <v>2036</v>
      </c>
      <c r="U117" s="12">
        <v>2037</v>
      </c>
      <c r="V117" s="12">
        <v>2038</v>
      </c>
      <c r="W117" s="12">
        <v>2039</v>
      </c>
      <c r="X117" s="12">
        <v>2040</v>
      </c>
      <c r="Y117" s="12">
        <v>2041</v>
      </c>
      <c r="Z117" s="12">
        <v>2042</v>
      </c>
      <c r="AA117" s="12">
        <v>2043</v>
      </c>
      <c r="AB117" s="12">
        <v>2044</v>
      </c>
      <c r="AC117" s="12">
        <v>2045</v>
      </c>
      <c r="AD117" s="12">
        <v>2046</v>
      </c>
      <c r="AE117" s="12">
        <v>2047</v>
      </c>
      <c r="AF117" s="12">
        <v>2048</v>
      </c>
      <c r="AG117" s="12">
        <v>2049</v>
      </c>
      <c r="AH117" s="12">
        <v>2050</v>
      </c>
    </row>
    <row r="118" spans="2:34" ht="15.75" customHeight="1" x14ac:dyDescent="0.25">
      <c r="B118" s="109" t="s">
        <v>438</v>
      </c>
      <c r="C118" s="111">
        <v>29.024152999999998</v>
      </c>
      <c r="D118" s="112">
        <v>29.110025</v>
      </c>
      <c r="E118" s="111">
        <v>29.242495999999999</v>
      </c>
      <c r="F118" s="111">
        <v>29.313385</v>
      </c>
      <c r="G118" s="112">
        <v>29.319500000000001</v>
      </c>
      <c r="H118" s="112">
        <v>29.398705</v>
      </c>
      <c r="I118" s="111">
        <v>29.460825</v>
      </c>
      <c r="J118" s="112">
        <v>29.472882999999999</v>
      </c>
      <c r="K118" s="111">
        <v>29.567022000000001</v>
      </c>
      <c r="L118" s="112">
        <v>29.642439</v>
      </c>
      <c r="M118" s="111">
        <v>29.657565999999999</v>
      </c>
      <c r="N118" s="112">
        <v>29.663188999999999</v>
      </c>
      <c r="O118" s="111">
        <v>29.694433</v>
      </c>
      <c r="P118" s="112">
        <v>29.732624000000001</v>
      </c>
      <c r="Q118" s="111">
        <v>29.849364999999999</v>
      </c>
      <c r="R118" s="112">
        <v>29.852777</v>
      </c>
      <c r="S118" s="112">
        <v>29.893633000000001</v>
      </c>
      <c r="T118" s="111">
        <v>29.931808</v>
      </c>
      <c r="U118" s="111">
        <v>29.942001000000001</v>
      </c>
      <c r="V118" s="111">
        <v>29.993071</v>
      </c>
      <c r="W118" s="112">
        <v>30.084644000000001</v>
      </c>
      <c r="X118" s="111">
        <v>30.131779000000002</v>
      </c>
      <c r="Y118" s="112">
        <v>30.234314000000001</v>
      </c>
      <c r="Z118" s="112">
        <v>30.250845000000002</v>
      </c>
      <c r="AA118" s="111">
        <v>30.257355</v>
      </c>
      <c r="AB118" s="112">
        <v>30.270491</v>
      </c>
      <c r="AC118" s="111">
        <v>30.394573000000001</v>
      </c>
      <c r="AD118" s="112">
        <v>30.452465</v>
      </c>
      <c r="AE118" s="112">
        <v>30.454449</v>
      </c>
      <c r="AF118" s="111">
        <v>30.593702</v>
      </c>
      <c r="AG118" s="111">
        <v>30.631550000000001</v>
      </c>
      <c r="AH118" s="112">
        <v>30.753353000000001</v>
      </c>
    </row>
    <row r="119" spans="2:34" ht="15.75" customHeight="1" x14ac:dyDescent="0.25">
      <c r="B119" s="12" t="s">
        <v>439</v>
      </c>
      <c r="D119" s="113">
        <f>(D118-$C$118)/$C$118</f>
        <v>2.958639309819031E-3</v>
      </c>
      <c r="E119" s="113">
        <f t="shared" ref="E119:AH119" si="26">(E118-$C$118)/$C$118</f>
        <v>7.522803507823324E-3</v>
      </c>
      <c r="F119" s="113">
        <f t="shared" si="26"/>
        <v>9.9652175896399776E-3</v>
      </c>
      <c r="G119" s="113">
        <f t="shared" si="26"/>
        <v>1.0175904185731213E-2</v>
      </c>
      <c r="H119" s="113">
        <f t="shared" si="26"/>
        <v>1.2904838256606536E-2</v>
      </c>
      <c r="I119" s="113">
        <f t="shared" si="26"/>
        <v>1.5045124658762704E-2</v>
      </c>
      <c r="J119" s="113">
        <f t="shared" si="26"/>
        <v>1.5460571752085279E-2</v>
      </c>
      <c r="K119" s="113">
        <f t="shared" si="26"/>
        <v>1.8704042801869297E-2</v>
      </c>
      <c r="L119" s="113">
        <f t="shared" si="26"/>
        <v>2.1302464881576434E-2</v>
      </c>
      <c r="M119" s="113">
        <f t="shared" si="26"/>
        <v>2.1823651494670696E-2</v>
      </c>
      <c r="N119" s="113">
        <f t="shared" si="26"/>
        <v>2.2017386691697803E-2</v>
      </c>
      <c r="O119" s="113">
        <f t="shared" si="26"/>
        <v>2.3093869440393378E-2</v>
      </c>
      <c r="P119" s="113">
        <f t="shared" si="26"/>
        <v>2.4409704565711288E-2</v>
      </c>
      <c r="Q119" s="113">
        <f t="shared" si="26"/>
        <v>2.8431906350548819E-2</v>
      </c>
      <c r="R119" s="113">
        <f t="shared" si="26"/>
        <v>2.8549463613977002E-2</v>
      </c>
      <c r="S119" s="113">
        <f t="shared" si="26"/>
        <v>2.9957118817558706E-2</v>
      </c>
      <c r="T119" s="113">
        <f t="shared" si="26"/>
        <v>3.1272402677866323E-2</v>
      </c>
      <c r="U119" s="113">
        <f t="shared" si="26"/>
        <v>3.1623592943435863E-2</v>
      </c>
      <c r="V119" s="113">
        <f t="shared" si="26"/>
        <v>3.3383161947912909E-2</v>
      </c>
      <c r="W119" s="113">
        <f t="shared" si="26"/>
        <v>3.6538223871683789E-2</v>
      </c>
      <c r="X119" s="113">
        <f t="shared" si="26"/>
        <v>3.8162216137711355E-2</v>
      </c>
      <c r="Y119" s="113">
        <f t="shared" si="26"/>
        <v>4.1694963501605127E-2</v>
      </c>
      <c r="Z119" s="113">
        <f t="shared" si="26"/>
        <v>4.2264523619345705E-2</v>
      </c>
      <c r="AA119" s="113">
        <f t="shared" si="26"/>
        <v>4.2488819570376514E-2</v>
      </c>
      <c r="AB119" s="113">
        <f t="shared" si="26"/>
        <v>4.2941408143762252E-2</v>
      </c>
      <c r="AC119" s="113">
        <f t="shared" si="26"/>
        <v>4.7216537206098759E-2</v>
      </c>
      <c r="AD119" s="113">
        <f t="shared" si="26"/>
        <v>4.9211151829305813E-2</v>
      </c>
      <c r="AE119" s="113">
        <f t="shared" si="26"/>
        <v>4.927950869057237E-2</v>
      </c>
      <c r="AF119" s="113">
        <f t="shared" si="26"/>
        <v>5.4077340344781198E-2</v>
      </c>
      <c r="AG119" s="113">
        <f t="shared" si="26"/>
        <v>5.5381357726442614E-2</v>
      </c>
      <c r="AH119" s="113">
        <f t="shared" si="26"/>
        <v>5.9577965978886704E-2</v>
      </c>
    </row>
    <row r="120" spans="2:34" ht="15.75" customHeight="1" x14ac:dyDescent="0.25">
      <c r="B120" s="12" t="s">
        <v>440</v>
      </c>
      <c r="C120" s="115">
        <f>B126</f>
        <v>32.222222222222221</v>
      </c>
      <c r="D120">
        <f>$C$120*(100%+D119)</f>
        <v>32.317556155538618</v>
      </c>
      <c r="E120">
        <f t="shared" ref="E120:AH120" si="27">$C$120*(100%+E119)</f>
        <v>32.464623668585418</v>
      </c>
      <c r="F120">
        <f t="shared" si="27"/>
        <v>32.543323677888402</v>
      </c>
      <c r="G120">
        <f t="shared" si="27"/>
        <v>32.550112468206898</v>
      </c>
      <c r="H120">
        <f t="shared" si="27"/>
        <v>32.638044788268431</v>
      </c>
      <c r="I120">
        <f t="shared" si="27"/>
        <v>32.707009572337903</v>
      </c>
      <c r="J120">
        <f t="shared" si="27"/>
        <v>32.720396200900524</v>
      </c>
      <c r="K120">
        <f t="shared" si="27"/>
        <v>32.824908045838008</v>
      </c>
      <c r="L120">
        <f t="shared" si="27"/>
        <v>32.908634979517466</v>
      </c>
      <c r="M120">
        <f t="shared" si="27"/>
        <v>32.925428770383839</v>
      </c>
      <c r="N120">
        <f t="shared" si="27"/>
        <v>32.931671348954701</v>
      </c>
      <c r="O120">
        <f t="shared" si="27"/>
        <v>32.966358015301559</v>
      </c>
      <c r="P120">
        <f t="shared" si="27"/>
        <v>33.008757147117365</v>
      </c>
      <c r="Q120">
        <f t="shared" si="27"/>
        <v>33.138361426851013</v>
      </c>
      <c r="R120">
        <f t="shared" si="27"/>
        <v>33.142149383117037</v>
      </c>
      <c r="S120">
        <f t="shared" si="27"/>
        <v>33.187507161899113</v>
      </c>
      <c r="T120">
        <f t="shared" si="27"/>
        <v>33.229888530731252</v>
      </c>
      <c r="U120">
        <f t="shared" si="27"/>
        <v>33.241204661510707</v>
      </c>
      <c r="V120">
        <f t="shared" si="27"/>
        <v>33.297901884988306</v>
      </c>
      <c r="W120">
        <f t="shared" si="27"/>
        <v>33.399564991420924</v>
      </c>
      <c r="X120">
        <f t="shared" si="27"/>
        <v>33.451893631104028</v>
      </c>
      <c r="Y120">
        <f t="shared" si="27"/>
        <v>33.565726601718382</v>
      </c>
      <c r="Z120">
        <f t="shared" si="27"/>
        <v>33.58407909440114</v>
      </c>
      <c r="AA120">
        <f t="shared" si="27"/>
        <v>33.591306408378799</v>
      </c>
      <c r="AB120">
        <f t="shared" si="27"/>
        <v>33.605889817965668</v>
      </c>
      <c r="AC120">
        <f t="shared" si="27"/>
        <v>33.743643976640961</v>
      </c>
      <c r="AD120">
        <f t="shared" si="27"/>
        <v>33.807914892277637</v>
      </c>
      <c r="AE120">
        <f t="shared" si="27"/>
        <v>33.810117502251778</v>
      </c>
      <c r="AF120">
        <f t="shared" si="27"/>
        <v>33.964714299998505</v>
      </c>
      <c r="AG120">
        <f t="shared" si="27"/>
        <v>34.006732637852039</v>
      </c>
      <c r="AH120">
        <f t="shared" si="27"/>
        <v>34.141956681541899</v>
      </c>
    </row>
    <row r="121" spans="2:34" ht="15.75" customHeight="1" x14ac:dyDescent="0.25">
      <c r="I121" s="12"/>
    </row>
    <row r="122" spans="2:34" x14ac:dyDescent="0.25">
      <c r="B122" s="109" t="s">
        <v>442</v>
      </c>
    </row>
    <row r="123" spans="2:34" x14ac:dyDescent="0.25">
      <c r="B123">
        <v>0.11600000000000001</v>
      </c>
      <c r="C123" t="s">
        <v>443</v>
      </c>
    </row>
    <row r="124" spans="2:34" x14ac:dyDescent="0.25">
      <c r="B124">
        <f>B123*1000000</f>
        <v>116000</v>
      </c>
      <c r="C124" t="s">
        <v>446</v>
      </c>
    </row>
    <row r="125" spans="2:34" x14ac:dyDescent="0.25">
      <c r="B125">
        <f>B124/1000000</f>
        <v>0.11600000000000001</v>
      </c>
      <c r="C125" t="s">
        <v>445</v>
      </c>
    </row>
    <row r="126" spans="2:34" x14ac:dyDescent="0.25">
      <c r="B126">
        <f>B125/0.0036</f>
        <v>32.222222222222221</v>
      </c>
      <c r="C126" t="s">
        <v>444</v>
      </c>
    </row>
    <row r="133" spans="2:12" ht="15.75" thickBot="1" x14ac:dyDescent="0.3"/>
    <row r="134" spans="2:12" x14ac:dyDescent="0.25">
      <c r="B134" s="539" t="s">
        <v>830</v>
      </c>
      <c r="C134" s="540"/>
      <c r="D134" s="540"/>
      <c r="E134" s="540"/>
      <c r="F134" s="540"/>
      <c r="G134" s="540"/>
      <c r="H134" s="540"/>
      <c r="I134" s="540"/>
      <c r="J134" s="540"/>
      <c r="K134" s="540"/>
      <c r="L134" s="541"/>
    </row>
    <row r="135" spans="2:12" x14ac:dyDescent="0.25">
      <c r="B135" s="542" t="s">
        <v>831</v>
      </c>
      <c r="C135" s="543">
        <v>2010</v>
      </c>
      <c r="D135" s="543">
        <v>2011</v>
      </c>
      <c r="E135" s="543">
        <v>2012</v>
      </c>
      <c r="F135" s="543">
        <v>2013</v>
      </c>
      <c r="G135" s="543">
        <v>2014</v>
      </c>
      <c r="H135" s="543">
        <v>2015</v>
      </c>
      <c r="I135" s="543">
        <v>2016</v>
      </c>
      <c r="J135" s="543">
        <v>2017</v>
      </c>
      <c r="K135" s="543">
        <v>2018</v>
      </c>
      <c r="L135" s="544">
        <v>2019</v>
      </c>
    </row>
    <row r="136" spans="2:12" x14ac:dyDescent="0.25">
      <c r="B136" s="545" t="s">
        <v>832</v>
      </c>
      <c r="C136" s="546">
        <v>3.3</v>
      </c>
      <c r="D136" s="546">
        <v>3.3</v>
      </c>
      <c r="E136" s="546">
        <v>3.3</v>
      </c>
      <c r="F136" s="546">
        <v>3.3</v>
      </c>
      <c r="G136" s="546">
        <v>3.3</v>
      </c>
      <c r="H136" s="546">
        <v>3.3</v>
      </c>
      <c r="I136" s="546">
        <v>3.3</v>
      </c>
      <c r="J136" s="546">
        <v>3.3</v>
      </c>
      <c r="K136" s="546">
        <v>3.3</v>
      </c>
      <c r="L136" s="547">
        <v>2.46</v>
      </c>
    </row>
    <row r="137" spans="2:12" x14ac:dyDescent="0.25">
      <c r="B137" s="545" t="s">
        <v>57</v>
      </c>
      <c r="C137" s="546">
        <v>15.24</v>
      </c>
      <c r="D137" s="546">
        <v>15.24</v>
      </c>
      <c r="E137" s="546">
        <v>15.24</v>
      </c>
      <c r="F137" s="546">
        <v>15.24</v>
      </c>
      <c r="G137" s="546">
        <v>15.24</v>
      </c>
      <c r="H137" s="546">
        <v>15.24</v>
      </c>
      <c r="I137" s="546">
        <v>15.24</v>
      </c>
      <c r="J137" s="546">
        <v>15.24</v>
      </c>
      <c r="K137" s="546">
        <v>15.24493966</v>
      </c>
      <c r="L137" s="547">
        <v>14.55306274</v>
      </c>
    </row>
    <row r="138" spans="2:12" x14ac:dyDescent="0.25">
      <c r="B138" s="545" t="s">
        <v>833</v>
      </c>
      <c r="C138" s="546">
        <v>0</v>
      </c>
      <c r="D138" s="546">
        <v>0</v>
      </c>
      <c r="E138" s="546">
        <v>0</v>
      </c>
      <c r="F138" s="546">
        <v>0</v>
      </c>
      <c r="G138" s="546">
        <v>0</v>
      </c>
      <c r="H138" s="546">
        <v>0</v>
      </c>
      <c r="I138" s="546">
        <v>0</v>
      </c>
      <c r="J138" s="546">
        <v>0</v>
      </c>
      <c r="K138" s="546">
        <v>0</v>
      </c>
      <c r="L138" s="547">
        <v>0</v>
      </c>
    </row>
    <row r="139" spans="2:12" x14ac:dyDescent="0.25">
      <c r="B139" s="545" t="s">
        <v>60</v>
      </c>
      <c r="C139" s="546">
        <v>14.32</v>
      </c>
      <c r="D139" s="546">
        <v>14.32</v>
      </c>
      <c r="E139" s="546">
        <v>14.32</v>
      </c>
      <c r="F139" s="546">
        <v>14.32</v>
      </c>
      <c r="G139" s="546">
        <v>14.32</v>
      </c>
      <c r="H139" s="546">
        <v>14.32</v>
      </c>
      <c r="I139" s="546">
        <v>14.32</v>
      </c>
      <c r="J139" s="546">
        <v>14.32</v>
      </c>
      <c r="K139" s="546">
        <v>14.32</v>
      </c>
      <c r="L139" s="547">
        <v>13.9</v>
      </c>
    </row>
    <row r="140" spans="2:12" x14ac:dyDescent="0.25">
      <c r="B140" s="545" t="s">
        <v>62</v>
      </c>
      <c r="C140" s="546">
        <v>0</v>
      </c>
      <c r="D140" s="546">
        <v>0</v>
      </c>
      <c r="E140" s="546">
        <v>0</v>
      </c>
      <c r="F140" s="546">
        <v>0</v>
      </c>
      <c r="G140" s="546">
        <v>0</v>
      </c>
      <c r="H140" s="546">
        <v>0</v>
      </c>
      <c r="I140" s="546">
        <v>0</v>
      </c>
      <c r="J140" s="546">
        <v>0</v>
      </c>
      <c r="K140" s="546">
        <v>0</v>
      </c>
      <c r="L140" s="547">
        <v>0</v>
      </c>
    </row>
    <row r="141" spans="2:12" x14ac:dyDescent="0.25">
      <c r="B141" s="545" t="s">
        <v>834</v>
      </c>
      <c r="C141" s="546">
        <v>3.63</v>
      </c>
      <c r="D141" s="546">
        <v>3.63</v>
      </c>
      <c r="E141" s="546">
        <v>3.63</v>
      </c>
      <c r="F141" s="546">
        <v>3.63</v>
      </c>
      <c r="G141" s="546">
        <v>3.63</v>
      </c>
      <c r="H141" s="546">
        <v>3.63</v>
      </c>
      <c r="I141" s="546">
        <v>3.63</v>
      </c>
      <c r="J141" s="546">
        <v>3.63</v>
      </c>
      <c r="K141" s="546">
        <v>3.63</v>
      </c>
      <c r="L141" s="547">
        <v>3.1</v>
      </c>
    </row>
    <row r="142" spans="2:12" x14ac:dyDescent="0.25">
      <c r="B142" s="545" t="s">
        <v>835</v>
      </c>
      <c r="C142" s="546">
        <v>11.09</v>
      </c>
      <c r="D142" s="546">
        <v>11.09</v>
      </c>
      <c r="E142" s="546">
        <v>11.09</v>
      </c>
      <c r="F142" s="546">
        <v>11.09</v>
      </c>
      <c r="G142" s="546">
        <v>11.09</v>
      </c>
      <c r="H142" s="546">
        <v>11.09</v>
      </c>
      <c r="I142" s="546">
        <v>11.09</v>
      </c>
      <c r="J142" s="546">
        <v>11.09</v>
      </c>
      <c r="K142" s="546">
        <v>11.087034879999999</v>
      </c>
      <c r="L142" s="547">
        <v>11.018763460000001</v>
      </c>
    </row>
    <row r="143" spans="2:12" x14ac:dyDescent="0.25">
      <c r="B143" s="545" t="s">
        <v>836</v>
      </c>
      <c r="C143" s="546">
        <v>8.08</v>
      </c>
      <c r="D143" s="546">
        <v>8.08</v>
      </c>
      <c r="E143" s="546">
        <v>8.08</v>
      </c>
      <c r="F143" s="546">
        <v>8.08</v>
      </c>
      <c r="G143" s="546">
        <v>8.08</v>
      </c>
      <c r="H143" s="546">
        <v>8.08</v>
      </c>
      <c r="I143" s="546">
        <v>8.08</v>
      </c>
      <c r="J143" s="546">
        <v>8.084233996</v>
      </c>
      <c r="K143" s="546">
        <v>8.1554049220000007</v>
      </c>
      <c r="L143" s="547">
        <v>8.6734723169999999</v>
      </c>
    </row>
    <row r="144" spans="2:12" x14ac:dyDescent="0.25">
      <c r="B144" s="545" t="s">
        <v>837</v>
      </c>
      <c r="C144" s="546">
        <v>8.08</v>
      </c>
      <c r="D144" s="546">
        <v>8.08</v>
      </c>
      <c r="E144" s="546">
        <v>8.08</v>
      </c>
      <c r="F144" s="546">
        <v>8.08</v>
      </c>
      <c r="G144" s="546">
        <v>8.08</v>
      </c>
      <c r="H144" s="546">
        <v>8.08</v>
      </c>
      <c r="I144" s="546">
        <v>8.08</v>
      </c>
      <c r="J144" s="546">
        <v>8.084233996</v>
      </c>
      <c r="K144" s="546">
        <v>8.1554049220000007</v>
      </c>
      <c r="L144" s="547">
        <v>8.6734723169999999</v>
      </c>
    </row>
    <row r="145" spans="2:12" x14ac:dyDescent="0.25">
      <c r="B145" s="545" t="s">
        <v>838</v>
      </c>
      <c r="C145" s="546">
        <v>9.0500000000000007</v>
      </c>
      <c r="D145" s="546">
        <v>9.0500000000000007</v>
      </c>
      <c r="E145" s="546">
        <v>9.0500000000000007</v>
      </c>
      <c r="F145" s="546">
        <v>9.0500000000000007</v>
      </c>
      <c r="G145" s="546">
        <v>9.0500000000000007</v>
      </c>
      <c r="H145" s="546">
        <v>9.0500000000000007</v>
      </c>
      <c r="I145" s="546">
        <v>9.0500000000000007</v>
      </c>
      <c r="J145" s="546">
        <v>9.0500000000000007</v>
      </c>
      <c r="K145" s="546">
        <v>9.0483699899999994</v>
      </c>
      <c r="L145" s="547">
        <v>8.6748196990000004</v>
      </c>
    </row>
    <row r="146" spans="2:12" x14ac:dyDescent="0.25">
      <c r="B146" s="545" t="s">
        <v>839</v>
      </c>
      <c r="C146" s="546">
        <v>3.9599999999999995</v>
      </c>
      <c r="D146" s="546">
        <v>3.9599999999999995</v>
      </c>
      <c r="E146" s="546">
        <v>3.9599999999999995</v>
      </c>
      <c r="F146" s="546">
        <v>3.9599999999999995</v>
      </c>
      <c r="G146" s="546">
        <v>3.9599999999999995</v>
      </c>
      <c r="H146" s="546">
        <v>3.9599999999999995</v>
      </c>
      <c r="I146" s="546">
        <v>3.9599999999999995</v>
      </c>
      <c r="J146" s="546">
        <v>3.9599999999999995</v>
      </c>
      <c r="K146" s="546">
        <v>3.9599999999999995</v>
      </c>
      <c r="L146" s="547">
        <v>2.952</v>
      </c>
    </row>
    <row r="147" spans="2:12" x14ac:dyDescent="0.25">
      <c r="B147" s="545" t="s">
        <v>840</v>
      </c>
      <c r="C147" s="546">
        <v>18.288</v>
      </c>
      <c r="D147" s="546">
        <v>18.288</v>
      </c>
      <c r="E147" s="546">
        <v>18.288</v>
      </c>
      <c r="F147" s="546">
        <v>18.288</v>
      </c>
      <c r="G147" s="546">
        <v>18.288</v>
      </c>
      <c r="H147" s="546">
        <v>18.288</v>
      </c>
      <c r="I147" s="546">
        <v>18.288</v>
      </c>
      <c r="J147" s="546">
        <v>18.288</v>
      </c>
      <c r="K147" s="546">
        <v>18.293927591999999</v>
      </c>
      <c r="L147" s="547">
        <v>17.463675287999997</v>
      </c>
    </row>
    <row r="148" spans="2:12" x14ac:dyDescent="0.25">
      <c r="B148" s="545" t="s">
        <v>841</v>
      </c>
      <c r="C148" s="546">
        <v>17.184000000000001</v>
      </c>
      <c r="D148" s="546">
        <v>17.184000000000001</v>
      </c>
      <c r="E148" s="546">
        <v>17.184000000000001</v>
      </c>
      <c r="F148" s="546">
        <v>17.184000000000001</v>
      </c>
      <c r="G148" s="546">
        <v>17.184000000000001</v>
      </c>
      <c r="H148" s="546">
        <v>17.184000000000001</v>
      </c>
      <c r="I148" s="546">
        <v>17.184000000000001</v>
      </c>
      <c r="J148" s="546">
        <v>17.184000000000001</v>
      </c>
      <c r="K148" s="546">
        <v>17.184000000000001</v>
      </c>
      <c r="L148" s="547">
        <v>16.68</v>
      </c>
    </row>
    <row r="149" spans="2:12" x14ac:dyDescent="0.25">
      <c r="B149" s="545" t="s">
        <v>842</v>
      </c>
      <c r="C149" s="546">
        <v>4.3559999999999999</v>
      </c>
      <c r="D149" s="546">
        <v>4.3559999999999999</v>
      </c>
      <c r="E149" s="546">
        <v>4.3559999999999999</v>
      </c>
      <c r="F149" s="546">
        <v>4.3559999999999999</v>
      </c>
      <c r="G149" s="546">
        <v>4.3559999999999999</v>
      </c>
      <c r="H149" s="546">
        <v>4.3559999999999999</v>
      </c>
      <c r="I149" s="546">
        <v>4.3559999999999999</v>
      </c>
      <c r="J149" s="546">
        <v>4.3559999999999999</v>
      </c>
      <c r="K149" s="546">
        <v>4.3559999999999999</v>
      </c>
      <c r="L149" s="547">
        <v>3.7199999999999998</v>
      </c>
    </row>
    <row r="150" spans="2:12" x14ac:dyDescent="0.25">
      <c r="B150" s="545" t="s">
        <v>843</v>
      </c>
      <c r="C150" s="546">
        <v>13.308</v>
      </c>
      <c r="D150" s="546">
        <v>13.308</v>
      </c>
      <c r="E150" s="546">
        <v>13.308</v>
      </c>
      <c r="F150" s="546">
        <v>13.308</v>
      </c>
      <c r="G150" s="546">
        <v>13.308</v>
      </c>
      <c r="H150" s="546">
        <v>13.308</v>
      </c>
      <c r="I150" s="546">
        <v>13.308</v>
      </c>
      <c r="J150" s="546">
        <v>13.308</v>
      </c>
      <c r="K150" s="546">
        <v>13.304441855999999</v>
      </c>
      <c r="L150" s="547">
        <v>13.222516152000001</v>
      </c>
    </row>
    <row r="151" spans="2:12" x14ac:dyDescent="0.25">
      <c r="B151" s="545" t="s">
        <v>844</v>
      </c>
      <c r="C151" s="546">
        <v>9.6959999999999997</v>
      </c>
      <c r="D151" s="546">
        <v>9.6959999999999997</v>
      </c>
      <c r="E151" s="546">
        <v>9.6959999999999997</v>
      </c>
      <c r="F151" s="546">
        <v>9.6959999999999997</v>
      </c>
      <c r="G151" s="546">
        <v>9.6959999999999997</v>
      </c>
      <c r="H151" s="546">
        <v>9.6959999999999997</v>
      </c>
      <c r="I151" s="546">
        <v>9.6959999999999997</v>
      </c>
      <c r="J151" s="546">
        <v>9.7010807951999993</v>
      </c>
      <c r="K151" s="546">
        <v>9.7864859064000012</v>
      </c>
      <c r="L151" s="547">
        <v>10.4081667804</v>
      </c>
    </row>
    <row r="152" spans="2:12" x14ac:dyDescent="0.25">
      <c r="B152" s="545" t="s">
        <v>845</v>
      </c>
      <c r="C152" s="546">
        <v>10.860000000000001</v>
      </c>
      <c r="D152" s="546">
        <v>10.860000000000001</v>
      </c>
      <c r="E152" s="546">
        <v>10.860000000000001</v>
      </c>
      <c r="F152" s="546">
        <v>10.860000000000001</v>
      </c>
      <c r="G152" s="546">
        <v>10.860000000000001</v>
      </c>
      <c r="H152" s="546">
        <v>10.860000000000001</v>
      </c>
      <c r="I152" s="546">
        <v>10.860000000000001</v>
      </c>
      <c r="J152" s="546">
        <v>10.860000000000001</v>
      </c>
      <c r="K152" s="546">
        <v>10.858043987999999</v>
      </c>
      <c r="L152" s="547">
        <v>10.4097836388</v>
      </c>
    </row>
    <row r="153" spans="2:12" x14ac:dyDescent="0.25">
      <c r="B153" s="545"/>
      <c r="L153" s="548"/>
    </row>
    <row r="154" spans="2:12" x14ac:dyDescent="0.25">
      <c r="B154" s="545"/>
      <c r="L154" s="548"/>
    </row>
    <row r="155" spans="2:12" x14ac:dyDescent="0.25">
      <c r="B155" s="545"/>
      <c r="L155" s="548"/>
    </row>
    <row r="156" spans="2:12" x14ac:dyDescent="0.25">
      <c r="B156" s="545"/>
      <c r="C156" t="s">
        <v>7</v>
      </c>
      <c r="D156">
        <f>C146/C136</f>
        <v>1.2</v>
      </c>
      <c r="E156">
        <f t="shared" ref="E156:L156" si="28">D146/D136</f>
        <v>1.2</v>
      </c>
      <c r="F156">
        <f t="shared" si="28"/>
        <v>1.2</v>
      </c>
      <c r="G156">
        <f t="shared" si="28"/>
        <v>1.2</v>
      </c>
      <c r="H156">
        <f t="shared" si="28"/>
        <v>1.2</v>
      </c>
      <c r="I156">
        <f t="shared" si="28"/>
        <v>1.2</v>
      </c>
      <c r="J156">
        <f t="shared" si="28"/>
        <v>1.2</v>
      </c>
      <c r="K156">
        <f t="shared" si="28"/>
        <v>1.2</v>
      </c>
      <c r="L156" s="548">
        <f t="shared" si="28"/>
        <v>1.2</v>
      </c>
    </row>
    <row r="157" spans="2:12" x14ac:dyDescent="0.25">
      <c r="B157" s="545"/>
      <c r="C157" t="s">
        <v>14</v>
      </c>
      <c r="D157">
        <f>C148/C139</f>
        <v>1.2</v>
      </c>
      <c r="E157">
        <f t="shared" ref="E157:L157" si="29">D148/D139</f>
        <v>1.2</v>
      </c>
      <c r="F157">
        <f t="shared" si="29"/>
        <v>1.2</v>
      </c>
      <c r="G157">
        <f t="shared" si="29"/>
        <v>1.2</v>
      </c>
      <c r="H157">
        <f t="shared" si="29"/>
        <v>1.2</v>
      </c>
      <c r="I157">
        <f t="shared" si="29"/>
        <v>1.2</v>
      </c>
      <c r="J157">
        <f t="shared" si="29"/>
        <v>1.2</v>
      </c>
      <c r="K157">
        <f t="shared" si="29"/>
        <v>1.2</v>
      </c>
      <c r="L157" s="548">
        <f t="shared" si="29"/>
        <v>1.2</v>
      </c>
    </row>
    <row r="158" spans="2:12" x14ac:dyDescent="0.25">
      <c r="B158" s="545"/>
      <c r="C158" t="s">
        <v>8</v>
      </c>
      <c r="D158">
        <f>C147/C137</f>
        <v>1.2</v>
      </c>
      <c r="E158">
        <f t="shared" ref="E158:L158" si="30">D147/D137</f>
        <v>1.2</v>
      </c>
      <c r="F158">
        <f t="shared" si="30"/>
        <v>1.2</v>
      </c>
      <c r="G158">
        <f t="shared" si="30"/>
        <v>1.2</v>
      </c>
      <c r="H158">
        <f t="shared" si="30"/>
        <v>1.2</v>
      </c>
      <c r="I158">
        <f t="shared" si="30"/>
        <v>1.2</v>
      </c>
      <c r="J158">
        <f t="shared" si="30"/>
        <v>1.2</v>
      </c>
      <c r="K158">
        <f t="shared" si="30"/>
        <v>1.2</v>
      </c>
      <c r="L158" s="548">
        <f t="shared" si="30"/>
        <v>1.2</v>
      </c>
    </row>
    <row r="159" spans="2:12" x14ac:dyDescent="0.25">
      <c r="B159" s="545"/>
      <c r="C159" t="s">
        <v>18</v>
      </c>
      <c r="D159">
        <f>C150/C142</f>
        <v>1.2</v>
      </c>
      <c r="E159">
        <f t="shared" ref="E159:L159" si="31">D150/D142</f>
        <v>1.2</v>
      </c>
      <c r="F159">
        <f t="shared" si="31"/>
        <v>1.2</v>
      </c>
      <c r="G159">
        <f t="shared" si="31"/>
        <v>1.2</v>
      </c>
      <c r="H159">
        <f t="shared" si="31"/>
        <v>1.2</v>
      </c>
      <c r="I159">
        <f t="shared" si="31"/>
        <v>1.2</v>
      </c>
      <c r="J159">
        <f t="shared" si="31"/>
        <v>1.2</v>
      </c>
      <c r="K159">
        <f t="shared" si="31"/>
        <v>1.2</v>
      </c>
      <c r="L159" s="548">
        <f t="shared" si="31"/>
        <v>1.2</v>
      </c>
    </row>
    <row r="160" spans="2:12" x14ac:dyDescent="0.25">
      <c r="B160" s="545"/>
      <c r="C160" t="s">
        <v>721</v>
      </c>
      <c r="D160">
        <f>C151/C144</f>
        <v>1.2</v>
      </c>
      <c r="E160">
        <f t="shared" ref="E160:L160" si="32">D151/D144</f>
        <v>1.2</v>
      </c>
      <c r="F160">
        <f t="shared" si="32"/>
        <v>1.2</v>
      </c>
      <c r="G160">
        <f t="shared" si="32"/>
        <v>1.2</v>
      </c>
      <c r="H160">
        <f t="shared" si="32"/>
        <v>1.2</v>
      </c>
      <c r="I160">
        <f t="shared" si="32"/>
        <v>1.2</v>
      </c>
      <c r="J160">
        <f t="shared" si="32"/>
        <v>1.2</v>
      </c>
      <c r="K160">
        <f t="shared" si="32"/>
        <v>1.2</v>
      </c>
      <c r="L160" s="548">
        <f t="shared" si="32"/>
        <v>1.2</v>
      </c>
    </row>
    <row r="161" spans="2:12" x14ac:dyDescent="0.25">
      <c r="B161" s="545"/>
      <c r="C161" t="s">
        <v>22</v>
      </c>
      <c r="D161">
        <f>C152/C145</f>
        <v>1.2</v>
      </c>
      <c r="E161">
        <f t="shared" ref="E161:L161" si="33">D152/D145</f>
        <v>1.2</v>
      </c>
      <c r="F161">
        <f t="shared" si="33"/>
        <v>1.2</v>
      </c>
      <c r="G161">
        <f t="shared" si="33"/>
        <v>1.2</v>
      </c>
      <c r="H161">
        <f t="shared" si="33"/>
        <v>1.2</v>
      </c>
      <c r="I161">
        <f t="shared" si="33"/>
        <v>1.2</v>
      </c>
      <c r="J161">
        <f t="shared" si="33"/>
        <v>1.2</v>
      </c>
      <c r="K161">
        <f t="shared" si="33"/>
        <v>1.2</v>
      </c>
      <c r="L161" s="548">
        <f t="shared" si="33"/>
        <v>1.2</v>
      </c>
    </row>
    <row r="162" spans="2:12" x14ac:dyDescent="0.25">
      <c r="B162" s="545"/>
      <c r="L162" s="548"/>
    </row>
    <row r="163" spans="2:12" ht="15.75" thickBot="1" x14ac:dyDescent="0.3">
      <c r="B163" s="549"/>
      <c r="C163" s="550"/>
      <c r="D163" s="550"/>
      <c r="E163" s="550"/>
      <c r="F163" s="550"/>
      <c r="G163" s="550"/>
      <c r="H163" s="550"/>
      <c r="I163" s="550"/>
      <c r="J163" s="550"/>
      <c r="K163" s="550"/>
      <c r="L163" s="551"/>
    </row>
    <row r="164" spans="2:12" x14ac:dyDescent="0.25">
      <c r="B164" s="539"/>
      <c r="C164" s="540"/>
      <c r="D164" s="540"/>
      <c r="E164" s="540"/>
      <c r="F164" s="540"/>
      <c r="G164" s="540"/>
      <c r="H164" s="540"/>
      <c r="I164" s="540"/>
      <c r="J164" s="540"/>
      <c r="K164" s="540"/>
      <c r="L164" s="541"/>
    </row>
    <row r="165" spans="2:12" x14ac:dyDescent="0.25">
      <c r="B165" s="545"/>
      <c r="L165" s="548"/>
    </row>
    <row r="166" spans="2:12" x14ac:dyDescent="0.25">
      <c r="B166" s="545"/>
      <c r="C166" t="s">
        <v>846</v>
      </c>
      <c r="L166" s="548"/>
    </row>
    <row r="167" spans="2:12" x14ac:dyDescent="0.25">
      <c r="B167" s="545"/>
      <c r="D167">
        <v>2015</v>
      </c>
      <c r="E167" t="s">
        <v>851</v>
      </c>
      <c r="F167" t="s">
        <v>852</v>
      </c>
      <c r="G167" t="s">
        <v>853</v>
      </c>
      <c r="L167" s="548"/>
    </row>
    <row r="168" spans="2:12" x14ac:dyDescent="0.25">
      <c r="B168" s="545"/>
      <c r="C168" t="s">
        <v>847</v>
      </c>
      <c r="D168" s="470">
        <f>8.21/6.76</f>
        <v>1.2144970414201186</v>
      </c>
      <c r="E168" s="470">
        <f>12.81/10.54</f>
        <v>1.2153700189753323</v>
      </c>
      <c r="F168" s="470">
        <f>22.2/18.26</f>
        <v>1.2157721796276011</v>
      </c>
      <c r="G168" s="470">
        <f>26.32/21.65</f>
        <v>1.2157043879907623</v>
      </c>
      <c r="L168" s="548"/>
    </row>
    <row r="169" spans="2:12" x14ac:dyDescent="0.25">
      <c r="B169" s="545"/>
      <c r="C169" t="s">
        <v>848</v>
      </c>
      <c r="D169" s="470">
        <f>7.35/5.97</f>
        <v>1.2311557788944723</v>
      </c>
      <c r="E169" s="470">
        <f>11.46/9.32</f>
        <v>1.2296137339055795</v>
      </c>
      <c r="F169" s="470">
        <f>19.85/16.14</f>
        <v>1.2298636926889714</v>
      </c>
      <c r="G169" s="470">
        <f>23.54/19.13</f>
        <v>1.2305279665446942</v>
      </c>
      <c r="L169" s="548"/>
    </row>
    <row r="170" spans="2:12" x14ac:dyDescent="0.25">
      <c r="B170" s="545"/>
      <c r="C170" t="s">
        <v>22</v>
      </c>
      <c r="D170" s="470">
        <f>7.8/6.34</f>
        <v>1.2302839116719242</v>
      </c>
      <c r="E170" s="470">
        <f>1/(9.89/12.17)</f>
        <v>1.2305358948432759</v>
      </c>
      <c r="F170" s="470">
        <f>1/(17.14/21.08)</f>
        <v>1.2298716452742122</v>
      </c>
      <c r="G170" s="470">
        <f>24.99/20.32</f>
        <v>1.2298228346456692</v>
      </c>
      <c r="I170" s="470"/>
      <c r="L170" s="548"/>
    </row>
    <row r="171" spans="2:12" x14ac:dyDescent="0.25">
      <c r="B171" s="545"/>
      <c r="C171" t="s">
        <v>850</v>
      </c>
      <c r="D171" s="470">
        <f>10.1/8.21</f>
        <v>1.2302070645554199</v>
      </c>
      <c r="E171" s="470">
        <f>15.75/12.81</f>
        <v>1.2295081967213115</v>
      </c>
      <c r="F171" s="470">
        <f>27.29/22.19</f>
        <v>1.2298332582244254</v>
      </c>
      <c r="G171" s="470">
        <f>32.35/26.3</f>
        <v>1.2300380228136882</v>
      </c>
      <c r="L171" s="548"/>
    </row>
    <row r="172" spans="2:12" x14ac:dyDescent="0.25">
      <c r="B172" s="545"/>
      <c r="L172" s="548"/>
    </row>
    <row r="173" spans="2:12" x14ac:dyDescent="0.25">
      <c r="B173" s="545"/>
      <c r="L173" s="548"/>
    </row>
    <row r="174" spans="2:12" x14ac:dyDescent="0.25">
      <c r="B174" s="545"/>
      <c r="C174" t="s">
        <v>849</v>
      </c>
      <c r="D174">
        <v>5.6</v>
      </c>
      <c r="E174">
        <v>8.85</v>
      </c>
      <c r="F174">
        <v>11.25</v>
      </c>
      <c r="G174">
        <v>15.54</v>
      </c>
      <c r="L174" s="548"/>
    </row>
    <row r="175" spans="2:12" x14ac:dyDescent="0.25">
      <c r="B175" s="545"/>
      <c r="L175" s="548"/>
    </row>
    <row r="176" spans="2:12" x14ac:dyDescent="0.25">
      <c r="B176" s="545"/>
      <c r="L176" s="548"/>
    </row>
    <row r="177" spans="2:12" x14ac:dyDescent="0.25">
      <c r="B177" s="545"/>
      <c r="L177" s="548"/>
    </row>
    <row r="178" spans="2:12" x14ac:dyDescent="0.25">
      <c r="B178" s="545"/>
      <c r="D178">
        <f>11/9.05</f>
        <v>1.2154696132596685</v>
      </c>
      <c r="L178" s="548"/>
    </row>
    <row r="179" spans="2:12" x14ac:dyDescent="0.25">
      <c r="B179" s="545"/>
      <c r="D179">
        <f>12.3/10</f>
        <v>1.23</v>
      </c>
      <c r="L179" s="548"/>
    </row>
    <row r="180" spans="2:12" x14ac:dyDescent="0.25">
      <c r="B180" s="545"/>
      <c r="D180">
        <f>5.6/4.3</f>
        <v>1.3023255813953487</v>
      </c>
      <c r="L180" s="548"/>
    </row>
    <row r="181" spans="2:12" x14ac:dyDescent="0.25">
      <c r="B181" s="545"/>
      <c r="L181" s="548"/>
    </row>
    <row r="182" spans="2:12" x14ac:dyDescent="0.25">
      <c r="B182" s="545"/>
      <c r="L182" s="548"/>
    </row>
    <row r="183" spans="2:12" ht="15.75" thickBot="1" x14ac:dyDescent="0.3">
      <c r="B183" s="549"/>
      <c r="C183" s="550"/>
      <c r="D183" s="550"/>
      <c r="E183" s="550"/>
      <c r="F183" s="550"/>
      <c r="G183" s="550"/>
      <c r="H183" s="550"/>
      <c r="I183" s="550"/>
      <c r="J183" s="550"/>
      <c r="K183" s="550"/>
      <c r="L183" s="551"/>
    </row>
  </sheetData>
  <phoneticPr fontId="49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75F2-B7DB-4283-8617-9A38E7AA204D}">
  <dimension ref="B3:AI110"/>
  <sheetViews>
    <sheetView showGridLines="0" topLeftCell="E37" zoomScale="85" zoomScaleNormal="85" workbookViewId="0">
      <selection activeCell="J44" sqref="J44"/>
    </sheetView>
  </sheetViews>
  <sheetFormatPr baseColWidth="10" defaultRowHeight="15" x14ac:dyDescent="0.25"/>
  <cols>
    <col min="2" max="2" width="16.7109375" customWidth="1"/>
    <col min="6" max="6" width="15.5703125" customWidth="1"/>
    <col min="7" max="7" width="16.7109375" customWidth="1"/>
    <col min="8" max="8" width="14.5703125" customWidth="1"/>
    <col min="9" max="9" width="18" customWidth="1"/>
    <col min="11" max="11" width="22.140625" bestFit="1" customWidth="1"/>
    <col min="13" max="13" width="19.7109375" bestFit="1" customWidth="1"/>
  </cols>
  <sheetData>
    <row r="3" spans="2:15" x14ac:dyDescent="0.25">
      <c r="B3" s="132" t="s">
        <v>416</v>
      </c>
      <c r="C3" s="133"/>
      <c r="D3" s="133"/>
      <c r="E3" s="133"/>
      <c r="G3" s="156" t="s">
        <v>416</v>
      </c>
      <c r="K3" s="140" t="s">
        <v>136</v>
      </c>
      <c r="L3" s="138"/>
      <c r="M3" s="138"/>
      <c r="N3" s="138"/>
      <c r="O3" s="138"/>
    </row>
    <row r="4" spans="2:15" x14ac:dyDescent="0.25">
      <c r="B4" s="692" t="s">
        <v>138</v>
      </c>
      <c r="C4" s="692" t="s">
        <v>417</v>
      </c>
      <c r="D4" s="692" t="s">
        <v>418</v>
      </c>
      <c r="E4" s="135" t="s">
        <v>447</v>
      </c>
      <c r="G4" s="411" t="s">
        <v>138</v>
      </c>
      <c r="H4" s="411" t="s">
        <v>418</v>
      </c>
      <c r="I4" s="411" t="s">
        <v>752</v>
      </c>
      <c r="K4" s="141" t="s">
        <v>137</v>
      </c>
      <c r="L4" s="141" t="s">
        <v>138</v>
      </c>
      <c r="M4" s="141" t="s">
        <v>139</v>
      </c>
      <c r="N4" s="141" t="s">
        <v>140</v>
      </c>
      <c r="O4" s="141" t="s">
        <v>141</v>
      </c>
    </row>
    <row r="5" spans="2:15" x14ac:dyDescent="0.25">
      <c r="B5" s="693" t="str">
        <f>PROCESS!U23</f>
        <v>FTE-DKER</v>
      </c>
      <c r="C5" s="136" t="s">
        <v>18</v>
      </c>
      <c r="D5" s="136" t="s">
        <v>200</v>
      </c>
      <c r="E5" s="136">
        <v>1</v>
      </c>
      <c r="G5" t="str">
        <f>B5</f>
        <v>FTE-DKER</v>
      </c>
      <c r="H5" s="12" t="str">
        <f>COMM!AK30</f>
        <v>CO2e-DKER</v>
      </c>
      <c r="I5" s="391">
        <f>K95</f>
        <v>87.735056011523966</v>
      </c>
      <c r="K5" s="133" t="s">
        <v>155</v>
      </c>
      <c r="L5" s="138" t="s">
        <v>448</v>
      </c>
      <c r="M5" s="138" t="s">
        <v>454</v>
      </c>
      <c r="N5" s="138" t="s">
        <v>56</v>
      </c>
      <c r="O5" s="138" t="s">
        <v>154</v>
      </c>
    </row>
    <row r="6" spans="2:15" x14ac:dyDescent="0.25">
      <c r="B6" s="693" t="s">
        <v>449</v>
      </c>
      <c r="C6" s="136" t="s">
        <v>22</v>
      </c>
      <c r="D6" s="136" t="s">
        <v>203</v>
      </c>
      <c r="E6" s="136">
        <v>1</v>
      </c>
      <c r="G6" t="str">
        <f t="shared" ref="G6:G14" si="0">B6</f>
        <v>FTE-DLPG</v>
      </c>
      <c r="H6" t="str">
        <f>COMM!AK31</f>
        <v>CO2e-DLPG</v>
      </c>
      <c r="I6" s="391">
        <f>L95</f>
        <v>47.28933824683137</v>
      </c>
      <c r="K6" s="138"/>
      <c r="L6" s="138" t="s">
        <v>449</v>
      </c>
      <c r="M6" s="138" t="s">
        <v>455</v>
      </c>
      <c r="N6" s="138" t="s">
        <v>56</v>
      </c>
      <c r="O6" s="138" t="s">
        <v>154</v>
      </c>
    </row>
    <row r="7" spans="2:15" x14ac:dyDescent="0.25">
      <c r="B7" s="693" t="s">
        <v>450</v>
      </c>
      <c r="C7" s="136" t="s">
        <v>26</v>
      </c>
      <c r="D7" s="136" t="s">
        <v>206</v>
      </c>
      <c r="E7" s="136">
        <v>1</v>
      </c>
      <c r="G7" t="str">
        <f t="shared" si="0"/>
        <v>FTE-DHFO</v>
      </c>
      <c r="H7" t="str">
        <f>COMM!AK32</f>
        <v>CO2e-DHFO</v>
      </c>
      <c r="I7" s="391">
        <f>M95</f>
        <v>78.281203343664757</v>
      </c>
      <c r="K7" s="138"/>
      <c r="L7" s="138" t="s">
        <v>450</v>
      </c>
      <c r="M7" s="138" t="s">
        <v>456</v>
      </c>
      <c r="N7" s="138" t="s">
        <v>56</v>
      </c>
      <c r="O7" s="138" t="s">
        <v>154</v>
      </c>
    </row>
    <row r="8" spans="2:15" x14ac:dyDescent="0.25">
      <c r="B8" s="693" t="s">
        <v>451</v>
      </c>
      <c r="C8" s="136" t="s">
        <v>7</v>
      </c>
      <c r="D8" s="136" t="s">
        <v>209</v>
      </c>
      <c r="E8" s="136">
        <v>1</v>
      </c>
      <c r="G8" t="str">
        <f t="shared" si="0"/>
        <v>FTE-DGAS</v>
      </c>
      <c r="H8" t="str">
        <f>COMM!AK33</f>
        <v>CO2e-DGAS</v>
      </c>
      <c r="I8" s="391">
        <f>N95</f>
        <v>55.539114956987063</v>
      </c>
      <c r="K8" s="138"/>
      <c r="L8" s="138" t="s">
        <v>451</v>
      </c>
      <c r="M8" s="138" t="s">
        <v>457</v>
      </c>
      <c r="N8" s="138" t="s">
        <v>56</v>
      </c>
      <c r="O8" s="138" t="s">
        <v>154</v>
      </c>
    </row>
    <row r="9" spans="2:15" x14ac:dyDescent="0.25">
      <c r="B9" s="693" t="s">
        <v>452</v>
      </c>
      <c r="C9" s="136" t="s">
        <v>13</v>
      </c>
      <c r="D9" s="136" t="s">
        <v>212</v>
      </c>
      <c r="E9" s="136">
        <v>1</v>
      </c>
      <c r="G9" t="str">
        <f t="shared" si="0"/>
        <v>FTE-DLOIL</v>
      </c>
      <c r="H9" t="str">
        <f>COMM!AK34</f>
        <v>CO2e-DLOIL</v>
      </c>
      <c r="I9" s="391">
        <f>Q95</f>
        <v>77.841777688967127</v>
      </c>
      <c r="K9" s="138"/>
      <c r="L9" s="138" t="s">
        <v>452</v>
      </c>
      <c r="M9" s="138" t="s">
        <v>458</v>
      </c>
      <c r="N9" s="138" t="s">
        <v>56</v>
      </c>
      <c r="O9" s="138" t="s">
        <v>154</v>
      </c>
    </row>
    <row r="10" spans="2:15" x14ac:dyDescent="0.25">
      <c r="B10" s="693" t="s">
        <v>453</v>
      </c>
      <c r="C10" s="137" t="s">
        <v>69</v>
      </c>
      <c r="D10" s="137" t="s">
        <v>75</v>
      </c>
      <c r="E10" s="139">
        <v>1</v>
      </c>
      <c r="G10" t="str">
        <f t="shared" si="0"/>
        <v>FTE-DAVG</v>
      </c>
      <c r="H10" t="str">
        <f>COMM!AK37</f>
        <v>CO2e-DAVG</v>
      </c>
      <c r="I10" s="391">
        <f>S95</f>
        <v>56.337812381502502</v>
      </c>
      <c r="K10" s="138"/>
      <c r="L10" s="138" t="s">
        <v>453</v>
      </c>
      <c r="M10" s="138" t="s">
        <v>459</v>
      </c>
      <c r="N10" s="138" t="s">
        <v>56</v>
      </c>
      <c r="O10" s="138" t="s">
        <v>154</v>
      </c>
    </row>
    <row r="11" spans="2:15" x14ac:dyDescent="0.25">
      <c r="B11" s="693" t="s">
        <v>942</v>
      </c>
      <c r="C11" s="89" t="str">
        <f>C5</f>
        <v>KER</v>
      </c>
      <c r="D11" s="136" t="s">
        <v>950</v>
      </c>
      <c r="E11" s="136">
        <v>1</v>
      </c>
      <c r="G11" t="str">
        <f t="shared" si="0"/>
        <v>FTE-EKER</v>
      </c>
      <c r="H11" t="str">
        <f>COMM!$AK$47</f>
        <v>CO2e-Exp</v>
      </c>
      <c r="I11" s="391">
        <f>Fuels!G31</f>
        <v>87.74</v>
      </c>
    </row>
    <row r="12" spans="2:15" x14ac:dyDescent="0.25">
      <c r="B12" s="693" t="s">
        <v>943</v>
      </c>
      <c r="C12" s="89" t="str">
        <f t="shared" ref="C12:C15" si="1">C6</f>
        <v>LPG</v>
      </c>
      <c r="D12" s="136" t="s">
        <v>951</v>
      </c>
      <c r="E12" s="136">
        <v>1</v>
      </c>
      <c r="G12" t="str">
        <f t="shared" si="0"/>
        <v>FTE-ELPG</v>
      </c>
      <c r="H12" t="str">
        <f>COMM!$AK$47</f>
        <v>CO2e-Exp</v>
      </c>
      <c r="I12" s="391">
        <f>Fuels!G32</f>
        <v>47.29</v>
      </c>
    </row>
    <row r="13" spans="2:15" x14ac:dyDescent="0.25">
      <c r="B13" s="693" t="s">
        <v>944</v>
      </c>
      <c r="C13" s="89" t="str">
        <f t="shared" si="1"/>
        <v>HFO</v>
      </c>
      <c r="D13" s="136" t="s">
        <v>952</v>
      </c>
      <c r="E13" s="136">
        <v>1</v>
      </c>
      <c r="G13" t="str">
        <f t="shared" si="0"/>
        <v>FTE-EHFO</v>
      </c>
      <c r="H13" t="str">
        <f>COMM!$AK$47</f>
        <v>CO2e-Exp</v>
      </c>
      <c r="I13" s="391">
        <f>Fuels!G33</f>
        <v>78.28</v>
      </c>
    </row>
    <row r="14" spans="2:15" x14ac:dyDescent="0.25">
      <c r="B14" s="693" t="s">
        <v>945</v>
      </c>
      <c r="C14" s="89" t="str">
        <f t="shared" si="1"/>
        <v>GAS</v>
      </c>
      <c r="D14" s="136" t="s">
        <v>953</v>
      </c>
      <c r="E14" s="136">
        <v>1</v>
      </c>
      <c r="G14" t="str">
        <f t="shared" si="0"/>
        <v>FTE-EGAS</v>
      </c>
      <c r="H14" t="str">
        <f>COMM!$AK$47</f>
        <v>CO2e-Exp</v>
      </c>
      <c r="I14" s="391">
        <f>Fuels!G25</f>
        <v>55.54</v>
      </c>
    </row>
    <row r="15" spans="2:15" x14ac:dyDescent="0.25">
      <c r="B15" s="693" t="s">
        <v>946</v>
      </c>
      <c r="C15" s="89" t="str">
        <f t="shared" si="1"/>
        <v>LOIL</v>
      </c>
      <c r="D15" s="136" t="s">
        <v>954</v>
      </c>
      <c r="E15" s="136">
        <v>1</v>
      </c>
      <c r="G15" t="str">
        <f>B15</f>
        <v>FTE-ELOIL</v>
      </c>
      <c r="H15" t="str">
        <f>COMM!$AK$47</f>
        <v>CO2e-Exp</v>
      </c>
      <c r="I15" s="391">
        <f>Fuels!G26</f>
        <v>77.84</v>
      </c>
    </row>
    <row r="16" spans="2:15" x14ac:dyDescent="0.25">
      <c r="B16" s="693" t="s">
        <v>948</v>
      </c>
      <c r="C16" s="89" t="s">
        <v>17</v>
      </c>
      <c r="D16" s="136" t="s">
        <v>955</v>
      </c>
      <c r="E16" s="136">
        <v>1</v>
      </c>
      <c r="G16" t="str">
        <f t="shared" ref="G16:G17" si="2">B16</f>
        <v>FTE-EMOIL</v>
      </c>
      <c r="H16" t="str">
        <f>COMM!$AK$47</f>
        <v>CO2e-Exp</v>
      </c>
      <c r="I16" s="391">
        <f>Fuels!G27</f>
        <v>77.84</v>
      </c>
    </row>
    <row r="17" spans="2:15" x14ac:dyDescent="0.25">
      <c r="B17" s="693" t="s">
        <v>949</v>
      </c>
      <c r="C17" s="89" t="s">
        <v>21</v>
      </c>
      <c r="D17" s="136" t="s">
        <v>956</v>
      </c>
      <c r="E17" s="136">
        <v>1</v>
      </c>
      <c r="G17" t="str">
        <f t="shared" si="2"/>
        <v>FTE-EHOIL</v>
      </c>
      <c r="H17" t="str">
        <f>COMM!$AK$47</f>
        <v>CO2e-Exp</v>
      </c>
      <c r="I17" s="391">
        <f>Fuels!G28</f>
        <v>77.84</v>
      </c>
    </row>
    <row r="18" spans="2:15" x14ac:dyDescent="0.25">
      <c r="B18" s="693" t="s">
        <v>947</v>
      </c>
      <c r="C18" s="89" t="str">
        <f>C10</f>
        <v>AVG</v>
      </c>
      <c r="D18" s="136" t="s">
        <v>957</v>
      </c>
      <c r="E18" s="136">
        <v>1</v>
      </c>
      <c r="G18" t="str">
        <f>B18</f>
        <v>FTE-EAVG</v>
      </c>
      <c r="H18" t="str">
        <f>COMM!$AK$47</f>
        <v>CO2e-Exp</v>
      </c>
      <c r="I18" s="391">
        <f>Fuels!G34</f>
        <v>56.34</v>
      </c>
    </row>
    <row r="19" spans="2:15" x14ac:dyDescent="0.25">
      <c r="B19" s="138"/>
      <c r="C19" s="138"/>
      <c r="D19" s="138"/>
      <c r="E19" s="137"/>
      <c r="I19" s="391"/>
      <c r="L19" s="138"/>
      <c r="M19" s="138"/>
      <c r="N19" s="138"/>
      <c r="O19" s="138"/>
    </row>
    <row r="20" spans="2:15" x14ac:dyDescent="0.25">
      <c r="B20" s="138"/>
      <c r="C20" s="138"/>
      <c r="D20" s="138"/>
      <c r="E20" s="137"/>
      <c r="I20" s="391"/>
      <c r="L20" s="138"/>
      <c r="M20" s="138"/>
      <c r="N20" s="138"/>
      <c r="O20" s="138"/>
    </row>
    <row r="21" spans="2:15" x14ac:dyDescent="0.25">
      <c r="B21" s="132" t="s">
        <v>416</v>
      </c>
      <c r="G21" s="156" t="s">
        <v>416</v>
      </c>
      <c r="K21" s="140" t="s">
        <v>136</v>
      </c>
      <c r="M21" s="138"/>
      <c r="N21" s="138"/>
      <c r="O21" s="138"/>
    </row>
    <row r="22" spans="2:15" x14ac:dyDescent="0.25">
      <c r="B22" s="134" t="s">
        <v>138</v>
      </c>
      <c r="C22" s="134" t="s">
        <v>417</v>
      </c>
      <c r="D22" s="134" t="s">
        <v>418</v>
      </c>
      <c r="E22" s="135" t="s">
        <v>447</v>
      </c>
      <c r="G22" s="411" t="s">
        <v>138</v>
      </c>
      <c r="H22" s="411" t="s">
        <v>418</v>
      </c>
      <c r="I22" s="411" t="s">
        <v>752</v>
      </c>
      <c r="K22" s="141" t="s">
        <v>137</v>
      </c>
      <c r="L22" s="141" t="s">
        <v>138</v>
      </c>
      <c r="M22" s="141" t="s">
        <v>139</v>
      </c>
      <c r="N22" s="141" t="s">
        <v>140</v>
      </c>
      <c r="O22" s="141" t="s">
        <v>141</v>
      </c>
    </row>
    <row r="23" spans="2:15" x14ac:dyDescent="0.25">
      <c r="B23" s="138" t="s">
        <v>460</v>
      </c>
      <c r="C23" s="138" t="s">
        <v>8</v>
      </c>
      <c r="D23" s="138" t="s">
        <v>194</v>
      </c>
      <c r="E23" s="137">
        <v>1</v>
      </c>
      <c r="G23" t="s">
        <v>460</v>
      </c>
      <c r="H23" s="12" t="s">
        <v>221</v>
      </c>
      <c r="I23" s="391">
        <v>69.193827140333724</v>
      </c>
      <c r="K23" s="133" t="s">
        <v>155</v>
      </c>
      <c r="L23" s="138" t="s">
        <v>460</v>
      </c>
      <c r="M23" s="138" t="s">
        <v>461</v>
      </c>
      <c r="N23" s="138" t="s">
        <v>56</v>
      </c>
      <c r="O23" s="138" t="s">
        <v>154</v>
      </c>
    </row>
    <row r="24" spans="2:15" x14ac:dyDescent="0.25">
      <c r="B24" s="138" t="s">
        <v>935</v>
      </c>
      <c r="C24" s="138" t="s">
        <v>14</v>
      </c>
      <c r="D24" s="138" t="s">
        <v>197</v>
      </c>
      <c r="E24" s="137">
        <v>1</v>
      </c>
      <c r="G24" t="s">
        <v>935</v>
      </c>
      <c r="H24" t="s">
        <v>223</v>
      </c>
      <c r="I24">
        <v>75.166375708662926</v>
      </c>
      <c r="L24" s="138" t="s">
        <v>935</v>
      </c>
      <c r="M24" s="138" t="s">
        <v>462</v>
      </c>
      <c r="N24" s="138" t="s">
        <v>56</v>
      </c>
      <c r="O24" s="138" t="s">
        <v>154</v>
      </c>
    </row>
    <row r="25" spans="2:15" x14ac:dyDescent="0.25">
      <c r="B25" s="138" t="s">
        <v>936</v>
      </c>
      <c r="C25" s="138" t="s">
        <v>30</v>
      </c>
      <c r="D25" s="138" t="s">
        <v>81</v>
      </c>
      <c r="E25" s="137">
        <v>1</v>
      </c>
      <c r="G25" t="s">
        <v>936</v>
      </c>
      <c r="H25" t="s">
        <v>926</v>
      </c>
      <c r="I25">
        <v>54.806487022879928</v>
      </c>
      <c r="L25" s="138" t="s">
        <v>936</v>
      </c>
      <c r="M25" s="138" t="s">
        <v>463</v>
      </c>
      <c r="N25" s="138" t="s">
        <v>56</v>
      </c>
      <c r="O25" s="138" t="s">
        <v>154</v>
      </c>
    </row>
    <row r="26" spans="2:15" x14ac:dyDescent="0.25">
      <c r="B26" s="138" t="s">
        <v>937</v>
      </c>
      <c r="C26" s="138" t="s">
        <v>32</v>
      </c>
      <c r="D26" s="138" t="s">
        <v>77</v>
      </c>
      <c r="E26" s="137">
        <v>1</v>
      </c>
      <c r="G26" s="580" t="s">
        <v>937</v>
      </c>
      <c r="H26" t="s">
        <v>927</v>
      </c>
      <c r="I26">
        <v>84.75811612074672</v>
      </c>
      <c r="K26" s="140"/>
      <c r="L26" s="138" t="s">
        <v>937</v>
      </c>
      <c r="M26" s="138" t="s">
        <v>464</v>
      </c>
      <c r="N26" s="138" t="s">
        <v>56</v>
      </c>
      <c r="O26" s="138" t="s">
        <v>154</v>
      </c>
    </row>
    <row r="27" spans="2:15" x14ac:dyDescent="0.25">
      <c r="B27" s="138" t="s">
        <v>962</v>
      </c>
      <c r="C27" s="138" t="str">
        <f>C23</f>
        <v>GSL</v>
      </c>
      <c r="D27" s="138" t="s">
        <v>958</v>
      </c>
      <c r="E27" s="137">
        <v>1</v>
      </c>
      <c r="G27" t="str">
        <f>B27</f>
        <v>FTE-EGSL</v>
      </c>
      <c r="H27" t="str">
        <f>$H$11</f>
        <v>CO2e-Exp</v>
      </c>
      <c r="I27" s="391">
        <f>Fuels!G29</f>
        <v>69.19</v>
      </c>
      <c r="L27" s="138"/>
      <c r="M27" s="138"/>
      <c r="N27" s="138"/>
      <c r="O27" s="138"/>
    </row>
    <row r="28" spans="2:15" x14ac:dyDescent="0.25">
      <c r="B28" s="138" t="s">
        <v>963</v>
      </c>
      <c r="C28" s="138" t="str">
        <f t="shared" ref="C28:C30" si="3">C24</f>
        <v>DSL</v>
      </c>
      <c r="D28" s="138" t="s">
        <v>959</v>
      </c>
      <c r="E28" s="137">
        <v>1</v>
      </c>
      <c r="G28" t="str">
        <f t="shared" ref="G28:G30" si="4">B28</f>
        <v>FTE-EDSL</v>
      </c>
      <c r="H28" t="str">
        <f t="shared" ref="H28:H30" si="5">$H$11</f>
        <v>CO2e-Exp</v>
      </c>
      <c r="I28" s="391">
        <f>Fuels!G30</f>
        <v>75.17</v>
      </c>
      <c r="L28" s="138"/>
      <c r="M28" s="138"/>
      <c r="N28" s="138"/>
      <c r="O28" s="138"/>
    </row>
    <row r="29" spans="2:15" x14ac:dyDescent="0.25">
      <c r="B29" s="138" t="s">
        <v>964</v>
      </c>
      <c r="C29" s="138" t="str">
        <f t="shared" si="3"/>
        <v>ETH</v>
      </c>
      <c r="D29" s="138" t="s">
        <v>960</v>
      </c>
      <c r="E29" s="137">
        <v>1</v>
      </c>
      <c r="G29" t="str">
        <f t="shared" si="4"/>
        <v>FTE-EETH</v>
      </c>
      <c r="H29" t="str">
        <f t="shared" si="5"/>
        <v>CO2e-Exp</v>
      </c>
      <c r="I29" s="391">
        <f>Fuels!G37</f>
        <v>84.8</v>
      </c>
      <c r="L29" s="138"/>
      <c r="M29" s="138"/>
      <c r="N29" s="138"/>
      <c r="O29" s="138"/>
    </row>
    <row r="30" spans="2:15" x14ac:dyDescent="0.25">
      <c r="B30" s="138" t="s">
        <v>965</v>
      </c>
      <c r="C30" s="138" t="str">
        <f t="shared" si="3"/>
        <v>BDSL</v>
      </c>
      <c r="D30" s="138" t="s">
        <v>961</v>
      </c>
      <c r="E30" s="137">
        <v>1</v>
      </c>
      <c r="G30" t="str">
        <f t="shared" si="4"/>
        <v>FTE-EBDSL</v>
      </c>
      <c r="H30" t="str">
        <f t="shared" si="5"/>
        <v>CO2e-Exp</v>
      </c>
      <c r="I30" s="391">
        <f>Fuels!G38</f>
        <v>54.8</v>
      </c>
      <c r="L30" s="138"/>
      <c r="M30" s="138"/>
      <c r="N30" s="138"/>
      <c r="O30" s="138"/>
    </row>
    <row r="31" spans="2:15" x14ac:dyDescent="0.25">
      <c r="B31" s="138"/>
      <c r="C31" s="138"/>
      <c r="D31" s="138"/>
      <c r="E31" s="137"/>
      <c r="I31" s="391"/>
      <c r="L31" s="138"/>
      <c r="M31" s="138"/>
      <c r="N31" s="138"/>
      <c r="O31" s="138"/>
    </row>
    <row r="32" spans="2:15" x14ac:dyDescent="0.25">
      <c r="C32" s="138"/>
      <c r="D32" s="138"/>
      <c r="E32" s="137"/>
      <c r="I32" s="391"/>
      <c r="L32" s="138"/>
      <c r="M32" s="138"/>
      <c r="N32" s="138"/>
      <c r="O32" s="138"/>
    </row>
    <row r="33" spans="2:18" x14ac:dyDescent="0.25">
      <c r="B33" s="138"/>
      <c r="C33" s="138"/>
      <c r="D33" s="138"/>
    </row>
    <row r="34" spans="2:18" x14ac:dyDescent="0.25">
      <c r="B34" s="138"/>
      <c r="C34" s="138"/>
      <c r="D34" s="138"/>
    </row>
    <row r="35" spans="2:18" x14ac:dyDescent="0.25">
      <c r="B35" s="138"/>
      <c r="C35" s="138"/>
      <c r="D35" s="138"/>
    </row>
    <row r="36" spans="2:18" ht="15" customHeight="1" x14ac:dyDescent="0.25">
      <c r="B36" s="138"/>
      <c r="C36" s="138"/>
      <c r="D36" s="138"/>
    </row>
    <row r="37" spans="2:18" x14ac:dyDescent="0.25">
      <c r="B37" s="138"/>
      <c r="C37" s="138"/>
      <c r="D37" s="138"/>
    </row>
    <row r="38" spans="2:18" x14ac:dyDescent="0.25">
      <c r="B38" s="138"/>
      <c r="C38" s="138"/>
      <c r="D38" s="138"/>
      <c r="E38" s="137"/>
      <c r="F38" s="137"/>
      <c r="G38" s="137"/>
      <c r="H38" s="137"/>
      <c r="I38" s="137"/>
      <c r="J38" s="137"/>
      <c r="K38" s="579"/>
      <c r="L38" s="579"/>
      <c r="M38" s="138"/>
      <c r="N38" s="138"/>
      <c r="O38" s="138"/>
    </row>
    <row r="39" spans="2:18" x14ac:dyDescent="0.25">
      <c r="B39" s="138"/>
      <c r="C39" s="138"/>
      <c r="D39" s="138"/>
      <c r="E39" s="137"/>
      <c r="F39" s="137"/>
      <c r="G39" s="137"/>
      <c r="H39" s="137"/>
      <c r="I39" s="137"/>
      <c r="J39" s="137"/>
      <c r="K39" s="579"/>
      <c r="L39" s="579"/>
      <c r="M39" s="138"/>
      <c r="N39" s="138"/>
      <c r="O39" s="138"/>
    </row>
    <row r="40" spans="2:18" x14ac:dyDescent="0.25">
      <c r="B40" s="138"/>
      <c r="C40" s="138"/>
      <c r="D40" s="138"/>
      <c r="E40" s="137"/>
      <c r="F40" s="137"/>
      <c r="G40" s="137"/>
      <c r="H40" s="137"/>
      <c r="I40" s="137"/>
      <c r="J40" s="137"/>
      <c r="K40" s="579"/>
      <c r="L40" s="579"/>
      <c r="M40" s="138"/>
      <c r="N40" s="138"/>
      <c r="O40" s="138"/>
    </row>
    <row r="41" spans="2:18" x14ac:dyDescent="0.25">
      <c r="I41" s="391"/>
    </row>
    <row r="42" spans="2:18" x14ac:dyDescent="0.25">
      <c r="I42" s="391"/>
    </row>
    <row r="43" spans="2:18" x14ac:dyDescent="0.25">
      <c r="B43" s="140" t="s">
        <v>136</v>
      </c>
      <c r="C43" s="138"/>
      <c r="D43" s="138"/>
      <c r="E43" s="138"/>
      <c r="F43" s="138"/>
      <c r="H43" s="149" t="s">
        <v>416</v>
      </c>
      <c r="J43" s="149"/>
      <c r="K43" s="150"/>
    </row>
    <row r="44" spans="2:18" x14ac:dyDescent="0.25">
      <c r="B44" s="141" t="s">
        <v>137</v>
      </c>
      <c r="C44" s="141" t="s">
        <v>138</v>
      </c>
      <c r="D44" s="141" t="s">
        <v>139</v>
      </c>
      <c r="E44" s="141" t="s">
        <v>140</v>
      </c>
      <c r="F44" s="141" t="s">
        <v>141</v>
      </c>
      <c r="H44" s="694" t="s">
        <v>488</v>
      </c>
      <c r="I44" s="694" t="s">
        <v>40</v>
      </c>
      <c r="J44" s="694" t="s">
        <v>489</v>
      </c>
      <c r="K44" s="695">
        <v>2019</v>
      </c>
      <c r="L44" s="695">
        <v>2020</v>
      </c>
      <c r="M44" s="695">
        <v>2025</v>
      </c>
      <c r="N44" s="695">
        <v>2030</v>
      </c>
      <c r="O44" s="695">
        <v>2035</v>
      </c>
      <c r="P44" s="695">
        <v>2040</v>
      </c>
      <c r="Q44" s="695">
        <v>2045</v>
      </c>
      <c r="R44" s="695">
        <v>2050</v>
      </c>
    </row>
    <row r="45" spans="2:18" x14ac:dyDescent="0.25">
      <c r="B45" s="12" t="s">
        <v>465</v>
      </c>
      <c r="C45" s="12" t="s">
        <v>471</v>
      </c>
      <c r="D45" s="12" t="s">
        <v>466</v>
      </c>
      <c r="E45" s="12" t="s">
        <v>56</v>
      </c>
      <c r="F45" s="12" t="s">
        <v>156</v>
      </c>
      <c r="H45" s="12" t="s">
        <v>490</v>
      </c>
      <c r="I45" s="12" t="s">
        <v>218</v>
      </c>
      <c r="J45" s="12" t="s">
        <v>56</v>
      </c>
      <c r="K45" s="151">
        <v>31.6646</v>
      </c>
      <c r="L45" s="152">
        <v>27.873699999999999</v>
      </c>
      <c r="M45" s="152">
        <v>34.688200000000002</v>
      </c>
      <c r="N45" s="152">
        <v>41.387799999999999</v>
      </c>
      <c r="O45" s="152">
        <v>48.775300000000001</v>
      </c>
      <c r="P45" s="152">
        <v>57.037600000000005</v>
      </c>
      <c r="Q45" s="152">
        <v>66.4298</v>
      </c>
      <c r="R45" s="152">
        <v>76.873699999999999</v>
      </c>
    </row>
    <row r="46" spans="2:18" x14ac:dyDescent="0.25">
      <c r="C46" s="12" t="s">
        <v>472</v>
      </c>
      <c r="D46" s="12" t="s">
        <v>467</v>
      </c>
      <c r="E46" s="12" t="s">
        <v>56</v>
      </c>
      <c r="F46" s="12" t="s">
        <v>156</v>
      </c>
      <c r="H46" s="104" t="s">
        <v>490</v>
      </c>
      <c r="I46" s="104" t="s">
        <v>219</v>
      </c>
      <c r="J46" s="696" t="s">
        <v>56</v>
      </c>
      <c r="K46" s="152" cm="1">
        <f t="array" ref="K46:R46">TRANSPOSE(G103:G110)</f>
        <v>21.412011183000001</v>
      </c>
      <c r="L46" s="152">
        <v>18.788197356000001</v>
      </c>
      <c r="M46" s="152">
        <v>22.889630893</v>
      </c>
      <c r="N46" s="152">
        <v>27.088103414999999</v>
      </c>
      <c r="O46" s="152">
        <v>30.924238695</v>
      </c>
      <c r="P46" s="152">
        <v>34.951284788999999</v>
      </c>
      <c r="Q46" s="152">
        <v>40.18100063</v>
      </c>
      <c r="R46" s="152">
        <v>46.547762116999998</v>
      </c>
    </row>
    <row r="47" spans="2:18" x14ac:dyDescent="0.25">
      <c r="C47" s="12" t="s">
        <v>473</v>
      </c>
      <c r="D47" s="12" t="s">
        <v>468</v>
      </c>
      <c r="E47" s="12" t="s">
        <v>56</v>
      </c>
      <c r="F47" s="12" t="s">
        <v>156</v>
      </c>
      <c r="H47" s="150" t="s">
        <v>490</v>
      </c>
      <c r="I47" s="12" t="s">
        <v>220</v>
      </c>
      <c r="J47" s="150" t="s">
        <v>56</v>
      </c>
      <c r="K47" s="152">
        <v>69.341300000000004</v>
      </c>
      <c r="L47" s="152">
        <v>71.078400000000002</v>
      </c>
      <c r="M47" s="152">
        <v>80.650599999999997</v>
      </c>
      <c r="N47" s="152">
        <v>89.464500000000001</v>
      </c>
      <c r="O47" s="152">
        <v>94.679500000000004</v>
      </c>
      <c r="P47" s="152">
        <v>98.240100000000012</v>
      </c>
      <c r="Q47" s="152">
        <v>103.37649999999999</v>
      </c>
      <c r="R47" s="152">
        <v>109.43870000000001</v>
      </c>
    </row>
    <row r="48" spans="2:18" x14ac:dyDescent="0.25">
      <c r="C48" s="12" t="s">
        <v>474</v>
      </c>
      <c r="D48" s="12" t="s">
        <v>469</v>
      </c>
      <c r="E48" s="12" t="s">
        <v>56</v>
      </c>
      <c r="F48" s="12" t="s">
        <v>156</v>
      </c>
      <c r="H48" s="12" t="s">
        <v>490</v>
      </c>
      <c r="I48" s="12" t="s">
        <v>222</v>
      </c>
      <c r="J48" s="150" t="s">
        <v>56</v>
      </c>
      <c r="K48" s="152">
        <v>105.9659</v>
      </c>
      <c r="L48" s="152">
        <v>97.14</v>
      </c>
      <c r="M48" s="152">
        <v>111.3608</v>
      </c>
      <c r="N48" s="152">
        <v>123.88920000000002</v>
      </c>
      <c r="O48" s="152">
        <v>135.8665</v>
      </c>
      <c r="P48" s="152">
        <v>148.9272</v>
      </c>
      <c r="Q48" s="152">
        <v>166.12129999999999</v>
      </c>
      <c r="R48" s="152">
        <v>187.32580000000002</v>
      </c>
    </row>
    <row r="49" spans="3:35" x14ac:dyDescent="0.25">
      <c r="C49" s="12" t="s">
        <v>475</v>
      </c>
      <c r="D49" s="12" t="s">
        <v>470</v>
      </c>
      <c r="E49" s="12" t="s">
        <v>56</v>
      </c>
      <c r="F49" s="12" t="s">
        <v>156</v>
      </c>
      <c r="H49" s="12" t="s">
        <v>490</v>
      </c>
      <c r="I49" s="12" t="s">
        <v>224</v>
      </c>
      <c r="J49" s="150" t="s">
        <v>56</v>
      </c>
      <c r="K49" s="151">
        <v>574.73889999999994</v>
      </c>
      <c r="L49" s="152">
        <v>589.8599999999999</v>
      </c>
      <c r="M49" s="152">
        <v>666.04299999999989</v>
      </c>
      <c r="N49" s="152">
        <v>719.26869999999997</v>
      </c>
      <c r="O49" s="152">
        <v>757.1662</v>
      </c>
      <c r="P49" s="152">
        <v>794.73050000000012</v>
      </c>
      <c r="Q49" s="152">
        <v>829.68970000000013</v>
      </c>
      <c r="R49" s="152">
        <v>871.08279999999991</v>
      </c>
    </row>
    <row r="53" spans="3:35" ht="21" x14ac:dyDescent="0.35">
      <c r="H53" s="505" t="s">
        <v>803</v>
      </c>
      <c r="M53" s="153"/>
      <c r="N53" s="153"/>
      <c r="O53" s="153"/>
      <c r="P53" s="153"/>
      <c r="Q53" s="153"/>
      <c r="R53" s="153"/>
      <c r="S53" s="153"/>
      <c r="T53" s="153"/>
      <c r="W53" s="153"/>
    </row>
    <row r="54" spans="3:35" ht="15.75" customHeight="1" x14ac:dyDescent="0.25">
      <c r="M54" s="153"/>
      <c r="N54" s="153"/>
      <c r="O54" s="153"/>
      <c r="P54" s="153"/>
      <c r="Q54" s="153"/>
      <c r="R54" s="153"/>
      <c r="S54" s="153"/>
      <c r="T54" s="153"/>
    </row>
    <row r="55" spans="3:35" ht="15.75" customHeight="1" x14ac:dyDescent="0.35">
      <c r="C55" s="154"/>
      <c r="D55" s="155" t="s">
        <v>486</v>
      </c>
      <c r="E55" s="154">
        <v>5.7621225008503835E-2</v>
      </c>
      <c r="H55" s="132" t="s">
        <v>416</v>
      </c>
      <c r="W55" s="504" t="s">
        <v>802</v>
      </c>
    </row>
    <row r="56" spans="3:35" ht="15.75" customHeight="1" x14ac:dyDescent="0.25">
      <c r="C56" s="154"/>
      <c r="D56" s="155" t="s">
        <v>487</v>
      </c>
      <c r="E56" s="154">
        <v>9.3659149944684009E-2</v>
      </c>
      <c r="H56" s="134" t="s">
        <v>138</v>
      </c>
      <c r="I56" s="134" t="s">
        <v>417</v>
      </c>
      <c r="J56" s="134" t="s">
        <v>418</v>
      </c>
      <c r="K56" s="83" t="s">
        <v>43</v>
      </c>
      <c r="L56" s="135" t="s">
        <v>447</v>
      </c>
      <c r="M56" s="134" t="s">
        <v>476</v>
      </c>
      <c r="N56" s="134" t="s">
        <v>477</v>
      </c>
      <c r="O56" s="134" t="s">
        <v>478</v>
      </c>
      <c r="P56" s="134" t="s">
        <v>479</v>
      </c>
      <c r="Q56" s="134" t="s">
        <v>480</v>
      </c>
      <c r="R56" s="134" t="s">
        <v>481</v>
      </c>
      <c r="S56" s="134" t="s">
        <v>482</v>
      </c>
      <c r="T56" s="134" t="s">
        <v>483</v>
      </c>
      <c r="W56" s="134" t="s">
        <v>138</v>
      </c>
      <c r="X56" s="134" t="s">
        <v>417</v>
      </c>
      <c r="Y56" s="134" t="s">
        <v>418</v>
      </c>
      <c r="Z56" s="83" t="s">
        <v>43</v>
      </c>
      <c r="AA56" s="135" t="s">
        <v>447</v>
      </c>
      <c r="AB56" s="134" t="s">
        <v>476</v>
      </c>
      <c r="AC56" s="134" t="s">
        <v>477</v>
      </c>
      <c r="AD56" s="134" t="s">
        <v>478</v>
      </c>
      <c r="AE56" s="134" t="s">
        <v>479</v>
      </c>
      <c r="AF56" s="134" t="s">
        <v>480</v>
      </c>
      <c r="AG56" s="134" t="s">
        <v>481</v>
      </c>
      <c r="AH56" s="134" t="s">
        <v>482</v>
      </c>
      <c r="AI56" s="134" t="s">
        <v>483</v>
      </c>
    </row>
    <row r="57" spans="3:35" ht="15.75" customHeight="1" x14ac:dyDescent="0.25">
      <c r="H57" s="12" t="s">
        <v>471</v>
      </c>
      <c r="I57" s="142" t="s">
        <v>197</v>
      </c>
      <c r="J57" s="143" t="s">
        <v>218</v>
      </c>
      <c r="K57" s="144" t="s">
        <v>485</v>
      </c>
      <c r="L57" s="145">
        <v>1</v>
      </c>
      <c r="M57" s="146">
        <f>AB57-AB58</f>
        <v>0.63890037291390744</v>
      </c>
      <c r="N57" s="146">
        <f t="shared" ref="N57:T57" si="6">AC57-AC58</f>
        <v>0.64707138091411587</v>
      </c>
      <c r="O57" s="146">
        <f t="shared" si="6"/>
        <v>0.64754868967965828</v>
      </c>
      <c r="P57" s="146">
        <f t="shared" si="6"/>
        <v>0.65032482011625925</v>
      </c>
      <c r="Q57" s="146">
        <f t="shared" si="6"/>
        <v>0.65187944027090672</v>
      </c>
      <c r="R57" s="146">
        <f t="shared" si="6"/>
        <v>0.65208914992575084</v>
      </c>
      <c r="S57" s="146">
        <f t="shared" si="6"/>
        <v>0.65120165351566928</v>
      </c>
      <c r="T57" s="146">
        <f t="shared" si="6"/>
        <v>0.64940140073447539</v>
      </c>
      <c r="W57" s="12" t="s">
        <v>471</v>
      </c>
      <c r="X57" s="142" t="s">
        <v>197</v>
      </c>
      <c r="Y57" s="143" t="s">
        <v>218</v>
      </c>
      <c r="Z57" s="144" t="s">
        <v>484</v>
      </c>
      <c r="AA57" s="145">
        <v>1</v>
      </c>
      <c r="AB57" s="146">
        <v>0.70492284759636947</v>
      </c>
      <c r="AC57" s="146">
        <v>0.71393822850931155</v>
      </c>
      <c r="AD57" s="146">
        <v>0.71446486124964681</v>
      </c>
      <c r="AE57" s="146">
        <v>0.71752787053189593</v>
      </c>
      <c r="AF57" s="146">
        <v>0.71924314150809932</v>
      </c>
      <c r="AG57" s="146">
        <v>0.71947452206965223</v>
      </c>
      <c r="AH57" s="146">
        <v>0.71849531385010945</v>
      </c>
      <c r="AI57" s="146">
        <v>0.71650902714452402</v>
      </c>
    </row>
    <row r="58" spans="3:35" ht="15.75" customHeight="1" x14ac:dyDescent="0.25">
      <c r="I58" s="142" t="s">
        <v>77</v>
      </c>
      <c r="J58" s="143"/>
      <c r="K58" s="144" t="s">
        <v>485</v>
      </c>
      <c r="L58" s="145">
        <v>1</v>
      </c>
      <c r="M58" s="146">
        <f>AB58</f>
        <v>6.6022474682462001E-2</v>
      </c>
      <c r="N58" s="146">
        <f t="shared" ref="N58:T58" si="7">AC58</f>
        <v>6.6866847595195691E-2</v>
      </c>
      <c r="O58" s="146">
        <f t="shared" si="7"/>
        <v>6.6916171569988525E-2</v>
      </c>
      <c r="P58" s="146">
        <f t="shared" si="7"/>
        <v>6.720305041563665E-2</v>
      </c>
      <c r="Q58" s="146">
        <f t="shared" si="7"/>
        <v>6.7363701237192652E-2</v>
      </c>
      <c r="R58" s="146">
        <f t="shared" si="7"/>
        <v>6.7385372143901417E-2</v>
      </c>
      <c r="S58" s="146">
        <f t="shared" si="7"/>
        <v>6.7293660334440203E-2</v>
      </c>
      <c r="T58" s="146">
        <f t="shared" si="7"/>
        <v>6.7107626410048637E-2</v>
      </c>
      <c r="X58" s="142" t="s">
        <v>77</v>
      </c>
      <c r="Y58" s="143"/>
      <c r="Z58" s="144" t="s">
        <v>484</v>
      </c>
      <c r="AA58" s="145">
        <v>1</v>
      </c>
      <c r="AB58" s="146">
        <f>+AB57*$E$56</f>
        <v>6.6022474682462001E-2</v>
      </c>
      <c r="AC58" s="146">
        <f t="shared" ref="AC58:AI58" si="8">+AC57*$E$56</f>
        <v>6.6866847595195691E-2</v>
      </c>
      <c r="AD58" s="146">
        <f t="shared" si="8"/>
        <v>6.6916171569988525E-2</v>
      </c>
      <c r="AE58" s="146">
        <f t="shared" si="8"/>
        <v>6.720305041563665E-2</v>
      </c>
      <c r="AF58" s="146">
        <f t="shared" si="8"/>
        <v>6.7363701237192652E-2</v>
      </c>
      <c r="AG58" s="146">
        <f t="shared" si="8"/>
        <v>6.7385372143901417E-2</v>
      </c>
      <c r="AH58" s="146">
        <f t="shared" si="8"/>
        <v>6.7293660334440203E-2</v>
      </c>
      <c r="AI58" s="146">
        <f t="shared" si="8"/>
        <v>6.7107626410048637E-2</v>
      </c>
    </row>
    <row r="59" spans="3:35" ht="15.75" customHeight="1" x14ac:dyDescent="0.25">
      <c r="I59" s="142" t="s">
        <v>194</v>
      </c>
      <c r="J59" s="143"/>
      <c r="K59" s="144" t="s">
        <v>485</v>
      </c>
      <c r="L59" s="145">
        <v>1</v>
      </c>
      <c r="M59" s="146">
        <f>AB59-M60</f>
        <v>6.3064135476430519E-3</v>
      </c>
      <c r="N59" s="146">
        <f t="shared" ref="N59:T59" si="9">AC59-N60</f>
        <v>6.704302302199339E-3</v>
      </c>
      <c r="O59" s="146">
        <f t="shared" si="9"/>
        <v>6.4875102042760736E-3</v>
      </c>
      <c r="P59" s="146">
        <f t="shared" si="9"/>
        <v>6.3344699453132145E-3</v>
      </c>
      <c r="Q59" s="146">
        <f t="shared" si="9"/>
        <v>6.2213039293917572E-3</v>
      </c>
      <c r="R59" s="146">
        <f t="shared" si="9"/>
        <v>6.1429027263040217E-3</v>
      </c>
      <c r="S59" s="146">
        <f t="shared" si="9"/>
        <v>6.0900861978185894E-3</v>
      </c>
      <c r="T59" s="146">
        <f t="shared" si="9"/>
        <v>6.0582954976903334E-3</v>
      </c>
      <c r="X59" s="142" t="s">
        <v>194</v>
      </c>
      <c r="Y59" s="143"/>
      <c r="Z59" s="144" t="s">
        <v>484</v>
      </c>
      <c r="AA59" s="145">
        <v>1</v>
      </c>
      <c r="AB59" s="146">
        <v>6.6920156894450002E-3</v>
      </c>
      <c r="AC59" s="146">
        <v>7.1142331301549495E-3</v>
      </c>
      <c r="AD59" s="146">
        <v>6.884185400222554E-3</v>
      </c>
      <c r="AE59" s="146">
        <v>6.7217875799148548E-3</v>
      </c>
      <c r="AF59" s="146">
        <v>6.6017020910173795E-3</v>
      </c>
      <c r="AG59" s="146">
        <v>6.5185070900598899E-3</v>
      </c>
      <c r="AH59" s="146">
        <v>6.4624611243749045E-3</v>
      </c>
      <c r="AI59" s="146">
        <v>6.4287265996042856E-3</v>
      </c>
    </row>
    <row r="60" spans="3:35" ht="15.75" customHeight="1" x14ac:dyDescent="0.25">
      <c r="I60" s="142" t="s">
        <v>81</v>
      </c>
      <c r="J60" s="143"/>
      <c r="K60" s="144" t="s">
        <v>485</v>
      </c>
      <c r="L60" s="145">
        <v>1</v>
      </c>
      <c r="M60" s="146">
        <f>AB60</f>
        <v>3.8560214180194825E-4</v>
      </c>
      <c r="N60" s="146">
        <f t="shared" ref="N60:T60" si="10">AC60</f>
        <v>4.0993082795561089E-4</v>
      </c>
      <c r="O60" s="146">
        <f t="shared" si="10"/>
        <v>3.9667519594648081E-4</v>
      </c>
      <c r="P60" s="146">
        <f t="shared" si="10"/>
        <v>3.8731763460164031E-4</v>
      </c>
      <c r="Q60" s="146">
        <f t="shared" si="10"/>
        <v>3.8039816162562266E-4</v>
      </c>
      <c r="R60" s="146">
        <f t="shared" si="10"/>
        <v>3.756043637558685E-4</v>
      </c>
      <c r="S60" s="146">
        <f t="shared" si="10"/>
        <v>3.7237492655631504E-4</v>
      </c>
      <c r="T60" s="146">
        <f t="shared" si="10"/>
        <v>3.7043110191395227E-4</v>
      </c>
      <c r="X60" s="142" t="s">
        <v>81</v>
      </c>
      <c r="Y60" s="143"/>
      <c r="Z60" s="144" t="s">
        <v>484</v>
      </c>
      <c r="AA60" s="145">
        <v>1</v>
      </c>
      <c r="AB60" s="146">
        <f t="shared" ref="AB60:AI60" si="11">+AB59*$E$55</f>
        <v>3.8560214180194825E-4</v>
      </c>
      <c r="AC60" s="146">
        <f t="shared" si="11"/>
        <v>4.0993082795561089E-4</v>
      </c>
      <c r="AD60" s="146">
        <f t="shared" si="11"/>
        <v>3.9667519594648081E-4</v>
      </c>
      <c r="AE60" s="146">
        <f t="shared" si="11"/>
        <v>3.8731763460164031E-4</v>
      </c>
      <c r="AF60" s="146">
        <f t="shared" si="11"/>
        <v>3.8039816162562266E-4</v>
      </c>
      <c r="AG60" s="146">
        <f t="shared" si="11"/>
        <v>3.756043637558685E-4</v>
      </c>
      <c r="AH60" s="146">
        <f t="shared" si="11"/>
        <v>3.7237492655631504E-4</v>
      </c>
      <c r="AI60" s="146">
        <f t="shared" si="11"/>
        <v>3.7043110191395227E-4</v>
      </c>
    </row>
    <row r="61" spans="3:35" ht="15.75" customHeight="1" x14ac:dyDescent="0.25">
      <c r="F61" s="153"/>
      <c r="I61" s="12" t="s">
        <v>209</v>
      </c>
      <c r="J61" s="13"/>
      <c r="K61" s="14" t="s">
        <v>485</v>
      </c>
      <c r="L61" s="87">
        <v>1</v>
      </c>
      <c r="M61" s="147">
        <v>0.28838513671418559</v>
      </c>
      <c r="N61" s="147">
        <v>0.27894753836053338</v>
      </c>
      <c r="O61" s="147">
        <v>0.27865095335013057</v>
      </c>
      <c r="P61" s="147">
        <v>0.27575034188818925</v>
      </c>
      <c r="Q61" s="147">
        <v>0.27415515640088323</v>
      </c>
      <c r="R61" s="147">
        <v>0.2740069708402878</v>
      </c>
      <c r="S61" s="147">
        <v>0.27504222502551567</v>
      </c>
      <c r="T61" s="147">
        <v>0.27706224625587167</v>
      </c>
      <c r="X61" s="12" t="s">
        <v>209</v>
      </c>
      <c r="Y61" s="13"/>
      <c r="Z61" s="14" t="s">
        <v>485</v>
      </c>
      <c r="AA61" s="87">
        <v>1</v>
      </c>
      <c r="AB61" s="147">
        <v>0.28838513671418559</v>
      </c>
      <c r="AC61" s="147">
        <v>0.27894753836053338</v>
      </c>
      <c r="AD61" s="147">
        <v>0.27865095335013057</v>
      </c>
      <c r="AE61" s="147">
        <v>0.27575034188818925</v>
      </c>
      <c r="AF61" s="147">
        <v>0.27415515640088323</v>
      </c>
      <c r="AG61" s="147">
        <v>0.2740069708402878</v>
      </c>
      <c r="AH61" s="147">
        <v>0.27504222502551567</v>
      </c>
      <c r="AI61" s="147">
        <v>0.27706224625587167</v>
      </c>
    </row>
    <row r="62" spans="3:35" ht="15.75" customHeight="1" x14ac:dyDescent="0.25">
      <c r="H62" s="12" t="s">
        <v>472</v>
      </c>
      <c r="I62" s="12" t="s">
        <v>209</v>
      </c>
      <c r="J62" s="13" t="s">
        <v>219</v>
      </c>
      <c r="K62" s="14" t="s">
        <v>485</v>
      </c>
      <c r="L62" s="87">
        <v>1</v>
      </c>
      <c r="M62" s="147" cm="1">
        <f t="array" ref="M62:T62">TRANSPOSE(H103:H110)</f>
        <v>0.85232320187136346</v>
      </c>
      <c r="N62" s="147">
        <v>0.85273023943851745</v>
      </c>
      <c r="O62" s="147">
        <v>0.8526941714891898</v>
      </c>
      <c r="P62" s="147">
        <v>0.85248527836071097</v>
      </c>
      <c r="Q62" s="147">
        <v>0.85187151637978265</v>
      </c>
      <c r="R62" s="147">
        <v>0.85119273696522657</v>
      </c>
      <c r="S62" s="147">
        <v>0.85088138433450455</v>
      </c>
      <c r="T62" s="147">
        <v>0.85082607237815966</v>
      </c>
      <c r="W62" s="12" t="s">
        <v>472</v>
      </c>
      <c r="X62" s="12" t="s">
        <v>209</v>
      </c>
      <c r="Y62" s="13" t="s">
        <v>219</v>
      </c>
      <c r="Z62" s="14" t="s">
        <v>485</v>
      </c>
      <c r="AA62" s="87">
        <v>1</v>
      </c>
      <c r="AB62" s="147">
        <v>0.94914717262718429</v>
      </c>
      <c r="AC62" s="147">
        <v>0.94909397992018851</v>
      </c>
      <c r="AD62" s="147">
        <v>0.94381625559454663</v>
      </c>
      <c r="AE62" s="147">
        <v>0.94089342504252638</v>
      </c>
      <c r="AF62" s="147">
        <v>0.93845062398555323</v>
      </c>
      <c r="AG62" s="147">
        <v>0.93558574737128919</v>
      </c>
      <c r="AH62" s="147">
        <v>0.93394802666463828</v>
      </c>
      <c r="AI62" s="147">
        <v>0.933269906252853</v>
      </c>
    </row>
    <row r="63" spans="3:35" ht="15.75" customHeight="1" x14ac:dyDescent="0.25">
      <c r="I63" s="12" t="s">
        <v>203</v>
      </c>
      <c r="J63" s="13"/>
      <c r="K63" s="14" t="s">
        <v>485</v>
      </c>
      <c r="L63" s="87">
        <v>1</v>
      </c>
      <c r="M63" s="147">
        <f>100%-M62</f>
        <v>0.14767679812863654</v>
      </c>
      <c r="N63" s="147">
        <f t="shared" ref="N63:T63" si="12">100%-N62</f>
        <v>0.14726976056148255</v>
      </c>
      <c r="O63" s="147">
        <f t="shared" si="12"/>
        <v>0.1473058285108102</v>
      </c>
      <c r="P63" s="147">
        <f t="shared" si="12"/>
        <v>0.14751472163928903</v>
      </c>
      <c r="Q63" s="147">
        <f t="shared" si="12"/>
        <v>0.14812848362021735</v>
      </c>
      <c r="R63" s="147">
        <f t="shared" si="12"/>
        <v>0.14880726303477343</v>
      </c>
      <c r="S63" s="147">
        <f t="shared" si="12"/>
        <v>0.14911861566549545</v>
      </c>
      <c r="T63" s="147">
        <f t="shared" si="12"/>
        <v>0.14917392762184034</v>
      </c>
      <c r="X63" s="12" t="s">
        <v>203</v>
      </c>
      <c r="Y63" s="13"/>
      <c r="Z63" s="14" t="s">
        <v>485</v>
      </c>
      <c r="AA63" s="87">
        <v>1</v>
      </c>
      <c r="AB63" s="147">
        <v>5.0852827372815664E-2</v>
      </c>
      <c r="AC63" s="147">
        <v>5.0906020079811459E-2</v>
      </c>
      <c r="AD63" s="147">
        <v>5.6183744405453408E-2</v>
      </c>
      <c r="AE63" s="147">
        <v>5.9106574957473554E-2</v>
      </c>
      <c r="AF63" s="147">
        <v>6.1549376014446808E-2</v>
      </c>
      <c r="AG63" s="147">
        <v>6.4414252628710852E-2</v>
      </c>
      <c r="AH63" s="147">
        <v>6.6051973335361724E-2</v>
      </c>
      <c r="AI63" s="147">
        <v>6.6730093747146987E-2</v>
      </c>
    </row>
    <row r="64" spans="3:35" ht="15.75" customHeight="1" x14ac:dyDescent="0.25">
      <c r="H64" s="12" t="s">
        <v>473</v>
      </c>
      <c r="I64" s="12" t="s">
        <v>209</v>
      </c>
      <c r="J64" s="13" t="s">
        <v>220</v>
      </c>
      <c r="K64" s="14" t="s">
        <v>485</v>
      </c>
      <c r="L64" s="87">
        <v>1</v>
      </c>
      <c r="M64" s="147">
        <v>0.73862618670258562</v>
      </c>
      <c r="N64" s="147">
        <v>0.74554154285971541</v>
      </c>
      <c r="O64" s="147">
        <v>0.75129509265895111</v>
      </c>
      <c r="P64" s="147">
        <v>0.75734173890202261</v>
      </c>
      <c r="Q64" s="147">
        <v>0.76288003210832334</v>
      </c>
      <c r="R64" s="147">
        <v>0.76798679968770389</v>
      </c>
      <c r="S64" s="147">
        <v>0.77271043225491287</v>
      </c>
      <c r="T64" s="147">
        <v>0.7770943916548716</v>
      </c>
      <c r="W64" s="12" t="s">
        <v>473</v>
      </c>
      <c r="X64" s="12" t="s">
        <v>209</v>
      </c>
      <c r="Y64" s="13" t="s">
        <v>220</v>
      </c>
      <c r="Z64" s="14" t="s">
        <v>485</v>
      </c>
      <c r="AA64" s="87">
        <v>1</v>
      </c>
      <c r="AB64" s="147">
        <v>0.73862618670258562</v>
      </c>
      <c r="AC64" s="147">
        <v>0.74554154285971541</v>
      </c>
      <c r="AD64" s="147">
        <v>0.75129509265895111</v>
      </c>
      <c r="AE64" s="147">
        <v>0.75734173890202261</v>
      </c>
      <c r="AF64" s="147">
        <v>0.76288003210832334</v>
      </c>
      <c r="AG64" s="147">
        <v>0.76798679968770389</v>
      </c>
      <c r="AH64" s="147">
        <v>0.77271043225491287</v>
      </c>
      <c r="AI64" s="147">
        <v>0.7770943916548716</v>
      </c>
    </row>
    <row r="65" spans="8:35" ht="15.75" customHeight="1" x14ac:dyDescent="0.25">
      <c r="I65" s="12" t="s">
        <v>203</v>
      </c>
      <c r="J65" s="13"/>
      <c r="K65" s="14" t="s">
        <v>485</v>
      </c>
      <c r="L65" s="87">
        <v>1</v>
      </c>
      <c r="M65" s="147">
        <v>0.26137381329741433</v>
      </c>
      <c r="N65" s="147">
        <v>0.25445845714028453</v>
      </c>
      <c r="O65" s="147">
        <v>0.24870490734104891</v>
      </c>
      <c r="P65" s="147">
        <v>0.24265826109797739</v>
      </c>
      <c r="Q65" s="147">
        <v>0.23711996789167664</v>
      </c>
      <c r="R65" s="147">
        <v>0.23201320031229605</v>
      </c>
      <c r="S65" s="147">
        <v>0.22728956774508716</v>
      </c>
      <c r="T65" s="147">
        <v>0.22290560834512835</v>
      </c>
      <c r="X65" s="12" t="s">
        <v>203</v>
      </c>
      <c r="Y65" s="13"/>
      <c r="Z65" s="14" t="s">
        <v>485</v>
      </c>
      <c r="AA65" s="87">
        <v>1</v>
      </c>
      <c r="AB65" s="147">
        <v>0.26137381329741433</v>
      </c>
      <c r="AC65" s="147">
        <v>0.25445845714028453</v>
      </c>
      <c r="AD65" s="147">
        <v>0.24870490734104891</v>
      </c>
      <c r="AE65" s="147">
        <v>0.24265826109797739</v>
      </c>
      <c r="AF65" s="147">
        <v>0.23711996789167664</v>
      </c>
      <c r="AG65" s="147">
        <v>0.23201320031229605</v>
      </c>
      <c r="AH65" s="147">
        <v>0.22728956774508716</v>
      </c>
      <c r="AI65" s="147">
        <v>0.22290560834512835</v>
      </c>
    </row>
    <row r="66" spans="8:35" ht="15.75" customHeight="1" x14ac:dyDescent="0.25">
      <c r="H66" s="12" t="s">
        <v>474</v>
      </c>
      <c r="I66" s="142" t="s">
        <v>197</v>
      </c>
      <c r="J66" s="143" t="s">
        <v>222</v>
      </c>
      <c r="K66" s="144" t="s">
        <v>484</v>
      </c>
      <c r="L66" s="145">
        <v>1</v>
      </c>
      <c r="M66" s="146">
        <f>AB66-M67</f>
        <v>2.1584696295691305E-2</v>
      </c>
      <c r="N66" s="146">
        <f t="shared" ref="N66:T66" si="13">AC66-N67</f>
        <v>2.0058179529019129E-2</v>
      </c>
      <c r="O66" s="146">
        <f t="shared" si="13"/>
        <v>2.0784811736906217E-2</v>
      </c>
      <c r="P66" s="146">
        <f t="shared" si="13"/>
        <v>2.0751820620900845E-2</v>
      </c>
      <c r="Q66" s="146">
        <f t="shared" si="13"/>
        <v>2.0294633100310142E-2</v>
      </c>
      <c r="R66" s="146">
        <f t="shared" si="13"/>
        <v>1.9736242786605733E-2</v>
      </c>
      <c r="S66" s="146">
        <f t="shared" si="13"/>
        <v>1.938480520105813E-2</v>
      </c>
      <c r="T66" s="146">
        <f t="shared" si="13"/>
        <v>1.9128754206728049E-2</v>
      </c>
      <c r="W66" s="12" t="s">
        <v>474</v>
      </c>
      <c r="X66" s="142" t="s">
        <v>197</v>
      </c>
      <c r="Y66" s="143" t="s">
        <v>222</v>
      </c>
      <c r="Z66" s="144" t="s">
        <v>484</v>
      </c>
      <c r="AA66" s="145">
        <v>1</v>
      </c>
      <c r="AB66" s="146">
        <v>2.3815208477444158E-2</v>
      </c>
      <c r="AC66" s="146">
        <v>2.2130945027794936E-2</v>
      </c>
      <c r="AD66" s="146">
        <v>2.2932665713608379E-2</v>
      </c>
      <c r="AE66" s="146">
        <v>2.2896265372607132E-2</v>
      </c>
      <c r="AF66" s="146">
        <v>2.2391833159756083E-2</v>
      </c>
      <c r="AG66" s="146">
        <v>2.177574009314618E-2</v>
      </c>
      <c r="AH66" s="146">
        <v>2.1387985767026867E-2</v>
      </c>
      <c r="AI66" s="146">
        <v>2.1105475060029102E-2</v>
      </c>
    </row>
    <row r="67" spans="8:35" ht="15.75" customHeight="1" x14ac:dyDescent="0.25">
      <c r="I67" s="142" t="s">
        <v>77</v>
      </c>
      <c r="J67" s="143"/>
      <c r="K67" s="144" t="s">
        <v>484</v>
      </c>
      <c r="L67" s="145">
        <v>1</v>
      </c>
      <c r="M67" s="146">
        <f>AB67</f>
        <v>2.230512181752852E-3</v>
      </c>
      <c r="N67" s="146">
        <f t="shared" ref="N67:T67" si="14">AC67</f>
        <v>2.0727654987758048E-3</v>
      </c>
      <c r="O67" s="146">
        <f t="shared" si="14"/>
        <v>2.1478539767021609E-3</v>
      </c>
      <c r="P67" s="146">
        <f t="shared" si="14"/>
        <v>2.1444447517062876E-3</v>
      </c>
      <c r="Q67" s="146">
        <f t="shared" si="14"/>
        <v>2.0972000594459425E-3</v>
      </c>
      <c r="R67" s="146">
        <f t="shared" si="14"/>
        <v>2.0394973065404453E-3</v>
      </c>
      <c r="S67" s="146">
        <f t="shared" si="14"/>
        <v>2.003180565968737E-3</v>
      </c>
      <c r="T67" s="146">
        <f t="shared" si="14"/>
        <v>1.9767208533010543E-3</v>
      </c>
      <c r="X67" s="142" t="s">
        <v>77</v>
      </c>
      <c r="Y67" s="143"/>
      <c r="Z67" s="144" t="s">
        <v>484</v>
      </c>
      <c r="AA67" s="145">
        <v>1</v>
      </c>
      <c r="AB67" s="146">
        <f t="shared" ref="AB67:AI67" si="15">+AB66*$E$56</f>
        <v>2.230512181752852E-3</v>
      </c>
      <c r="AC67" s="146">
        <f t="shared" si="15"/>
        <v>2.0727654987758048E-3</v>
      </c>
      <c r="AD67" s="146">
        <f t="shared" si="15"/>
        <v>2.1478539767021609E-3</v>
      </c>
      <c r="AE67" s="146">
        <f t="shared" si="15"/>
        <v>2.1444447517062876E-3</v>
      </c>
      <c r="AF67" s="146">
        <f t="shared" si="15"/>
        <v>2.0972000594459425E-3</v>
      </c>
      <c r="AG67" s="146">
        <f t="shared" si="15"/>
        <v>2.0394973065404453E-3</v>
      </c>
      <c r="AH67" s="146">
        <f t="shared" si="15"/>
        <v>2.003180565968737E-3</v>
      </c>
      <c r="AI67" s="146">
        <f t="shared" si="15"/>
        <v>1.9767208533010543E-3</v>
      </c>
    </row>
    <row r="68" spans="8:35" ht="15.75" customHeight="1" x14ac:dyDescent="0.25">
      <c r="I68" s="142" t="s">
        <v>194</v>
      </c>
      <c r="J68" s="143"/>
      <c r="K68" s="144" t="s">
        <v>484</v>
      </c>
      <c r="L68" s="145">
        <v>1</v>
      </c>
      <c r="M68" s="146">
        <f>AB68-M69</f>
        <v>1.953841913914115E-3</v>
      </c>
      <c r="N68" s="146">
        <f t="shared" ref="N68:T68" si="16">AC68-N69</f>
        <v>1.5133939561321125E-3</v>
      </c>
      <c r="O68" s="146">
        <f t="shared" si="16"/>
        <v>1.5596188984897087E-3</v>
      </c>
      <c r="P68" s="146">
        <f t="shared" si="16"/>
        <v>1.5464270086155303E-3</v>
      </c>
      <c r="Q68" s="146">
        <f t="shared" si="16"/>
        <v>1.4933346355111017E-3</v>
      </c>
      <c r="R68" s="146">
        <f t="shared" si="16"/>
        <v>1.4326097224554998E-3</v>
      </c>
      <c r="S68" s="146">
        <f t="shared" si="16"/>
        <v>1.3966520512595699E-3</v>
      </c>
      <c r="T68" s="146">
        <f t="shared" si="16"/>
        <v>1.3733794574622314E-3</v>
      </c>
      <c r="X68" s="142" t="s">
        <v>194</v>
      </c>
      <c r="Y68" s="143"/>
      <c r="Z68" s="144" t="s">
        <v>484</v>
      </c>
      <c r="AA68" s="145">
        <v>1</v>
      </c>
      <c r="AB68" s="146">
        <v>2.0733084888629265E-3</v>
      </c>
      <c r="AC68" s="146">
        <v>1.605929586164299E-3</v>
      </c>
      <c r="AD68" s="146">
        <v>1.6549809268611576E-3</v>
      </c>
      <c r="AE68" s="146">
        <v>1.6409824262324721E-3</v>
      </c>
      <c r="AF68" s="146">
        <v>1.58464374956299E-3</v>
      </c>
      <c r="AG68" s="146">
        <v>1.5202058455406398E-3</v>
      </c>
      <c r="AH68" s="146">
        <v>1.4820495625786701E-3</v>
      </c>
      <c r="AI68" s="146">
        <v>1.4573539790034261E-3</v>
      </c>
    </row>
    <row r="69" spans="8:35" ht="15.75" customHeight="1" x14ac:dyDescent="0.25">
      <c r="I69" s="142" t="s">
        <v>81</v>
      </c>
      <c r="J69" s="143"/>
      <c r="K69" s="144" t="s">
        <v>484</v>
      </c>
      <c r="L69" s="145">
        <v>1</v>
      </c>
      <c r="M69" s="146">
        <f>AB69</f>
        <v>1.1946657494881176E-4</v>
      </c>
      <c r="N69" s="146">
        <f t="shared" ref="N69:T69" si="17">AC69</f>
        <v>9.2535630032186518E-5</v>
      </c>
      <c r="O69" s="146">
        <f t="shared" si="17"/>
        <v>9.5362028371448988E-5</v>
      </c>
      <c r="P69" s="146">
        <f t="shared" si="17"/>
        <v>9.455541761694182E-5</v>
      </c>
      <c r="Q69" s="146">
        <f t="shared" si="17"/>
        <v>9.1309114051888244E-5</v>
      </c>
      <c r="R69" s="146">
        <f t="shared" si="17"/>
        <v>8.7596123085140028E-5</v>
      </c>
      <c r="S69" s="146">
        <f t="shared" si="17"/>
        <v>8.5397511319100229E-5</v>
      </c>
      <c r="T69" s="146">
        <f t="shared" si="17"/>
        <v>8.3974521541194786E-5</v>
      </c>
      <c r="X69" s="142" t="s">
        <v>81</v>
      </c>
      <c r="Y69" s="143"/>
      <c r="Z69" s="144" t="s">
        <v>484</v>
      </c>
      <c r="AA69" s="145">
        <v>1</v>
      </c>
      <c r="AB69" s="146">
        <f t="shared" ref="AB69:AI69" si="18">+AB68*$E$55</f>
        <v>1.1946657494881176E-4</v>
      </c>
      <c r="AC69" s="146">
        <f t="shared" si="18"/>
        <v>9.2535630032186518E-5</v>
      </c>
      <c r="AD69" s="146">
        <f t="shared" si="18"/>
        <v>9.5362028371448988E-5</v>
      </c>
      <c r="AE69" s="146">
        <f t="shared" si="18"/>
        <v>9.455541761694182E-5</v>
      </c>
      <c r="AF69" s="146">
        <f t="shared" si="18"/>
        <v>9.1309114051888244E-5</v>
      </c>
      <c r="AG69" s="146">
        <f t="shared" si="18"/>
        <v>8.7596123085140028E-5</v>
      </c>
      <c r="AH69" s="146">
        <f t="shared" si="18"/>
        <v>8.5397511319100229E-5</v>
      </c>
      <c r="AI69" s="146">
        <f t="shared" si="18"/>
        <v>8.3974521541194786E-5</v>
      </c>
    </row>
    <row r="70" spans="8:35" ht="15.75" customHeight="1" x14ac:dyDescent="0.25">
      <c r="I70" s="12" t="s">
        <v>209</v>
      </c>
      <c r="J70" s="13"/>
      <c r="K70" s="14" t="s">
        <v>485</v>
      </c>
      <c r="L70" s="87">
        <v>1</v>
      </c>
      <c r="M70" s="147">
        <v>0.92987932910492899</v>
      </c>
      <c r="N70" s="147">
        <v>0.93058884084826032</v>
      </c>
      <c r="O70" s="147">
        <v>0.93376663960747408</v>
      </c>
      <c r="P70" s="147">
        <v>0.93688069662246576</v>
      </c>
      <c r="Q70" s="147">
        <v>0.94004040731158889</v>
      </c>
      <c r="R70" s="147">
        <v>0.94314873307226621</v>
      </c>
      <c r="S70" s="147">
        <v>0.94608397598622218</v>
      </c>
      <c r="T70" s="147">
        <v>0.94882285301864444</v>
      </c>
      <c r="X70" s="12" t="s">
        <v>209</v>
      </c>
      <c r="Y70" s="13"/>
      <c r="Z70" s="14" t="s">
        <v>485</v>
      </c>
      <c r="AA70" s="87">
        <v>1</v>
      </c>
      <c r="AB70" s="147">
        <v>0.92987932910492899</v>
      </c>
      <c r="AC70" s="147">
        <v>0.93058884084826032</v>
      </c>
      <c r="AD70" s="147">
        <v>0.93376663960747408</v>
      </c>
      <c r="AE70" s="147">
        <v>0.93688069662246576</v>
      </c>
      <c r="AF70" s="147">
        <v>0.94004040731158889</v>
      </c>
      <c r="AG70" s="147">
        <v>0.94314873307226621</v>
      </c>
      <c r="AH70" s="147">
        <v>0.94608397598622218</v>
      </c>
      <c r="AI70" s="147">
        <v>0.94882285301864444</v>
      </c>
    </row>
    <row r="71" spans="8:35" ht="15.75" customHeight="1" x14ac:dyDescent="0.25">
      <c r="I71" s="12" t="s">
        <v>200</v>
      </c>
      <c r="J71" s="13"/>
      <c r="K71" s="14" t="s">
        <v>485</v>
      </c>
      <c r="L71" s="87">
        <v>1</v>
      </c>
      <c r="M71" s="147">
        <v>3.7747992514573081E-5</v>
      </c>
      <c r="N71" s="147">
        <v>3.9118797611694459E-5</v>
      </c>
      <c r="O71" s="147">
        <v>3.9511210407971213E-5</v>
      </c>
      <c r="P71" s="147">
        <v>3.7937124462826458E-5</v>
      </c>
      <c r="Q71" s="147">
        <v>3.6800830226729914E-5</v>
      </c>
      <c r="R71" s="147">
        <v>3.4916388678495262E-5</v>
      </c>
      <c r="S71" s="147">
        <v>3.3710306866127345E-5</v>
      </c>
      <c r="T71" s="147">
        <v>3.2563587076633333E-5</v>
      </c>
      <c r="X71" s="12" t="s">
        <v>200</v>
      </c>
      <c r="Y71" s="13"/>
      <c r="Z71" s="14" t="s">
        <v>485</v>
      </c>
      <c r="AA71" s="87">
        <v>1</v>
      </c>
      <c r="AB71" s="147">
        <v>3.7747992514573081E-5</v>
      </c>
      <c r="AC71" s="147">
        <v>3.9118797611694459E-5</v>
      </c>
      <c r="AD71" s="147">
        <v>3.9511210407971213E-5</v>
      </c>
      <c r="AE71" s="147">
        <v>3.7937124462826458E-5</v>
      </c>
      <c r="AF71" s="147">
        <v>3.6800830226729914E-5</v>
      </c>
      <c r="AG71" s="147">
        <v>3.4916388678495262E-5</v>
      </c>
      <c r="AH71" s="147">
        <v>3.3710306866127345E-5</v>
      </c>
      <c r="AI71" s="147">
        <v>3.2563587076633333E-5</v>
      </c>
    </row>
    <row r="72" spans="8:35" ht="15.75" customHeight="1" x14ac:dyDescent="0.25">
      <c r="I72" s="12" t="s">
        <v>203</v>
      </c>
      <c r="J72" s="13"/>
      <c r="K72" s="14" t="s">
        <v>485</v>
      </c>
      <c r="L72" s="87">
        <v>1</v>
      </c>
      <c r="M72" s="147">
        <v>3.934284519831379E-2</v>
      </c>
      <c r="N72" s="147">
        <v>4.1462837142268893E-2</v>
      </c>
      <c r="O72" s="147">
        <v>3.7275235091701928E-2</v>
      </c>
      <c r="P72" s="147">
        <v>3.4209600191138528E-2</v>
      </c>
      <c r="Q72" s="147">
        <v>3.1685514825214457E-2</v>
      </c>
      <c r="R72" s="147">
        <v>2.9354610843418796E-2</v>
      </c>
      <c r="S72" s="147">
        <v>2.6908650486120688E-2</v>
      </c>
      <c r="T72" s="147">
        <v>2.4527320849557291E-2</v>
      </c>
      <c r="X72" s="12" t="s">
        <v>203</v>
      </c>
      <c r="Y72" s="13"/>
      <c r="Z72" s="14" t="s">
        <v>485</v>
      </c>
      <c r="AA72" s="87">
        <v>1</v>
      </c>
      <c r="AB72" s="147">
        <v>3.934284519831379E-2</v>
      </c>
      <c r="AC72" s="147">
        <v>4.1462837142268893E-2</v>
      </c>
      <c r="AD72" s="147">
        <v>3.7275235091701928E-2</v>
      </c>
      <c r="AE72" s="147">
        <v>3.4209600191138528E-2</v>
      </c>
      <c r="AF72" s="147">
        <v>3.1685514825214457E-2</v>
      </c>
      <c r="AG72" s="147">
        <v>2.9354610843418796E-2</v>
      </c>
      <c r="AH72" s="147">
        <v>2.6908650486120688E-2</v>
      </c>
      <c r="AI72" s="147">
        <v>2.4527320849557291E-2</v>
      </c>
    </row>
    <row r="73" spans="8:35" ht="15.75" customHeight="1" x14ac:dyDescent="0.25">
      <c r="I73" s="12" t="s">
        <v>206</v>
      </c>
      <c r="J73" s="13"/>
      <c r="K73" s="14" t="s">
        <v>485</v>
      </c>
      <c r="L73" s="87">
        <v>1</v>
      </c>
      <c r="M73" s="147">
        <v>4.1598287751059542E-3</v>
      </c>
      <c r="N73" s="147">
        <v>3.4764257772287419E-3</v>
      </c>
      <c r="O73" s="147">
        <v>3.6098878600010062E-3</v>
      </c>
      <c r="P73" s="147">
        <v>3.6177487626040034E-3</v>
      </c>
      <c r="Q73" s="147">
        <v>3.5682084987837324E-3</v>
      </c>
      <c r="R73" s="147">
        <v>3.5017109030452461E-3</v>
      </c>
      <c r="S73" s="147">
        <v>3.4559084235435194E-3</v>
      </c>
      <c r="T73" s="147">
        <v>3.4159736672684702E-3</v>
      </c>
      <c r="X73" s="12" t="s">
        <v>206</v>
      </c>
      <c r="Y73" s="13"/>
      <c r="Z73" s="14" t="s">
        <v>485</v>
      </c>
      <c r="AA73" s="87">
        <v>1</v>
      </c>
      <c r="AB73" s="147">
        <v>4.1598287751059542E-3</v>
      </c>
      <c r="AC73" s="147">
        <v>3.4764257772287419E-3</v>
      </c>
      <c r="AD73" s="147">
        <v>3.6098878600010062E-3</v>
      </c>
      <c r="AE73" s="147">
        <v>3.6177487626040034E-3</v>
      </c>
      <c r="AF73" s="147">
        <v>3.5682084987837324E-3</v>
      </c>
      <c r="AG73" s="147">
        <v>3.5017109030452461E-3</v>
      </c>
      <c r="AH73" s="147">
        <v>3.4559084235435194E-3</v>
      </c>
      <c r="AI73" s="147">
        <v>3.4159736672684702E-3</v>
      </c>
    </row>
    <row r="74" spans="8:35" ht="15.75" customHeight="1" x14ac:dyDescent="0.25">
      <c r="I74" s="12" t="s">
        <v>212</v>
      </c>
      <c r="J74" s="13"/>
      <c r="K74" s="14" t="s">
        <v>485</v>
      </c>
      <c r="L74" s="87">
        <v>1</v>
      </c>
      <c r="M74" s="147">
        <v>6.9173196282955177E-4</v>
      </c>
      <c r="N74" s="147">
        <v>6.9590282067119613E-4</v>
      </c>
      <c r="O74" s="147">
        <v>7.2107958994547454E-4</v>
      </c>
      <c r="P74" s="147">
        <v>7.1676950048914668E-4</v>
      </c>
      <c r="Q74" s="147">
        <v>6.9259162486705697E-4</v>
      </c>
      <c r="R74" s="147">
        <v>6.6408285390445808E-4</v>
      </c>
      <c r="S74" s="147">
        <v>6.4771946764201826E-4</v>
      </c>
      <c r="T74" s="147">
        <v>6.3845983842054856E-4</v>
      </c>
      <c r="X74" s="12" t="s">
        <v>212</v>
      </c>
      <c r="Y74" s="13"/>
      <c r="Z74" s="14" t="s">
        <v>485</v>
      </c>
      <c r="AA74" s="87">
        <v>1</v>
      </c>
      <c r="AB74" s="147">
        <v>6.9173196282955177E-4</v>
      </c>
      <c r="AC74" s="147">
        <v>6.9590282067119613E-4</v>
      </c>
      <c r="AD74" s="147">
        <v>7.2107958994547454E-4</v>
      </c>
      <c r="AE74" s="147">
        <v>7.1676950048914668E-4</v>
      </c>
      <c r="AF74" s="147">
        <v>6.9259162486705697E-4</v>
      </c>
      <c r="AG74" s="147">
        <v>6.6408285390445808E-4</v>
      </c>
      <c r="AH74" s="147">
        <v>6.4771946764201826E-4</v>
      </c>
      <c r="AI74" s="147">
        <v>6.3845983842054856E-4</v>
      </c>
    </row>
    <row r="75" spans="8:35" ht="15.75" customHeight="1" x14ac:dyDescent="0.25">
      <c r="I75" s="12" t="s">
        <v>63</v>
      </c>
      <c r="J75" s="13"/>
      <c r="K75" s="14" t="s">
        <v>485</v>
      </c>
      <c r="L75" s="87">
        <v>1</v>
      </c>
      <c r="M75" s="147">
        <v>0</v>
      </c>
      <c r="N75" s="147">
        <v>0</v>
      </c>
      <c r="O75" s="147">
        <v>0</v>
      </c>
      <c r="P75" s="147">
        <v>0</v>
      </c>
      <c r="Q75" s="147">
        <v>0</v>
      </c>
      <c r="R75" s="147">
        <v>0</v>
      </c>
      <c r="S75" s="147">
        <v>0</v>
      </c>
      <c r="T75" s="147">
        <v>0</v>
      </c>
      <c r="X75" s="12" t="s">
        <v>63</v>
      </c>
      <c r="Y75" s="13"/>
      <c r="Z75" s="14" t="s">
        <v>485</v>
      </c>
      <c r="AA75" s="87">
        <v>1</v>
      </c>
      <c r="AB75" s="147">
        <v>0</v>
      </c>
      <c r="AC75" s="147">
        <v>0</v>
      </c>
      <c r="AD75" s="147">
        <v>0</v>
      </c>
      <c r="AE75" s="147">
        <v>0</v>
      </c>
      <c r="AF75" s="147">
        <v>0</v>
      </c>
      <c r="AG75" s="147">
        <v>0</v>
      </c>
      <c r="AH75" s="147">
        <v>0</v>
      </c>
      <c r="AI75" s="147">
        <v>0</v>
      </c>
    </row>
    <row r="76" spans="8:35" ht="15.75" customHeight="1" x14ac:dyDescent="0.25">
      <c r="H76" s="12" t="s">
        <v>475</v>
      </c>
      <c r="I76" s="142" t="s">
        <v>197</v>
      </c>
      <c r="J76" s="143" t="s">
        <v>224</v>
      </c>
      <c r="K76" s="144" t="s">
        <v>484</v>
      </c>
      <c r="L76" s="145">
        <v>1</v>
      </c>
      <c r="M76" s="146">
        <f>AB76-M77</f>
        <v>0.38570543000510255</v>
      </c>
      <c r="N76" s="146">
        <f t="shared" ref="N76:T76" si="19">AC76-N77</f>
        <v>0.38868633096730232</v>
      </c>
      <c r="O76" s="146">
        <f t="shared" si="19"/>
        <v>0.38984333442360658</v>
      </c>
      <c r="P76" s="146">
        <f t="shared" si="19"/>
        <v>0.38775775455772932</v>
      </c>
      <c r="Q76" s="146">
        <f t="shared" si="19"/>
        <v>0.37766151228399042</v>
      </c>
      <c r="R76" s="146">
        <f t="shared" si="19"/>
        <v>0.35718027302547173</v>
      </c>
      <c r="S76" s="146">
        <f t="shared" si="19"/>
        <v>0.32720359558540241</v>
      </c>
      <c r="T76" s="146">
        <f t="shared" si="19"/>
        <v>0.29564223674009238</v>
      </c>
      <c r="W76" s="12" t="s">
        <v>475</v>
      </c>
      <c r="X76" s="142" t="s">
        <v>197</v>
      </c>
      <c r="Y76" s="143" t="s">
        <v>224</v>
      </c>
      <c r="Z76" s="144" t="s">
        <v>484</v>
      </c>
      <c r="AA76" s="145">
        <v>1</v>
      </c>
      <c r="AB76" s="146">
        <v>0.42556332971371874</v>
      </c>
      <c r="AC76" s="146">
        <v>0.42885227003017673</v>
      </c>
      <c r="AD76" s="146">
        <v>0.4301288355256343</v>
      </c>
      <c r="AE76" s="146">
        <v>0.42782773669978968</v>
      </c>
      <c r="AF76" s="146">
        <v>0.41668817229295235</v>
      </c>
      <c r="AG76" s="146">
        <v>0.39409044952974615</v>
      </c>
      <c r="AH76" s="146">
        <v>0.36101605214575999</v>
      </c>
      <c r="AI76" s="146">
        <v>0.32619321607544083</v>
      </c>
    </row>
    <row r="77" spans="8:35" ht="15.75" customHeight="1" x14ac:dyDescent="0.25">
      <c r="I77" s="142" t="s">
        <v>77</v>
      </c>
      <c r="J77" s="143"/>
      <c r="K77" s="144" t="s">
        <v>484</v>
      </c>
      <c r="L77" s="145">
        <v>1</v>
      </c>
      <c r="M77" s="146">
        <f>AB77</f>
        <v>3.9857899708616182E-2</v>
      </c>
      <c r="N77" s="146">
        <f t="shared" ref="N77:T77" si="20">AC77</f>
        <v>4.0165939062874439E-2</v>
      </c>
      <c r="O77" s="146">
        <f t="shared" si="20"/>
        <v>4.0285501102027707E-2</v>
      </c>
      <c r="P77" s="146">
        <f t="shared" si="20"/>
        <v>4.0069982142060388E-2</v>
      </c>
      <c r="Q77" s="146">
        <f t="shared" si="20"/>
        <v>3.9026660008961947E-2</v>
      </c>
      <c r="R77" s="146">
        <f t="shared" si="20"/>
        <v>3.6910176504274417E-2</v>
      </c>
      <c r="S77" s="146">
        <f t="shared" si="20"/>
        <v>3.3812456560357598E-2</v>
      </c>
      <c r="T77" s="146">
        <f t="shared" si="20"/>
        <v>3.0550979335348422E-2</v>
      </c>
      <c r="X77" s="142" t="s">
        <v>77</v>
      </c>
      <c r="Y77" s="143"/>
      <c r="Z77" s="144" t="s">
        <v>484</v>
      </c>
      <c r="AA77" s="145">
        <v>1</v>
      </c>
      <c r="AB77" s="146">
        <f t="shared" ref="AB77:AI77" si="21">+AB76*$E$56</f>
        <v>3.9857899708616182E-2</v>
      </c>
      <c r="AC77" s="146">
        <f t="shared" si="21"/>
        <v>4.0165939062874439E-2</v>
      </c>
      <c r="AD77" s="146">
        <f t="shared" si="21"/>
        <v>4.0285501102027707E-2</v>
      </c>
      <c r="AE77" s="146">
        <f t="shared" si="21"/>
        <v>4.0069982142060388E-2</v>
      </c>
      <c r="AF77" s="146">
        <f t="shared" si="21"/>
        <v>3.9026660008961947E-2</v>
      </c>
      <c r="AG77" s="146">
        <f t="shared" si="21"/>
        <v>3.6910176504274417E-2</v>
      </c>
      <c r="AH77" s="146">
        <f t="shared" si="21"/>
        <v>3.3812456560357598E-2</v>
      </c>
      <c r="AI77" s="146">
        <f t="shared" si="21"/>
        <v>3.0550979335348422E-2</v>
      </c>
    </row>
    <row r="78" spans="8:35" ht="15.75" customHeight="1" x14ac:dyDescent="0.25">
      <c r="I78" s="142" t="s">
        <v>194</v>
      </c>
      <c r="J78" s="143"/>
      <c r="K78" s="144" t="s">
        <v>484</v>
      </c>
      <c r="L78" s="145">
        <v>1</v>
      </c>
      <c r="M78" s="146">
        <f>AB78-M79</f>
        <v>0.40796188795266719</v>
      </c>
      <c r="N78" s="146">
        <f t="shared" ref="N78:T78" si="22">AC78-N79</f>
        <v>0.40837531924846804</v>
      </c>
      <c r="O78" s="146">
        <f t="shared" si="22"/>
        <v>0.40217605940657786</v>
      </c>
      <c r="P78" s="146">
        <f t="shared" si="22"/>
        <v>0.38902297326332985</v>
      </c>
      <c r="Q78" s="146">
        <f t="shared" si="22"/>
        <v>0.3719586460174874</v>
      </c>
      <c r="R78" s="146">
        <f t="shared" si="22"/>
        <v>0.35221510545525692</v>
      </c>
      <c r="S78" s="146">
        <f t="shared" si="22"/>
        <v>0.33372367164185768</v>
      </c>
      <c r="T78" s="146">
        <f t="shared" si="22"/>
        <v>0.31673758583512707</v>
      </c>
      <c r="X78" s="142" t="s">
        <v>194</v>
      </c>
      <c r="Y78" s="143"/>
      <c r="Z78" s="144" t="s">
        <v>484</v>
      </c>
      <c r="AA78" s="145">
        <v>1</v>
      </c>
      <c r="AB78" s="146">
        <v>0.43290649023408723</v>
      </c>
      <c r="AC78" s="146">
        <v>0.43334520055606424</v>
      </c>
      <c r="AD78" s="146">
        <v>0.42676689042599353</v>
      </c>
      <c r="AE78" s="146">
        <v>0.41280956616074077</v>
      </c>
      <c r="AF78" s="146">
        <v>0.39470185013541281</v>
      </c>
      <c r="AG78" s="146">
        <v>0.37375110178859372</v>
      </c>
      <c r="AH78" s="146">
        <v>0.35412901955996318</v>
      </c>
      <c r="AI78" s="146">
        <v>0.33610432900293752</v>
      </c>
    </row>
    <row r="79" spans="8:35" ht="15.75" customHeight="1" x14ac:dyDescent="0.25">
      <c r="I79" s="142" t="s">
        <v>81</v>
      </c>
      <c r="J79" s="143"/>
      <c r="K79" s="144" t="s">
        <v>484</v>
      </c>
      <c r="L79" s="145">
        <v>1</v>
      </c>
      <c r="M79" s="146">
        <f>AB79</f>
        <v>2.4944602281420009E-2</v>
      </c>
      <c r="N79" s="146">
        <f t="shared" ref="N79:T79" si="23">AC79</f>
        <v>2.4969881307596198E-2</v>
      </c>
      <c r="O79" s="146">
        <f t="shared" si="23"/>
        <v>2.4590831019415674E-2</v>
      </c>
      <c r="P79" s="146">
        <f t="shared" si="23"/>
        <v>2.3786592897410894E-2</v>
      </c>
      <c r="Q79" s="146">
        <f t="shared" si="23"/>
        <v>2.2743204117925381E-2</v>
      </c>
      <c r="R79" s="146">
        <f t="shared" si="23"/>
        <v>2.153599633333678E-2</v>
      </c>
      <c r="S79" s="146">
        <f t="shared" si="23"/>
        <v>2.0405347918105495E-2</v>
      </c>
      <c r="T79" s="146">
        <f t="shared" si="23"/>
        <v>1.9366743167810466E-2</v>
      </c>
      <c r="X79" s="142" t="s">
        <v>81</v>
      </c>
      <c r="Y79" s="143"/>
      <c r="Z79" s="144" t="s">
        <v>484</v>
      </c>
      <c r="AA79" s="145">
        <v>1</v>
      </c>
      <c r="AB79" s="146">
        <f t="shared" ref="AB79:AI79" si="24">+AB78*$E$55</f>
        <v>2.4944602281420009E-2</v>
      </c>
      <c r="AC79" s="146">
        <f t="shared" si="24"/>
        <v>2.4969881307596198E-2</v>
      </c>
      <c r="AD79" s="146">
        <f t="shared" si="24"/>
        <v>2.4590831019415674E-2</v>
      </c>
      <c r="AE79" s="146">
        <f t="shared" si="24"/>
        <v>2.3786592897410894E-2</v>
      </c>
      <c r="AF79" s="146">
        <f t="shared" si="24"/>
        <v>2.2743204117925381E-2</v>
      </c>
      <c r="AG79" s="146">
        <f t="shared" si="24"/>
        <v>2.153599633333678E-2</v>
      </c>
      <c r="AH79" s="146">
        <f t="shared" si="24"/>
        <v>2.0405347918105495E-2</v>
      </c>
      <c r="AI79" s="146">
        <f t="shared" si="24"/>
        <v>1.9366743167810466E-2</v>
      </c>
    </row>
    <row r="80" spans="8:35" ht="15.75" customHeight="1" x14ac:dyDescent="0.25">
      <c r="I80" s="12" t="s">
        <v>209</v>
      </c>
      <c r="J80" s="13"/>
      <c r="K80" s="14" t="s">
        <v>485</v>
      </c>
      <c r="L80" s="87">
        <v>1</v>
      </c>
      <c r="M80" s="147">
        <v>3.638539169699493E-2</v>
      </c>
      <c r="N80" s="147">
        <v>3.4195910894110469E-2</v>
      </c>
      <c r="O80" s="147">
        <v>2.7821777272638556E-2</v>
      </c>
      <c r="P80" s="147">
        <v>2.934035639254148E-2</v>
      </c>
      <c r="Q80" s="147">
        <v>4.0087103729669921E-2</v>
      </c>
      <c r="R80" s="147">
        <v>6.3024887052906611E-2</v>
      </c>
      <c r="S80" s="147">
        <v>9.4953571196556966E-2</v>
      </c>
      <c r="T80" s="147">
        <v>0.1300448131911226</v>
      </c>
      <c r="X80" s="12" t="s">
        <v>209</v>
      </c>
      <c r="Y80" s="13"/>
      <c r="Z80" s="14" t="s">
        <v>485</v>
      </c>
      <c r="AA80" s="87">
        <v>1</v>
      </c>
      <c r="AB80" s="147">
        <v>3.638539169699493E-2</v>
      </c>
      <c r="AC80" s="147">
        <v>3.4195910894110469E-2</v>
      </c>
      <c r="AD80" s="147">
        <v>2.7821777272638556E-2</v>
      </c>
      <c r="AE80" s="147">
        <v>2.934035639254148E-2</v>
      </c>
      <c r="AF80" s="147">
        <v>4.0087103729669921E-2</v>
      </c>
      <c r="AG80" s="147">
        <v>6.3024887052906611E-2</v>
      </c>
      <c r="AH80" s="147">
        <v>9.4953571196556966E-2</v>
      </c>
      <c r="AI80" s="147">
        <v>0.1300448131911226</v>
      </c>
    </row>
    <row r="81" spans="2:35" ht="15.75" customHeight="1" x14ac:dyDescent="0.25">
      <c r="I81" s="12" t="s">
        <v>200</v>
      </c>
      <c r="J81" s="13"/>
      <c r="K81" s="14" t="s">
        <v>485</v>
      </c>
      <c r="L81" s="87">
        <v>1</v>
      </c>
      <c r="M81" s="147">
        <v>0.10288236971605716</v>
      </c>
      <c r="N81" s="147">
        <v>0.1011779066219103</v>
      </c>
      <c r="O81" s="147">
        <v>0.11262576139978951</v>
      </c>
      <c r="P81" s="147">
        <v>0.12700802912736228</v>
      </c>
      <c r="Q81" s="147">
        <v>0.14454567570501695</v>
      </c>
      <c r="R81" s="147">
        <v>0.16327899835227158</v>
      </c>
      <c r="S81" s="147">
        <v>0.18201419157065585</v>
      </c>
      <c r="T81" s="147">
        <v>0.19787361201483947</v>
      </c>
      <c r="X81" s="12" t="s">
        <v>200</v>
      </c>
      <c r="Y81" s="13"/>
      <c r="Z81" s="14" t="s">
        <v>485</v>
      </c>
      <c r="AA81" s="87">
        <v>1</v>
      </c>
      <c r="AB81" s="147">
        <v>0.10288236971605716</v>
      </c>
      <c r="AC81" s="147">
        <v>0.1011779066219103</v>
      </c>
      <c r="AD81" s="147">
        <v>0.11262576139978951</v>
      </c>
      <c r="AE81" s="147">
        <v>0.12700802912736228</v>
      </c>
      <c r="AF81" s="147">
        <v>0.14454567570501695</v>
      </c>
      <c r="AG81" s="147">
        <v>0.16327899835227158</v>
      </c>
      <c r="AH81" s="147">
        <v>0.18201419157065585</v>
      </c>
      <c r="AI81" s="147">
        <v>0.19787361201483947</v>
      </c>
    </row>
    <row r="82" spans="2:35" ht="15.75" customHeight="1" x14ac:dyDescent="0.25">
      <c r="I82" s="12" t="s">
        <v>203</v>
      </c>
      <c r="J82" s="13"/>
      <c r="K82" s="14" t="s">
        <v>485</v>
      </c>
      <c r="L82" s="87">
        <v>1</v>
      </c>
      <c r="M82" s="147">
        <v>5.4111527860738156E-5</v>
      </c>
      <c r="N82" s="147">
        <v>5.1707184755704752E-5</v>
      </c>
      <c r="O82" s="147">
        <v>5.5852249779668886E-5</v>
      </c>
      <c r="P82" s="147">
        <v>1.2206842866928591E-4</v>
      </c>
      <c r="Q82" s="147">
        <v>7.216381291188117E-4</v>
      </c>
      <c r="R82" s="147">
        <v>2.2095540563750854E-3</v>
      </c>
      <c r="S82" s="147">
        <v>3.8226339316975969E-3</v>
      </c>
      <c r="T82" s="147">
        <v>5.3272777283629074E-3</v>
      </c>
      <c r="X82" s="12" t="s">
        <v>203</v>
      </c>
      <c r="Y82" s="13"/>
      <c r="Z82" s="14" t="s">
        <v>485</v>
      </c>
      <c r="AA82" s="87">
        <v>1</v>
      </c>
      <c r="AB82" s="147">
        <v>5.4111527860738156E-5</v>
      </c>
      <c r="AC82" s="147">
        <v>5.1707184755704752E-5</v>
      </c>
      <c r="AD82" s="147">
        <v>5.5852249779668886E-5</v>
      </c>
      <c r="AE82" s="147">
        <v>1.2206842866928591E-4</v>
      </c>
      <c r="AF82" s="147">
        <v>7.216381291188117E-4</v>
      </c>
      <c r="AG82" s="147">
        <v>2.2095540563750854E-3</v>
      </c>
      <c r="AH82" s="147">
        <v>3.8226339316975969E-3</v>
      </c>
      <c r="AI82" s="147">
        <v>5.3272777283629074E-3</v>
      </c>
    </row>
    <row r="83" spans="2:35" ht="15.75" customHeight="1" x14ac:dyDescent="0.25">
      <c r="I83" s="12" t="s">
        <v>206</v>
      </c>
      <c r="J83" s="13"/>
      <c r="K83" s="14" t="s">
        <v>485</v>
      </c>
      <c r="L83" s="87">
        <v>1</v>
      </c>
      <c r="M83" s="147">
        <v>1.2957188037907301E-3</v>
      </c>
      <c r="N83" s="147">
        <v>1.4795036110263455E-3</v>
      </c>
      <c r="O83" s="147">
        <v>1.6018485292991595E-3</v>
      </c>
      <c r="P83" s="147">
        <v>1.7656822825739534E-3</v>
      </c>
      <c r="Q83" s="147">
        <v>1.9734108574841298E-3</v>
      </c>
      <c r="R83" s="147">
        <v>2.1965936880489674E-3</v>
      </c>
      <c r="S83" s="147">
        <v>2.4499520724434688E-3</v>
      </c>
      <c r="T83" s="147">
        <v>2.7014653486442395E-3</v>
      </c>
      <c r="X83" s="12" t="s">
        <v>206</v>
      </c>
      <c r="Y83" s="13"/>
      <c r="Z83" s="14" t="s">
        <v>485</v>
      </c>
      <c r="AA83" s="87">
        <v>1</v>
      </c>
      <c r="AB83" s="147">
        <v>1.2957188037907301E-3</v>
      </c>
      <c r="AC83" s="147">
        <v>1.4795036110263455E-3</v>
      </c>
      <c r="AD83" s="147">
        <v>1.6018485292991595E-3</v>
      </c>
      <c r="AE83" s="147">
        <v>1.7656822825739534E-3</v>
      </c>
      <c r="AF83" s="147">
        <v>1.9734108574841298E-3</v>
      </c>
      <c r="AG83" s="147">
        <v>2.1965936880489674E-3</v>
      </c>
      <c r="AH83" s="147">
        <v>2.4499520724434688E-3</v>
      </c>
      <c r="AI83" s="147">
        <v>2.7014653486442395E-3</v>
      </c>
    </row>
    <row r="84" spans="2:35" ht="15.75" customHeight="1" x14ac:dyDescent="0.25">
      <c r="I84" s="12" t="s">
        <v>75</v>
      </c>
      <c r="J84" s="13"/>
      <c r="K84" s="14" t="s">
        <v>485</v>
      </c>
      <c r="L84" s="87">
        <v>1</v>
      </c>
      <c r="M84" s="147">
        <v>9.1258830749058398E-4</v>
      </c>
      <c r="N84" s="147">
        <v>8.9750110195639654E-4</v>
      </c>
      <c r="O84" s="147">
        <v>9.9903459686536767E-4</v>
      </c>
      <c r="P84" s="147">
        <v>1.1265609083225784E-3</v>
      </c>
      <c r="Q84" s="147">
        <v>1.282149150345063E-3</v>
      </c>
      <c r="R84" s="147">
        <v>1.4484155320577225E-3</v>
      </c>
      <c r="S84" s="147">
        <v>1.6145795229228466E-3</v>
      </c>
      <c r="T84" s="147">
        <v>1.7552866386524909E-3</v>
      </c>
      <c r="X84" s="12" t="s">
        <v>75</v>
      </c>
      <c r="Y84" s="13"/>
      <c r="Z84" s="14" t="s">
        <v>485</v>
      </c>
      <c r="AA84" s="87">
        <v>1</v>
      </c>
      <c r="AB84" s="147">
        <v>9.1258830749058398E-4</v>
      </c>
      <c r="AC84" s="147">
        <v>8.9750110195639654E-4</v>
      </c>
      <c r="AD84" s="147">
        <v>9.9903459686536767E-4</v>
      </c>
      <c r="AE84" s="147">
        <v>1.1265609083225784E-3</v>
      </c>
      <c r="AF84" s="147">
        <v>1.282149150345063E-3</v>
      </c>
      <c r="AG84" s="147">
        <v>1.4484155320577225E-3</v>
      </c>
      <c r="AH84" s="147">
        <v>1.6145795229228466E-3</v>
      </c>
      <c r="AI84" s="147">
        <v>1.7552866386524909E-3</v>
      </c>
    </row>
    <row r="85" spans="2:35" ht="15.75" customHeight="1" x14ac:dyDescent="0.25">
      <c r="I85" s="12" t="s">
        <v>63</v>
      </c>
      <c r="J85" s="13"/>
      <c r="K85" s="14" t="s">
        <v>485</v>
      </c>
      <c r="L85" s="87">
        <v>1</v>
      </c>
      <c r="M85" s="147">
        <v>0</v>
      </c>
      <c r="N85" s="147">
        <v>0</v>
      </c>
      <c r="O85" s="147">
        <v>0</v>
      </c>
      <c r="P85" s="147">
        <v>0</v>
      </c>
      <c r="Q85" s="147">
        <v>0</v>
      </c>
      <c r="R85" s="147">
        <v>0</v>
      </c>
      <c r="S85" s="147">
        <v>0</v>
      </c>
      <c r="T85" s="147">
        <v>0</v>
      </c>
      <c r="X85" s="12" t="s">
        <v>63</v>
      </c>
      <c r="Y85" s="13"/>
      <c r="Z85" s="14" t="s">
        <v>485</v>
      </c>
      <c r="AA85" s="87">
        <v>1</v>
      </c>
      <c r="AB85" s="147">
        <v>0</v>
      </c>
      <c r="AC85" s="147">
        <v>0</v>
      </c>
      <c r="AD85" s="147">
        <v>0</v>
      </c>
      <c r="AE85" s="147">
        <v>0</v>
      </c>
      <c r="AF85" s="147">
        <v>0</v>
      </c>
      <c r="AG85" s="147">
        <v>0</v>
      </c>
      <c r="AH85" s="147">
        <v>0</v>
      </c>
      <c r="AI85" s="147">
        <v>0</v>
      </c>
    </row>
    <row r="88" spans="2:35" x14ac:dyDescent="0.25">
      <c r="M88">
        <f>M74*K48</f>
        <v>7.3300000000000004E-2</v>
      </c>
      <c r="N88">
        <f t="shared" ref="N88:T88" si="25">N74*L48</f>
        <v>6.7599999999999993E-2</v>
      </c>
      <c r="O88">
        <f t="shared" si="25"/>
        <v>8.0299999999999996E-2</v>
      </c>
      <c r="P88">
        <f t="shared" si="25"/>
        <v>8.8800000000000004E-2</v>
      </c>
      <c r="Q88">
        <f t="shared" si="25"/>
        <v>9.4100000000000003E-2</v>
      </c>
      <c r="R88">
        <f t="shared" si="25"/>
        <v>9.8900000000000002E-2</v>
      </c>
      <c r="S88">
        <f t="shared" si="25"/>
        <v>0.1076</v>
      </c>
      <c r="T88">
        <f t="shared" si="25"/>
        <v>0.1196</v>
      </c>
    </row>
    <row r="90" spans="2:35" ht="26.25" x14ac:dyDescent="0.4">
      <c r="F90" s="161" t="s">
        <v>492</v>
      </c>
      <c r="M90">
        <f>M88*Fuels!$H$26</f>
        <v>3.297568436916571E-2</v>
      </c>
      <c r="N90">
        <f>N88*Fuels!$H$26</f>
        <v>3.0411408777020491E-2</v>
      </c>
      <c r="O90">
        <f>O88*Fuels!$H$26</f>
        <v>3.6124794745484398E-2</v>
      </c>
      <c r="P90">
        <f>P88*Fuels!$H$26</f>
        <v>3.9948714488157101E-2</v>
      </c>
      <c r="Q90">
        <f>Q88*Fuels!$H$26</f>
        <v>4.2333040915941249E-2</v>
      </c>
      <c r="R90">
        <f>R88*Fuels!$H$26</f>
        <v>4.4492430888274065E-2</v>
      </c>
      <c r="S90">
        <f>S88*Fuels!$H$26</f>
        <v>4.8406325213127294E-2</v>
      </c>
      <c r="T90">
        <f>(T88-M88)/M88</f>
        <v>0.63165075034106399</v>
      </c>
    </row>
    <row r="92" spans="2:35" x14ac:dyDescent="0.25">
      <c r="F92" s="156" t="s">
        <v>493</v>
      </c>
      <c r="U92">
        <f>T90*1000</f>
        <v>631.65075034106394</v>
      </c>
    </row>
    <row r="93" spans="2:35" ht="15.75" thickBot="1" x14ac:dyDescent="0.3">
      <c r="F93" s="157" t="s">
        <v>40</v>
      </c>
      <c r="G93" s="158" t="s">
        <v>194</v>
      </c>
      <c r="H93" s="158" t="s">
        <v>197</v>
      </c>
      <c r="I93" s="158" t="s">
        <v>81</v>
      </c>
      <c r="J93" s="158" t="s">
        <v>77</v>
      </c>
      <c r="K93" s="158" t="s">
        <v>200</v>
      </c>
      <c r="L93" s="158" t="s">
        <v>203</v>
      </c>
      <c r="M93" s="158" t="s">
        <v>206</v>
      </c>
      <c r="N93" s="158" t="s">
        <v>209</v>
      </c>
      <c r="O93" s="158" t="s">
        <v>212</v>
      </c>
      <c r="P93" s="158" t="s">
        <v>214</v>
      </c>
      <c r="Q93" s="158" t="s">
        <v>217</v>
      </c>
      <c r="R93" s="158" t="s">
        <v>63</v>
      </c>
      <c r="S93" s="158" t="s">
        <v>75</v>
      </c>
    </row>
    <row r="94" spans="2:35" ht="15.75" thickBot="1" x14ac:dyDescent="0.3">
      <c r="B94" t="s">
        <v>491</v>
      </c>
      <c r="F94" s="84" t="s">
        <v>494</v>
      </c>
      <c r="G94" s="85" t="s">
        <v>318</v>
      </c>
      <c r="H94" s="85" t="s">
        <v>318</v>
      </c>
      <c r="I94" s="85" t="s">
        <v>318</v>
      </c>
      <c r="J94" s="85" t="s">
        <v>318</v>
      </c>
      <c r="K94" s="85" t="s">
        <v>318</v>
      </c>
      <c r="L94" s="85" t="s">
        <v>318</v>
      </c>
      <c r="M94" s="85" t="s">
        <v>318</v>
      </c>
      <c r="N94" s="85" t="s">
        <v>318</v>
      </c>
      <c r="O94" s="85" t="s">
        <v>318</v>
      </c>
      <c r="P94" s="85" t="s">
        <v>318</v>
      </c>
      <c r="Q94" s="85" t="s">
        <v>318</v>
      </c>
      <c r="R94" s="85" t="s">
        <v>318</v>
      </c>
      <c r="S94" s="85" t="s">
        <v>318</v>
      </c>
    </row>
    <row r="95" spans="2:35" x14ac:dyDescent="0.25">
      <c r="B95" s="153">
        <v>0.1</v>
      </c>
      <c r="F95" s="12" t="str">
        <f>COMM!AK41</f>
        <v>CO2e-Sectors</v>
      </c>
      <c r="G95" s="159">
        <f>Fuels!L9</f>
        <v>69.193827140333724</v>
      </c>
      <c r="H95" s="159">
        <f>Fuels!L10</f>
        <v>75.166375708662926</v>
      </c>
      <c r="I95" s="159">
        <f>Fuels!L17</f>
        <v>54.806487022879928</v>
      </c>
      <c r="J95" s="159">
        <f>Fuels!L16</f>
        <v>84.75811612074672</v>
      </c>
      <c r="K95" s="159">
        <f>Fuels!L11</f>
        <v>87.735056011523966</v>
      </c>
      <c r="L95" s="159">
        <f>Fuels!L12</f>
        <v>47.28933824683137</v>
      </c>
      <c r="M95" s="159">
        <f>Fuels!L13</f>
        <v>78.281203343664757</v>
      </c>
      <c r="N95" s="159">
        <f>Fuels!L5</f>
        <v>55.539114956987063</v>
      </c>
      <c r="O95" s="159">
        <f>Fuels!L6</f>
        <v>77.841777688967127</v>
      </c>
      <c r="P95" s="159">
        <f>O95</f>
        <v>77.841777688967127</v>
      </c>
      <c r="Q95" s="159">
        <f>P95</f>
        <v>77.841777688967127</v>
      </c>
      <c r="R95" s="160">
        <v>0</v>
      </c>
      <c r="S95" s="159">
        <f>Fuels!L14</f>
        <v>56.337812381502502</v>
      </c>
    </row>
    <row r="96" spans="2:35" x14ac:dyDescent="0.25">
      <c r="B96" s="153">
        <v>0.1</v>
      </c>
    </row>
    <row r="102" spans="7:8" x14ac:dyDescent="0.25">
      <c r="G102" t="s">
        <v>1110</v>
      </c>
      <c r="H102" t="s">
        <v>1111</v>
      </c>
    </row>
    <row r="103" spans="7:8" x14ac:dyDescent="0.25">
      <c r="G103">
        <v>21.412011183000001</v>
      </c>
      <c r="H103">
        <v>0.85232320187136346</v>
      </c>
    </row>
    <row r="104" spans="7:8" x14ac:dyDescent="0.25">
      <c r="G104">
        <v>18.788197356000001</v>
      </c>
      <c r="H104">
        <v>0.85273023943851745</v>
      </c>
    </row>
    <row r="105" spans="7:8" x14ac:dyDescent="0.25">
      <c r="G105">
        <v>22.889630893</v>
      </c>
      <c r="H105">
        <v>0.8526941714891898</v>
      </c>
    </row>
    <row r="106" spans="7:8" x14ac:dyDescent="0.25">
      <c r="G106">
        <v>27.088103414999999</v>
      </c>
      <c r="H106">
        <v>0.85248527836071097</v>
      </c>
    </row>
    <row r="107" spans="7:8" x14ac:dyDescent="0.25">
      <c r="G107">
        <v>30.924238695</v>
      </c>
      <c r="H107">
        <v>0.85187151637978265</v>
      </c>
    </row>
    <row r="108" spans="7:8" x14ac:dyDescent="0.25">
      <c r="G108">
        <v>34.951284788999999</v>
      </c>
      <c r="H108">
        <v>0.85119273696522657</v>
      </c>
    </row>
    <row r="109" spans="7:8" x14ac:dyDescent="0.25">
      <c r="G109">
        <v>40.18100063</v>
      </c>
      <c r="H109">
        <v>0.85088138433450455</v>
      </c>
    </row>
    <row r="110" spans="7:8" x14ac:dyDescent="0.25">
      <c r="G110">
        <v>46.547762116999998</v>
      </c>
      <c r="H110">
        <v>0.85082607237815966</v>
      </c>
    </row>
  </sheetData>
  <pageMargins left="0.7" right="0.7" top="0.75" bottom="0.75" header="0.3" footer="0.3"/>
  <ignoredErrors>
    <ignoredError sqref="M59:T59 M67:T67 N68:T68 M77:T77" formula="1"/>
  </ignoredErrors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DD39-F49A-4BB9-9741-ABA722AF5F50}">
  <dimension ref="A1:AF192"/>
  <sheetViews>
    <sheetView showGridLines="0" topLeftCell="B165" zoomScale="70" zoomScaleNormal="70" workbookViewId="0">
      <selection activeCell="N181" sqref="N181"/>
    </sheetView>
  </sheetViews>
  <sheetFormatPr baseColWidth="10" defaultRowHeight="15" x14ac:dyDescent="0.25"/>
  <cols>
    <col min="3" max="3" width="18.85546875" customWidth="1"/>
    <col min="4" max="4" width="43.85546875" customWidth="1"/>
    <col min="14" max="14" width="14.7109375" customWidth="1"/>
  </cols>
  <sheetData>
    <row r="1" spans="1:32" x14ac:dyDescent="0.25">
      <c r="A1" s="12"/>
      <c r="B1" s="12"/>
      <c r="C1" s="12"/>
      <c r="D1" s="12"/>
      <c r="E1" s="12"/>
    </row>
    <row r="2" spans="1:32" x14ac:dyDescent="0.25">
      <c r="A2" s="570"/>
      <c r="C2" s="12"/>
      <c r="D2" s="12"/>
      <c r="E2" s="12"/>
      <c r="F2" s="12"/>
      <c r="G2" s="12"/>
    </row>
    <row r="3" spans="1:32" x14ac:dyDescent="0.25">
      <c r="A3" s="12"/>
    </row>
    <row r="4" spans="1:32" x14ac:dyDescent="0.25">
      <c r="C4" s="14"/>
      <c r="D4" s="14"/>
      <c r="G4" s="14"/>
      <c r="U4" s="12" t="s">
        <v>986</v>
      </c>
      <c r="W4" s="14" t="s">
        <v>705</v>
      </c>
      <c r="X4" s="12" t="s">
        <v>987</v>
      </c>
    </row>
    <row r="5" spans="1:32" ht="75" x14ac:dyDescent="0.25">
      <c r="C5" s="14"/>
      <c r="D5" s="14" t="s">
        <v>318</v>
      </c>
      <c r="E5" s="599" t="s">
        <v>323</v>
      </c>
      <c r="G5" s="14"/>
      <c r="R5" s="211" t="s">
        <v>580</v>
      </c>
      <c r="S5" s="211" t="s">
        <v>581</v>
      </c>
      <c r="T5" s="326" t="s">
        <v>988</v>
      </c>
      <c r="U5" s="326" t="s">
        <v>989</v>
      </c>
      <c r="V5" s="211" t="s">
        <v>740</v>
      </c>
      <c r="W5" s="211" t="s">
        <v>990</v>
      </c>
      <c r="X5" s="600" t="s">
        <v>990</v>
      </c>
    </row>
    <row r="6" spans="1:32" x14ac:dyDescent="0.25">
      <c r="B6" s="12" t="s">
        <v>602</v>
      </c>
      <c r="C6" s="14" t="s">
        <v>321</v>
      </c>
      <c r="D6" s="14" t="s">
        <v>322</v>
      </c>
      <c r="G6" s="14"/>
      <c r="R6" s="601" t="s">
        <v>608</v>
      </c>
      <c r="S6" s="218">
        <v>48</v>
      </c>
      <c r="T6" s="602">
        <v>0.78830083565459608</v>
      </c>
      <c r="U6" s="516">
        <v>275.79493036211699</v>
      </c>
      <c r="V6" s="219" t="s">
        <v>292</v>
      </c>
      <c r="W6" s="286">
        <v>10231.853999999999</v>
      </c>
      <c r="X6" s="265">
        <v>2821893.461405348</v>
      </c>
    </row>
    <row r="7" spans="1:32" x14ac:dyDescent="0.25">
      <c r="A7" s="14" t="s">
        <v>7</v>
      </c>
      <c r="B7" s="227" t="s">
        <v>604</v>
      </c>
      <c r="C7" s="228">
        <v>1.0095573442026637</v>
      </c>
      <c r="D7" s="706">
        <v>55.539114956987063</v>
      </c>
      <c r="E7" s="603">
        <v>2.7137894079321097</v>
      </c>
      <c r="F7" s="12" t="s">
        <v>991</v>
      </c>
      <c r="G7" s="88"/>
      <c r="R7" s="601" t="s">
        <v>610</v>
      </c>
      <c r="S7" s="218">
        <v>52</v>
      </c>
      <c r="T7" s="602">
        <v>0.77111716621253401</v>
      </c>
      <c r="U7" s="516">
        <v>269.78305177111719</v>
      </c>
      <c r="V7" s="219" t="s">
        <v>292</v>
      </c>
      <c r="W7" s="286">
        <v>3182.6220821917809</v>
      </c>
      <c r="X7" s="265">
        <v>858617.49796784599</v>
      </c>
      <c r="AB7" s="704"/>
      <c r="AC7" s="604" t="s">
        <v>990</v>
      </c>
      <c r="AD7" s="604"/>
      <c r="AE7" s="605"/>
      <c r="AF7" s="605"/>
    </row>
    <row r="8" spans="1:32" x14ac:dyDescent="0.25">
      <c r="A8" s="14" t="s">
        <v>13</v>
      </c>
      <c r="B8" s="227" t="s">
        <v>607</v>
      </c>
      <c r="C8" s="228">
        <v>6.0871741676095334</v>
      </c>
      <c r="D8" s="706">
        <v>77.841777688967127</v>
      </c>
      <c r="E8" s="603">
        <v>0.45008175418663371</v>
      </c>
      <c r="F8" s="12" t="s">
        <v>992</v>
      </c>
      <c r="G8" s="88"/>
      <c r="R8" s="601" t="s">
        <v>612</v>
      </c>
      <c r="S8" s="218">
        <v>46</v>
      </c>
      <c r="T8" s="602">
        <v>0.79718309859154934</v>
      </c>
      <c r="U8" s="516">
        <v>278.90247887323949</v>
      </c>
      <c r="V8" s="219" t="s">
        <v>292</v>
      </c>
      <c r="W8" s="286">
        <v>27008.407917808221</v>
      </c>
      <c r="X8" s="265">
        <v>7532711.9186963411</v>
      </c>
      <c r="AA8" s="12"/>
      <c r="AB8" s="705"/>
      <c r="AC8" s="604" t="s">
        <v>993</v>
      </c>
      <c r="AD8" s="604" t="s">
        <v>994</v>
      </c>
      <c r="AE8" s="606" t="s">
        <v>989</v>
      </c>
      <c r="AF8" s="604" t="s">
        <v>995</v>
      </c>
    </row>
    <row r="9" spans="1:32" x14ac:dyDescent="0.25">
      <c r="A9" s="14" t="s">
        <v>17</v>
      </c>
      <c r="B9" s="231" t="s">
        <v>609</v>
      </c>
      <c r="C9" s="88">
        <v>6.0871741676095334</v>
      </c>
      <c r="D9" s="707">
        <v>77.841777688967127</v>
      </c>
      <c r="E9" s="603">
        <v>0.45008175418663371</v>
      </c>
      <c r="F9" s="12" t="s">
        <v>992</v>
      </c>
      <c r="G9" s="88"/>
      <c r="R9" s="601" t="s">
        <v>614</v>
      </c>
      <c r="S9" s="218">
        <v>45.5</v>
      </c>
      <c r="T9" s="602">
        <v>0.79943502824858759</v>
      </c>
      <c r="U9" s="516">
        <v>279.69033898305088</v>
      </c>
      <c r="V9" s="219" t="s">
        <v>292</v>
      </c>
      <c r="W9" s="286">
        <v>8010.0189863013702</v>
      </c>
      <c r="X9" s="265">
        <v>2240324.925539304</v>
      </c>
      <c r="AA9" s="360" t="s">
        <v>996</v>
      </c>
      <c r="AB9" s="604" t="s">
        <v>292</v>
      </c>
      <c r="AC9" s="607">
        <v>50394.967671232887</v>
      </c>
      <c r="AD9" s="607">
        <v>14036925.491415592</v>
      </c>
      <c r="AE9" s="605">
        <v>278.5382378452905</v>
      </c>
      <c r="AF9" s="608">
        <v>46.232114566966032</v>
      </c>
    </row>
    <row r="10" spans="1:32" x14ac:dyDescent="0.25">
      <c r="A10" s="14" t="s">
        <v>21</v>
      </c>
      <c r="B10" s="233" t="s">
        <v>611</v>
      </c>
      <c r="C10" s="234">
        <v>6.0871741676095334</v>
      </c>
      <c r="D10" s="708">
        <v>77.841777688967127</v>
      </c>
      <c r="E10" s="603">
        <v>0.45008175418663371</v>
      </c>
      <c r="F10" s="12" t="s">
        <v>992</v>
      </c>
      <c r="G10" s="88"/>
      <c r="R10" s="601" t="s">
        <v>616</v>
      </c>
      <c r="S10" s="218">
        <v>12.850000000000001</v>
      </c>
      <c r="T10" s="602">
        <v>0.98025632144094221</v>
      </c>
      <c r="U10" s="516">
        <v>342.95247661932808</v>
      </c>
      <c r="V10" s="219" t="s">
        <v>296</v>
      </c>
      <c r="W10" s="286">
        <v>119308.68268493151</v>
      </c>
      <c r="X10" s="265">
        <v>40917208.208986804</v>
      </c>
      <c r="AA10" s="360" t="s">
        <v>997</v>
      </c>
      <c r="AB10" s="604" t="s">
        <v>295</v>
      </c>
      <c r="AC10" s="607">
        <v>85083.722575342501</v>
      </c>
      <c r="AD10" s="607">
        <v>27428038.695017595</v>
      </c>
      <c r="AE10" s="605">
        <v>322.36528756402009</v>
      </c>
      <c r="AF10" s="608">
        <v>22.068612719099065</v>
      </c>
    </row>
    <row r="11" spans="1:32" x14ac:dyDescent="0.25">
      <c r="A11" s="14" t="s">
        <v>8</v>
      </c>
      <c r="B11" s="227" t="s">
        <v>613</v>
      </c>
      <c r="C11" s="228">
        <v>5.3308987344700309</v>
      </c>
      <c r="D11" s="706">
        <v>69.193827140333724</v>
      </c>
      <c r="E11" s="603">
        <v>0.51393323412466374</v>
      </c>
      <c r="F11" s="12" t="s">
        <v>992</v>
      </c>
      <c r="G11" s="88"/>
      <c r="R11" s="601" t="s">
        <v>617</v>
      </c>
      <c r="S11" s="218">
        <v>13.7</v>
      </c>
      <c r="T11" s="602">
        <v>0.97451790633608826</v>
      </c>
      <c r="U11" s="516">
        <v>340.94483471074386</v>
      </c>
      <c r="V11" s="219" t="s">
        <v>296</v>
      </c>
      <c r="W11" s="286">
        <v>114056.06200000001</v>
      </c>
      <c r="X11" s="265">
        <v>38886825.206348352</v>
      </c>
      <c r="AA11" s="360" t="s">
        <v>998</v>
      </c>
      <c r="AB11" s="604" t="s">
        <v>296</v>
      </c>
      <c r="AC11" s="607">
        <v>326153.27038356167</v>
      </c>
      <c r="AD11" s="607">
        <v>111749377.46739072</v>
      </c>
      <c r="AE11" s="605">
        <v>342.62841312604837</v>
      </c>
      <c r="AF11" s="608">
        <v>12.986528564073609</v>
      </c>
    </row>
    <row r="12" spans="1:32" x14ac:dyDescent="0.25">
      <c r="A12" s="14" t="s">
        <v>14</v>
      </c>
      <c r="B12" s="231" t="s">
        <v>615</v>
      </c>
      <c r="C12" s="88">
        <v>5.6708498400612823</v>
      </c>
      <c r="D12" s="707">
        <v>75.166375708662926</v>
      </c>
      <c r="E12" s="603">
        <v>0.48312441779760712</v>
      </c>
      <c r="F12" s="12" t="s">
        <v>992</v>
      </c>
      <c r="G12" s="88"/>
      <c r="R12" s="601" t="s">
        <v>619</v>
      </c>
      <c r="S12" s="218">
        <v>13.5</v>
      </c>
      <c r="T12" s="602">
        <v>0.97586206896551719</v>
      </c>
      <c r="U12" s="516">
        <v>341.41510344827589</v>
      </c>
      <c r="V12" s="219" t="s">
        <v>296</v>
      </c>
      <c r="W12" s="286">
        <v>69090.784575342463</v>
      </c>
      <c r="X12" s="265">
        <v>23588637.36311309</v>
      </c>
    </row>
    <row r="13" spans="1:32" x14ac:dyDescent="0.25">
      <c r="A13" s="14" t="s">
        <v>18</v>
      </c>
      <c r="B13" s="233" t="s">
        <v>61</v>
      </c>
      <c r="C13" s="234">
        <v>4.7117947967516214</v>
      </c>
      <c r="D13" s="708">
        <v>87.735056011523966</v>
      </c>
      <c r="E13" s="603">
        <v>0.58146123623339163</v>
      </c>
      <c r="F13" s="12" t="s">
        <v>992</v>
      </c>
      <c r="G13" s="88"/>
      <c r="R13" s="601" t="s">
        <v>621</v>
      </c>
      <c r="S13" s="218">
        <v>8</v>
      </c>
      <c r="T13" s="602">
        <v>1.0143369175627239</v>
      </c>
      <c r="U13" s="516">
        <v>354.87591397849462</v>
      </c>
      <c r="V13" s="219" t="s">
        <v>296</v>
      </c>
      <c r="W13" s="286">
        <v>19756.607616438356</v>
      </c>
      <c r="X13" s="265">
        <v>7011144.1849980494</v>
      </c>
    </row>
    <row r="14" spans="1:32" x14ac:dyDescent="0.25">
      <c r="A14" s="14" t="s">
        <v>22</v>
      </c>
      <c r="B14" s="227" t="s">
        <v>618</v>
      </c>
      <c r="C14" s="228">
        <v>4.0562660463586173</v>
      </c>
      <c r="D14" s="706">
        <v>47.28933824683137</v>
      </c>
      <c r="E14" s="603">
        <v>0.67543055511774464</v>
      </c>
      <c r="F14" s="12" t="s">
        <v>992</v>
      </c>
      <c r="G14" s="88"/>
      <c r="R14" s="601" t="s">
        <v>623</v>
      </c>
      <c r="S14" s="218">
        <v>13.5</v>
      </c>
      <c r="T14" s="602">
        <v>0.97586206896551719</v>
      </c>
      <c r="U14" s="516">
        <v>341.41510344827589</v>
      </c>
      <c r="V14" s="219" t="s">
        <v>296</v>
      </c>
      <c r="W14" s="286">
        <v>3941.1335068493149</v>
      </c>
      <c r="X14" s="265">
        <v>1345562.5039444251</v>
      </c>
    </row>
    <row r="15" spans="1:32" x14ac:dyDescent="0.25">
      <c r="A15" s="14" t="s">
        <v>26</v>
      </c>
      <c r="B15" s="231" t="s">
        <v>620</v>
      </c>
      <c r="C15" s="88">
        <v>5.4608206169323079</v>
      </c>
      <c r="D15" s="707">
        <v>78.281203343664757</v>
      </c>
      <c r="E15" s="603">
        <v>0.50170591923532903</v>
      </c>
      <c r="F15" s="12" t="s">
        <v>992</v>
      </c>
      <c r="G15" s="88"/>
      <c r="R15" s="601" t="s">
        <v>625</v>
      </c>
      <c r="S15" s="218">
        <v>35</v>
      </c>
      <c r="T15" s="602">
        <v>0.8498498498498499</v>
      </c>
      <c r="U15" s="516">
        <v>297.32846846846849</v>
      </c>
      <c r="V15" s="219" t="s">
        <v>292</v>
      </c>
      <c r="W15" s="286">
        <v>1962.0646849315069</v>
      </c>
      <c r="X15" s="265">
        <v>583377.68780675309</v>
      </c>
    </row>
    <row r="16" spans="1:32" x14ac:dyDescent="0.25">
      <c r="A16" s="14" t="s">
        <v>69</v>
      </c>
      <c r="B16" s="231" t="s">
        <v>622</v>
      </c>
      <c r="C16" s="88">
        <v>4.7615165047769556</v>
      </c>
      <c r="D16" s="707">
        <v>56.337812381502502</v>
      </c>
      <c r="E16" s="603">
        <v>0.57538937954927816</v>
      </c>
      <c r="F16" s="12" t="s">
        <v>992</v>
      </c>
      <c r="G16" s="88"/>
      <c r="R16" s="601" t="s">
        <v>628</v>
      </c>
      <c r="S16" s="218">
        <v>21</v>
      </c>
      <c r="T16" s="602">
        <v>0.9278688524590164</v>
      </c>
      <c r="U16" s="516">
        <v>324.62419672131148</v>
      </c>
      <c r="V16" s="219" t="s">
        <v>295</v>
      </c>
      <c r="W16" s="286">
        <v>12119.3965753425</v>
      </c>
      <c r="X16" s="265">
        <v>3934249.3780175722</v>
      </c>
    </row>
    <row r="17" spans="1:24" x14ac:dyDescent="0.25">
      <c r="A17" s="14" t="s">
        <v>72</v>
      </c>
      <c r="B17" s="233" t="s">
        <v>73</v>
      </c>
      <c r="C17" s="234">
        <v>1.002301089888</v>
      </c>
      <c r="D17" s="708">
        <v>40.784041574326501</v>
      </c>
      <c r="E17" s="603">
        <v>2.7334361451242213</v>
      </c>
      <c r="F17" s="12" t="s">
        <v>992</v>
      </c>
      <c r="G17" s="88"/>
      <c r="R17" s="601" t="s">
        <v>629</v>
      </c>
      <c r="S17" s="218">
        <v>12.5</v>
      </c>
      <c r="T17" s="602">
        <v>0.98263888888888884</v>
      </c>
      <c r="U17" s="516">
        <v>343.78604166666668</v>
      </c>
      <c r="V17" s="219" t="s">
        <v>296</v>
      </c>
      <c r="W17" s="286">
        <v>1476.5236986301368</v>
      </c>
      <c r="X17" s="265">
        <v>507608.23777908098</v>
      </c>
    </row>
    <row r="18" spans="1:24" x14ac:dyDescent="0.25">
      <c r="A18" s="236" t="s">
        <v>999</v>
      </c>
      <c r="R18" s="601" t="s">
        <v>632</v>
      </c>
      <c r="S18" s="218">
        <v>21</v>
      </c>
      <c r="T18" s="602">
        <v>0.9278688524590164</v>
      </c>
      <c r="U18" s="516">
        <v>324.62419672131148</v>
      </c>
      <c r="V18" s="219" t="s">
        <v>295</v>
      </c>
      <c r="W18" s="286">
        <v>17849.99879452055</v>
      </c>
      <c r="X18" s="265">
        <v>5794541.5201476114</v>
      </c>
    </row>
    <row r="19" spans="1:24" x14ac:dyDescent="0.25">
      <c r="R19" s="601" t="s">
        <v>634</v>
      </c>
      <c r="S19" s="218">
        <v>22.5</v>
      </c>
      <c r="T19" s="602">
        <v>0.91883116883116878</v>
      </c>
      <c r="U19" s="516">
        <v>321.4622727272727</v>
      </c>
      <c r="V19" s="219" t="s">
        <v>295</v>
      </c>
      <c r="W19" s="286">
        <v>42334.39687671233</v>
      </c>
      <c r="X19" s="265">
        <v>13608911.4345263</v>
      </c>
    </row>
    <row r="20" spans="1:24" x14ac:dyDescent="0.25">
      <c r="B20" s="12" t="s">
        <v>348</v>
      </c>
      <c r="C20">
        <v>120.1</v>
      </c>
      <c r="D20" s="12" t="s">
        <v>979</v>
      </c>
      <c r="R20" s="601" t="s">
        <v>637</v>
      </c>
      <c r="S20" s="218">
        <v>23</v>
      </c>
      <c r="T20" s="602">
        <v>0.91585760517799353</v>
      </c>
      <c r="U20" s="516">
        <v>320.42194174757282</v>
      </c>
      <c r="V20" s="219" t="s">
        <v>295</v>
      </c>
      <c r="W20" s="286">
        <v>4684.6815890410962</v>
      </c>
      <c r="X20" s="265">
        <v>1501074.7712296529</v>
      </c>
    </row>
    <row r="21" spans="1:24" x14ac:dyDescent="0.25">
      <c r="B21" s="12" t="s">
        <v>348</v>
      </c>
      <c r="C21">
        <v>0.1201</v>
      </c>
      <c r="D21" s="12" t="s">
        <v>1000</v>
      </c>
      <c r="R21" s="601" t="s">
        <v>638</v>
      </c>
      <c r="S21" s="218">
        <v>25.5</v>
      </c>
      <c r="T21" s="602">
        <v>0.90127388535031849</v>
      </c>
      <c r="U21" s="516">
        <v>315.31968152866244</v>
      </c>
      <c r="V21" s="219" t="s">
        <v>295</v>
      </c>
      <c r="W21" s="286">
        <v>4154.1152328767121</v>
      </c>
      <c r="X21" s="265">
        <v>1309874.2922640503</v>
      </c>
    </row>
    <row r="22" spans="1:24" x14ac:dyDescent="0.25">
      <c r="R22" s="601" t="s">
        <v>639</v>
      </c>
      <c r="S22" s="218">
        <v>21</v>
      </c>
      <c r="T22" s="602">
        <v>0.9278688524590164</v>
      </c>
      <c r="U22" s="516">
        <v>324.62419672131148</v>
      </c>
      <c r="V22" s="219" t="s">
        <v>295</v>
      </c>
      <c r="W22" s="286">
        <v>3941.1335068493149</v>
      </c>
      <c r="X22" s="265">
        <v>1279387.2988324042</v>
      </c>
    </row>
    <row r="25" spans="1:24" s="709" customFormat="1" x14ac:dyDescent="0.25"/>
    <row r="29" spans="1:24" ht="18.75" x14ac:dyDescent="0.3">
      <c r="D29" s="181" t="s">
        <v>534</v>
      </c>
      <c r="S29" s="181"/>
    </row>
    <row r="30" spans="1:24" x14ac:dyDescent="0.25">
      <c r="C30" s="609"/>
    </row>
    <row r="31" spans="1:24" x14ac:dyDescent="0.25">
      <c r="C31" s="503" t="s">
        <v>1001</v>
      </c>
      <c r="D31" s="12" t="s">
        <v>1002</v>
      </c>
      <c r="E31">
        <v>20</v>
      </c>
      <c r="F31" s="12" t="s">
        <v>995</v>
      </c>
    </row>
    <row r="32" spans="1:24" x14ac:dyDescent="0.25">
      <c r="C32" s="503" t="s">
        <v>1003</v>
      </c>
      <c r="D32" s="12" t="s">
        <v>1004</v>
      </c>
      <c r="E32" s="153">
        <v>0.3</v>
      </c>
    </row>
    <row r="33" spans="3:14" x14ac:dyDescent="0.25">
      <c r="C33" s="609"/>
      <c r="G33" s="577"/>
      <c r="H33" s="577" t="s">
        <v>993</v>
      </c>
      <c r="I33" s="577" t="s">
        <v>985</v>
      </c>
      <c r="J33" s="577" t="s">
        <v>994</v>
      </c>
      <c r="L33" s="109" t="s">
        <v>983</v>
      </c>
      <c r="M33">
        <v>8.33</v>
      </c>
      <c r="N33" s="12" t="s">
        <v>984</v>
      </c>
    </row>
    <row r="34" spans="3:14" x14ac:dyDescent="0.25">
      <c r="C34" s="609"/>
      <c r="D34" s="610" t="s">
        <v>1005</v>
      </c>
      <c r="G34" s="577" t="s">
        <v>995</v>
      </c>
      <c r="H34" s="577" t="s">
        <v>1006</v>
      </c>
      <c r="I34" s="577" t="s">
        <v>989</v>
      </c>
      <c r="J34" s="577" t="s">
        <v>1007</v>
      </c>
      <c r="M34">
        <v>349.86</v>
      </c>
      <c r="N34" s="12" t="s">
        <v>985</v>
      </c>
    </row>
    <row r="35" spans="3:14" x14ac:dyDescent="0.25">
      <c r="C35" s="609"/>
      <c r="D35" s="12" t="s">
        <v>1008</v>
      </c>
      <c r="E35" s="153">
        <v>0.3</v>
      </c>
      <c r="G35" s="611">
        <f>+AF9</f>
        <v>46.232114566966032</v>
      </c>
      <c r="H35" s="577">
        <v>30</v>
      </c>
      <c r="I35" s="612">
        <f>+(141.5/(G35+131.5))*$M$34</f>
        <v>278.5382378452905</v>
      </c>
      <c r="J35" s="613">
        <f>+I35*H35</f>
        <v>8356.1471353587149</v>
      </c>
    </row>
    <row r="36" spans="3:14" x14ac:dyDescent="0.25">
      <c r="C36" s="609"/>
      <c r="D36" s="12" t="s">
        <v>1009</v>
      </c>
      <c r="E36" s="114">
        <f>+H36/100</f>
        <v>0</v>
      </c>
      <c r="G36" s="611">
        <f>+AF10</f>
        <v>22.068612719099065</v>
      </c>
      <c r="H36" s="611">
        <v>0</v>
      </c>
      <c r="I36" s="612">
        <f>+(141.5/(G36+131.5))*$M$34</f>
        <v>322.36528756402009</v>
      </c>
      <c r="J36" s="613">
        <f>+I36*H36</f>
        <v>0</v>
      </c>
    </row>
    <row r="37" spans="3:14" x14ac:dyDescent="0.25">
      <c r="C37" s="609"/>
      <c r="D37" s="12" t="s">
        <v>1010</v>
      </c>
      <c r="E37" s="114">
        <f>+H37/100</f>
        <v>0.70983175746414107</v>
      </c>
      <c r="G37" s="611">
        <f>+AF11</f>
        <v>12.986528564073609</v>
      </c>
      <c r="H37" s="611">
        <v>70.983175746414105</v>
      </c>
      <c r="I37" s="612">
        <f>+(141.5/(G37+131.5))*$M$34</f>
        <v>342.62841312604837</v>
      </c>
      <c r="J37" s="613">
        <f>+I37*H37</f>
        <v>24320.852864641271</v>
      </c>
    </row>
    <row r="38" spans="3:14" x14ac:dyDescent="0.25">
      <c r="C38" s="609"/>
      <c r="E38" s="614">
        <f>+SUM(E35:E37)</f>
        <v>1.0098317574641411</v>
      </c>
      <c r="G38" s="577">
        <f>+(141.5/(I38/M34)-131.5)</f>
        <v>20</v>
      </c>
      <c r="H38" s="611">
        <f>+SUM(H35:H37)</f>
        <v>100.9831757464141</v>
      </c>
      <c r="I38" s="612">
        <f>+(141.5/(G39+131.5))*$M$34</f>
        <v>326.7669306930693</v>
      </c>
      <c r="J38" s="615">
        <f>+SUM(J35:J37)</f>
        <v>32676.999999999985</v>
      </c>
    </row>
    <row r="39" spans="3:14" x14ac:dyDescent="0.25">
      <c r="C39" s="609"/>
      <c r="G39" s="616">
        <f>+E31</f>
        <v>20</v>
      </c>
      <c r="H39" s="616"/>
      <c r="I39" s="616"/>
      <c r="J39" s="617">
        <f>+I38*H38</f>
        <v>32997.962390294531</v>
      </c>
    </row>
    <row r="40" spans="3:14" x14ac:dyDescent="0.25">
      <c r="C40" s="609"/>
      <c r="G40" s="616"/>
      <c r="H40" s="616"/>
      <c r="I40" s="616"/>
      <c r="J40" s="617"/>
    </row>
    <row r="41" spans="3:14" x14ac:dyDescent="0.25">
      <c r="G41" s="577"/>
      <c r="H41" s="577" t="s">
        <v>993</v>
      </c>
      <c r="I41" s="577" t="s">
        <v>985</v>
      </c>
      <c r="J41" s="577" t="s">
        <v>994</v>
      </c>
    </row>
    <row r="42" spans="3:14" x14ac:dyDescent="0.25">
      <c r="C42" s="503" t="s">
        <v>1011</v>
      </c>
      <c r="D42" s="610" t="s">
        <v>1012</v>
      </c>
      <c r="G42" s="577" t="s">
        <v>995</v>
      </c>
      <c r="H42" s="577" t="s">
        <v>1006</v>
      </c>
      <c r="I42" s="577" t="s">
        <v>989</v>
      </c>
      <c r="J42" s="577" t="s">
        <v>1007</v>
      </c>
    </row>
    <row r="43" spans="3:14" x14ac:dyDescent="0.25">
      <c r="D43" s="12" t="s">
        <v>1008</v>
      </c>
      <c r="E43" s="153">
        <v>0.15</v>
      </c>
      <c r="G43" s="611">
        <f>+G35</f>
        <v>46.232114566966032</v>
      </c>
      <c r="H43" s="577">
        <v>30</v>
      </c>
      <c r="I43" s="612">
        <f>+(141.5/(G43+131.5))*$M$34</f>
        <v>278.5382378452905</v>
      </c>
      <c r="J43" s="613">
        <f>+I43*H43</f>
        <v>8356.1471353587149</v>
      </c>
    </row>
    <row r="44" spans="3:14" x14ac:dyDescent="0.25">
      <c r="D44" s="12" t="s">
        <v>1009</v>
      </c>
      <c r="E44" s="114">
        <v>0.25</v>
      </c>
      <c r="G44" s="611">
        <f>+G36</f>
        <v>22.068612719099065</v>
      </c>
      <c r="H44" s="611">
        <v>0</v>
      </c>
      <c r="I44" s="612">
        <f>+(141.5/(G44+131.5))*$M$34</f>
        <v>322.36528756402009</v>
      </c>
      <c r="J44" s="613">
        <f>+I44*H44</f>
        <v>0</v>
      </c>
    </row>
    <row r="45" spans="3:14" x14ac:dyDescent="0.25">
      <c r="D45" s="12" t="s">
        <v>1010</v>
      </c>
      <c r="E45" s="114">
        <v>0.6</v>
      </c>
      <c r="G45" s="611">
        <f>+G37</f>
        <v>12.986528564073609</v>
      </c>
      <c r="H45" s="611">
        <v>70</v>
      </c>
      <c r="I45" s="612">
        <f>+(141.5/(G45+131.5))*$M$34</f>
        <v>342.62841312604837</v>
      </c>
      <c r="J45" s="613">
        <f>+I45*H45</f>
        <v>23983.988918823386</v>
      </c>
    </row>
    <row r="46" spans="3:14" x14ac:dyDescent="0.25">
      <c r="E46" s="614">
        <f>+SUM(E43:E45)</f>
        <v>1</v>
      </c>
      <c r="G46" s="577">
        <f>+(141.5/(I46/M34)-131.5)</f>
        <v>20</v>
      </c>
      <c r="H46" s="611">
        <f>+SUM(H43:H45)</f>
        <v>100</v>
      </c>
      <c r="I46" s="612">
        <f>+(141.5/(G47+131.5))*$M$34</f>
        <v>326.7669306930693</v>
      </c>
      <c r="J46" s="615">
        <f>+SUM(J43:J45)</f>
        <v>32340.136054182101</v>
      </c>
    </row>
    <row r="47" spans="3:14" x14ac:dyDescent="0.25">
      <c r="G47" s="616">
        <f>+E31</f>
        <v>20</v>
      </c>
      <c r="H47" s="616"/>
      <c r="I47" s="616"/>
      <c r="J47" s="617">
        <f>+I46*H46</f>
        <v>32676.69306930693</v>
      </c>
    </row>
    <row r="50" spans="3:6" x14ac:dyDescent="0.25">
      <c r="D50" s="618" t="s">
        <v>713</v>
      </c>
    </row>
    <row r="51" spans="3:6" x14ac:dyDescent="0.25">
      <c r="C51" s="236" t="s">
        <v>1104</v>
      </c>
      <c r="D51" s="12" t="s">
        <v>1013</v>
      </c>
      <c r="E51">
        <v>2.7603</v>
      </c>
      <c r="F51" s="12" t="s">
        <v>318</v>
      </c>
    </row>
    <row r="52" spans="3:6" x14ac:dyDescent="0.25">
      <c r="D52" s="619" t="s">
        <v>1014</v>
      </c>
      <c r="E52" s="620">
        <f>+E51*($C$8/1000)</f>
        <v>1.6802426854852597E-2</v>
      </c>
      <c r="F52" s="619" t="s">
        <v>1015</v>
      </c>
    </row>
    <row r="53" spans="3:6" x14ac:dyDescent="0.25">
      <c r="D53" s="619" t="s">
        <v>1014</v>
      </c>
      <c r="E53" s="620">
        <f>+E52*1000</f>
        <v>16.802426854852598</v>
      </c>
      <c r="F53" s="619" t="s">
        <v>1016</v>
      </c>
    </row>
    <row r="54" spans="3:6" x14ac:dyDescent="0.25">
      <c r="D54" s="619" t="s">
        <v>1014</v>
      </c>
      <c r="E54" s="620">
        <f>+E53</f>
        <v>16.802426854852598</v>
      </c>
      <c r="F54" s="619" t="s">
        <v>1017</v>
      </c>
    </row>
    <row r="57" spans="3:6" ht="18.75" x14ac:dyDescent="0.3">
      <c r="D57" s="181" t="s">
        <v>536</v>
      </c>
    </row>
    <row r="59" spans="3:6" x14ac:dyDescent="0.25">
      <c r="D59" s="618" t="s">
        <v>1018</v>
      </c>
    </row>
    <row r="60" spans="3:6" x14ac:dyDescent="0.25">
      <c r="C60" s="236" t="s">
        <v>1019</v>
      </c>
      <c r="D60" s="16" t="s">
        <v>1020</v>
      </c>
      <c r="E60" s="12">
        <v>165</v>
      </c>
      <c r="F60" s="410" t="s">
        <v>1021</v>
      </c>
    </row>
    <row r="61" spans="3:6" x14ac:dyDescent="0.25">
      <c r="C61" s="236" t="s">
        <v>1022</v>
      </c>
      <c r="D61" s="16" t="s">
        <v>1023</v>
      </c>
      <c r="E61" s="12">
        <v>155</v>
      </c>
      <c r="F61" s="410" t="s">
        <v>1021</v>
      </c>
    </row>
    <row r="62" spans="3:6" x14ac:dyDescent="0.25">
      <c r="C62" s="621"/>
      <c r="D62" s="16" t="s">
        <v>1024</v>
      </c>
      <c r="E62" s="622">
        <f>+E60*365*C8/1000</f>
        <v>366.60006424428417</v>
      </c>
      <c r="F62" s="410" t="s">
        <v>154</v>
      </c>
    </row>
    <row r="63" spans="3:6" x14ac:dyDescent="0.25">
      <c r="C63" s="621"/>
      <c r="D63" s="16" t="s">
        <v>1025</v>
      </c>
      <c r="E63" s="622">
        <f>+E61*365*C9/1000</f>
        <v>344.3818785325094</v>
      </c>
      <c r="F63" s="410" t="s">
        <v>154</v>
      </c>
    </row>
    <row r="64" spans="3:6" x14ac:dyDescent="0.25">
      <c r="C64" s="621"/>
      <c r="D64" s="16"/>
      <c r="E64" s="622"/>
      <c r="F64" s="410"/>
    </row>
    <row r="65" spans="1:9" x14ac:dyDescent="0.25">
      <c r="C65" s="236" t="s">
        <v>1026</v>
      </c>
      <c r="D65" s="16" t="s">
        <v>1027</v>
      </c>
      <c r="E65" s="623">
        <f>+E61/E60</f>
        <v>0.93939393939393945</v>
      </c>
      <c r="F65" s="410"/>
    </row>
    <row r="66" spans="1:9" x14ac:dyDescent="0.25">
      <c r="C66" s="236" t="s">
        <v>1028</v>
      </c>
      <c r="D66" s="16" t="s">
        <v>1029</v>
      </c>
      <c r="E66" s="623">
        <v>0.95</v>
      </c>
      <c r="F66" s="410"/>
    </row>
    <row r="67" spans="1:9" x14ac:dyDescent="0.25">
      <c r="C67" s="621"/>
      <c r="D67" s="16"/>
      <c r="E67" s="623"/>
      <c r="F67" s="410"/>
    </row>
    <row r="68" spans="1:9" x14ac:dyDescent="0.25">
      <c r="C68" s="236" t="s">
        <v>1030</v>
      </c>
      <c r="D68" s="16" t="s">
        <v>1031</v>
      </c>
      <c r="E68" s="624">
        <v>4.8099999999999996</v>
      </c>
      <c r="F68" s="625" t="s">
        <v>1032</v>
      </c>
    </row>
    <row r="69" spans="1:9" x14ac:dyDescent="0.25">
      <c r="A69" s="626"/>
      <c r="C69" s="621"/>
      <c r="D69" s="16" t="s">
        <v>1033</v>
      </c>
      <c r="E69" s="624">
        <f>DataCAM!O239</f>
        <v>0.7898193760262725</v>
      </c>
      <c r="F69" s="625" t="s">
        <v>444</v>
      </c>
    </row>
    <row r="71" spans="1:9" x14ac:dyDescent="0.25">
      <c r="D71" s="618" t="s">
        <v>1034</v>
      </c>
    </row>
    <row r="72" spans="1:9" x14ac:dyDescent="0.25">
      <c r="E72" s="599" t="s">
        <v>323</v>
      </c>
      <c r="F72" s="159" t="s">
        <v>56</v>
      </c>
    </row>
    <row r="73" spans="1:9" x14ac:dyDescent="0.25">
      <c r="C73" s="503" t="s">
        <v>1019</v>
      </c>
      <c r="D73" s="12" t="s">
        <v>1035</v>
      </c>
      <c r="E73" s="391">
        <f>0.035+0.043</f>
        <v>7.8E-2</v>
      </c>
      <c r="F73" s="239">
        <f>+E73*365*C21</f>
        <v>3.4192469999999999</v>
      </c>
      <c r="H73">
        <f>E73/E60</f>
        <v>4.7272727272727272E-4</v>
      </c>
    </row>
    <row r="74" spans="1:9" x14ac:dyDescent="0.25">
      <c r="C74" s="503" t="s">
        <v>1019</v>
      </c>
      <c r="D74" s="12" t="s">
        <v>1036</v>
      </c>
      <c r="E74">
        <v>33.799999999999997</v>
      </c>
      <c r="F74" s="239">
        <f>+(E74*C17/1000)*365</f>
        <v>12.365388545948255</v>
      </c>
      <c r="I74" s="12"/>
    </row>
    <row r="75" spans="1:9" x14ac:dyDescent="0.25">
      <c r="C75" s="503" t="s">
        <v>1037</v>
      </c>
      <c r="D75" s="12" t="s">
        <v>1038</v>
      </c>
      <c r="E75" s="239">
        <f>+G80-E74</f>
        <v>37.977777777777774</v>
      </c>
      <c r="F75" s="239">
        <f>+(E75*C7/1000)*365</f>
        <v>13.994371732299081</v>
      </c>
    </row>
    <row r="76" spans="1:9" x14ac:dyDescent="0.25">
      <c r="C76" s="503" t="s">
        <v>1039</v>
      </c>
      <c r="D76" s="12" t="s">
        <v>303</v>
      </c>
      <c r="E76" s="627">
        <v>0</v>
      </c>
      <c r="F76" s="627">
        <v>0</v>
      </c>
    </row>
    <row r="77" spans="1:9" x14ac:dyDescent="0.25">
      <c r="C77" s="503" t="s">
        <v>1040</v>
      </c>
      <c r="D77" s="12" t="s">
        <v>1041</v>
      </c>
      <c r="E77">
        <v>347</v>
      </c>
      <c r="F77" s="391">
        <f>+(E77/E14)/1000</f>
        <v>0.51374637610155072</v>
      </c>
    </row>
    <row r="78" spans="1:9" x14ac:dyDescent="0.25">
      <c r="C78" s="503"/>
      <c r="D78" s="12"/>
    </row>
    <row r="80" spans="1:9" x14ac:dyDescent="0.25">
      <c r="C80" s="503" t="s">
        <v>1042</v>
      </c>
      <c r="D80" s="12" t="s">
        <v>1043</v>
      </c>
      <c r="E80" s="239">
        <v>165</v>
      </c>
      <c r="F80" s="12" t="s">
        <v>1044</v>
      </c>
      <c r="G80" s="628">
        <f>+SLOPE(G81:G82,E81:E82)*E80+INTERCEPT(G81:G82,E81:E82)</f>
        <v>71.777777777777771</v>
      </c>
      <c r="H80" s="12" t="s">
        <v>1045</v>
      </c>
    </row>
    <row r="81" spans="1:13" x14ac:dyDescent="0.25">
      <c r="A81" s="629"/>
      <c r="C81" s="503" t="s">
        <v>1019</v>
      </c>
      <c r="D81" s="12" t="s">
        <v>1043</v>
      </c>
      <c r="E81">
        <v>200</v>
      </c>
      <c r="F81" s="12" t="s">
        <v>1044</v>
      </c>
      <c r="G81">
        <v>78</v>
      </c>
      <c r="H81" s="630" t="s">
        <v>1045</v>
      </c>
      <c r="I81" s="12"/>
    </row>
    <row r="82" spans="1:13" x14ac:dyDescent="0.25">
      <c r="A82" s="391"/>
      <c r="B82" s="631"/>
      <c r="C82" s="503" t="s">
        <v>1019</v>
      </c>
      <c r="D82" s="12" t="s">
        <v>1043</v>
      </c>
      <c r="E82">
        <v>245</v>
      </c>
      <c r="F82" s="12" t="s">
        <v>1044</v>
      </c>
      <c r="G82" s="319">
        <v>86</v>
      </c>
      <c r="H82" s="12" t="s">
        <v>1045</v>
      </c>
    </row>
    <row r="83" spans="1:13" x14ac:dyDescent="0.25">
      <c r="A83" s="391"/>
      <c r="B83" s="631"/>
      <c r="C83" s="12"/>
      <c r="D83" s="12"/>
      <c r="E83" s="391"/>
      <c r="F83" s="12"/>
    </row>
    <row r="84" spans="1:13" x14ac:dyDescent="0.25">
      <c r="A84" s="391"/>
      <c r="B84" s="239"/>
      <c r="C84" s="12"/>
      <c r="D84" s="618" t="s">
        <v>1046</v>
      </c>
      <c r="E84" s="391"/>
      <c r="F84" s="12"/>
    </row>
    <row r="85" spans="1:13" x14ac:dyDescent="0.25">
      <c r="G85" s="506" t="s">
        <v>1047</v>
      </c>
      <c r="H85" s="506" t="s">
        <v>1048</v>
      </c>
      <c r="I85" s="632" t="s">
        <v>1049</v>
      </c>
    </row>
    <row r="86" spans="1:13" x14ac:dyDescent="0.25">
      <c r="D86" s="12" t="s">
        <v>1050</v>
      </c>
      <c r="E86" s="375">
        <f>+F73/E62</f>
        <v>9.3269132591356635E-3</v>
      </c>
      <c r="F86" s="12" t="s">
        <v>729</v>
      </c>
      <c r="G86" s="510">
        <f>E86*E62</f>
        <v>3.4192469999999999</v>
      </c>
      <c r="H86" s="510">
        <f>G86/C21</f>
        <v>28.47</v>
      </c>
      <c r="I86" s="633">
        <f>H86/(E60*365)</f>
        <v>4.7272727272727272E-4</v>
      </c>
      <c r="J86" s="12" t="s">
        <v>1051</v>
      </c>
      <c r="K86" s="470">
        <f>I86*1000</f>
        <v>0.47272727272727272</v>
      </c>
      <c r="L86" s="634" t="s">
        <v>1016</v>
      </c>
      <c r="M86" s="12"/>
    </row>
    <row r="87" spans="1:13" x14ac:dyDescent="0.25">
      <c r="D87" s="12" t="s">
        <v>1052</v>
      </c>
      <c r="E87">
        <f>+F74/E62</f>
        <v>3.372991374521029E-2</v>
      </c>
      <c r="F87" s="12" t="s">
        <v>729</v>
      </c>
      <c r="G87" s="635">
        <f>E87*E62</f>
        <v>12.365388545948257</v>
      </c>
      <c r="H87" s="510">
        <f>G87/(C17/1000)</f>
        <v>12337.000000000002</v>
      </c>
      <c r="I87" s="636">
        <f>H87/(E60*365)</f>
        <v>0.20484848484848489</v>
      </c>
      <c r="J87" s="12" t="s">
        <v>1053</v>
      </c>
    </row>
    <row r="88" spans="1:13" x14ac:dyDescent="0.25">
      <c r="D88" s="12" t="s">
        <v>1054</v>
      </c>
      <c r="E88">
        <f>+F75/E62</f>
        <v>3.8173402290987937E-2</v>
      </c>
      <c r="F88" s="12" t="s">
        <v>729</v>
      </c>
      <c r="G88" s="510">
        <f>E88*E62</f>
        <v>13.994371732299083</v>
      </c>
      <c r="H88" s="510">
        <f>G88/(C7/1000)</f>
        <v>13861.888888888892</v>
      </c>
      <c r="I88" s="636">
        <f>H88/(E60*365)</f>
        <v>0.23016835016835022</v>
      </c>
      <c r="J88" s="12" t="s">
        <v>1053</v>
      </c>
    </row>
    <row r="89" spans="1:13" x14ac:dyDescent="0.25">
      <c r="D89" s="12" t="s">
        <v>1055</v>
      </c>
      <c r="E89" s="627">
        <v>0</v>
      </c>
      <c r="G89" s="510"/>
      <c r="H89" s="510"/>
      <c r="I89" s="636"/>
    </row>
    <row r="90" spans="1:13" x14ac:dyDescent="0.25">
      <c r="D90" s="12" t="s">
        <v>1056</v>
      </c>
      <c r="E90">
        <f>+F77/E63</f>
        <v>1.4917927107278191E-3</v>
      </c>
      <c r="F90" s="12" t="s">
        <v>729</v>
      </c>
      <c r="G90" s="510">
        <f>E90*E62</f>
        <v>0.54689130359197335</v>
      </c>
      <c r="H90" s="510">
        <f>G90/(C14/1000)</f>
        <v>134.82629032258063</v>
      </c>
      <c r="I90" s="637">
        <f>H90/(E60*365)</f>
        <v>2.2387096774193547E-3</v>
      </c>
      <c r="J90" s="12" t="s">
        <v>1057</v>
      </c>
      <c r="K90" s="391">
        <f>I90*1000</f>
        <v>2.2387096774193549</v>
      </c>
      <c r="L90" s="12" t="s">
        <v>1058</v>
      </c>
    </row>
    <row r="91" spans="1:13" x14ac:dyDescent="0.25">
      <c r="E91" s="638">
        <f>+SUM(E86:E90)</f>
        <v>8.2722022006061699E-2</v>
      </c>
      <c r="F91" s="12" t="s">
        <v>729</v>
      </c>
    </row>
    <row r="92" spans="1:13" x14ac:dyDescent="0.25">
      <c r="J92" s="391">
        <f>+E91*$E$63</f>
        <v>28.487965334455112</v>
      </c>
      <c r="K92" s="12" t="s">
        <v>56</v>
      </c>
    </row>
    <row r="94" spans="1:13" ht="18.75" x14ac:dyDescent="0.3">
      <c r="D94" s="181" t="s">
        <v>537</v>
      </c>
    </row>
    <row r="96" spans="1:13" x14ac:dyDescent="0.25">
      <c r="E96" s="639"/>
      <c r="F96" s="640" t="s">
        <v>323</v>
      </c>
      <c r="G96" s="640" t="s">
        <v>1059</v>
      </c>
    </row>
    <row r="97" spans="2:8" x14ac:dyDescent="0.25">
      <c r="B97" s="503" t="s">
        <v>1060</v>
      </c>
      <c r="C97" s="503" t="s">
        <v>1061</v>
      </c>
      <c r="E97" s="641" t="s">
        <v>1062</v>
      </c>
      <c r="F97" s="642">
        <f>394.77/299.7</f>
        <v>1.3172172172172172</v>
      </c>
      <c r="G97" s="643">
        <f>+F97</f>
        <v>1.3172172172172172</v>
      </c>
      <c r="H97" s="12" t="s">
        <v>1063</v>
      </c>
    </row>
    <row r="98" spans="2:8" x14ac:dyDescent="0.25">
      <c r="B98" s="503"/>
      <c r="C98" s="503"/>
      <c r="E98" s="641"/>
      <c r="F98" s="642"/>
      <c r="G98" s="643"/>
      <c r="H98" s="12"/>
    </row>
    <row r="100" spans="2:8" ht="18.75" x14ac:dyDescent="0.3">
      <c r="D100" s="181" t="s">
        <v>540</v>
      </c>
    </row>
    <row r="102" spans="2:8" x14ac:dyDescent="0.25">
      <c r="E102" s="117" t="s">
        <v>323</v>
      </c>
      <c r="F102" s="117" t="s">
        <v>1059</v>
      </c>
      <c r="H102" s="12" t="s">
        <v>1064</v>
      </c>
    </row>
    <row r="103" spans="2:8" x14ac:dyDescent="0.25">
      <c r="C103" s="503" t="s">
        <v>1019</v>
      </c>
      <c r="D103" s="12" t="s">
        <v>1065</v>
      </c>
      <c r="E103" s="522">
        <f>+E104+E105+E106+E107+E108</f>
        <v>147.9</v>
      </c>
      <c r="F103" s="239">
        <f>+SUM(F104:F109)</f>
        <v>307.01232381147588</v>
      </c>
      <c r="G103" s="12" t="s">
        <v>56</v>
      </c>
    </row>
    <row r="104" spans="2:8" x14ac:dyDescent="0.25">
      <c r="C104" s="503" t="s">
        <v>1019</v>
      </c>
      <c r="D104" s="12" t="s">
        <v>1066</v>
      </c>
      <c r="E104">
        <f>36.8</f>
        <v>36.799999999999997</v>
      </c>
      <c r="F104" s="239">
        <f>+E104*365*C11/1000</f>
        <v>71.604631801401439</v>
      </c>
      <c r="G104" s="12" t="s">
        <v>56</v>
      </c>
      <c r="H104" s="114">
        <f>+F104/SUM($F$104:$F$109)</f>
        <v>0.23323048049814121</v>
      </c>
    </row>
    <row r="105" spans="2:8" x14ac:dyDescent="0.25">
      <c r="C105" s="503" t="s">
        <v>1019</v>
      </c>
      <c r="D105" s="12" t="s">
        <v>737</v>
      </c>
      <c r="E105">
        <v>94</v>
      </c>
      <c r="F105" s="239">
        <f>+E105*365*C12/1000</f>
        <v>194.56685801250259</v>
      </c>
      <c r="G105" s="12" t="s">
        <v>56</v>
      </c>
      <c r="H105" s="114">
        <f t="shared" ref="H105:H108" si="0">+F105/SUM($F$104:$F$109)</f>
        <v>0.63374282698820394</v>
      </c>
    </row>
    <row r="106" spans="2:8" x14ac:dyDescent="0.25">
      <c r="C106" s="503" t="s">
        <v>1019</v>
      </c>
      <c r="D106" s="12" t="s">
        <v>1067</v>
      </c>
      <c r="E106">
        <v>10.199999999999999</v>
      </c>
      <c r="F106" s="239">
        <f>+E106*365*C13/1000</f>
        <v>17.542012028306285</v>
      </c>
      <c r="G106" s="12" t="s">
        <v>56</v>
      </c>
      <c r="H106" s="114">
        <f t="shared" si="0"/>
        <v>5.7137810660259164E-2</v>
      </c>
    </row>
    <row r="107" spans="2:8" x14ac:dyDescent="0.25">
      <c r="C107" s="503" t="s">
        <v>1019</v>
      </c>
      <c r="D107" s="12" t="s">
        <v>303</v>
      </c>
      <c r="E107">
        <v>1.4</v>
      </c>
      <c r="F107" s="239">
        <f>+E107*365*C15/1000</f>
        <v>2.7904793352524089</v>
      </c>
      <c r="G107" s="12" t="s">
        <v>56</v>
      </c>
      <c r="H107" s="114">
        <f t="shared" si="0"/>
        <v>9.0891443724778025E-3</v>
      </c>
    </row>
    <row r="108" spans="2:8" x14ac:dyDescent="0.25">
      <c r="C108" s="503" t="s">
        <v>1019</v>
      </c>
      <c r="D108" s="12" t="s">
        <v>22</v>
      </c>
      <c r="E108" s="12">
        <v>5.5</v>
      </c>
      <c r="F108" s="239">
        <f>+E108*365*C14/1000</f>
        <v>8.1429540880649238</v>
      </c>
      <c r="G108" s="12" t="s">
        <v>56</v>
      </c>
      <c r="H108" s="114">
        <f t="shared" si="0"/>
        <v>2.6523215703436027E-2</v>
      </c>
    </row>
    <row r="109" spans="2:8" x14ac:dyDescent="0.25">
      <c r="C109" s="503" t="s">
        <v>1068</v>
      </c>
      <c r="D109" s="12" t="s">
        <v>1069</v>
      </c>
      <c r="E109">
        <f>+F109*E17</f>
        <v>33.799999999999997</v>
      </c>
      <c r="F109" s="239">
        <f>+F74</f>
        <v>12.365388545948255</v>
      </c>
      <c r="G109" s="12" t="s">
        <v>56</v>
      </c>
      <c r="H109" s="114">
        <f>+F109/SUM($F$104:$F$109)</f>
        <v>4.027652177748197E-2</v>
      </c>
    </row>
    <row r="110" spans="2:8" x14ac:dyDescent="0.25">
      <c r="H110" s="153">
        <f>+SUM(H104:H109)</f>
        <v>1</v>
      </c>
    </row>
    <row r="112" spans="2:8" x14ac:dyDescent="0.25">
      <c r="D112" s="618" t="s">
        <v>1070</v>
      </c>
    </row>
    <row r="113" spans="1:10" x14ac:dyDescent="0.25">
      <c r="D113" s="12" t="s">
        <v>1066</v>
      </c>
      <c r="E113" s="470">
        <f>+F104/$E$62</f>
        <v>0.19532083811553194</v>
      </c>
      <c r="F113" s="12" t="s">
        <v>729</v>
      </c>
    </row>
    <row r="114" spans="1:10" x14ac:dyDescent="0.25">
      <c r="D114" s="12" t="s">
        <v>737</v>
      </c>
      <c r="E114" s="470">
        <f t="shared" ref="E114:E118" si="1">+F105/$E$62</f>
        <v>0.53073328945968989</v>
      </c>
      <c r="F114" s="12" t="s">
        <v>729</v>
      </c>
    </row>
    <row r="115" spans="1:10" x14ac:dyDescent="0.25">
      <c r="D115" s="12" t="s">
        <v>1067</v>
      </c>
      <c r="E115" s="470">
        <f t="shared" si="1"/>
        <v>4.7850542700988603E-2</v>
      </c>
      <c r="F115" s="12" t="s">
        <v>729</v>
      </c>
    </row>
    <row r="116" spans="1:10" x14ac:dyDescent="0.25">
      <c r="D116" s="12" t="s">
        <v>303</v>
      </c>
      <c r="E116" s="470">
        <f t="shared" si="1"/>
        <v>7.611780813527003E-3</v>
      </c>
      <c r="F116" s="12" t="s">
        <v>729</v>
      </c>
    </row>
    <row r="117" spans="1:10" x14ac:dyDescent="0.25">
      <c r="D117" s="12" t="s">
        <v>22</v>
      </c>
      <c r="E117" s="470">
        <f t="shared" si="1"/>
        <v>2.2212091274045335E-2</v>
      </c>
      <c r="F117" s="12" t="s">
        <v>729</v>
      </c>
    </row>
    <row r="118" spans="1:10" x14ac:dyDescent="0.25">
      <c r="D118" s="12" t="s">
        <v>1069</v>
      </c>
      <c r="E118" s="470">
        <f t="shared" si="1"/>
        <v>3.372991374521029E-2</v>
      </c>
      <c r="F118" s="12" t="s">
        <v>729</v>
      </c>
    </row>
    <row r="120" spans="1:10" x14ac:dyDescent="0.25">
      <c r="C120" s="503" t="s">
        <v>800</v>
      </c>
      <c r="D120" s="12" t="s">
        <v>801</v>
      </c>
      <c r="E120" s="472">
        <f>+F103/E62</f>
        <v>0.83745845610899305</v>
      </c>
      <c r="F120" s="12"/>
    </row>
    <row r="121" spans="1:10" x14ac:dyDescent="0.25">
      <c r="C121" s="503"/>
    </row>
    <row r="122" spans="1:10" x14ac:dyDescent="0.25">
      <c r="C122" s="503"/>
    </row>
    <row r="124" spans="1:10" x14ac:dyDescent="0.25">
      <c r="A124" s="164" t="s">
        <v>136</v>
      </c>
      <c r="B124" s="1"/>
      <c r="C124" s="1"/>
      <c r="D124" s="1"/>
      <c r="E124" s="1"/>
      <c r="F124" s="1"/>
    </row>
    <row r="125" spans="1:10" x14ac:dyDescent="0.25">
      <c r="A125" s="165" t="s">
        <v>137</v>
      </c>
      <c r="B125" s="166" t="s">
        <v>39</v>
      </c>
      <c r="C125" s="166" t="s">
        <v>138</v>
      </c>
      <c r="D125" s="166" t="s">
        <v>139</v>
      </c>
      <c r="E125" s="166" t="s">
        <v>140</v>
      </c>
      <c r="F125" s="167" t="s">
        <v>141</v>
      </c>
    </row>
    <row r="126" spans="1:10" ht="18.75" x14ac:dyDescent="0.3">
      <c r="A126" s="1" t="s">
        <v>155</v>
      </c>
      <c r="B126" s="1"/>
      <c r="C126" s="17" t="s">
        <v>500</v>
      </c>
      <c r="D126" s="1" t="s">
        <v>501</v>
      </c>
      <c r="E126" s="1" t="s">
        <v>56</v>
      </c>
      <c r="F126" s="1" t="s">
        <v>154</v>
      </c>
      <c r="J126" s="181" t="s">
        <v>534</v>
      </c>
    </row>
    <row r="127" spans="1:10" x14ac:dyDescent="0.25">
      <c r="A127" s="1"/>
      <c r="B127" s="1"/>
      <c r="C127" s="168" t="s">
        <v>502</v>
      </c>
      <c r="D127" s="169" t="s">
        <v>503</v>
      </c>
      <c r="E127" s="1" t="s">
        <v>56</v>
      </c>
      <c r="F127" s="1" t="s">
        <v>154</v>
      </c>
    </row>
    <row r="128" spans="1:10" x14ac:dyDescent="0.25">
      <c r="A128" s="1"/>
      <c r="B128" s="1"/>
      <c r="C128" s="170" t="s">
        <v>504</v>
      </c>
      <c r="D128" s="169" t="s">
        <v>505</v>
      </c>
      <c r="E128" s="1" t="s">
        <v>56</v>
      </c>
      <c r="F128" s="1" t="s">
        <v>154</v>
      </c>
    </row>
    <row r="129" spans="1:20" x14ac:dyDescent="0.25">
      <c r="A129" s="1"/>
      <c r="B129" s="1"/>
      <c r="C129" s="17" t="s">
        <v>506</v>
      </c>
      <c r="D129" s="169" t="s">
        <v>507</v>
      </c>
      <c r="E129" s="1" t="s">
        <v>56</v>
      </c>
      <c r="F129" s="1" t="s">
        <v>154</v>
      </c>
      <c r="J129" s="182" t="s">
        <v>416</v>
      </c>
      <c r="K129" s="1"/>
      <c r="L129" s="1"/>
      <c r="M129" s="1"/>
      <c r="N129" s="1"/>
      <c r="P129" s="156" t="s">
        <v>416</v>
      </c>
    </row>
    <row r="130" spans="1:20" x14ac:dyDescent="0.25">
      <c r="A130" s="169"/>
      <c r="B130" s="169"/>
      <c r="C130" s="16" t="s">
        <v>508</v>
      </c>
      <c r="D130" s="12" t="s">
        <v>509</v>
      </c>
      <c r="E130" s="1" t="s">
        <v>56</v>
      </c>
      <c r="F130" s="1" t="s">
        <v>154</v>
      </c>
      <c r="J130" s="183" t="s">
        <v>138</v>
      </c>
      <c r="K130" s="687" t="s">
        <v>417</v>
      </c>
      <c r="L130" s="687" t="s">
        <v>418</v>
      </c>
      <c r="M130" s="687" t="s">
        <v>535</v>
      </c>
      <c r="N130" s="689" t="s">
        <v>447</v>
      </c>
      <c r="P130" s="411" t="s">
        <v>138</v>
      </c>
      <c r="Q130" s="411" t="str">
        <f>L130</f>
        <v>Comm-OUT</v>
      </c>
      <c r="R130" s="411" t="s">
        <v>752</v>
      </c>
    </row>
    <row r="131" spans="1:20" x14ac:dyDescent="0.25">
      <c r="A131" s="169"/>
      <c r="B131" s="169"/>
      <c r="C131" s="676" t="s">
        <v>510</v>
      </c>
      <c r="D131" s="677" t="s">
        <v>511</v>
      </c>
      <c r="E131" s="677" t="s">
        <v>56</v>
      </c>
      <c r="F131" s="678" t="s">
        <v>154</v>
      </c>
      <c r="J131" s="177" t="s">
        <v>500</v>
      </c>
      <c r="K131" s="177" t="s">
        <v>13</v>
      </c>
      <c r="L131" s="177" t="s">
        <v>518</v>
      </c>
      <c r="M131" s="178">
        <f>E43</f>
        <v>0.15</v>
      </c>
      <c r="N131" s="179">
        <v>1</v>
      </c>
      <c r="P131" t="str">
        <f>J131</f>
        <v>MIX-OIL-REF1</v>
      </c>
      <c r="Q131" s="12" t="s">
        <v>91</v>
      </c>
      <c r="R131">
        <v>2.76</v>
      </c>
    </row>
    <row r="132" spans="1:20" x14ac:dyDescent="0.25">
      <c r="A132" s="169"/>
      <c r="B132" s="169"/>
      <c r="C132" s="16" t="s">
        <v>512</v>
      </c>
      <c r="D132" s="169" t="s">
        <v>513</v>
      </c>
      <c r="E132" s="169" t="s">
        <v>56</v>
      </c>
      <c r="F132" s="171" t="s">
        <v>154</v>
      </c>
      <c r="J132" s="177"/>
      <c r="K132" s="87" t="s">
        <v>21</v>
      </c>
      <c r="L132" s="177"/>
      <c r="M132" s="179">
        <f>E45</f>
        <v>0.6</v>
      </c>
      <c r="N132" s="177"/>
    </row>
    <row r="133" spans="1:20" x14ac:dyDescent="0.25">
      <c r="A133" s="169"/>
      <c r="B133" s="169"/>
      <c r="C133" s="1" t="s">
        <v>514</v>
      </c>
      <c r="D133" s="1" t="s">
        <v>515</v>
      </c>
      <c r="E133" s="169" t="s">
        <v>56</v>
      </c>
      <c r="F133" s="171" t="s">
        <v>154</v>
      </c>
      <c r="K133" s="177" t="s">
        <v>17</v>
      </c>
      <c r="L133" s="87"/>
      <c r="M133" s="185">
        <f>E44</f>
        <v>0.25</v>
      </c>
      <c r="N133" s="87"/>
    </row>
    <row r="134" spans="1:20" x14ac:dyDescent="0.25">
      <c r="A134" s="169"/>
      <c r="B134" s="169"/>
      <c r="C134" s="1" t="s">
        <v>516</v>
      </c>
      <c r="D134" s="1" t="s">
        <v>517</v>
      </c>
      <c r="E134" s="169" t="s">
        <v>56</v>
      </c>
      <c r="F134" s="171" t="s">
        <v>154</v>
      </c>
    </row>
    <row r="137" spans="1:20" ht="18.75" x14ac:dyDescent="0.3">
      <c r="A137" s="172" t="s">
        <v>37</v>
      </c>
      <c r="B137" s="172"/>
      <c r="C137" s="173"/>
      <c r="D137" s="173"/>
      <c r="J137" s="181" t="s">
        <v>536</v>
      </c>
    </row>
    <row r="138" spans="1:20" x14ac:dyDescent="0.25">
      <c r="A138" s="165" t="s">
        <v>38</v>
      </c>
      <c r="B138" s="166" t="s">
        <v>39</v>
      </c>
      <c r="C138" s="166" t="s">
        <v>40</v>
      </c>
      <c r="D138" s="166" t="s">
        <v>41</v>
      </c>
    </row>
    <row r="139" spans="1:20" x14ac:dyDescent="0.25">
      <c r="A139" s="174" t="s">
        <v>55</v>
      </c>
      <c r="B139" s="174"/>
      <c r="C139" s="1" t="s">
        <v>518</v>
      </c>
      <c r="D139" s="1" t="s">
        <v>519</v>
      </c>
    </row>
    <row r="140" spans="1:20" x14ac:dyDescent="0.25">
      <c r="A140" s="1"/>
      <c r="B140" s="1"/>
      <c r="C140" s="12" t="s">
        <v>520</v>
      </c>
      <c r="D140" s="12" t="s">
        <v>521</v>
      </c>
      <c r="I140" s="175" t="s">
        <v>416</v>
      </c>
      <c r="K140" s="169"/>
      <c r="L140" s="1"/>
      <c r="P140" s="156" t="s">
        <v>493</v>
      </c>
    </row>
    <row r="141" spans="1:20" ht="15.75" thickBot="1" x14ac:dyDescent="0.3">
      <c r="A141" s="1"/>
      <c r="B141" s="169"/>
      <c r="C141" s="12" t="s">
        <v>522</v>
      </c>
      <c r="D141" s="12" t="s">
        <v>523</v>
      </c>
      <c r="I141" s="186" t="s">
        <v>138</v>
      </c>
      <c r="J141" s="187" t="s">
        <v>417</v>
      </c>
      <c r="K141" s="187" t="s">
        <v>43</v>
      </c>
      <c r="L141" s="188" t="s">
        <v>1122</v>
      </c>
      <c r="P141" s="698" t="s">
        <v>40</v>
      </c>
      <c r="Q141" s="699" t="s">
        <v>526</v>
      </c>
      <c r="R141" s="699" t="s">
        <v>528</v>
      </c>
      <c r="S141" s="699" t="s">
        <v>532</v>
      </c>
      <c r="T141" s="699" t="s">
        <v>530</v>
      </c>
    </row>
    <row r="142" spans="1:20" ht="15.75" thickBot="1" x14ac:dyDescent="0.3">
      <c r="A142" s="1"/>
      <c r="B142" s="169"/>
      <c r="C142" s="16" t="s">
        <v>524</v>
      </c>
      <c r="D142" s="12" t="s">
        <v>525</v>
      </c>
      <c r="I142" s="189" t="s">
        <v>502</v>
      </c>
      <c r="J142" s="2" t="str">
        <f>COMM!AW19</f>
        <v>OIL-REF1</v>
      </c>
      <c r="K142" s="89" t="s">
        <v>485</v>
      </c>
      <c r="L142" s="114">
        <f>1/(1+SUM($E$86:$E$90))</f>
        <v>0.92359809782681368</v>
      </c>
      <c r="N142" s="454"/>
      <c r="P142" s="84" t="s">
        <v>494</v>
      </c>
      <c r="Q142" s="85" t="s">
        <v>318</v>
      </c>
      <c r="R142" s="85" t="s">
        <v>318</v>
      </c>
      <c r="S142" s="85" t="s">
        <v>318</v>
      </c>
      <c r="T142" s="85" t="s">
        <v>318</v>
      </c>
    </row>
    <row r="143" spans="1:20" x14ac:dyDescent="0.25">
      <c r="C143" s="676" t="s">
        <v>526</v>
      </c>
      <c r="D143" s="676" t="s">
        <v>527</v>
      </c>
      <c r="I143" s="89"/>
      <c r="J143" s="700" t="s">
        <v>522</v>
      </c>
      <c r="K143" s="89" t="s">
        <v>485</v>
      </c>
      <c r="L143" s="114">
        <f>E86/(1+SUM($E$86:$E$90))</f>
        <v>8.6143193447333864E-3</v>
      </c>
      <c r="P143" s="12" t="s">
        <v>91</v>
      </c>
      <c r="Q143" s="159">
        <f>D7</f>
        <v>55.539114956987063</v>
      </c>
      <c r="R143" s="159">
        <f>D15</f>
        <v>78.281203343664757</v>
      </c>
      <c r="S143" s="159">
        <f>D17</f>
        <v>40.784041574326501</v>
      </c>
      <c r="T143" s="159">
        <f>D14</f>
        <v>47.28933824683137</v>
      </c>
    </row>
    <row r="144" spans="1:20" x14ac:dyDescent="0.25">
      <c r="A144" s="1"/>
      <c r="B144" s="1"/>
      <c r="C144" s="16" t="s">
        <v>528</v>
      </c>
      <c r="D144" s="16" t="s">
        <v>529</v>
      </c>
      <c r="I144" s="89"/>
      <c r="J144" s="701" t="s">
        <v>526</v>
      </c>
      <c r="K144" s="89" t="s">
        <v>485</v>
      </c>
      <c r="L144" s="114">
        <f>E88/(1+SUM($E$86:$E$90))</f>
        <v>3.5256881743534189E-2</v>
      </c>
    </row>
    <row r="145" spans="1:24" x14ac:dyDescent="0.25">
      <c r="A145" s="1"/>
      <c r="B145" s="1"/>
      <c r="C145" s="16" t="s">
        <v>530</v>
      </c>
      <c r="D145" s="12" t="s">
        <v>531</v>
      </c>
      <c r="I145" s="89"/>
      <c r="J145" s="702" t="s">
        <v>532</v>
      </c>
      <c r="K145" s="89" t="s">
        <v>485</v>
      </c>
      <c r="L145" s="114">
        <f>E87/(1+SUM($E$86:$E$90))</f>
        <v>3.1152884174938722E-2</v>
      </c>
    </row>
    <row r="146" spans="1:24" x14ac:dyDescent="0.25">
      <c r="A146" s="1"/>
      <c r="B146" s="1"/>
      <c r="C146" s="1" t="s">
        <v>532</v>
      </c>
      <c r="D146" s="1" t="s">
        <v>533</v>
      </c>
      <c r="I146" s="89"/>
      <c r="J146" s="538" t="s">
        <v>530</v>
      </c>
      <c r="K146" s="89" t="s">
        <v>485</v>
      </c>
      <c r="L146" s="114">
        <f>E90/(1+SUM($E$86:$E$90))</f>
        <v>1.3778169099801197E-3</v>
      </c>
    </row>
    <row r="147" spans="1:24" x14ac:dyDescent="0.25">
      <c r="M147" s="710"/>
    </row>
    <row r="149" spans="1:24" x14ac:dyDescent="0.25">
      <c r="A149" s="175" t="s">
        <v>416</v>
      </c>
      <c r="B149" s="169"/>
      <c r="C149" s="1"/>
      <c r="D149" s="1"/>
    </row>
    <row r="150" spans="1:24" ht="18.75" x14ac:dyDescent="0.3">
      <c r="A150" s="176" t="s">
        <v>138</v>
      </c>
      <c r="B150" s="176" t="s">
        <v>417</v>
      </c>
      <c r="C150" s="176" t="s">
        <v>418</v>
      </c>
      <c r="D150" s="176" t="s">
        <v>447</v>
      </c>
      <c r="J150" s="181" t="s">
        <v>537</v>
      </c>
    </row>
    <row r="151" spans="1:24" x14ac:dyDescent="0.25">
      <c r="A151" s="177" t="s">
        <v>510</v>
      </c>
      <c r="B151" s="177" t="s">
        <v>7</v>
      </c>
      <c r="C151" s="177" t="s">
        <v>526</v>
      </c>
      <c r="D151" s="178">
        <v>1</v>
      </c>
    </row>
    <row r="152" spans="1:24" x14ac:dyDescent="0.25">
      <c r="A152" s="177" t="s">
        <v>512</v>
      </c>
      <c r="B152" s="177" t="s">
        <v>26</v>
      </c>
      <c r="C152" s="177" t="s">
        <v>528</v>
      </c>
      <c r="D152" s="179">
        <v>1</v>
      </c>
      <c r="I152" s="1"/>
      <c r="J152" s="1"/>
      <c r="K152" s="194"/>
      <c r="L152" s="1"/>
      <c r="N152" s="202" t="s">
        <v>416</v>
      </c>
      <c r="O152" s="2"/>
      <c r="P152" s="2"/>
      <c r="Q152" s="89"/>
      <c r="T152" s="89"/>
      <c r="U152" s="89"/>
      <c r="V152" s="89"/>
      <c r="W152" s="89"/>
      <c r="X152" s="89"/>
    </row>
    <row r="153" spans="1:24" x14ac:dyDescent="0.25">
      <c r="A153" s="89" t="s">
        <v>514</v>
      </c>
      <c r="B153" s="2" t="s">
        <v>22</v>
      </c>
      <c r="C153" s="2" t="s">
        <v>530</v>
      </c>
      <c r="D153" s="180">
        <v>1</v>
      </c>
      <c r="I153" s="198" t="s">
        <v>138</v>
      </c>
      <c r="J153" s="198" t="s">
        <v>417</v>
      </c>
      <c r="K153" s="449" t="s">
        <v>418</v>
      </c>
      <c r="L153" s="515" t="s">
        <v>447</v>
      </c>
      <c r="M153" s="515" t="s">
        <v>814</v>
      </c>
      <c r="N153" s="515" t="s">
        <v>826</v>
      </c>
      <c r="O153" s="515" t="s">
        <v>815</v>
      </c>
      <c r="P153" s="515" t="s">
        <v>817</v>
      </c>
      <c r="Q153" s="515" t="s">
        <v>940</v>
      </c>
    </row>
    <row r="154" spans="1:24" x14ac:dyDescent="0.25">
      <c r="A154" s="89" t="s">
        <v>516</v>
      </c>
      <c r="B154" s="2" t="s">
        <v>79</v>
      </c>
      <c r="C154" s="2" t="s">
        <v>532</v>
      </c>
      <c r="D154" s="180">
        <v>1</v>
      </c>
      <c r="I154" s="428" t="s">
        <v>504</v>
      </c>
      <c r="J154" s="428" t="s">
        <v>526</v>
      </c>
      <c r="K154" s="428" t="s">
        <v>522</v>
      </c>
      <c r="L154">
        <f>1/G97</f>
        <v>0.75917622919674754</v>
      </c>
      <c r="M154" s="591">
        <v>0.95</v>
      </c>
      <c r="N154">
        <f>3.25/M154</f>
        <v>3.4210526315789473</v>
      </c>
      <c r="O154" s="428">
        <v>1.4</v>
      </c>
      <c r="P154" s="428">
        <v>25</v>
      </c>
      <c r="Q154" s="89">
        <v>29</v>
      </c>
    </row>
    <row r="159" spans="1:24" ht="18.75" x14ac:dyDescent="0.3">
      <c r="J159" s="181" t="s">
        <v>540</v>
      </c>
    </row>
    <row r="161" spans="9:14" x14ac:dyDescent="0.25">
      <c r="J161" s="175" t="s">
        <v>416</v>
      </c>
      <c r="K161" s="150"/>
      <c r="L161" s="82"/>
    </row>
    <row r="162" spans="9:14" x14ac:dyDescent="0.25">
      <c r="I162" s="183" t="s">
        <v>138</v>
      </c>
      <c r="J162" s="198" t="s">
        <v>418</v>
      </c>
      <c r="K162" s="198" t="s">
        <v>43</v>
      </c>
      <c r="L162" s="199" t="s">
        <v>1123</v>
      </c>
    </row>
    <row r="163" spans="9:14" x14ac:dyDescent="0.25">
      <c r="I163" s="703" t="s">
        <v>502</v>
      </c>
      <c r="J163" s="2" t="s">
        <v>8</v>
      </c>
      <c r="K163" s="89" t="s">
        <v>484</v>
      </c>
      <c r="L163" s="153">
        <f t="shared" ref="L163:L168" si="2">H104</f>
        <v>0.23323048049814121</v>
      </c>
    </row>
    <row r="164" spans="9:14" x14ac:dyDescent="0.25">
      <c r="I164" s="89"/>
      <c r="J164" s="2" t="s">
        <v>14</v>
      </c>
      <c r="K164" s="89" t="s">
        <v>484</v>
      </c>
      <c r="L164" s="153">
        <f t="shared" si="2"/>
        <v>0.63374282698820394</v>
      </c>
    </row>
    <row r="165" spans="9:14" x14ac:dyDescent="0.25">
      <c r="I165" s="89"/>
      <c r="J165" s="2" t="s">
        <v>18</v>
      </c>
      <c r="K165" s="89" t="s">
        <v>484</v>
      </c>
      <c r="L165" s="153">
        <f t="shared" si="2"/>
        <v>5.7137810660259164E-2</v>
      </c>
    </row>
    <row r="166" spans="9:14" x14ac:dyDescent="0.25">
      <c r="I166" s="89"/>
      <c r="J166" s="2" t="s">
        <v>22</v>
      </c>
      <c r="K166" s="89" t="s">
        <v>484</v>
      </c>
      <c r="L166" s="153">
        <f t="shared" si="2"/>
        <v>9.0891443724778025E-3</v>
      </c>
    </row>
    <row r="167" spans="9:14" x14ac:dyDescent="0.25">
      <c r="I167" s="89"/>
      <c r="J167" s="2" t="s">
        <v>26</v>
      </c>
      <c r="K167" s="89" t="s">
        <v>484</v>
      </c>
      <c r="L167" s="153">
        <f t="shared" si="2"/>
        <v>2.6523215703436027E-2</v>
      </c>
    </row>
    <row r="168" spans="9:14" x14ac:dyDescent="0.25">
      <c r="I168" s="89"/>
      <c r="J168" s="2" t="s">
        <v>79</v>
      </c>
      <c r="K168" s="89" t="s">
        <v>484</v>
      </c>
      <c r="L168" s="153">
        <f t="shared" si="2"/>
        <v>4.027652177748197E-2</v>
      </c>
    </row>
    <row r="169" spans="9:14" x14ac:dyDescent="0.25">
      <c r="K169" s="1"/>
      <c r="L169" s="148"/>
    </row>
    <row r="170" spans="9:14" x14ac:dyDescent="0.25">
      <c r="L170" s="201"/>
    </row>
    <row r="173" spans="9:14" ht="18.75" x14ac:dyDescent="0.3">
      <c r="J173" s="181" t="s">
        <v>541</v>
      </c>
    </row>
    <row r="175" spans="9:14" x14ac:dyDescent="0.25">
      <c r="J175" s="202" t="s">
        <v>416</v>
      </c>
      <c r="K175" s="177"/>
      <c r="L175" s="177"/>
      <c r="M175" s="175"/>
      <c r="N175" s="177"/>
    </row>
    <row r="176" spans="9:14" x14ac:dyDescent="0.25">
      <c r="J176" s="186" t="s">
        <v>138</v>
      </c>
      <c r="K176" s="187" t="s">
        <v>488</v>
      </c>
      <c r="L176" s="187" t="s">
        <v>538</v>
      </c>
      <c r="M176" s="187" t="s">
        <v>484</v>
      </c>
      <c r="N176" s="203" t="s">
        <v>485</v>
      </c>
    </row>
    <row r="177" spans="10:20" x14ac:dyDescent="0.25">
      <c r="J177" s="204" t="s">
        <v>502</v>
      </c>
      <c r="K177" s="205" t="s">
        <v>539</v>
      </c>
      <c r="L177" s="177">
        <v>2019</v>
      </c>
      <c r="M177">
        <f>+E65*E62*E120</f>
        <v>288.40551630775008</v>
      </c>
    </row>
    <row r="178" spans="10:20" x14ac:dyDescent="0.25">
      <c r="J178" s="207" t="s">
        <v>502</v>
      </c>
      <c r="K178" s="87" t="s">
        <v>539</v>
      </c>
      <c r="L178" s="208">
        <v>2020</v>
      </c>
      <c r="M178" s="206">
        <f>+E66*E62*E120</f>
        <v>291.66170762090206</v>
      </c>
      <c r="N178" s="177"/>
    </row>
    <row r="179" spans="10:20" x14ac:dyDescent="0.25">
      <c r="J179" s="204" t="s">
        <v>502</v>
      </c>
      <c r="K179" s="196" t="s">
        <v>447</v>
      </c>
      <c r="L179" s="177">
        <v>2019</v>
      </c>
      <c r="M179" s="177"/>
      <c r="N179" s="179">
        <f>L142*E120</f>
        <v>0.7734750370712461</v>
      </c>
      <c r="R179" s="454"/>
    </row>
    <row r="180" spans="10:20" x14ac:dyDescent="0.25">
      <c r="J180" s="189" t="s">
        <v>502</v>
      </c>
      <c r="K180" s="177" t="s">
        <v>542</v>
      </c>
      <c r="L180" s="196">
        <v>2019</v>
      </c>
      <c r="M180" s="179"/>
      <c r="N180" s="209">
        <f>O185/N179</f>
        <v>1.0213645717531177</v>
      </c>
    </row>
    <row r="182" spans="10:20" x14ac:dyDescent="0.25">
      <c r="T182" s="454"/>
    </row>
    <row r="185" spans="10:20" x14ac:dyDescent="0.25">
      <c r="O185">
        <v>0.79</v>
      </c>
      <c r="P185" t="s">
        <v>968</v>
      </c>
    </row>
    <row r="186" spans="10:20" x14ac:dyDescent="0.25">
      <c r="N186" t="s">
        <v>969</v>
      </c>
      <c r="O186">
        <v>344</v>
      </c>
    </row>
    <row r="187" spans="10:20" x14ac:dyDescent="0.25">
      <c r="N187" t="s">
        <v>971</v>
      </c>
      <c r="O187">
        <v>272</v>
      </c>
    </row>
    <row r="190" spans="10:20" x14ac:dyDescent="0.25">
      <c r="N190" t="s">
        <v>970</v>
      </c>
      <c r="O190">
        <f>O186*O185</f>
        <v>271.76</v>
      </c>
      <c r="P190" t="s">
        <v>343</v>
      </c>
    </row>
    <row r="191" spans="10:20" x14ac:dyDescent="0.25">
      <c r="N191" t="s">
        <v>970</v>
      </c>
      <c r="O191" s="239">
        <f>O187*O185/N179</f>
        <v>277.81116351684796</v>
      </c>
    </row>
    <row r="192" spans="10:20" x14ac:dyDescent="0.25">
      <c r="O192" s="239"/>
    </row>
  </sheetData>
  <conditionalFormatting sqref="S6:T22">
    <cfRule type="containsText" dxfId="43" priority="1" operator="containsText" text="Oil and Gas">
      <formula>NOT(ISERROR(SEARCH(("Oil and Gas"),(S6))))</formula>
    </cfRule>
    <cfRule type="containsText" dxfId="42" priority="2" operator="containsText" text="Gas">
      <formula>NOT(ISERROR(SEARCH(("Gas"),(S6))))</formula>
    </cfRule>
    <cfRule type="containsText" dxfId="41" priority="3" operator="containsText" text="Oil">
      <formula>NOT(ISERROR(SEARCH(("Oil"),(S6))))</formula>
    </cfRule>
  </conditionalFormatting>
  <conditionalFormatting sqref="W6:X22">
    <cfRule type="cellIs" dxfId="40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70E1-49C8-44F7-82FF-563669A1E53E}">
  <sheetPr>
    <tabColor theme="1"/>
  </sheetPr>
  <dimension ref="A1:X223"/>
  <sheetViews>
    <sheetView showGridLines="0" topLeftCell="A192" zoomScale="70" zoomScaleNormal="70" workbookViewId="0">
      <selection activeCell="G223" sqref="G223"/>
    </sheetView>
  </sheetViews>
  <sheetFormatPr baseColWidth="10" defaultRowHeight="15" x14ac:dyDescent="0.25"/>
  <cols>
    <col min="1" max="1" width="26.5703125" customWidth="1"/>
    <col min="2" max="2" width="12.28515625" customWidth="1"/>
    <col min="3" max="3" width="18.7109375" customWidth="1"/>
    <col min="4" max="4" width="42.85546875" customWidth="1"/>
    <col min="5" max="5" width="13.5703125" customWidth="1"/>
    <col min="10" max="10" width="16.85546875" customWidth="1"/>
    <col min="11" max="11" width="18.28515625" customWidth="1"/>
  </cols>
  <sheetData>
    <row r="1" spans="1:24" x14ac:dyDescent="0.25">
      <c r="A1" s="12" t="s">
        <v>978</v>
      </c>
      <c r="B1" s="12"/>
      <c r="C1" s="12" t="s">
        <v>348</v>
      </c>
      <c r="D1" s="12">
        <v>119.96</v>
      </c>
      <c r="E1" s="12" t="s">
        <v>979</v>
      </c>
    </row>
    <row r="2" spans="1:24" x14ac:dyDescent="0.25">
      <c r="A2" s="570">
        <v>4.1868E-5</v>
      </c>
      <c r="C2" s="12" t="s">
        <v>348</v>
      </c>
      <c r="D2" s="12">
        <v>142500</v>
      </c>
      <c r="E2" s="12" t="s">
        <v>980</v>
      </c>
      <c r="F2" s="12">
        <v>1.4250000000000001E-7</v>
      </c>
      <c r="G2" s="12" t="s">
        <v>981</v>
      </c>
    </row>
    <row r="3" spans="1:24" x14ac:dyDescent="0.25">
      <c r="A3" s="12" t="s">
        <v>982</v>
      </c>
      <c r="J3" s="109" t="s">
        <v>983</v>
      </c>
      <c r="K3">
        <v>8.33</v>
      </c>
      <c r="L3" s="12" t="s">
        <v>984</v>
      </c>
    </row>
    <row r="4" spans="1:24" x14ac:dyDescent="0.25">
      <c r="C4" s="14" t="s">
        <v>316</v>
      </c>
      <c r="D4" s="14" t="s">
        <v>317</v>
      </c>
      <c r="G4" s="14"/>
      <c r="K4">
        <v>349.86</v>
      </c>
      <c r="L4" s="12" t="s">
        <v>985</v>
      </c>
      <c r="M4" s="12" t="s">
        <v>986</v>
      </c>
      <c r="O4" s="14" t="s">
        <v>705</v>
      </c>
      <c r="P4" s="12" t="s">
        <v>987</v>
      </c>
    </row>
    <row r="5" spans="1:24" ht="75" x14ac:dyDescent="0.25">
      <c r="C5" s="14"/>
      <c r="D5" s="14" t="s">
        <v>318</v>
      </c>
      <c r="E5" s="599" t="s">
        <v>323</v>
      </c>
      <c r="G5" s="14"/>
      <c r="J5" s="211" t="s">
        <v>580</v>
      </c>
      <c r="K5" s="211" t="s">
        <v>581</v>
      </c>
      <c r="L5" s="326" t="s">
        <v>988</v>
      </c>
      <c r="M5" s="326" t="s">
        <v>989</v>
      </c>
      <c r="N5" s="211" t="s">
        <v>740</v>
      </c>
      <c r="O5" s="211" t="s">
        <v>990</v>
      </c>
      <c r="P5" s="600" t="s">
        <v>990</v>
      </c>
    </row>
    <row r="6" spans="1:24" x14ac:dyDescent="0.25">
      <c r="B6" s="12" t="s">
        <v>602</v>
      </c>
      <c r="C6" s="14" t="s">
        <v>321</v>
      </c>
      <c r="D6" s="14" t="s">
        <v>322</v>
      </c>
      <c r="G6" s="14"/>
      <c r="J6" s="601" t="s">
        <v>608</v>
      </c>
      <c r="K6" s="218">
        <v>48</v>
      </c>
      <c r="L6" s="602">
        <v>0.78830083565459608</v>
      </c>
      <c r="M6" s="516">
        <v>275.79493036211699</v>
      </c>
      <c r="N6" s="219" t="s">
        <v>292</v>
      </c>
      <c r="O6" s="286">
        <v>10231.853999999999</v>
      </c>
      <c r="P6" s="265">
        <v>2821893.461405348</v>
      </c>
    </row>
    <row r="7" spans="1:24" x14ac:dyDescent="0.25">
      <c r="A7" s="14" t="s">
        <v>7</v>
      </c>
      <c r="B7" s="227" t="s">
        <v>604</v>
      </c>
      <c r="C7" s="228">
        <v>1.0095573442026637</v>
      </c>
      <c r="D7" s="229">
        <v>55.539114956987063</v>
      </c>
      <c r="E7" s="603">
        <v>2.7137894079321097</v>
      </c>
      <c r="F7" s="12" t="s">
        <v>991</v>
      </c>
      <c r="G7" s="88"/>
      <c r="J7" s="601" t="s">
        <v>610</v>
      </c>
      <c r="K7" s="218">
        <v>52</v>
      </c>
      <c r="L7" s="602">
        <v>0.77111716621253401</v>
      </c>
      <c r="M7" s="516">
        <v>269.78305177111719</v>
      </c>
      <c r="N7" s="219" t="s">
        <v>292</v>
      </c>
      <c r="O7" s="286">
        <v>3182.6220821917809</v>
      </c>
      <c r="P7" s="265">
        <v>858617.49796784599</v>
      </c>
      <c r="T7" s="717"/>
      <c r="U7" s="719" t="s">
        <v>990</v>
      </c>
      <c r="V7" s="719"/>
      <c r="W7" s="605"/>
      <c r="X7" s="605"/>
    </row>
    <row r="8" spans="1:24" x14ac:dyDescent="0.25">
      <c r="A8" s="14" t="s">
        <v>13</v>
      </c>
      <c r="B8" s="227" t="s">
        <v>607</v>
      </c>
      <c r="C8" s="228">
        <v>6.0871741676095334</v>
      </c>
      <c r="D8" s="229">
        <v>77.841777688967127</v>
      </c>
      <c r="E8" s="603">
        <v>0.45008175418663371</v>
      </c>
      <c r="F8" s="12" t="s">
        <v>992</v>
      </c>
      <c r="G8" s="88"/>
      <c r="J8" s="601" t="s">
        <v>612</v>
      </c>
      <c r="K8" s="218">
        <v>46</v>
      </c>
      <c r="L8" s="602">
        <v>0.79718309859154934</v>
      </c>
      <c r="M8" s="516">
        <v>278.90247887323949</v>
      </c>
      <c r="N8" s="219" t="s">
        <v>292</v>
      </c>
      <c r="O8" s="286">
        <v>27008.407917808221</v>
      </c>
      <c r="P8" s="265">
        <v>7532711.9186963411</v>
      </c>
      <c r="S8" s="12"/>
      <c r="T8" s="718"/>
      <c r="U8" s="604" t="s">
        <v>993</v>
      </c>
      <c r="V8" s="604" t="s">
        <v>994</v>
      </c>
      <c r="W8" s="606" t="s">
        <v>989</v>
      </c>
      <c r="X8" s="604" t="s">
        <v>995</v>
      </c>
    </row>
    <row r="9" spans="1:24" x14ac:dyDescent="0.25">
      <c r="A9" s="14" t="s">
        <v>17</v>
      </c>
      <c r="B9" s="231" t="s">
        <v>609</v>
      </c>
      <c r="C9" s="88">
        <v>6.0871741676095334</v>
      </c>
      <c r="D9" s="232">
        <v>77.841777688967127</v>
      </c>
      <c r="E9" s="603">
        <v>0.45008175418663371</v>
      </c>
      <c r="F9" s="12" t="s">
        <v>992</v>
      </c>
      <c r="G9" s="88"/>
      <c r="J9" s="601" t="s">
        <v>614</v>
      </c>
      <c r="K9" s="218">
        <v>45.5</v>
      </c>
      <c r="L9" s="602">
        <v>0.79943502824858759</v>
      </c>
      <c r="M9" s="516">
        <v>279.69033898305088</v>
      </c>
      <c r="N9" s="219" t="s">
        <v>292</v>
      </c>
      <c r="O9" s="286">
        <v>8010.0189863013702</v>
      </c>
      <c r="P9" s="265">
        <v>2240324.925539304</v>
      </c>
      <c r="S9" s="360" t="s">
        <v>996</v>
      </c>
      <c r="T9" s="604" t="s">
        <v>292</v>
      </c>
      <c r="U9" s="607">
        <v>50394.967671232887</v>
      </c>
      <c r="V9" s="607">
        <v>14036925.491415592</v>
      </c>
      <c r="W9" s="605">
        <v>278.5382378452905</v>
      </c>
      <c r="X9" s="608">
        <v>46.232114566966032</v>
      </c>
    </row>
    <row r="10" spans="1:24" x14ac:dyDescent="0.25">
      <c r="A10" s="14" t="s">
        <v>21</v>
      </c>
      <c r="B10" s="233" t="s">
        <v>611</v>
      </c>
      <c r="C10" s="234">
        <v>6.0871741676095334</v>
      </c>
      <c r="D10" s="235">
        <v>77.841777688967127</v>
      </c>
      <c r="E10" s="603">
        <v>0.45008175418663371</v>
      </c>
      <c r="F10" s="12" t="s">
        <v>992</v>
      </c>
      <c r="G10" s="88"/>
      <c r="J10" s="601" t="s">
        <v>616</v>
      </c>
      <c r="K10" s="218">
        <v>12.850000000000001</v>
      </c>
      <c r="L10" s="602">
        <v>0.98025632144094221</v>
      </c>
      <c r="M10" s="516">
        <v>342.95247661932808</v>
      </c>
      <c r="N10" s="219" t="s">
        <v>296</v>
      </c>
      <c r="O10" s="286">
        <v>119308.68268493151</v>
      </c>
      <c r="P10" s="265">
        <v>40917208.208986804</v>
      </c>
      <c r="S10" s="360" t="s">
        <v>997</v>
      </c>
      <c r="T10" s="604" t="s">
        <v>295</v>
      </c>
      <c r="U10" s="607">
        <v>85083.722575342501</v>
      </c>
      <c r="V10" s="607">
        <v>27428038.695017595</v>
      </c>
      <c r="W10" s="605">
        <v>322.36528756402009</v>
      </c>
      <c r="X10" s="608">
        <v>22.068612719099065</v>
      </c>
    </row>
    <row r="11" spans="1:24" x14ac:dyDescent="0.25">
      <c r="A11" s="14" t="s">
        <v>8</v>
      </c>
      <c r="B11" s="227" t="s">
        <v>613</v>
      </c>
      <c r="C11" s="228">
        <v>5.3308987344700309</v>
      </c>
      <c r="D11" s="229">
        <v>69.193827140333724</v>
      </c>
      <c r="E11" s="603">
        <v>0.51393323412466374</v>
      </c>
      <c r="F11" s="12" t="s">
        <v>992</v>
      </c>
      <c r="G11" s="88"/>
      <c r="J11" s="601" t="s">
        <v>617</v>
      </c>
      <c r="K11" s="218">
        <v>13.7</v>
      </c>
      <c r="L11" s="602">
        <v>0.97451790633608826</v>
      </c>
      <c r="M11" s="516">
        <v>340.94483471074386</v>
      </c>
      <c r="N11" s="219" t="s">
        <v>296</v>
      </c>
      <c r="O11" s="286">
        <v>114056.06200000001</v>
      </c>
      <c r="P11" s="265">
        <v>38886825.206348352</v>
      </c>
      <c r="S11" s="360" t="s">
        <v>998</v>
      </c>
      <c r="T11" s="604" t="s">
        <v>296</v>
      </c>
      <c r="U11" s="607">
        <v>326153.27038356167</v>
      </c>
      <c r="V11" s="607">
        <v>111749377.46739072</v>
      </c>
      <c r="W11" s="605">
        <v>342.62841312604837</v>
      </c>
      <c r="X11" s="608">
        <v>12.986528564073609</v>
      </c>
    </row>
    <row r="12" spans="1:24" x14ac:dyDescent="0.25">
      <c r="A12" s="14" t="s">
        <v>14</v>
      </c>
      <c r="B12" s="231" t="s">
        <v>615</v>
      </c>
      <c r="C12" s="88">
        <v>5.6708498400612823</v>
      </c>
      <c r="D12" s="232">
        <v>75.166375708662926</v>
      </c>
      <c r="E12" s="603">
        <v>0.48312441779760712</v>
      </c>
      <c r="F12" s="12" t="s">
        <v>992</v>
      </c>
      <c r="G12" s="88"/>
      <c r="J12" s="601" t="s">
        <v>619</v>
      </c>
      <c r="K12" s="218">
        <v>13.5</v>
      </c>
      <c r="L12" s="602">
        <v>0.97586206896551719</v>
      </c>
      <c r="M12" s="516">
        <v>341.41510344827589</v>
      </c>
      <c r="N12" s="219" t="s">
        <v>296</v>
      </c>
      <c r="O12" s="286">
        <v>69090.784575342463</v>
      </c>
      <c r="P12" s="265">
        <v>23588637.36311309</v>
      </c>
    </row>
    <row r="13" spans="1:24" x14ac:dyDescent="0.25">
      <c r="A13" s="14" t="s">
        <v>18</v>
      </c>
      <c r="B13" s="233" t="s">
        <v>61</v>
      </c>
      <c r="C13" s="234">
        <v>4.7117947967516214</v>
      </c>
      <c r="D13" s="235">
        <v>87.735056011523966</v>
      </c>
      <c r="E13" s="603">
        <v>0.58146123623339163</v>
      </c>
      <c r="F13" s="12" t="s">
        <v>992</v>
      </c>
      <c r="G13" s="88"/>
      <c r="J13" s="601" t="s">
        <v>621</v>
      </c>
      <c r="K13" s="218">
        <v>8</v>
      </c>
      <c r="L13" s="602">
        <v>1.0143369175627239</v>
      </c>
      <c r="M13" s="516">
        <v>354.87591397849462</v>
      </c>
      <c r="N13" s="219" t="s">
        <v>296</v>
      </c>
      <c r="O13" s="286">
        <v>19756.607616438356</v>
      </c>
      <c r="P13" s="265">
        <v>7011144.1849980494</v>
      </c>
    </row>
    <row r="14" spans="1:24" x14ac:dyDescent="0.25">
      <c r="A14" s="14" t="s">
        <v>22</v>
      </c>
      <c r="B14" s="227" t="s">
        <v>618</v>
      </c>
      <c r="C14" s="228">
        <v>4.0562660463586173</v>
      </c>
      <c r="D14" s="229">
        <v>47.28933824683137</v>
      </c>
      <c r="E14" s="603">
        <v>0.67543055511774464</v>
      </c>
      <c r="F14" s="12" t="s">
        <v>992</v>
      </c>
      <c r="G14" s="88"/>
      <c r="J14" s="601" t="s">
        <v>623</v>
      </c>
      <c r="K14" s="218">
        <v>13.5</v>
      </c>
      <c r="L14" s="602">
        <v>0.97586206896551719</v>
      </c>
      <c r="M14" s="516">
        <v>341.41510344827589</v>
      </c>
      <c r="N14" s="219" t="s">
        <v>296</v>
      </c>
      <c r="O14" s="286">
        <v>3941.1335068493149</v>
      </c>
      <c r="P14" s="265">
        <v>1345562.5039444251</v>
      </c>
    </row>
    <row r="15" spans="1:24" x14ac:dyDescent="0.25">
      <c r="A15" s="14" t="s">
        <v>26</v>
      </c>
      <c r="B15" s="231" t="s">
        <v>620</v>
      </c>
      <c r="C15" s="88">
        <v>5.4608206169323079</v>
      </c>
      <c r="D15" s="232">
        <v>78.281203343664757</v>
      </c>
      <c r="E15" s="603">
        <v>0.50170591923532903</v>
      </c>
      <c r="F15" s="12" t="s">
        <v>992</v>
      </c>
      <c r="G15" s="88"/>
      <c r="J15" s="601" t="s">
        <v>625</v>
      </c>
      <c r="K15" s="218">
        <v>35</v>
      </c>
      <c r="L15" s="602">
        <v>0.8498498498498499</v>
      </c>
      <c r="M15" s="516">
        <v>297.32846846846849</v>
      </c>
      <c r="N15" s="219" t="s">
        <v>292</v>
      </c>
      <c r="O15" s="286">
        <v>1962.0646849315069</v>
      </c>
      <c r="P15" s="265">
        <v>583377.68780675309</v>
      </c>
    </row>
    <row r="16" spans="1:24" x14ac:dyDescent="0.25">
      <c r="A16" s="14" t="s">
        <v>69</v>
      </c>
      <c r="B16" s="231" t="s">
        <v>622</v>
      </c>
      <c r="C16" s="88">
        <v>4.7615165047769556</v>
      </c>
      <c r="D16" s="232">
        <v>56.337812381502502</v>
      </c>
      <c r="E16" s="603">
        <v>0.57538937954927816</v>
      </c>
      <c r="F16" s="12" t="s">
        <v>992</v>
      </c>
      <c r="G16" s="88"/>
      <c r="J16" s="601" t="s">
        <v>628</v>
      </c>
      <c r="K16" s="218">
        <v>21</v>
      </c>
      <c r="L16" s="602">
        <v>0.9278688524590164</v>
      </c>
      <c r="M16" s="516">
        <v>324.62419672131148</v>
      </c>
      <c r="N16" s="219" t="s">
        <v>295</v>
      </c>
      <c r="O16" s="286">
        <v>12119.3965753425</v>
      </c>
      <c r="P16" s="265">
        <v>3934249.3780175722</v>
      </c>
    </row>
    <row r="17" spans="1:19" x14ac:dyDescent="0.25">
      <c r="A17" s="14" t="s">
        <v>72</v>
      </c>
      <c r="B17" s="233" t="s">
        <v>73</v>
      </c>
      <c r="C17" s="234">
        <v>1.002301089888</v>
      </c>
      <c r="D17" s="235">
        <v>40.784041574326501</v>
      </c>
      <c r="E17" s="603">
        <v>2.7334361451242213</v>
      </c>
      <c r="F17" s="12" t="s">
        <v>992</v>
      </c>
      <c r="G17" s="88"/>
      <c r="J17" s="601" t="s">
        <v>629</v>
      </c>
      <c r="K17" s="218">
        <v>12.5</v>
      </c>
      <c r="L17" s="602">
        <v>0.98263888888888884</v>
      </c>
      <c r="M17" s="516">
        <v>343.78604166666668</v>
      </c>
      <c r="N17" s="219" t="s">
        <v>296</v>
      </c>
      <c r="O17" s="286">
        <v>1476.5236986301368</v>
      </c>
      <c r="P17" s="265">
        <v>507608.23777908098</v>
      </c>
    </row>
    <row r="18" spans="1:19" x14ac:dyDescent="0.25">
      <c r="A18" s="236" t="s">
        <v>999</v>
      </c>
      <c r="J18" s="601" t="s">
        <v>632</v>
      </c>
      <c r="K18" s="218">
        <v>21</v>
      </c>
      <c r="L18" s="602">
        <v>0.9278688524590164</v>
      </c>
      <c r="M18" s="516">
        <v>324.62419672131148</v>
      </c>
      <c r="N18" s="219" t="s">
        <v>295</v>
      </c>
      <c r="O18" s="286">
        <v>17849.99879452055</v>
      </c>
      <c r="P18" s="265">
        <v>5794541.5201476114</v>
      </c>
    </row>
    <row r="19" spans="1:19" x14ac:dyDescent="0.25">
      <c r="J19" s="601" t="s">
        <v>634</v>
      </c>
      <c r="K19" s="218">
        <v>22.5</v>
      </c>
      <c r="L19" s="602">
        <v>0.91883116883116878</v>
      </c>
      <c r="M19" s="516">
        <v>321.4622727272727</v>
      </c>
      <c r="N19" s="219" t="s">
        <v>295</v>
      </c>
      <c r="O19" s="286">
        <v>42334.39687671233</v>
      </c>
      <c r="P19" s="265">
        <v>13608911.4345263</v>
      </c>
    </row>
    <row r="20" spans="1:19" x14ac:dyDescent="0.25">
      <c r="B20" s="12" t="s">
        <v>348</v>
      </c>
      <c r="C20">
        <v>120.1</v>
      </c>
      <c r="D20" s="12" t="s">
        <v>979</v>
      </c>
      <c r="J20" s="601" t="s">
        <v>637</v>
      </c>
      <c r="K20" s="218">
        <v>23</v>
      </c>
      <c r="L20" s="602">
        <v>0.91585760517799353</v>
      </c>
      <c r="M20" s="516">
        <v>320.42194174757282</v>
      </c>
      <c r="N20" s="219" t="s">
        <v>295</v>
      </c>
      <c r="O20" s="286">
        <v>4684.6815890410962</v>
      </c>
      <c r="P20" s="265">
        <v>1501074.7712296529</v>
      </c>
    </row>
    <row r="21" spans="1:19" x14ac:dyDescent="0.25">
      <c r="B21" s="12" t="s">
        <v>348</v>
      </c>
      <c r="C21">
        <v>0.1201</v>
      </c>
      <c r="D21" s="12" t="s">
        <v>1000</v>
      </c>
      <c r="J21" s="601" t="s">
        <v>638</v>
      </c>
      <c r="K21" s="218">
        <v>25.5</v>
      </c>
      <c r="L21" s="602">
        <v>0.90127388535031849</v>
      </c>
      <c r="M21" s="516">
        <v>315.31968152866244</v>
      </c>
      <c r="N21" s="219" t="s">
        <v>295</v>
      </c>
      <c r="O21" s="286">
        <v>4154.1152328767121</v>
      </c>
      <c r="P21" s="265">
        <v>1309874.2922640503</v>
      </c>
    </row>
    <row r="22" spans="1:19" x14ac:dyDescent="0.25">
      <c r="J22" s="601" t="s">
        <v>639</v>
      </c>
      <c r="K22" s="218">
        <v>21</v>
      </c>
      <c r="L22" s="602">
        <v>0.9278688524590164</v>
      </c>
      <c r="M22" s="516">
        <v>324.62419672131148</v>
      </c>
      <c r="N22" s="219" t="s">
        <v>295</v>
      </c>
      <c r="O22" s="286">
        <v>3941.1335068493149</v>
      </c>
      <c r="P22" s="265">
        <v>1279387.2988324042</v>
      </c>
    </row>
    <row r="29" spans="1:19" ht="18.75" x14ac:dyDescent="0.3">
      <c r="D29" s="181" t="s">
        <v>534</v>
      </c>
      <c r="S29" s="181"/>
    </row>
    <row r="30" spans="1:19" x14ac:dyDescent="0.25">
      <c r="C30" s="609"/>
    </row>
    <row r="31" spans="1:19" x14ac:dyDescent="0.25">
      <c r="C31" s="503" t="s">
        <v>1001</v>
      </c>
      <c r="D31" s="12" t="s">
        <v>1002</v>
      </c>
      <c r="E31">
        <v>24</v>
      </c>
      <c r="F31" s="12" t="s">
        <v>995</v>
      </c>
    </row>
    <row r="32" spans="1:19" x14ac:dyDescent="0.25">
      <c r="C32" s="503" t="s">
        <v>1003</v>
      </c>
      <c r="D32" s="12" t="s">
        <v>1071</v>
      </c>
      <c r="E32" s="153">
        <v>0.3</v>
      </c>
    </row>
    <row r="33" spans="3:10" x14ac:dyDescent="0.25">
      <c r="C33" s="609"/>
      <c r="G33" s="577"/>
      <c r="H33" s="577" t="s">
        <v>993</v>
      </c>
      <c r="I33" s="577" t="s">
        <v>985</v>
      </c>
      <c r="J33" s="577" t="s">
        <v>994</v>
      </c>
    </row>
    <row r="34" spans="3:10" x14ac:dyDescent="0.25">
      <c r="C34" s="609"/>
      <c r="D34" s="610" t="s">
        <v>1005</v>
      </c>
      <c r="G34" s="577" t="s">
        <v>995</v>
      </c>
      <c r="H34" s="577" t="s">
        <v>1006</v>
      </c>
      <c r="I34" s="577" t="s">
        <v>989</v>
      </c>
      <c r="J34" s="577" t="s">
        <v>1007</v>
      </c>
    </row>
    <row r="35" spans="3:10" x14ac:dyDescent="0.25">
      <c r="C35" s="609"/>
      <c r="D35" s="12" t="s">
        <v>1008</v>
      </c>
      <c r="E35" s="114">
        <f>+H35/100</f>
        <v>0.23009135447964041</v>
      </c>
      <c r="G35" s="611">
        <f>+X9</f>
        <v>46.232114566966032</v>
      </c>
      <c r="H35" s="612">
        <v>23.009135447964042</v>
      </c>
      <c r="I35" s="612">
        <f>+(141.5/(G35+131.5))*$K$4</f>
        <v>278.5382378452905</v>
      </c>
      <c r="J35" s="613">
        <f>+I35*H35</f>
        <v>6408.9240420195129</v>
      </c>
    </row>
    <row r="36" spans="3:10" x14ac:dyDescent="0.25">
      <c r="C36" s="609"/>
      <c r="D36" s="12" t="s">
        <v>1009</v>
      </c>
      <c r="E36" s="114">
        <f>+H36/100</f>
        <v>0.46990864552035966</v>
      </c>
      <c r="G36" s="611">
        <f>+X10</f>
        <v>22.068612719099065</v>
      </c>
      <c r="H36" s="612">
        <v>46.990864552035966</v>
      </c>
      <c r="I36" s="612">
        <f>+(141.5/(G36+131.5))*$K$4</f>
        <v>322.36528756402009</v>
      </c>
      <c r="J36" s="613">
        <f>+I36*H36</f>
        <v>15148.223564198992</v>
      </c>
    </row>
    <row r="37" spans="3:10" x14ac:dyDescent="0.25">
      <c r="C37" s="609"/>
      <c r="D37" s="12" t="s">
        <v>1010</v>
      </c>
      <c r="E37" s="114">
        <v>0.3</v>
      </c>
      <c r="G37" s="611">
        <f>+X11</f>
        <v>12.986528564073609</v>
      </c>
      <c r="H37" s="612">
        <v>30</v>
      </c>
      <c r="I37" s="612">
        <f>+(141.5/(G37+131.5))*$K$4</f>
        <v>342.62841312604837</v>
      </c>
      <c r="J37" s="613">
        <f>+I37*H37</f>
        <v>10278.852393781452</v>
      </c>
    </row>
    <row r="38" spans="3:10" x14ac:dyDescent="0.25">
      <c r="C38" s="609"/>
      <c r="E38" s="614">
        <f>+SUM(E35:E37)</f>
        <v>1</v>
      </c>
      <c r="G38" s="577">
        <f>+(141.5/(I38/K4)-131.5)</f>
        <v>24</v>
      </c>
      <c r="H38" s="611">
        <f>+SUM(H35:H37)</f>
        <v>100</v>
      </c>
      <c r="I38" s="612">
        <f>+(141.5/(G39+131.5))*$K$4</f>
        <v>318.36135048231512</v>
      </c>
      <c r="J38" s="615">
        <f>+SUM(J35:J37)</f>
        <v>31835.999999999956</v>
      </c>
    </row>
    <row r="39" spans="3:10" x14ac:dyDescent="0.25">
      <c r="C39" s="609"/>
      <c r="G39" s="616">
        <f>+E31</f>
        <v>24</v>
      </c>
      <c r="H39" s="616"/>
      <c r="I39" s="616"/>
      <c r="J39" s="617">
        <f>+I38*100</f>
        <v>31836.13504823151</v>
      </c>
    </row>
    <row r="41" spans="3:10" x14ac:dyDescent="0.25">
      <c r="C41" s="648" t="s">
        <v>1011</v>
      </c>
      <c r="D41" s="649" t="s">
        <v>1072</v>
      </c>
      <c r="E41" s="650"/>
      <c r="F41" s="650"/>
      <c r="G41" s="651"/>
      <c r="H41" s="651" t="s">
        <v>993</v>
      </c>
      <c r="I41" s="651" t="s">
        <v>985</v>
      </c>
      <c r="J41" s="651" t="s">
        <v>994</v>
      </c>
    </row>
    <row r="42" spans="3:10" x14ac:dyDescent="0.25">
      <c r="D42" s="650" t="s">
        <v>1008</v>
      </c>
      <c r="E42" s="652">
        <v>0.15</v>
      </c>
      <c r="F42" s="650"/>
      <c r="G42" s="651" t="s">
        <v>995</v>
      </c>
      <c r="H42" s="651" t="s">
        <v>1006</v>
      </c>
      <c r="I42" s="651" t="s">
        <v>989</v>
      </c>
      <c r="J42" s="651" t="s">
        <v>1007</v>
      </c>
    </row>
    <row r="43" spans="3:10" x14ac:dyDescent="0.25">
      <c r="D43" s="650" t="s">
        <v>1009</v>
      </c>
      <c r="E43" s="653">
        <v>0.25</v>
      </c>
      <c r="F43" s="650"/>
      <c r="G43" s="654">
        <f>+G35</f>
        <v>46.232114566966032</v>
      </c>
      <c r="H43" s="651">
        <v>30</v>
      </c>
      <c r="I43" s="655">
        <f>+(141.5/(G43+131.5))*$K$4</f>
        <v>278.5382378452905</v>
      </c>
      <c r="J43" s="656">
        <f>+I43*H43</f>
        <v>8356.1471353587149</v>
      </c>
    </row>
    <row r="44" spans="3:10" x14ac:dyDescent="0.25">
      <c r="D44" s="650" t="s">
        <v>1010</v>
      </c>
      <c r="E44" s="653">
        <v>0.6</v>
      </c>
      <c r="F44" s="650"/>
      <c r="G44" s="654">
        <f>+G36</f>
        <v>22.068612719099065</v>
      </c>
      <c r="H44" s="654">
        <v>0</v>
      </c>
      <c r="I44" s="655">
        <f>+(141.5/(G44+131.5))*$K$4</f>
        <v>322.36528756402009</v>
      </c>
      <c r="J44" s="656">
        <f>+I44*H44</f>
        <v>0</v>
      </c>
    </row>
    <row r="45" spans="3:10" x14ac:dyDescent="0.25">
      <c r="D45" s="650"/>
      <c r="E45" s="657">
        <f>+SUM(E42:E44)</f>
        <v>1</v>
      </c>
      <c r="F45" s="650"/>
      <c r="G45" s="654">
        <f>+G37</f>
        <v>12.986528564073609</v>
      </c>
      <c r="H45" s="654">
        <v>70</v>
      </c>
      <c r="I45" s="655">
        <f t="shared" ref="I45" si="0">+(141.5/(G45+131.5))*$K$4</f>
        <v>342.62841312604837</v>
      </c>
      <c r="J45" s="656">
        <f>+I45*H45</f>
        <v>23983.988918823386</v>
      </c>
    </row>
    <row r="46" spans="3:10" x14ac:dyDescent="0.25">
      <c r="D46" s="650"/>
      <c r="E46" s="650"/>
      <c r="F46" s="650"/>
      <c r="G46" s="651">
        <f>+(141.5/(I46/K4)-131.5)</f>
        <v>24</v>
      </c>
      <c r="H46" s="654">
        <f>+SUM(H43:H45)</f>
        <v>100</v>
      </c>
      <c r="I46" s="655">
        <f>+(141.5/(G47+131.5))*$K$4</f>
        <v>318.36135048231512</v>
      </c>
      <c r="J46" s="658">
        <f>+SUM(J43:J45)</f>
        <v>32340.136054182101</v>
      </c>
    </row>
    <row r="47" spans="3:10" x14ac:dyDescent="0.25">
      <c r="D47" s="650"/>
      <c r="E47" s="650"/>
      <c r="F47" s="650"/>
      <c r="G47" s="659">
        <f>+E31</f>
        <v>24</v>
      </c>
      <c r="H47" s="659"/>
      <c r="I47" s="659"/>
      <c r="J47" s="660">
        <f>+I46*H46</f>
        <v>31836.13504823151</v>
      </c>
    </row>
    <row r="49" spans="3:11" x14ac:dyDescent="0.25">
      <c r="D49" s="618" t="s">
        <v>713</v>
      </c>
    </row>
    <row r="50" spans="3:11" x14ac:dyDescent="0.25">
      <c r="D50" s="12" t="s">
        <v>1013</v>
      </c>
      <c r="E50">
        <v>2.7603</v>
      </c>
      <c r="F50" s="12" t="s">
        <v>318</v>
      </c>
    </row>
    <row r="51" spans="3:11" x14ac:dyDescent="0.25">
      <c r="D51" s="619" t="s">
        <v>1014</v>
      </c>
      <c r="E51" s="620">
        <f>+E50*($C$8/1000)</f>
        <v>1.6802426854852597E-2</v>
      </c>
      <c r="F51" s="619" t="s">
        <v>1015</v>
      </c>
    </row>
    <row r="52" spans="3:11" x14ac:dyDescent="0.25">
      <c r="D52" s="619" t="s">
        <v>1014</v>
      </c>
      <c r="E52" s="620">
        <f>+E51*1000</f>
        <v>16.802426854852598</v>
      </c>
      <c r="F52" s="619" t="s">
        <v>1016</v>
      </c>
    </row>
    <row r="53" spans="3:11" x14ac:dyDescent="0.25">
      <c r="D53" s="619" t="s">
        <v>1014</v>
      </c>
      <c r="E53" s="620">
        <f>+E52</f>
        <v>16.802426854852598</v>
      </c>
      <c r="F53" s="619" t="s">
        <v>1017</v>
      </c>
    </row>
    <row r="56" spans="3:11" ht="18.75" x14ac:dyDescent="0.3">
      <c r="D56" s="181" t="s">
        <v>536</v>
      </c>
    </row>
    <row r="58" spans="3:11" x14ac:dyDescent="0.25">
      <c r="D58" s="618" t="s">
        <v>1018</v>
      </c>
      <c r="H58" s="12" t="s">
        <v>1073</v>
      </c>
      <c r="J58" s="239">
        <f>+J61/J59</f>
        <v>22.376810491959233</v>
      </c>
      <c r="K58" s="12" t="s">
        <v>318</v>
      </c>
    </row>
    <row r="59" spans="3:11" x14ac:dyDescent="0.25">
      <c r="C59" s="503" t="s">
        <v>1001</v>
      </c>
      <c r="D59" s="16" t="s">
        <v>1020</v>
      </c>
      <c r="E59" s="12">
        <v>250</v>
      </c>
      <c r="F59" s="410" t="s">
        <v>1021</v>
      </c>
      <c r="H59" s="12" t="s">
        <v>1074</v>
      </c>
      <c r="J59" s="239">
        <f>+J60*365*C8/1000</f>
        <v>542.12373136730503</v>
      </c>
      <c r="K59" s="12" t="s">
        <v>56</v>
      </c>
    </row>
    <row r="60" spans="3:11" x14ac:dyDescent="0.25">
      <c r="C60" s="236" t="s">
        <v>1022</v>
      </c>
      <c r="D60" s="16" t="s">
        <v>1023</v>
      </c>
      <c r="E60" s="12">
        <v>218</v>
      </c>
      <c r="F60" s="410" t="s">
        <v>1021</v>
      </c>
      <c r="H60" s="12" t="s">
        <v>1074</v>
      </c>
      <c r="J60">
        <v>244</v>
      </c>
      <c r="K60" s="625" t="s">
        <v>1021</v>
      </c>
    </row>
    <row r="61" spans="3:11" x14ac:dyDescent="0.25">
      <c r="C61" s="621"/>
      <c r="D61" s="16" t="s">
        <v>1024</v>
      </c>
      <c r="E61" s="622">
        <f>+E59*365*C8/1000</f>
        <v>555.45464279436999</v>
      </c>
      <c r="F61" s="410" t="s">
        <v>56</v>
      </c>
      <c r="H61" s="12" t="s">
        <v>1074</v>
      </c>
      <c r="J61">
        <v>12131</v>
      </c>
      <c r="K61" s="12" t="s">
        <v>1075</v>
      </c>
    </row>
    <row r="62" spans="3:11" x14ac:dyDescent="0.25">
      <c r="C62" s="621"/>
      <c r="D62" s="16" t="s">
        <v>1025</v>
      </c>
      <c r="E62" s="622">
        <f>+E60*365*C9/1000</f>
        <v>484.35644851669059</v>
      </c>
      <c r="F62" s="410" t="s">
        <v>56</v>
      </c>
    </row>
    <row r="63" spans="3:11" x14ac:dyDescent="0.25">
      <c r="C63" s="621"/>
      <c r="D63" s="16"/>
      <c r="E63" s="622"/>
      <c r="F63" s="410"/>
    </row>
    <row r="64" spans="3:11" x14ac:dyDescent="0.25">
      <c r="C64" s="236" t="s">
        <v>1026</v>
      </c>
      <c r="D64" s="16" t="s">
        <v>1027</v>
      </c>
      <c r="E64" s="623">
        <f>+E60/E59</f>
        <v>0.872</v>
      </c>
      <c r="F64" s="410"/>
    </row>
    <row r="65" spans="1:9" x14ac:dyDescent="0.25">
      <c r="C65" s="236" t="s">
        <v>1028</v>
      </c>
      <c r="D65" s="16" t="s">
        <v>1029</v>
      </c>
      <c r="E65" s="623">
        <v>0.9</v>
      </c>
      <c r="F65" s="410"/>
    </row>
    <row r="66" spans="1:9" x14ac:dyDescent="0.25">
      <c r="C66" s="621"/>
      <c r="D66" s="16"/>
      <c r="E66" s="623"/>
      <c r="F66" s="410"/>
    </row>
    <row r="67" spans="1:9" x14ac:dyDescent="0.25">
      <c r="C67" s="236" t="s">
        <v>1030</v>
      </c>
      <c r="D67" s="16" t="s">
        <v>1031</v>
      </c>
      <c r="E67" s="624">
        <v>4.8099999999999996</v>
      </c>
      <c r="F67" s="625" t="s">
        <v>1032</v>
      </c>
    </row>
    <row r="68" spans="1:9" x14ac:dyDescent="0.25">
      <c r="A68" s="626">
        <v>8.2176851262728707</v>
      </c>
      <c r="C68" s="621"/>
      <c r="D68" s="16" t="s">
        <v>1033</v>
      </c>
      <c r="E68" s="624">
        <f>+E67/A68</f>
        <v>0.58532298647241721</v>
      </c>
      <c r="F68" s="625" t="s">
        <v>444</v>
      </c>
    </row>
    <row r="70" spans="1:9" x14ac:dyDescent="0.25">
      <c r="D70" s="618" t="s">
        <v>1034</v>
      </c>
    </row>
    <row r="71" spans="1:9" x14ac:dyDescent="0.25">
      <c r="E71" s="599" t="s">
        <v>323</v>
      </c>
      <c r="F71" s="159" t="s">
        <v>56</v>
      </c>
    </row>
    <row r="72" spans="1:9" x14ac:dyDescent="0.25">
      <c r="C72" s="236" t="s">
        <v>1076</v>
      </c>
      <c r="D72" s="12" t="s">
        <v>1077</v>
      </c>
      <c r="E72" s="391">
        <f>+(F72/C21)/365</f>
        <v>1.5972602739726026E-2</v>
      </c>
      <c r="F72" s="239">
        <f>+E82*J59</f>
        <v>0.700183</v>
      </c>
    </row>
    <row r="73" spans="1:9" x14ac:dyDescent="0.25">
      <c r="C73" s="236" t="s">
        <v>1026</v>
      </c>
      <c r="D73" s="12" t="s">
        <v>1078</v>
      </c>
      <c r="E73" s="239">
        <f>+F73*E17</f>
        <v>35.54706415898611</v>
      </c>
      <c r="F73" s="239">
        <f>+E83*J59</f>
        <v>13.004534319337711</v>
      </c>
      <c r="I73" s="622"/>
    </row>
    <row r="74" spans="1:9" x14ac:dyDescent="0.25">
      <c r="C74" s="236" t="s">
        <v>1026</v>
      </c>
      <c r="D74" s="12" t="s">
        <v>1079</v>
      </c>
      <c r="E74" s="239">
        <f>+F74*E7</f>
        <v>58.960930528934362</v>
      </c>
      <c r="F74" s="239">
        <f>+E84*J59</f>
        <v>21.726420759325691</v>
      </c>
    </row>
    <row r="75" spans="1:9" x14ac:dyDescent="0.25">
      <c r="C75" s="236" t="s">
        <v>1026</v>
      </c>
      <c r="D75" s="12" t="s">
        <v>1080</v>
      </c>
      <c r="E75" s="627">
        <f>+F75*E15</f>
        <v>3.4528026945575578</v>
      </c>
      <c r="F75" s="239">
        <f>+E85*J59</f>
        <v>6.8821246913333587</v>
      </c>
    </row>
    <row r="76" spans="1:9" x14ac:dyDescent="0.25">
      <c r="C76" s="503" t="s">
        <v>1040</v>
      </c>
      <c r="D76" s="12" t="s">
        <v>1081</v>
      </c>
      <c r="E76">
        <v>651</v>
      </c>
      <c r="F76" s="391">
        <f>+(E76/E14)/1000</f>
        <v>0.9638296566055029</v>
      </c>
      <c r="H76" s="622"/>
    </row>
    <row r="77" spans="1:9" x14ac:dyDescent="0.25">
      <c r="C77" s="503"/>
      <c r="D77" s="12"/>
    </row>
    <row r="79" spans="1:9" x14ac:dyDescent="0.25">
      <c r="A79" s="391"/>
      <c r="B79" s="631"/>
      <c r="C79" s="12"/>
      <c r="D79" s="12"/>
      <c r="E79" s="391"/>
      <c r="F79" s="12"/>
    </row>
    <row r="80" spans="1:9" x14ac:dyDescent="0.25">
      <c r="A80" s="391"/>
      <c r="B80" s="239"/>
      <c r="C80" s="12"/>
      <c r="D80" s="618" t="s">
        <v>1046</v>
      </c>
      <c r="E80" s="391"/>
      <c r="F80" s="12"/>
    </row>
    <row r="81" spans="3:12" x14ac:dyDescent="0.25">
      <c r="G81" s="506" t="s">
        <v>1047</v>
      </c>
      <c r="H81" s="506" t="s">
        <v>1048</v>
      </c>
      <c r="I81" s="632" t="s">
        <v>1049</v>
      </c>
    </row>
    <row r="82" spans="3:12" x14ac:dyDescent="0.25">
      <c r="C82" s="503" t="s">
        <v>1082</v>
      </c>
      <c r="D82" s="12" t="s">
        <v>1050</v>
      </c>
      <c r="E82" s="375">
        <f>(5.83*C21)/J59</f>
        <v>1.2915557085723759E-3</v>
      </c>
      <c r="F82" s="12" t="s">
        <v>729</v>
      </c>
      <c r="G82" s="510">
        <f>E82*J59</f>
        <v>0.700183</v>
      </c>
      <c r="H82" s="510">
        <f>G82/C21</f>
        <v>5.83</v>
      </c>
      <c r="I82" s="633">
        <f>H82/(J60*365)</f>
        <v>6.5461486638221421E-5</v>
      </c>
      <c r="J82" s="12" t="s">
        <v>1051</v>
      </c>
      <c r="K82" s="470">
        <f>I82*1000</f>
        <v>6.5461486638221419E-2</v>
      </c>
      <c r="L82" s="634" t="s">
        <v>1016</v>
      </c>
    </row>
    <row r="83" spans="3:12" x14ac:dyDescent="0.25">
      <c r="C83" s="503" t="s">
        <v>1083</v>
      </c>
      <c r="D83" s="12" t="s">
        <v>1052</v>
      </c>
      <c r="E83">
        <f>291/J61</f>
        <v>2.3988129585359824E-2</v>
      </c>
      <c r="F83" s="12" t="s">
        <v>729</v>
      </c>
      <c r="G83" s="635">
        <f>E83*J59</f>
        <v>13.004534319337711</v>
      </c>
      <c r="H83" s="510">
        <f>G83/(C17/1000)</f>
        <v>12974.678418029931</v>
      </c>
      <c r="I83" s="636">
        <f>H83/(J60*365)</f>
        <v>0.14568468917617258</v>
      </c>
      <c r="J83" s="12" t="s">
        <v>1053</v>
      </c>
    </row>
    <row r="84" spans="3:12" x14ac:dyDescent="0.25">
      <c r="C84" s="503" t="s">
        <v>1083</v>
      </c>
      <c r="D84" s="12" t="s">
        <v>1054</v>
      </c>
      <c r="E84">
        <f>+((642-(289*68.8%))+43)/J61</f>
        <v>4.0076498227681147E-2</v>
      </c>
      <c r="F84" s="12" t="s">
        <v>729</v>
      </c>
      <c r="G84" s="510">
        <f>E84*J59</f>
        <v>21.726420759325691</v>
      </c>
      <c r="H84" s="510">
        <f>G84/(C7/1000)</f>
        <v>21520.739643061046</v>
      </c>
      <c r="I84" s="636">
        <f>H84/(J60*365)</f>
        <v>0.24164315790546875</v>
      </c>
      <c r="J84" s="12" t="s">
        <v>1053</v>
      </c>
    </row>
    <row r="85" spans="3:12" x14ac:dyDescent="0.25">
      <c r="C85" s="503" t="s">
        <v>1083</v>
      </c>
      <c r="D85" s="12" t="s">
        <v>1055</v>
      </c>
      <c r="E85">
        <f>154/J61</f>
        <v>1.2694748990190421E-2</v>
      </c>
      <c r="F85" s="12" t="s">
        <v>729</v>
      </c>
      <c r="G85" s="506">
        <f>E85*J59</f>
        <v>6.8821246913333587</v>
      </c>
      <c r="H85" s="510">
        <f>G85/(C15/1000)</f>
        <v>1260.2729835135085</v>
      </c>
      <c r="I85" s="637">
        <f>H85/(J60*365)</f>
        <v>1.4150830715399826E-2</v>
      </c>
      <c r="J85" s="12" t="s">
        <v>1057</v>
      </c>
      <c r="K85" s="391">
        <f>I85*1000</f>
        <v>14.150830715399826</v>
      </c>
      <c r="L85" s="12" t="s">
        <v>1058</v>
      </c>
    </row>
    <row r="86" spans="3:12" x14ac:dyDescent="0.25">
      <c r="C86" s="503" t="s">
        <v>1040</v>
      </c>
      <c r="D86" s="12" t="s">
        <v>1056</v>
      </c>
      <c r="E86">
        <f>+F76/E62</f>
        <v>1.9899180852390157E-3</v>
      </c>
      <c r="F86" s="12" t="s">
        <v>729</v>
      </c>
      <c r="G86" s="510">
        <f>E86*E62</f>
        <v>0.96382965660550279</v>
      </c>
      <c r="H86" s="510">
        <f>G86/(C14/1000)</f>
        <v>237.61499999999995</v>
      </c>
      <c r="I86" s="637">
        <f>H86/(E60*365)</f>
        <v>2.9862385321100912E-3</v>
      </c>
      <c r="J86" s="12" t="s">
        <v>1057</v>
      </c>
      <c r="K86" s="391">
        <f>I86*1000</f>
        <v>2.9862385321100913</v>
      </c>
      <c r="L86" s="12" t="s">
        <v>1058</v>
      </c>
    </row>
    <row r="87" spans="3:12" x14ac:dyDescent="0.25">
      <c r="E87" s="638">
        <f>+SUM(E82:E86)</f>
        <v>8.0040850597042787E-2</v>
      </c>
      <c r="F87" s="12" t="s">
        <v>729</v>
      </c>
      <c r="H87" s="391"/>
      <c r="I87" s="12"/>
    </row>
    <row r="90" spans="3:12" ht="18.75" x14ac:dyDescent="0.3">
      <c r="D90" s="181" t="s">
        <v>537</v>
      </c>
    </row>
    <row r="91" spans="3:12" ht="18.75" x14ac:dyDescent="0.3">
      <c r="D91" s="181"/>
    </row>
    <row r="92" spans="3:12" x14ac:dyDescent="0.25">
      <c r="D92" s="12" t="s">
        <v>1084</v>
      </c>
      <c r="E92" s="391">
        <f>289*68.8%</f>
        <v>198.83199999999999</v>
      </c>
      <c r="F92" s="12" t="s">
        <v>1085</v>
      </c>
    </row>
    <row r="93" spans="3:12" x14ac:dyDescent="0.25">
      <c r="D93" s="12" t="s">
        <v>1086</v>
      </c>
      <c r="E93" s="391">
        <f>+E92/J58</f>
        <v>8.8856273806960679</v>
      </c>
      <c r="F93" s="12" t="s">
        <v>56</v>
      </c>
      <c r="H93" s="650" t="s">
        <v>1087</v>
      </c>
      <c r="I93" s="650"/>
      <c r="J93" s="650">
        <f>+E93*(1/G97)</f>
        <v>6.745757088924214</v>
      </c>
      <c r="K93" s="650" t="s">
        <v>56</v>
      </c>
    </row>
    <row r="94" spans="3:12" x14ac:dyDescent="0.25">
      <c r="D94" s="12"/>
      <c r="E94" s="391"/>
      <c r="F94" s="12"/>
      <c r="J94">
        <f>J93/C21</f>
        <v>56.167835877803611</v>
      </c>
      <c r="K94" s="12" t="s">
        <v>1088</v>
      </c>
    </row>
    <row r="95" spans="3:12" x14ac:dyDescent="0.25">
      <c r="J95">
        <f>J94/J60</f>
        <v>0.23019604867952301</v>
      </c>
    </row>
    <row r="96" spans="3:12" x14ac:dyDescent="0.25">
      <c r="E96" s="639"/>
      <c r="F96" s="640" t="s">
        <v>323</v>
      </c>
      <c r="G96" s="640" t="s">
        <v>1059</v>
      </c>
    </row>
    <row r="97" spans="1:21" x14ac:dyDescent="0.25">
      <c r="B97" s="503" t="s">
        <v>1060</v>
      </c>
      <c r="C97" s="503" t="s">
        <v>1061</v>
      </c>
      <c r="E97" s="641" t="s">
        <v>1062</v>
      </c>
      <c r="F97" s="642">
        <f>394.77/299.7</f>
        <v>1.3172172172172172</v>
      </c>
      <c r="G97" s="643">
        <f>+F97</f>
        <v>1.3172172172172172</v>
      </c>
      <c r="H97" s="12" t="s">
        <v>1063</v>
      </c>
      <c r="K97" s="12"/>
    </row>
    <row r="98" spans="1:21" x14ac:dyDescent="0.25">
      <c r="B98" s="503"/>
      <c r="C98" s="503"/>
      <c r="E98" s="641"/>
      <c r="F98" s="642"/>
      <c r="G98" s="643"/>
      <c r="H98" s="12"/>
    </row>
    <row r="100" spans="1:21" ht="18.75" x14ac:dyDescent="0.3">
      <c r="D100" s="181" t="s">
        <v>540</v>
      </c>
    </row>
    <row r="101" spans="1:21" ht="18.75" x14ac:dyDescent="0.3">
      <c r="D101" s="181"/>
    </row>
    <row r="102" spans="1:21" x14ac:dyDescent="0.25">
      <c r="C102" s="503" t="s">
        <v>1001</v>
      </c>
      <c r="D102" s="12" t="s">
        <v>1089</v>
      </c>
      <c r="E102">
        <v>222</v>
      </c>
      <c r="F102" s="12" t="s">
        <v>1021</v>
      </c>
      <c r="G102" s="239">
        <f>+E102/E8</f>
        <v>493.24372280140039</v>
      </c>
      <c r="H102" s="12" t="s">
        <v>56</v>
      </c>
    </row>
    <row r="103" spans="1:21" x14ac:dyDescent="0.25">
      <c r="C103" s="503" t="s">
        <v>1001</v>
      </c>
      <c r="D103" s="12" t="s">
        <v>1090</v>
      </c>
      <c r="E103" s="661">
        <f>180/0.819941176470588</f>
        <v>219.52794318100302</v>
      </c>
      <c r="F103" s="662" t="s">
        <v>1021</v>
      </c>
      <c r="G103" s="239"/>
      <c r="H103" s="12"/>
    </row>
    <row r="104" spans="1:21" x14ac:dyDescent="0.25">
      <c r="D104" s="12"/>
      <c r="F104" s="12"/>
    </row>
    <row r="105" spans="1:21" x14ac:dyDescent="0.25">
      <c r="E105" s="117" t="s">
        <v>323</v>
      </c>
      <c r="F105" s="117" t="s">
        <v>1059</v>
      </c>
      <c r="H105" s="12" t="s">
        <v>1064</v>
      </c>
      <c r="I105" s="12" t="s">
        <v>1091</v>
      </c>
      <c r="L105" s="12" t="s">
        <v>1092</v>
      </c>
      <c r="Q105" s="12" t="s">
        <v>1093</v>
      </c>
    </row>
    <row r="106" spans="1:21" x14ac:dyDescent="0.25">
      <c r="A106" s="12" t="s">
        <v>1094</v>
      </c>
      <c r="B106" s="12" t="s">
        <v>1095</v>
      </c>
      <c r="C106" s="503" t="s">
        <v>1001</v>
      </c>
      <c r="D106" s="12" t="s">
        <v>1096</v>
      </c>
      <c r="E106" s="663">
        <f>+SUM(E107:E111)</f>
        <v>219.52794318100302</v>
      </c>
      <c r="F106" s="664">
        <f>+SUM(F107:F112)</f>
        <v>443.55104552439349</v>
      </c>
      <c r="G106" s="12" t="s">
        <v>56</v>
      </c>
      <c r="H106" s="153">
        <f>+SUM(H107:H112)</f>
        <v>1.0000000000000002</v>
      </c>
      <c r="I106" s="665">
        <f>+SUM(I107:I112)</f>
        <v>1</v>
      </c>
      <c r="K106" s="12" t="s">
        <v>8</v>
      </c>
      <c r="L106">
        <v>60</v>
      </c>
      <c r="M106" s="114">
        <f>L106/SUM($L$106:$L$110)</f>
        <v>0.34482758620689657</v>
      </c>
      <c r="Q106" s="12" t="s">
        <v>1097</v>
      </c>
      <c r="S106" s="12" t="s">
        <v>1091</v>
      </c>
      <c r="U106" s="12" t="s">
        <v>1098</v>
      </c>
    </row>
    <row r="107" spans="1:21" x14ac:dyDescent="0.25">
      <c r="A107" s="622">
        <f>E107+E108+E109+E111</f>
        <v>169.11501327211428</v>
      </c>
      <c r="B107">
        <f>180-10</f>
        <v>170</v>
      </c>
      <c r="C107" s="503" t="s">
        <v>1001</v>
      </c>
      <c r="D107" s="12" t="s">
        <v>1066</v>
      </c>
      <c r="E107" s="239">
        <f>+$E$103*I107</f>
        <v>71.127053590644977</v>
      </c>
      <c r="F107" s="239">
        <f>+E107/E11</f>
        <v>138.39745879012727</v>
      </c>
      <c r="G107" s="12" t="s">
        <v>56</v>
      </c>
      <c r="H107" s="114">
        <f>+F107/$F$106</f>
        <v>0.31202149152079045</v>
      </c>
      <c r="I107" s="665">
        <v>0.32400000000000001</v>
      </c>
      <c r="K107" s="12" t="s">
        <v>14</v>
      </c>
      <c r="L107">
        <v>65</v>
      </c>
      <c r="M107" s="114">
        <f t="shared" ref="M107:M110" si="1">L107/SUM($L$106:$L$110)</f>
        <v>0.37356321839080459</v>
      </c>
      <c r="P107" s="666" t="s">
        <v>297</v>
      </c>
      <c r="Q107">
        <v>72</v>
      </c>
      <c r="R107" s="12" t="s">
        <v>1044</v>
      </c>
      <c r="S107" s="114">
        <f>Q107/$Q$111</f>
        <v>0.42352941176470588</v>
      </c>
    </row>
    <row r="108" spans="1:21" x14ac:dyDescent="0.25">
      <c r="B108" s="12"/>
      <c r="C108" s="503" t="s">
        <v>1001</v>
      </c>
      <c r="D108" s="12" t="s">
        <v>737</v>
      </c>
      <c r="E108" s="239">
        <f>+$E$103*I108</f>
        <v>72.224693306549995</v>
      </c>
      <c r="F108" s="239">
        <f>+E108/E12</f>
        <v>149.49501752736234</v>
      </c>
      <c r="G108" s="12" t="s">
        <v>56</v>
      </c>
      <c r="H108" s="114">
        <f t="shared" ref="H108:H112" si="2">+F108/$F$106</f>
        <v>0.33704129217105122</v>
      </c>
      <c r="I108" s="665">
        <v>0.32900000000000001</v>
      </c>
      <c r="K108" s="12" t="s">
        <v>1099</v>
      </c>
      <c r="L108">
        <v>23</v>
      </c>
      <c r="M108" s="114">
        <f t="shared" si="1"/>
        <v>0.13218390804597702</v>
      </c>
      <c r="P108" s="666" t="s">
        <v>60</v>
      </c>
      <c r="Q108">
        <v>73</v>
      </c>
      <c r="R108" s="12" t="s">
        <v>1044</v>
      </c>
      <c r="S108" s="114">
        <f t="shared" ref="S108:S110" si="3">Q108/$Q$111</f>
        <v>0.42941176470588233</v>
      </c>
    </row>
    <row r="109" spans="1:21" x14ac:dyDescent="0.25">
      <c r="A109" s="12" t="s">
        <v>1100</v>
      </c>
      <c r="B109" s="667">
        <f>A107/B107</f>
        <v>0.99479419571831929</v>
      </c>
      <c r="C109" s="503" t="s">
        <v>1001</v>
      </c>
      <c r="D109" s="12" t="s">
        <v>1067</v>
      </c>
      <c r="E109" s="239">
        <f>+$E$103*I109</f>
        <v>21.7332663749193</v>
      </c>
      <c r="F109" s="239">
        <f>+E109/E13</f>
        <v>37.376982368943032</v>
      </c>
      <c r="G109" s="12" t="s">
        <v>56</v>
      </c>
      <c r="H109" s="114">
        <f t="shared" si="2"/>
        <v>8.4267600642793331E-2</v>
      </c>
      <c r="I109" s="665">
        <v>9.9000000000000005E-2</v>
      </c>
      <c r="K109" s="12" t="s">
        <v>850</v>
      </c>
      <c r="L109">
        <v>20</v>
      </c>
      <c r="M109" s="114">
        <f t="shared" si="1"/>
        <v>0.11494252873563218</v>
      </c>
      <c r="P109" s="666" t="s">
        <v>300</v>
      </c>
      <c r="Q109">
        <v>21</v>
      </c>
      <c r="R109" s="12" t="s">
        <v>1044</v>
      </c>
      <c r="S109" s="114">
        <f t="shared" si="3"/>
        <v>0.12352941176470589</v>
      </c>
    </row>
    <row r="110" spans="1:21" x14ac:dyDescent="0.25">
      <c r="B110" s="668">
        <v>0.81994117647058795</v>
      </c>
      <c r="C110" s="503" t="s">
        <v>1001</v>
      </c>
      <c r="D110" s="12" t="s">
        <v>303</v>
      </c>
      <c r="E110" s="239">
        <f>+E103-(E107+E108+E109+E111)</f>
        <v>50.412929908888742</v>
      </c>
      <c r="F110" s="239">
        <f>+E110/E15</f>
        <v>100.4830279573444</v>
      </c>
      <c r="G110" s="12" t="s">
        <v>56</v>
      </c>
      <c r="H110" s="114">
        <f t="shared" si="2"/>
        <v>0.22654219614914253</v>
      </c>
      <c r="I110" s="472">
        <f>+E110/E106</f>
        <v>0.22964242810457514</v>
      </c>
      <c r="K110" s="12" t="s">
        <v>22</v>
      </c>
      <c r="L110">
        <v>6</v>
      </c>
      <c r="M110" s="114">
        <f t="shared" si="1"/>
        <v>3.4482758620689655E-2</v>
      </c>
      <c r="P110" s="666" t="s">
        <v>22</v>
      </c>
      <c r="Q110">
        <v>4</v>
      </c>
      <c r="R110" s="12" t="s">
        <v>1044</v>
      </c>
      <c r="S110" s="114">
        <f t="shared" si="3"/>
        <v>2.3529411764705882E-2</v>
      </c>
    </row>
    <row r="111" spans="1:21" x14ac:dyDescent="0.25">
      <c r="B111" s="12"/>
      <c r="C111" s="503" t="s">
        <v>1040</v>
      </c>
      <c r="D111" s="12" t="s">
        <v>22</v>
      </c>
      <c r="E111" s="12">
        <f>4030/1000</f>
        <v>4.03</v>
      </c>
      <c r="F111" s="239">
        <f>+E111/E14</f>
        <v>5.9665645408912091</v>
      </c>
      <c r="G111" s="12" t="s">
        <v>56</v>
      </c>
      <c r="H111" s="114">
        <f t="shared" si="2"/>
        <v>1.3451810340875574E-2</v>
      </c>
      <c r="I111" s="113">
        <f>+E111/E103</f>
        <v>1.8357571895424831E-2</v>
      </c>
      <c r="J111" s="114"/>
      <c r="Q111">
        <f>SUM(Q107:Q110)</f>
        <v>170</v>
      </c>
      <c r="R111" s="12" t="s">
        <v>1044</v>
      </c>
    </row>
    <row r="112" spans="1:21" x14ac:dyDescent="0.25">
      <c r="C112" s="503" t="s">
        <v>1026</v>
      </c>
      <c r="D112" s="12" t="s">
        <v>1069</v>
      </c>
      <c r="E112" s="391">
        <f>+F112*E17</f>
        <v>32.342000997110311</v>
      </c>
      <c r="F112" s="239">
        <f>+E83*$G$102</f>
        <v>11.831994339725293</v>
      </c>
      <c r="G112" s="12" t="s">
        <v>56</v>
      </c>
      <c r="H112" s="114">
        <f t="shared" si="2"/>
        <v>2.6675609175347063E-2</v>
      </c>
      <c r="J112" s="114"/>
    </row>
    <row r="113" spans="3:13" x14ac:dyDescent="0.25">
      <c r="C113" s="503" t="s">
        <v>1101</v>
      </c>
      <c r="D113" s="12" t="s">
        <v>69</v>
      </c>
      <c r="H113" s="153"/>
      <c r="J113" s="114"/>
    </row>
    <row r="114" spans="3:13" x14ac:dyDescent="0.25">
      <c r="J114" s="114"/>
    </row>
    <row r="115" spans="3:13" x14ac:dyDescent="0.25">
      <c r="D115" s="618" t="s">
        <v>1070</v>
      </c>
      <c r="H115" s="239"/>
      <c r="J115" s="114"/>
      <c r="M115" s="12" t="s">
        <v>1102</v>
      </c>
    </row>
    <row r="116" spans="3:13" x14ac:dyDescent="0.25">
      <c r="D116" s="12" t="s">
        <v>1066</v>
      </c>
      <c r="E116" s="470">
        <f>+F107/$E$61</f>
        <v>0.24916068410893127</v>
      </c>
      <c r="F116" s="12" t="s">
        <v>729</v>
      </c>
      <c r="K116" s="12" t="s">
        <v>1103</v>
      </c>
      <c r="L116" s="12" t="s">
        <v>22</v>
      </c>
      <c r="M116">
        <v>4.4279999999999999</v>
      </c>
    </row>
    <row r="117" spans="3:13" x14ac:dyDescent="0.25">
      <c r="D117" s="12" t="s">
        <v>737</v>
      </c>
      <c r="E117" s="470">
        <f t="shared" ref="E117:E119" si="4">+F108/$E$61</f>
        <v>0.26913991892350708</v>
      </c>
      <c r="F117" s="12" t="s">
        <v>729</v>
      </c>
    </row>
    <row r="118" spans="3:13" x14ac:dyDescent="0.25">
      <c r="D118" s="12" t="s">
        <v>1067</v>
      </c>
      <c r="E118" s="470">
        <f t="shared" si="4"/>
        <v>6.7290791163267027E-2</v>
      </c>
      <c r="F118" s="12" t="s">
        <v>729</v>
      </c>
    </row>
    <row r="119" spans="3:13" x14ac:dyDescent="0.25">
      <c r="D119" s="12" t="s">
        <v>303</v>
      </c>
      <c r="E119" s="470">
        <f t="shared" si="4"/>
        <v>0.18090230995610446</v>
      </c>
      <c r="F119" s="12" t="s">
        <v>729</v>
      </c>
      <c r="G119" s="239"/>
    </row>
    <row r="120" spans="3:13" x14ac:dyDescent="0.25">
      <c r="D120" s="12" t="s">
        <v>22</v>
      </c>
      <c r="E120" s="470">
        <f>+F111/$E$61</f>
        <v>1.0741767340128326E-2</v>
      </c>
      <c r="F120" s="12" t="s">
        <v>729</v>
      </c>
    </row>
    <row r="121" spans="3:13" x14ac:dyDescent="0.25">
      <c r="D121" s="12" t="s">
        <v>1069</v>
      </c>
      <c r="E121" s="470">
        <f>+F112/$E$61</f>
        <v>2.1301459071799516E-2</v>
      </c>
      <c r="F121" s="12" t="s">
        <v>729</v>
      </c>
    </row>
    <row r="122" spans="3:13" x14ac:dyDescent="0.25">
      <c r="D122" s="12"/>
      <c r="E122" s="470"/>
      <c r="F122" s="12"/>
    </row>
    <row r="124" spans="3:13" x14ac:dyDescent="0.25">
      <c r="C124" s="503" t="s">
        <v>800</v>
      </c>
      <c r="D124" s="12" t="s">
        <v>801</v>
      </c>
      <c r="E124" s="472">
        <f>+F106/G102</f>
        <v>0.89925330018438943</v>
      </c>
      <c r="F124" s="12"/>
    </row>
    <row r="125" spans="3:13" x14ac:dyDescent="0.25">
      <c r="C125" s="503"/>
    </row>
    <row r="129" spans="1:6" x14ac:dyDescent="0.25">
      <c r="A129" s="164"/>
      <c r="B129" s="1"/>
      <c r="C129" s="1"/>
      <c r="D129" s="1"/>
      <c r="E129" s="1"/>
      <c r="F129" s="1"/>
    </row>
    <row r="130" spans="1:6" x14ac:dyDescent="0.25">
      <c r="A130" s="165" t="s">
        <v>137</v>
      </c>
      <c r="B130" s="166" t="s">
        <v>39</v>
      </c>
      <c r="C130" s="166" t="s">
        <v>138</v>
      </c>
      <c r="D130" s="166" t="s">
        <v>139</v>
      </c>
      <c r="E130" s="166" t="s">
        <v>140</v>
      </c>
      <c r="F130" s="167" t="s">
        <v>141</v>
      </c>
    </row>
    <row r="131" spans="1:6" x14ac:dyDescent="0.25">
      <c r="A131" s="1" t="s">
        <v>155</v>
      </c>
      <c r="B131" s="1"/>
      <c r="C131" s="17" t="s">
        <v>543</v>
      </c>
      <c r="D131" s="1" t="s">
        <v>544</v>
      </c>
      <c r="E131" s="1" t="s">
        <v>56</v>
      </c>
      <c r="F131" s="1" t="s">
        <v>154</v>
      </c>
    </row>
    <row r="132" spans="1:6" x14ac:dyDescent="0.25">
      <c r="A132" s="1"/>
      <c r="B132" s="1"/>
      <c r="C132" s="168" t="s">
        <v>545</v>
      </c>
      <c r="D132" s="169" t="s">
        <v>546</v>
      </c>
      <c r="E132" s="1" t="s">
        <v>56</v>
      </c>
      <c r="F132" s="1" t="s">
        <v>154</v>
      </c>
    </row>
    <row r="133" spans="1:6" x14ac:dyDescent="0.25">
      <c r="A133" s="1"/>
      <c r="B133" s="1"/>
      <c r="C133" s="170" t="s">
        <v>547</v>
      </c>
      <c r="D133" s="169" t="s">
        <v>548</v>
      </c>
      <c r="E133" s="1" t="s">
        <v>56</v>
      </c>
      <c r="F133" s="1" t="s">
        <v>154</v>
      </c>
    </row>
    <row r="134" spans="1:6" x14ac:dyDescent="0.25">
      <c r="A134" s="1"/>
      <c r="B134" s="1"/>
      <c r="C134" s="17" t="s">
        <v>549</v>
      </c>
      <c r="D134" s="169" t="s">
        <v>550</v>
      </c>
      <c r="E134" s="1" t="s">
        <v>56</v>
      </c>
      <c r="F134" s="1" t="s">
        <v>154</v>
      </c>
    </row>
    <row r="135" spans="1:6" x14ac:dyDescent="0.25">
      <c r="A135" s="169"/>
      <c r="B135" s="169"/>
      <c r="C135" s="16" t="s">
        <v>551</v>
      </c>
      <c r="D135" s="12" t="s">
        <v>552</v>
      </c>
      <c r="E135" s="1" t="s">
        <v>56</v>
      </c>
      <c r="F135" s="1" t="s">
        <v>154</v>
      </c>
    </row>
    <row r="136" spans="1:6" x14ac:dyDescent="0.25">
      <c r="A136" s="169"/>
      <c r="B136" s="169"/>
      <c r="C136" s="16" t="s">
        <v>553</v>
      </c>
      <c r="D136" s="12" t="s">
        <v>554</v>
      </c>
      <c r="E136" s="12" t="s">
        <v>56</v>
      </c>
      <c r="F136" s="171" t="s">
        <v>154</v>
      </c>
    </row>
    <row r="137" spans="1:6" x14ac:dyDescent="0.25">
      <c r="A137" s="169"/>
      <c r="B137" s="169"/>
      <c r="C137" s="16" t="s">
        <v>555</v>
      </c>
      <c r="D137" s="169" t="s">
        <v>556</v>
      </c>
      <c r="E137" s="169" t="s">
        <v>56</v>
      </c>
      <c r="F137" s="171" t="s">
        <v>154</v>
      </c>
    </row>
    <row r="138" spans="1:6" ht="15.75" customHeight="1" x14ac:dyDescent="0.25">
      <c r="A138" s="169"/>
      <c r="B138" s="169"/>
      <c r="C138" s="1" t="s">
        <v>557</v>
      </c>
      <c r="D138" s="1" t="s">
        <v>558</v>
      </c>
      <c r="E138" s="169" t="s">
        <v>56</v>
      </c>
      <c r="F138" s="171" t="s">
        <v>154</v>
      </c>
    </row>
    <row r="139" spans="1:6" x14ac:dyDescent="0.25">
      <c r="A139" s="169"/>
      <c r="B139" s="169"/>
      <c r="C139" s="1" t="s">
        <v>559</v>
      </c>
      <c r="D139" s="1" t="s">
        <v>560</v>
      </c>
      <c r="E139" s="169" t="s">
        <v>56</v>
      </c>
      <c r="F139" s="171" t="s">
        <v>154</v>
      </c>
    </row>
    <row r="140" spans="1:6" x14ac:dyDescent="0.25">
      <c r="A140" s="169"/>
      <c r="B140" s="169"/>
      <c r="F140" s="1"/>
    </row>
    <row r="141" spans="1:6" x14ac:dyDescent="0.25">
      <c r="A141" s="169"/>
      <c r="B141" s="169"/>
      <c r="F141" s="169"/>
    </row>
    <row r="142" spans="1:6" x14ac:dyDescent="0.25">
      <c r="A142" s="169"/>
      <c r="B142" s="169"/>
      <c r="C142" s="169"/>
      <c r="D142" s="169"/>
      <c r="E142" s="169"/>
      <c r="F142" s="169"/>
    </row>
    <row r="143" spans="1:6" x14ac:dyDescent="0.25">
      <c r="A143" s="172"/>
      <c r="B143" s="172"/>
      <c r="C143" s="173"/>
      <c r="D143" s="173"/>
      <c r="E143" s="173"/>
      <c r="F143" s="169"/>
    </row>
    <row r="144" spans="1:6" x14ac:dyDescent="0.25">
      <c r="A144" s="165" t="s">
        <v>38</v>
      </c>
      <c r="B144" s="166" t="s">
        <v>39</v>
      </c>
      <c r="C144" s="166" t="s">
        <v>40</v>
      </c>
      <c r="D144" s="166" t="s">
        <v>41</v>
      </c>
      <c r="E144" s="167" t="s">
        <v>42</v>
      </c>
      <c r="F144" s="169"/>
    </row>
    <row r="145" spans="1:6" x14ac:dyDescent="0.25">
      <c r="A145" s="174" t="s">
        <v>55</v>
      </c>
      <c r="B145" s="174"/>
      <c r="C145" s="1" t="s">
        <v>561</v>
      </c>
      <c r="D145" s="1" t="s">
        <v>562</v>
      </c>
      <c r="E145" s="1" t="s">
        <v>56</v>
      </c>
      <c r="F145" s="169"/>
    </row>
    <row r="146" spans="1:6" x14ac:dyDescent="0.25">
      <c r="A146" s="1"/>
      <c r="B146" s="1"/>
      <c r="C146" s="12" t="s">
        <v>563</v>
      </c>
      <c r="D146" s="12" t="s">
        <v>564</v>
      </c>
      <c r="E146" s="12" t="s">
        <v>56</v>
      </c>
      <c r="F146" s="169"/>
    </row>
    <row r="147" spans="1:6" x14ac:dyDescent="0.25">
      <c r="A147" s="1"/>
      <c r="B147" s="169"/>
      <c r="C147" s="12" t="s">
        <v>565</v>
      </c>
      <c r="D147" s="12" t="s">
        <v>566</v>
      </c>
      <c r="E147" s="12" t="s">
        <v>56</v>
      </c>
      <c r="F147" s="169"/>
    </row>
    <row r="148" spans="1:6" x14ac:dyDescent="0.25">
      <c r="A148" s="1"/>
      <c r="B148" s="169"/>
      <c r="C148" s="16" t="s">
        <v>567</v>
      </c>
      <c r="D148" s="12" t="s">
        <v>568</v>
      </c>
      <c r="E148" s="12" t="s">
        <v>56</v>
      </c>
      <c r="F148" s="169"/>
    </row>
    <row r="149" spans="1:6" x14ac:dyDescent="0.25">
      <c r="C149" s="16" t="s">
        <v>569</v>
      </c>
      <c r="D149" s="16" t="s">
        <v>570</v>
      </c>
      <c r="E149" s="171" t="s">
        <v>56</v>
      </c>
    </row>
    <row r="150" spans="1:6" x14ac:dyDescent="0.25">
      <c r="A150" s="1"/>
      <c r="B150" s="1"/>
      <c r="C150" s="16" t="s">
        <v>571</v>
      </c>
      <c r="D150" s="16" t="s">
        <v>572</v>
      </c>
      <c r="E150" s="171" t="s">
        <v>56</v>
      </c>
    </row>
    <row r="151" spans="1:6" x14ac:dyDescent="0.25">
      <c r="A151" s="1"/>
      <c r="B151" s="1"/>
      <c r="C151" s="16" t="s">
        <v>573</v>
      </c>
      <c r="D151" s="12" t="s">
        <v>574</v>
      </c>
      <c r="E151" s="171" t="s">
        <v>56</v>
      </c>
      <c r="F151" s="169"/>
    </row>
    <row r="152" spans="1:6" x14ac:dyDescent="0.25">
      <c r="A152" s="1"/>
      <c r="B152" s="1"/>
      <c r="C152" s="1" t="s">
        <v>575</v>
      </c>
      <c r="D152" s="1" t="s">
        <v>576</v>
      </c>
      <c r="E152" s="171" t="s">
        <v>56</v>
      </c>
      <c r="F152" s="169"/>
    </row>
    <row r="153" spans="1:6" x14ac:dyDescent="0.25">
      <c r="A153" s="1"/>
      <c r="B153" s="1"/>
      <c r="C153" s="1"/>
      <c r="D153" s="1"/>
      <c r="E153" s="1"/>
      <c r="F153" s="169"/>
    </row>
    <row r="154" spans="1:6" x14ac:dyDescent="0.25">
      <c r="C154" s="175"/>
      <c r="D154" s="169"/>
      <c r="E154" s="1"/>
      <c r="F154" s="1"/>
    </row>
    <row r="155" spans="1:6" x14ac:dyDescent="0.25">
      <c r="C155" s="176" t="s">
        <v>138</v>
      </c>
      <c r="D155" s="176" t="s">
        <v>417</v>
      </c>
      <c r="E155" s="176" t="s">
        <v>418</v>
      </c>
      <c r="F155" s="176" t="s">
        <v>447</v>
      </c>
    </row>
    <row r="156" spans="1:6" x14ac:dyDescent="0.25">
      <c r="C156" s="177" t="str">
        <f>+C136</f>
        <v>FTE-GAS-REF2</v>
      </c>
      <c r="D156" s="177" t="s">
        <v>7</v>
      </c>
      <c r="E156" s="177" t="str">
        <f>+C149</f>
        <v>GAS-REF2</v>
      </c>
      <c r="F156" s="178">
        <v>1</v>
      </c>
    </row>
    <row r="157" spans="1:6" x14ac:dyDescent="0.25">
      <c r="C157" s="177" t="str">
        <f>+C137</f>
        <v>FTE-HFO-REF2</v>
      </c>
      <c r="D157" s="177" t="s">
        <v>26</v>
      </c>
      <c r="E157" s="177" t="str">
        <f>+C150</f>
        <v>HFO-REF2</v>
      </c>
      <c r="F157" s="179">
        <v>1</v>
      </c>
    </row>
    <row r="158" spans="1:6" x14ac:dyDescent="0.25">
      <c r="C158" s="89" t="str">
        <f>+C138</f>
        <v>FTE-LPG-REF2</v>
      </c>
      <c r="D158" s="2" t="s">
        <v>22</v>
      </c>
      <c r="E158" s="2" t="str">
        <f>+C151</f>
        <v>LPG-REF2</v>
      </c>
      <c r="F158" s="180">
        <v>1</v>
      </c>
    </row>
    <row r="159" spans="1:6" x14ac:dyDescent="0.25">
      <c r="C159" s="89" t="str">
        <f>+C139</f>
        <v>FTE-RFG2</v>
      </c>
      <c r="D159" s="2" t="s">
        <v>83</v>
      </c>
      <c r="E159" s="2" t="str">
        <f>+C152</f>
        <v>RFG2-REF2</v>
      </c>
      <c r="F159" s="180">
        <v>1</v>
      </c>
    </row>
    <row r="162" spans="3:7" ht="18.75" x14ac:dyDescent="0.3">
      <c r="C162" s="181" t="s">
        <v>534</v>
      </c>
    </row>
    <row r="165" spans="3:7" x14ac:dyDescent="0.25">
      <c r="C165" s="182"/>
      <c r="D165" s="1"/>
      <c r="E165" s="1"/>
      <c r="F165" s="1"/>
      <c r="G165" s="1"/>
    </row>
    <row r="166" spans="3:7" x14ac:dyDescent="0.25">
      <c r="C166" s="183" t="s">
        <v>138</v>
      </c>
      <c r="D166" s="83" t="s">
        <v>417</v>
      </c>
      <c r="E166" s="83" t="s">
        <v>418</v>
      </c>
      <c r="F166" s="83" t="s">
        <v>535</v>
      </c>
      <c r="G166" s="184" t="s">
        <v>447</v>
      </c>
    </row>
    <row r="167" spans="3:7" x14ac:dyDescent="0.25">
      <c r="C167" s="177" t="str">
        <f>+C131</f>
        <v>MIX-OIL-REF2</v>
      </c>
      <c r="D167" s="177" t="s">
        <v>13</v>
      </c>
      <c r="E167" s="177" t="str">
        <f>+C145</f>
        <v>OIL-REF2</v>
      </c>
      <c r="F167" s="178">
        <f>+E35</f>
        <v>0.23009135447964041</v>
      </c>
      <c r="G167" s="179">
        <v>1</v>
      </c>
    </row>
    <row r="168" spans="3:7" x14ac:dyDescent="0.25">
      <c r="C168" s="177"/>
      <c r="D168" s="87" t="s">
        <v>21</v>
      </c>
      <c r="E168" s="177"/>
      <c r="F168" s="179">
        <f>+E37</f>
        <v>0.3</v>
      </c>
      <c r="G168" s="177"/>
    </row>
    <row r="169" spans="3:7" x14ac:dyDescent="0.25">
      <c r="D169" s="177" t="s">
        <v>17</v>
      </c>
      <c r="E169" s="87"/>
      <c r="F169" s="185">
        <f>+E36</f>
        <v>0.46990864552035966</v>
      </c>
      <c r="G169" s="87"/>
    </row>
    <row r="171" spans="3:7" hidden="1" x14ac:dyDescent="0.25">
      <c r="C171" s="175"/>
      <c r="D171" s="82"/>
      <c r="E171" s="82"/>
    </row>
    <row r="172" spans="3:7" hidden="1" x14ac:dyDescent="0.25">
      <c r="C172" s="411" t="s">
        <v>138</v>
      </c>
      <c r="D172" s="411" t="s">
        <v>418</v>
      </c>
      <c r="E172" s="411" t="s">
        <v>752</v>
      </c>
    </row>
    <row r="173" spans="3:7" hidden="1" x14ac:dyDescent="0.25">
      <c r="C173" s="644" t="str">
        <f>+C167</f>
        <v>MIX-OIL-REF2</v>
      </c>
      <c r="D173" s="645" t="s">
        <v>92</v>
      </c>
      <c r="E173" s="646">
        <f>+E50</f>
        <v>2.7603</v>
      </c>
    </row>
    <row r="174" spans="3:7" hidden="1" x14ac:dyDescent="0.25"/>
    <row r="176" spans="3:7" ht="18.75" x14ac:dyDescent="0.3">
      <c r="C176" s="181" t="s">
        <v>536</v>
      </c>
    </row>
    <row r="179" spans="3:11" x14ac:dyDescent="0.25">
      <c r="C179" s="175"/>
      <c r="D179" s="169"/>
      <c r="E179" s="1"/>
      <c r="G179" s="156"/>
    </row>
    <row r="180" spans="3:11" ht="15.75" thickBot="1" x14ac:dyDescent="0.3">
      <c r="C180" s="186" t="s">
        <v>138</v>
      </c>
      <c r="D180" s="187" t="s">
        <v>417</v>
      </c>
      <c r="E180" s="188" t="s">
        <v>485</v>
      </c>
      <c r="G180" s="157" t="s">
        <v>40</v>
      </c>
      <c r="H180" s="158" t="s">
        <v>569</v>
      </c>
      <c r="I180" s="158" t="s">
        <v>571</v>
      </c>
      <c r="J180" s="158" t="str">
        <f>+E159</f>
        <v>RFG2-REF2</v>
      </c>
      <c r="K180" s="158" t="str">
        <f>+E158</f>
        <v>LPG-REF2</v>
      </c>
    </row>
    <row r="181" spans="3:11" ht="15.75" thickBot="1" x14ac:dyDescent="0.3">
      <c r="C181" s="189" t="s">
        <v>545</v>
      </c>
      <c r="D181" s="1" t="str">
        <f>+E167</f>
        <v>OIL-REF2</v>
      </c>
      <c r="E181" s="190">
        <f>1/(1+SUM($E$82:$E$86))</f>
        <v>0.9258909044479231</v>
      </c>
      <c r="G181" s="84" t="s">
        <v>494</v>
      </c>
      <c r="H181" s="85" t="s">
        <v>318</v>
      </c>
      <c r="I181" s="85" t="s">
        <v>318</v>
      </c>
      <c r="J181" s="85" t="s">
        <v>318</v>
      </c>
      <c r="K181" s="85"/>
    </row>
    <row r="182" spans="3:11" s="108" customFormat="1" x14ac:dyDescent="0.25">
      <c r="C182" s="177"/>
      <c r="D182" s="191" t="str">
        <f>+C147</f>
        <v>H2-REF2</v>
      </c>
      <c r="E182" s="190">
        <f>E82/(1+SUM($E$82:$E$86))</f>
        <v>1.1958396831549553E-3</v>
      </c>
      <c r="G182" s="12" t="s">
        <v>92</v>
      </c>
      <c r="H182" s="159">
        <v>55.539114956987063</v>
      </c>
      <c r="I182" s="159">
        <v>78.281203343664757</v>
      </c>
      <c r="J182" s="159">
        <v>40.784041574326501</v>
      </c>
      <c r="K182" s="159">
        <v>47.28933824683137</v>
      </c>
    </row>
    <row r="183" spans="3:11" s="108" customFormat="1" x14ac:dyDescent="0.25">
      <c r="C183" s="1"/>
      <c r="D183" s="192" t="str">
        <f>+E156</f>
        <v>GAS-REF2</v>
      </c>
      <c r="E183" s="190">
        <f>E84/(1+SUM($E$82:$E$86))</f>
        <v>3.7106465191133281E-2</v>
      </c>
    </row>
    <row r="184" spans="3:11" s="108" customFormat="1" x14ac:dyDescent="0.25">
      <c r="C184" s="1"/>
      <c r="D184" s="193" t="str">
        <f>+E159</f>
        <v>RFG2-REF2</v>
      </c>
      <c r="E184" s="190">
        <f>E83/(1+SUM($E$82:$E$86))</f>
        <v>2.2210390997802788E-2</v>
      </c>
      <c r="G184" s="647"/>
    </row>
    <row r="185" spans="3:11" s="108" customFormat="1" x14ac:dyDescent="0.25">
      <c r="D185" s="108" t="str">
        <f>+E158</f>
        <v>LPG-REF2</v>
      </c>
      <c r="E185" s="190">
        <f>E86/(1+SUM($E$82:$E$86))</f>
        <v>1.8424470557192316E-3</v>
      </c>
    </row>
    <row r="186" spans="3:11" x14ac:dyDescent="0.25">
      <c r="D186" t="str">
        <f>+E157</f>
        <v>HFO-REF2</v>
      </c>
      <c r="E186" s="114">
        <f>E85/(1+SUM($E$82:$E$86))</f>
        <v>1.1753952624266767E-2</v>
      </c>
    </row>
    <row r="187" spans="3:11" x14ac:dyDescent="0.25">
      <c r="G187" s="454"/>
    </row>
    <row r="188" spans="3:11" ht="18.75" x14ac:dyDescent="0.3">
      <c r="C188" s="181" t="s">
        <v>537</v>
      </c>
    </row>
    <row r="190" spans="3:11" x14ac:dyDescent="0.25">
      <c r="C190" s="182"/>
      <c r="D190" s="1"/>
      <c r="E190" s="1"/>
      <c r="F190" s="194"/>
      <c r="G190" s="1"/>
    </row>
    <row r="191" spans="3:11" x14ac:dyDescent="0.25">
      <c r="C191" s="187" t="s">
        <v>138</v>
      </c>
      <c r="D191" s="187" t="s">
        <v>488</v>
      </c>
      <c r="E191" s="187" t="s">
        <v>538</v>
      </c>
      <c r="F191" s="187" t="s">
        <v>484</v>
      </c>
      <c r="G191" s="195" t="s">
        <v>485</v>
      </c>
    </row>
    <row r="192" spans="3:11" x14ac:dyDescent="0.25">
      <c r="C192" s="196" t="str">
        <f>+C133</f>
        <v>SMR-REF2</v>
      </c>
      <c r="D192" s="196" t="s">
        <v>539</v>
      </c>
      <c r="E192" s="177">
        <v>2019</v>
      </c>
      <c r="F192" s="197"/>
      <c r="G192" s="196"/>
    </row>
    <row r="193" spans="3:11" x14ac:dyDescent="0.25">
      <c r="C193" s="196" t="str">
        <f>+C192</f>
        <v>SMR-REF2</v>
      </c>
      <c r="D193" s="177" t="s">
        <v>447</v>
      </c>
      <c r="E193" s="177">
        <v>2019</v>
      </c>
      <c r="F193" s="1"/>
      <c r="G193" s="180">
        <f>1/G97</f>
        <v>0.75917622919674754</v>
      </c>
    </row>
    <row r="194" spans="3:11" x14ac:dyDescent="0.25">
      <c r="C194" s="1"/>
      <c r="D194" s="1"/>
      <c r="E194" s="1"/>
      <c r="F194" s="1"/>
      <c r="G194" s="1"/>
    </row>
    <row r="195" spans="3:11" x14ac:dyDescent="0.25">
      <c r="C195" s="1"/>
      <c r="D195" s="1"/>
      <c r="E195" s="1"/>
      <c r="F195" s="1"/>
      <c r="G195" s="1"/>
    </row>
    <row r="196" spans="3:11" x14ac:dyDescent="0.25">
      <c r="C196" s="175"/>
      <c r="D196" s="169"/>
      <c r="E196" s="1"/>
      <c r="F196" s="1"/>
      <c r="G196" s="1"/>
    </row>
    <row r="197" spans="3:11" x14ac:dyDescent="0.25">
      <c r="C197" s="187" t="s">
        <v>138</v>
      </c>
      <c r="D197" s="187" t="s">
        <v>417</v>
      </c>
      <c r="E197" s="187" t="s">
        <v>418</v>
      </c>
      <c r="F197" s="1"/>
      <c r="G197" s="1"/>
    </row>
    <row r="198" spans="3:11" x14ac:dyDescent="0.25">
      <c r="C198" s="2" t="str">
        <f>+C192</f>
        <v>SMR-REF2</v>
      </c>
      <c r="D198" s="2" t="str">
        <f>+D183</f>
        <v>GAS-REF2</v>
      </c>
      <c r="E198" s="2" t="str">
        <f>+D182</f>
        <v>H2-REF2</v>
      </c>
      <c r="F198" s="1"/>
      <c r="G198" s="1"/>
    </row>
    <row r="201" spans="3:11" ht="18.75" x14ac:dyDescent="0.3">
      <c r="C201" s="181" t="s">
        <v>540</v>
      </c>
    </row>
    <row r="202" spans="3:11" x14ac:dyDescent="0.25">
      <c r="I202" t="s">
        <v>1106</v>
      </c>
      <c r="K202" t="s">
        <v>1092</v>
      </c>
    </row>
    <row r="203" spans="3:11" x14ac:dyDescent="0.25">
      <c r="C203" s="175"/>
      <c r="D203" s="150"/>
      <c r="E203" s="82"/>
      <c r="G203">
        <v>1</v>
      </c>
      <c r="H203" t="s">
        <v>56</v>
      </c>
      <c r="I203">
        <f>SUM(I205:I209)</f>
        <v>180.65045741541243</v>
      </c>
    </row>
    <row r="204" spans="3:11" x14ac:dyDescent="0.25">
      <c r="C204" s="183" t="s">
        <v>138</v>
      </c>
      <c r="D204" s="198" t="s">
        <v>418</v>
      </c>
      <c r="E204" s="199" t="s">
        <v>484</v>
      </c>
    </row>
    <row r="205" spans="3:11" x14ac:dyDescent="0.25">
      <c r="C205" s="173" t="s">
        <v>545</v>
      </c>
      <c r="D205" s="2" t="s">
        <v>8</v>
      </c>
      <c r="E205" s="148">
        <f>+H107</f>
        <v>0.31202149152079045</v>
      </c>
      <c r="G205">
        <f>E205*$G$203</f>
        <v>0.31202149152079045</v>
      </c>
      <c r="H205" t="s">
        <v>56</v>
      </c>
      <c r="I205" s="433">
        <f>G205*1000/C11</f>
        <v>58.530748202593635</v>
      </c>
      <c r="J205" t="s">
        <v>355</v>
      </c>
      <c r="K205" s="114">
        <f>I205/SUM($I$200:$I$204)</f>
        <v>0.32400000000000007</v>
      </c>
    </row>
    <row r="206" spans="3:11" x14ac:dyDescent="0.25">
      <c r="C206" s="1"/>
      <c r="D206" s="2" t="s">
        <v>14</v>
      </c>
      <c r="E206" s="148">
        <f>+H108</f>
        <v>0.33704129217105122</v>
      </c>
      <c r="G206">
        <f t="shared" ref="G206:G210" si="5">E206*$G$203</f>
        <v>0.33704129217105122</v>
      </c>
      <c r="H206" t="s">
        <v>56</v>
      </c>
      <c r="I206" s="433">
        <f>G206*1000/C12</f>
        <v>59.434000489670694</v>
      </c>
      <c r="J206" t="s">
        <v>355</v>
      </c>
      <c r="K206" s="114">
        <f t="shared" ref="K206:K209" si="6">I206/SUM($I$200:$I$204)</f>
        <v>0.32900000000000001</v>
      </c>
    </row>
    <row r="207" spans="3:11" x14ac:dyDescent="0.25">
      <c r="C207" s="1"/>
      <c r="D207" s="2" t="s">
        <v>18</v>
      </c>
      <c r="E207" s="148">
        <f>+H109</f>
        <v>8.4267600642793331E-2</v>
      </c>
      <c r="G207">
        <f t="shared" si="5"/>
        <v>8.4267600642793331E-2</v>
      </c>
      <c r="H207" t="s">
        <v>56</v>
      </c>
      <c r="I207" s="433">
        <f>G207*1000/C13</f>
        <v>17.88439528412583</v>
      </c>
      <c r="J207" t="s">
        <v>355</v>
      </c>
      <c r="K207" s="114">
        <f t="shared" si="6"/>
        <v>9.8999999999999991E-2</v>
      </c>
    </row>
    <row r="208" spans="3:11" x14ac:dyDescent="0.25">
      <c r="C208" s="1"/>
      <c r="D208" s="2" t="s">
        <v>22</v>
      </c>
      <c r="E208" s="148">
        <f>+H111</f>
        <v>1.3451810340875574E-2</v>
      </c>
      <c r="G208">
        <f t="shared" si="5"/>
        <v>1.3451810340875574E-2</v>
      </c>
      <c r="H208" t="s">
        <v>56</v>
      </c>
      <c r="I208" s="433">
        <f>G208*1000/C14</f>
        <v>3.316303759944816</v>
      </c>
      <c r="J208" t="s">
        <v>355</v>
      </c>
      <c r="K208" s="114">
        <f t="shared" si="6"/>
        <v>1.8357571895424835E-2</v>
      </c>
    </row>
    <row r="209" spans="3:11" x14ac:dyDescent="0.25">
      <c r="C209" s="1"/>
      <c r="D209" s="2" t="s">
        <v>26</v>
      </c>
      <c r="E209" s="148">
        <f>+H110</f>
        <v>0.22654219614914253</v>
      </c>
      <c r="G209">
        <f t="shared" si="5"/>
        <v>0.22654219614914253</v>
      </c>
      <c r="H209" t="s">
        <v>56</v>
      </c>
      <c r="I209" s="433">
        <f>G209*1000/C15</f>
        <v>41.485009679077457</v>
      </c>
      <c r="J209" t="s">
        <v>355</v>
      </c>
      <c r="K209" s="114">
        <f t="shared" si="6"/>
        <v>0.22964242810457511</v>
      </c>
    </row>
    <row r="210" spans="3:11" x14ac:dyDescent="0.25">
      <c r="C210" s="1"/>
      <c r="D210" s="2" t="s">
        <v>83</v>
      </c>
      <c r="E210" s="200">
        <f>+H112</f>
        <v>2.6675609175347063E-2</v>
      </c>
      <c r="G210">
        <f t="shared" si="5"/>
        <v>2.6675609175347063E-2</v>
      </c>
      <c r="H210" t="s">
        <v>56</v>
      </c>
    </row>
    <row r="211" spans="3:11" x14ac:dyDescent="0.25">
      <c r="D211" s="1"/>
      <c r="E211" s="148"/>
    </row>
    <row r="212" spans="3:11" x14ac:dyDescent="0.25">
      <c r="E212" s="665">
        <f>+SUM(E205:E210)</f>
        <v>1.0000000000000002</v>
      </c>
    </row>
    <row r="216" spans="3:11" ht="18.75" x14ac:dyDescent="0.3">
      <c r="C216" s="181" t="s">
        <v>541</v>
      </c>
    </row>
    <row r="218" spans="3:11" x14ac:dyDescent="0.25">
      <c r="C218" s="202"/>
      <c r="D218" s="177"/>
      <c r="E218" s="177"/>
      <c r="F218" s="175"/>
      <c r="G218" s="177"/>
    </row>
    <row r="219" spans="3:11" x14ac:dyDescent="0.25">
      <c r="C219" s="186" t="s">
        <v>138</v>
      </c>
      <c r="D219" s="187" t="s">
        <v>488</v>
      </c>
      <c r="E219" s="187" t="s">
        <v>538</v>
      </c>
      <c r="F219" s="187" t="s">
        <v>484</v>
      </c>
      <c r="G219" s="203" t="s">
        <v>485</v>
      </c>
    </row>
    <row r="220" spans="3:11" x14ac:dyDescent="0.25">
      <c r="C220" s="204" t="str">
        <f>+C205</f>
        <v>REF2</v>
      </c>
      <c r="D220" s="205" t="s">
        <v>539</v>
      </c>
      <c r="E220" s="177">
        <v>2019</v>
      </c>
      <c r="F220" s="206">
        <f>+E62*E124</f>
        <v>435.55913479422435</v>
      </c>
    </row>
    <row r="221" spans="3:11" x14ac:dyDescent="0.25">
      <c r="C221" s="207" t="str">
        <f>+C205</f>
        <v>REF2</v>
      </c>
      <c r="D221" s="87" t="s">
        <v>539</v>
      </c>
      <c r="E221" s="208">
        <v>2020</v>
      </c>
      <c r="F221" s="206">
        <f>+E61*E65*E124</f>
        <v>449.54497857202057</v>
      </c>
      <c r="G221" s="177"/>
    </row>
    <row r="222" spans="3:11" x14ac:dyDescent="0.25">
      <c r="C222" s="204" t="str">
        <f>+C205</f>
        <v>REF2</v>
      </c>
      <c r="D222" s="196" t="s">
        <v>447</v>
      </c>
      <c r="E222" s="177">
        <v>2019</v>
      </c>
      <c r="F222" s="177"/>
      <c r="G222" s="179">
        <f>+E124*E181</f>
        <v>0.83261045143550405</v>
      </c>
    </row>
    <row r="223" spans="3:11" x14ac:dyDescent="0.25">
      <c r="C223" s="189" t="str">
        <f>+C205</f>
        <v>REF2</v>
      </c>
      <c r="D223" s="177" t="s">
        <v>542</v>
      </c>
      <c r="E223" s="196">
        <v>2019</v>
      </c>
      <c r="F223" s="179"/>
      <c r="G223" s="209">
        <f>+E68</f>
        <v>0.58532298647241721</v>
      </c>
    </row>
  </sheetData>
  <mergeCells count="2">
    <mergeCell ref="T7:T8"/>
    <mergeCell ref="U7:V7"/>
  </mergeCells>
  <conditionalFormatting sqref="K6:L22">
    <cfRule type="containsText" dxfId="39" priority="1" operator="containsText" text="Oil and Gas">
      <formula>NOT(ISERROR(SEARCH(("Oil and Gas"),(K6))))</formula>
    </cfRule>
    <cfRule type="containsText" dxfId="38" priority="2" operator="containsText" text="Gas">
      <formula>NOT(ISERROR(SEARCH(("Gas"),(K6))))</formula>
    </cfRule>
    <cfRule type="containsText" dxfId="37" priority="3" operator="containsText" text="Oil">
      <formula>NOT(ISERROR(SEARCH(("Oil"),(K6))))</formula>
    </cfRule>
  </conditionalFormatting>
  <conditionalFormatting sqref="O6:P22">
    <cfRule type="cellIs" dxfId="36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C1D5-94FB-4D8D-81CF-C4D40269514E}">
  <dimension ref="A1:X199"/>
  <sheetViews>
    <sheetView showGridLines="0" topLeftCell="F177" zoomScale="115" zoomScaleNormal="115" workbookViewId="0">
      <selection activeCell="L190" sqref="L190"/>
    </sheetView>
  </sheetViews>
  <sheetFormatPr baseColWidth="10" defaultRowHeight="15" x14ac:dyDescent="0.25"/>
  <cols>
    <col min="3" max="3" width="21.42578125" customWidth="1"/>
    <col min="4" max="4" width="41.140625" customWidth="1"/>
  </cols>
  <sheetData>
    <row r="1" spans="1:24" x14ac:dyDescent="0.25">
      <c r="A1" s="12"/>
      <c r="B1" s="12"/>
      <c r="C1" s="12"/>
      <c r="D1" s="12"/>
      <c r="E1" s="12"/>
    </row>
    <row r="2" spans="1:24" x14ac:dyDescent="0.25">
      <c r="A2" s="570"/>
      <c r="C2" s="12"/>
      <c r="D2" s="12"/>
      <c r="E2" s="12"/>
      <c r="F2" s="12"/>
      <c r="G2" s="12"/>
    </row>
    <row r="3" spans="1:24" x14ac:dyDescent="0.25">
      <c r="A3" s="12"/>
    </row>
    <row r="4" spans="1:24" x14ac:dyDescent="0.25">
      <c r="C4" s="14"/>
      <c r="D4" s="14"/>
      <c r="G4" s="14"/>
      <c r="O4" s="14" t="s">
        <v>705</v>
      </c>
      <c r="P4" s="12" t="s">
        <v>987</v>
      </c>
    </row>
    <row r="5" spans="1:24" ht="75" x14ac:dyDescent="0.25">
      <c r="D5" s="14" t="s">
        <v>318</v>
      </c>
      <c r="E5" s="599" t="s">
        <v>323</v>
      </c>
      <c r="G5" s="14"/>
      <c r="J5" s="211" t="s">
        <v>580</v>
      </c>
      <c r="K5" s="211" t="s">
        <v>581</v>
      </c>
      <c r="L5" s="326" t="s">
        <v>988</v>
      </c>
      <c r="M5" s="326" t="s">
        <v>989</v>
      </c>
      <c r="N5" s="211" t="s">
        <v>740</v>
      </c>
      <c r="O5" s="211" t="s">
        <v>990</v>
      </c>
      <c r="P5" s="600" t="s">
        <v>990</v>
      </c>
    </row>
    <row r="6" spans="1:24" x14ac:dyDescent="0.25">
      <c r="B6" s="12" t="s">
        <v>602</v>
      </c>
      <c r="C6" s="14" t="s">
        <v>321</v>
      </c>
      <c r="D6" s="14" t="s">
        <v>322</v>
      </c>
      <c r="G6" s="14"/>
      <c r="J6" s="601" t="s">
        <v>608</v>
      </c>
      <c r="K6" s="218">
        <v>48</v>
      </c>
      <c r="L6" s="602">
        <v>0.78830083565459608</v>
      </c>
      <c r="M6" s="516">
        <v>275.79493036211699</v>
      </c>
      <c r="N6" s="219" t="s">
        <v>292</v>
      </c>
      <c r="O6" s="286">
        <v>10231.853999999999</v>
      </c>
      <c r="P6" s="265">
        <v>2821893.461405348</v>
      </c>
    </row>
    <row r="7" spans="1:24" x14ac:dyDescent="0.25">
      <c r="A7" s="14" t="s">
        <v>7</v>
      </c>
      <c r="B7" s="227" t="s">
        <v>604</v>
      </c>
      <c r="C7" s="228">
        <v>1.0095573442026637</v>
      </c>
      <c r="D7" s="229">
        <v>55.539114956987063</v>
      </c>
      <c r="E7" s="603">
        <v>2.7137894079321097</v>
      </c>
      <c r="F7" s="12" t="s">
        <v>991</v>
      </c>
      <c r="G7" s="88"/>
      <c r="J7" s="601" t="s">
        <v>610</v>
      </c>
      <c r="K7" s="218">
        <v>52</v>
      </c>
      <c r="L7" s="602">
        <v>0.77111716621253401</v>
      </c>
      <c r="M7" s="516">
        <v>269.78305177111719</v>
      </c>
      <c r="N7" s="219" t="s">
        <v>292</v>
      </c>
      <c r="O7" s="286">
        <v>3182.6220821917809</v>
      </c>
      <c r="P7" s="265">
        <v>858617.49796784599</v>
      </c>
      <c r="T7" s="717"/>
      <c r="U7" s="719" t="s">
        <v>990</v>
      </c>
      <c r="V7" s="719"/>
      <c r="W7" s="605"/>
      <c r="X7" s="605"/>
    </row>
    <row r="8" spans="1:24" x14ac:dyDescent="0.25">
      <c r="A8" s="14" t="s">
        <v>13</v>
      </c>
      <c r="B8" s="227" t="s">
        <v>607</v>
      </c>
      <c r="C8" s="228">
        <v>6.0871741676095334</v>
      </c>
      <c r="D8" s="229">
        <v>77.841777688967127</v>
      </c>
      <c r="E8" s="603">
        <v>0.45008175418663371</v>
      </c>
      <c r="F8" s="12" t="s">
        <v>992</v>
      </c>
      <c r="G8" s="88"/>
      <c r="J8" s="601" t="s">
        <v>612</v>
      </c>
      <c r="K8" s="218">
        <v>46</v>
      </c>
      <c r="L8" s="602">
        <v>0.79718309859154934</v>
      </c>
      <c r="M8" s="516">
        <v>278.90247887323949</v>
      </c>
      <c r="N8" s="219" t="s">
        <v>292</v>
      </c>
      <c r="O8" s="286">
        <v>27008.407917808221</v>
      </c>
      <c r="P8" s="265">
        <v>7532711.9186963411</v>
      </c>
      <c r="S8" s="12"/>
      <c r="T8" s="718"/>
      <c r="U8" s="604" t="s">
        <v>993</v>
      </c>
      <c r="V8" s="604" t="s">
        <v>994</v>
      </c>
      <c r="W8" s="606" t="s">
        <v>989</v>
      </c>
      <c r="X8" s="604" t="s">
        <v>995</v>
      </c>
    </row>
    <row r="9" spans="1:24" x14ac:dyDescent="0.25">
      <c r="A9" s="14" t="s">
        <v>17</v>
      </c>
      <c r="B9" s="231" t="s">
        <v>609</v>
      </c>
      <c r="C9" s="88">
        <v>6.0871741676095334</v>
      </c>
      <c r="D9" s="232">
        <v>77.841777688967127</v>
      </c>
      <c r="E9" s="603">
        <v>0.45008175418663371</v>
      </c>
      <c r="F9" s="12" t="s">
        <v>992</v>
      </c>
      <c r="G9" s="88"/>
      <c r="J9" s="601" t="s">
        <v>614</v>
      </c>
      <c r="K9" s="218">
        <v>45.5</v>
      </c>
      <c r="L9" s="602">
        <v>0.79943502824858759</v>
      </c>
      <c r="M9" s="516">
        <v>279.69033898305088</v>
      </c>
      <c r="N9" s="219" t="s">
        <v>292</v>
      </c>
      <c r="O9" s="286">
        <v>8010.0189863013702</v>
      </c>
      <c r="P9" s="265">
        <v>2240324.925539304</v>
      </c>
      <c r="S9" s="360" t="s">
        <v>996</v>
      </c>
      <c r="T9" s="604" t="s">
        <v>292</v>
      </c>
      <c r="U9" s="607">
        <v>50394.967671232887</v>
      </c>
      <c r="V9" s="607">
        <v>14036925.491415592</v>
      </c>
      <c r="W9" s="605">
        <v>278.5382378452905</v>
      </c>
      <c r="X9" s="608">
        <v>46.232114566966032</v>
      </c>
    </row>
    <row r="10" spans="1:24" x14ac:dyDescent="0.25">
      <c r="A10" s="14" t="s">
        <v>21</v>
      </c>
      <c r="B10" s="233" t="s">
        <v>611</v>
      </c>
      <c r="C10" s="234">
        <v>6.0871741676095334</v>
      </c>
      <c r="D10" s="235">
        <v>77.841777688967127</v>
      </c>
      <c r="E10" s="603">
        <v>0.45008175418663371</v>
      </c>
      <c r="F10" s="12" t="s">
        <v>992</v>
      </c>
      <c r="G10" s="88"/>
      <c r="J10" s="601" t="s">
        <v>616</v>
      </c>
      <c r="K10" s="218">
        <v>12.850000000000001</v>
      </c>
      <c r="L10" s="602">
        <v>0.98025632144094221</v>
      </c>
      <c r="M10" s="516">
        <v>342.95247661932808</v>
      </c>
      <c r="N10" s="219" t="s">
        <v>296</v>
      </c>
      <c r="O10" s="286">
        <v>119308.68268493151</v>
      </c>
      <c r="P10" s="265">
        <v>40917208.208986804</v>
      </c>
      <c r="S10" s="360" t="s">
        <v>997</v>
      </c>
      <c r="T10" s="604" t="s">
        <v>295</v>
      </c>
      <c r="U10" s="607">
        <v>85083.722575342501</v>
      </c>
      <c r="V10" s="607">
        <v>27428038.695017595</v>
      </c>
      <c r="W10" s="605">
        <v>322.36528756402009</v>
      </c>
      <c r="X10" s="608">
        <v>22.068612719099065</v>
      </c>
    </row>
    <row r="11" spans="1:24" x14ac:dyDescent="0.25">
      <c r="A11" s="14" t="s">
        <v>8</v>
      </c>
      <c r="B11" s="227" t="s">
        <v>613</v>
      </c>
      <c r="C11" s="228">
        <v>5.3308987344700309</v>
      </c>
      <c r="D11" s="229">
        <v>69.193827140333724</v>
      </c>
      <c r="E11" s="603">
        <v>0.51393323412466374</v>
      </c>
      <c r="F11" s="12" t="s">
        <v>992</v>
      </c>
      <c r="G11" s="88"/>
      <c r="J11" s="601" t="s">
        <v>617</v>
      </c>
      <c r="K11" s="218">
        <v>13.7</v>
      </c>
      <c r="L11" s="602">
        <v>0.97451790633608826</v>
      </c>
      <c r="M11" s="516">
        <v>340.94483471074386</v>
      </c>
      <c r="N11" s="219" t="s">
        <v>296</v>
      </c>
      <c r="O11" s="286">
        <v>114056.06200000001</v>
      </c>
      <c r="P11" s="265">
        <v>38886825.206348352</v>
      </c>
      <c r="S11" s="360" t="s">
        <v>998</v>
      </c>
      <c r="T11" s="604" t="s">
        <v>296</v>
      </c>
      <c r="U11" s="607">
        <v>326153.27038356167</v>
      </c>
      <c r="V11" s="607">
        <v>111749377.46739072</v>
      </c>
      <c r="W11" s="605">
        <v>342.62841312604837</v>
      </c>
      <c r="X11" s="608">
        <v>12.986528564073609</v>
      </c>
    </row>
    <row r="12" spans="1:24" x14ac:dyDescent="0.25">
      <c r="A12" s="14" t="s">
        <v>14</v>
      </c>
      <c r="B12" s="231" t="s">
        <v>615</v>
      </c>
      <c r="C12" s="88">
        <v>5.6708498400612823</v>
      </c>
      <c r="D12" s="232">
        <v>75.166375708662926</v>
      </c>
      <c r="E12" s="603">
        <v>0.48312441779760712</v>
      </c>
      <c r="F12" s="12" t="s">
        <v>992</v>
      </c>
      <c r="G12" s="88"/>
      <c r="J12" s="601" t="s">
        <v>619</v>
      </c>
      <c r="K12" s="218">
        <v>13.5</v>
      </c>
      <c r="L12" s="602">
        <v>0.97586206896551719</v>
      </c>
      <c r="M12" s="516">
        <v>341.41510344827589</v>
      </c>
      <c r="N12" s="219" t="s">
        <v>296</v>
      </c>
      <c r="O12" s="286">
        <v>69090.784575342463</v>
      </c>
      <c r="P12" s="265">
        <v>23588637.36311309</v>
      </c>
    </row>
    <row r="13" spans="1:24" x14ac:dyDescent="0.25">
      <c r="A13" s="14" t="s">
        <v>18</v>
      </c>
      <c r="B13" s="233" t="s">
        <v>61</v>
      </c>
      <c r="C13" s="234">
        <v>4.7117947967516214</v>
      </c>
      <c r="D13" s="235">
        <v>87.735056011523966</v>
      </c>
      <c r="E13" s="603">
        <v>0.58146123623339163</v>
      </c>
      <c r="F13" s="12" t="s">
        <v>992</v>
      </c>
      <c r="G13" s="88"/>
      <c r="J13" s="601" t="s">
        <v>621</v>
      </c>
      <c r="K13" s="218">
        <v>8</v>
      </c>
      <c r="L13" s="602">
        <v>1.0143369175627239</v>
      </c>
      <c r="M13" s="516">
        <v>354.87591397849462</v>
      </c>
      <c r="N13" s="219" t="s">
        <v>296</v>
      </c>
      <c r="O13" s="286">
        <v>19756.607616438356</v>
      </c>
      <c r="P13" s="265">
        <v>7011144.1849980494</v>
      </c>
    </row>
    <row r="14" spans="1:24" x14ac:dyDescent="0.25">
      <c r="A14" s="14" t="s">
        <v>22</v>
      </c>
      <c r="B14" s="227" t="s">
        <v>618</v>
      </c>
      <c r="C14" s="228">
        <v>4.0562660463586173</v>
      </c>
      <c r="D14" s="229">
        <v>47.28933824683137</v>
      </c>
      <c r="E14" s="603">
        <v>0.67543055511774464</v>
      </c>
      <c r="F14" s="12" t="s">
        <v>992</v>
      </c>
      <c r="G14" s="88"/>
      <c r="J14" s="601" t="s">
        <v>623</v>
      </c>
      <c r="K14" s="218">
        <v>13.5</v>
      </c>
      <c r="L14" s="602">
        <v>0.97586206896551719</v>
      </c>
      <c r="M14" s="516">
        <v>341.41510344827589</v>
      </c>
      <c r="N14" s="219" t="s">
        <v>296</v>
      </c>
      <c r="O14" s="286">
        <v>3941.1335068493149</v>
      </c>
      <c r="P14" s="265">
        <v>1345562.5039444251</v>
      </c>
    </row>
    <row r="15" spans="1:24" x14ac:dyDescent="0.25">
      <c r="A15" s="14" t="s">
        <v>26</v>
      </c>
      <c r="B15" s="231" t="s">
        <v>620</v>
      </c>
      <c r="C15" s="88">
        <v>5.4608206169323079</v>
      </c>
      <c r="D15" s="232">
        <v>78.281203343664757</v>
      </c>
      <c r="E15" s="603">
        <v>0.50170591923532903</v>
      </c>
      <c r="F15" s="12" t="s">
        <v>992</v>
      </c>
      <c r="G15" s="88"/>
      <c r="J15" s="601" t="s">
        <v>625</v>
      </c>
      <c r="K15" s="218">
        <v>35</v>
      </c>
      <c r="L15" s="602">
        <v>0.8498498498498499</v>
      </c>
      <c r="M15" s="516">
        <v>297.32846846846849</v>
      </c>
      <c r="N15" s="219" t="s">
        <v>292</v>
      </c>
      <c r="O15" s="286">
        <v>1962.0646849315069</v>
      </c>
      <c r="P15" s="265">
        <v>583377.68780675309</v>
      </c>
    </row>
    <row r="16" spans="1:24" x14ac:dyDescent="0.25">
      <c r="A16" s="14" t="s">
        <v>69</v>
      </c>
      <c r="B16" s="231" t="s">
        <v>622</v>
      </c>
      <c r="C16" s="88">
        <v>4.7615165047769556</v>
      </c>
      <c r="D16" s="232">
        <v>56.337812381502502</v>
      </c>
      <c r="E16" s="603">
        <v>0.57538937954927816</v>
      </c>
      <c r="F16" s="12" t="s">
        <v>992</v>
      </c>
      <c r="G16" s="88"/>
      <c r="J16" s="601" t="s">
        <v>628</v>
      </c>
      <c r="K16" s="218">
        <v>21</v>
      </c>
      <c r="L16" s="602">
        <v>0.9278688524590164</v>
      </c>
      <c r="M16" s="516">
        <v>324.62419672131148</v>
      </c>
      <c r="N16" s="219" t="s">
        <v>295</v>
      </c>
      <c r="O16" s="286">
        <v>12119.3965753425</v>
      </c>
      <c r="P16" s="265">
        <v>3934249.3780175722</v>
      </c>
    </row>
    <row r="17" spans="1:19" x14ac:dyDescent="0.25">
      <c r="A17" s="14" t="s">
        <v>72</v>
      </c>
      <c r="B17" s="233" t="s">
        <v>73</v>
      </c>
      <c r="C17" s="234">
        <v>1.002301089888</v>
      </c>
      <c r="D17" s="235">
        <v>40.784041574326501</v>
      </c>
      <c r="E17" s="603">
        <v>2.7334361451242213</v>
      </c>
      <c r="F17" s="12" t="s">
        <v>992</v>
      </c>
      <c r="G17" s="88"/>
      <c r="J17" s="601" t="s">
        <v>629</v>
      </c>
      <c r="K17" s="218">
        <v>12.5</v>
      </c>
      <c r="L17" s="602">
        <v>0.98263888888888884</v>
      </c>
      <c r="M17" s="516">
        <v>343.78604166666668</v>
      </c>
      <c r="N17" s="219" t="s">
        <v>296</v>
      </c>
      <c r="O17" s="286">
        <v>1476.5236986301368</v>
      </c>
      <c r="P17" s="265">
        <v>507608.23777908098</v>
      </c>
    </row>
    <row r="18" spans="1:19" x14ac:dyDescent="0.25">
      <c r="A18" s="236" t="s">
        <v>999</v>
      </c>
      <c r="J18" s="601" t="s">
        <v>632</v>
      </c>
      <c r="K18" s="218">
        <v>21</v>
      </c>
      <c r="L18" s="602">
        <v>0.9278688524590164</v>
      </c>
      <c r="M18" s="516">
        <v>324.62419672131148</v>
      </c>
      <c r="N18" s="219" t="s">
        <v>295</v>
      </c>
      <c r="O18" s="286">
        <v>17849.99879452055</v>
      </c>
      <c r="P18" s="265">
        <v>5794541.5201476114</v>
      </c>
    </row>
    <row r="19" spans="1:19" x14ac:dyDescent="0.25">
      <c r="J19" s="601" t="s">
        <v>634</v>
      </c>
      <c r="K19" s="218">
        <v>22.5</v>
      </c>
      <c r="L19" s="602">
        <v>0.91883116883116878</v>
      </c>
      <c r="M19" s="516">
        <v>321.4622727272727</v>
      </c>
      <c r="N19" s="219" t="s">
        <v>295</v>
      </c>
      <c r="O19" s="286">
        <v>42334.39687671233</v>
      </c>
      <c r="P19" s="265">
        <v>13608911.4345263</v>
      </c>
    </row>
    <row r="20" spans="1:19" x14ac:dyDescent="0.25">
      <c r="B20" s="12" t="s">
        <v>348</v>
      </c>
      <c r="C20">
        <v>120.1</v>
      </c>
      <c r="D20" s="12" t="s">
        <v>979</v>
      </c>
      <c r="J20" s="601" t="s">
        <v>637</v>
      </c>
      <c r="K20" s="218">
        <v>23</v>
      </c>
      <c r="L20" s="602">
        <v>0.91585760517799353</v>
      </c>
      <c r="M20" s="516">
        <v>320.42194174757282</v>
      </c>
      <c r="N20" s="219" t="s">
        <v>295</v>
      </c>
      <c r="O20" s="286">
        <v>4684.6815890410962</v>
      </c>
      <c r="P20" s="265">
        <v>1501074.7712296529</v>
      </c>
    </row>
    <row r="21" spans="1:19" x14ac:dyDescent="0.25">
      <c r="B21" s="12" t="s">
        <v>348</v>
      </c>
      <c r="C21">
        <v>0.1201</v>
      </c>
      <c r="D21" s="12" t="s">
        <v>1000</v>
      </c>
      <c r="J21" s="601" t="s">
        <v>638</v>
      </c>
      <c r="K21" s="218">
        <v>25.5</v>
      </c>
      <c r="L21" s="602">
        <v>0.90127388535031849</v>
      </c>
      <c r="M21" s="516">
        <v>315.31968152866244</v>
      </c>
      <c r="N21" s="219" t="s">
        <v>295</v>
      </c>
      <c r="O21" s="286">
        <v>4154.1152328767121</v>
      </c>
      <c r="P21" s="265">
        <v>1309874.2922640503</v>
      </c>
    </row>
    <row r="22" spans="1:19" x14ac:dyDescent="0.25">
      <c r="J22" s="601" t="s">
        <v>639</v>
      </c>
      <c r="K22" s="218">
        <v>21</v>
      </c>
      <c r="L22" s="602">
        <v>0.9278688524590164</v>
      </c>
      <c r="M22" s="516">
        <v>324.62419672131148</v>
      </c>
      <c r="N22" s="219" t="s">
        <v>295</v>
      </c>
      <c r="O22" s="286">
        <v>3941.1335068493149</v>
      </c>
      <c r="P22" s="265">
        <v>1279387.2988324042</v>
      </c>
    </row>
    <row r="29" spans="1:19" ht="18.75" x14ac:dyDescent="0.3">
      <c r="D29" s="181" t="s">
        <v>534</v>
      </c>
      <c r="S29" s="181"/>
    </row>
    <row r="30" spans="1:19" x14ac:dyDescent="0.25">
      <c r="C30" s="609"/>
    </row>
    <row r="31" spans="1:19" x14ac:dyDescent="0.25">
      <c r="C31" s="503" t="s">
        <v>1001</v>
      </c>
      <c r="D31" s="12" t="s">
        <v>1002</v>
      </c>
      <c r="E31">
        <v>24</v>
      </c>
      <c r="F31" s="12" t="s">
        <v>995</v>
      </c>
    </row>
    <row r="32" spans="1:19" x14ac:dyDescent="0.25">
      <c r="C32" s="503" t="s">
        <v>1003</v>
      </c>
      <c r="D32" s="12" t="s">
        <v>1071</v>
      </c>
      <c r="E32" s="153">
        <v>0.3</v>
      </c>
      <c r="L32" s="109" t="s">
        <v>983</v>
      </c>
      <c r="M32">
        <v>8.33</v>
      </c>
      <c r="N32" s="12" t="s">
        <v>984</v>
      </c>
    </row>
    <row r="33" spans="3:15" x14ac:dyDescent="0.25">
      <c r="C33" s="609"/>
      <c r="G33" s="577"/>
      <c r="H33" s="577" t="s">
        <v>993</v>
      </c>
      <c r="I33" s="577" t="s">
        <v>985</v>
      </c>
      <c r="J33" s="577" t="s">
        <v>994</v>
      </c>
      <c r="M33">
        <v>349.86</v>
      </c>
      <c r="N33" s="12" t="s">
        <v>985</v>
      </c>
      <c r="O33" s="12" t="s">
        <v>986</v>
      </c>
    </row>
    <row r="34" spans="3:15" x14ac:dyDescent="0.25">
      <c r="C34" s="609"/>
      <c r="D34" s="610" t="s">
        <v>1005</v>
      </c>
      <c r="G34" s="577" t="s">
        <v>995</v>
      </c>
      <c r="H34" s="577" t="s">
        <v>1006</v>
      </c>
      <c r="I34" s="577" t="s">
        <v>989</v>
      </c>
      <c r="J34" s="577" t="s">
        <v>1007</v>
      </c>
    </row>
    <row r="35" spans="3:15" x14ac:dyDescent="0.25">
      <c r="C35" s="609"/>
      <c r="D35" s="12" t="s">
        <v>1008</v>
      </c>
      <c r="E35" s="114">
        <f>+H35/100</f>
        <v>0.23009135447964041</v>
      </c>
      <c r="G35" s="611">
        <f>+X9</f>
        <v>46.232114566966032</v>
      </c>
      <c r="H35" s="612">
        <v>23.009135447964042</v>
      </c>
      <c r="I35" s="612">
        <f>+(141.5/(G35+131.5))*$M$33</f>
        <v>278.5382378452905</v>
      </c>
      <c r="J35" s="613">
        <f>+I35*H35</f>
        <v>6408.9240420195129</v>
      </c>
    </row>
    <row r="36" spans="3:15" x14ac:dyDescent="0.25">
      <c r="C36" s="609"/>
      <c r="D36" s="12" t="s">
        <v>1009</v>
      </c>
      <c r="E36" s="114">
        <f>+H36/100</f>
        <v>0.46990864552035966</v>
      </c>
      <c r="G36" s="611">
        <f>+X10</f>
        <v>22.068612719099065</v>
      </c>
      <c r="H36" s="612">
        <v>46.990864552035966</v>
      </c>
      <c r="I36" s="612">
        <f>+(141.5/(G36+131.5))*$M$33</f>
        <v>322.36528756402009</v>
      </c>
      <c r="J36" s="613">
        <f>+I36*H36</f>
        <v>15148.223564198992</v>
      </c>
    </row>
    <row r="37" spans="3:15" x14ac:dyDescent="0.25">
      <c r="C37" s="609"/>
      <c r="D37" s="12" t="s">
        <v>1010</v>
      </c>
      <c r="E37" s="114">
        <v>0.3</v>
      </c>
      <c r="G37" s="611">
        <f>+X11</f>
        <v>12.986528564073609</v>
      </c>
      <c r="H37" s="612">
        <v>30</v>
      </c>
      <c r="I37" s="612">
        <f>+(141.5/(G37+131.5))*$M$33</f>
        <v>342.62841312604837</v>
      </c>
      <c r="J37" s="613">
        <f>+I37*H37</f>
        <v>10278.852393781452</v>
      </c>
    </row>
    <row r="38" spans="3:15" x14ac:dyDescent="0.25">
      <c r="C38" s="609"/>
      <c r="E38" s="614">
        <f>+SUM(E35:E37)</f>
        <v>1</v>
      </c>
      <c r="G38" s="577">
        <f>+(141.5/(I38/M33)-131.5)</f>
        <v>24</v>
      </c>
      <c r="H38" s="611">
        <f>+SUM(H35:H37)</f>
        <v>100</v>
      </c>
      <c r="I38" s="612">
        <f>+(141.5/(G39+131.5))*$M$33</f>
        <v>318.36135048231512</v>
      </c>
      <c r="J38" s="615">
        <f>+SUM(J35:J37)</f>
        <v>31835.999999999956</v>
      </c>
    </row>
    <row r="39" spans="3:15" x14ac:dyDescent="0.25">
      <c r="C39" s="609"/>
      <c r="G39" s="616">
        <f>+E31</f>
        <v>24</v>
      </c>
      <c r="H39" s="616"/>
      <c r="I39" s="616"/>
      <c r="J39" s="617">
        <f>+I38*100</f>
        <v>31836.13504823151</v>
      </c>
    </row>
    <row r="41" spans="3:15" x14ac:dyDescent="0.25">
      <c r="C41" s="648" t="s">
        <v>1011</v>
      </c>
      <c r="D41" s="649" t="s">
        <v>1072</v>
      </c>
      <c r="E41" s="650"/>
      <c r="F41" s="650"/>
      <c r="G41" s="651"/>
      <c r="H41" s="651" t="s">
        <v>993</v>
      </c>
      <c r="I41" s="651" t="s">
        <v>985</v>
      </c>
      <c r="J41" s="651" t="s">
        <v>994</v>
      </c>
    </row>
    <row r="42" spans="3:15" x14ac:dyDescent="0.25">
      <c r="D42" s="650" t="s">
        <v>1008</v>
      </c>
      <c r="E42" s="652">
        <v>0.15</v>
      </c>
      <c r="F42" s="650"/>
      <c r="G42" s="651" t="s">
        <v>995</v>
      </c>
      <c r="H42" s="651" t="s">
        <v>1006</v>
      </c>
      <c r="I42" s="651" t="s">
        <v>989</v>
      </c>
      <c r="J42" s="651" t="s">
        <v>1007</v>
      </c>
    </row>
    <row r="43" spans="3:15" x14ac:dyDescent="0.25">
      <c r="D43" s="650" t="s">
        <v>1009</v>
      </c>
      <c r="E43" s="653">
        <v>0.25</v>
      </c>
      <c r="F43" s="650"/>
      <c r="G43" s="654">
        <f>+G35</f>
        <v>46.232114566966032</v>
      </c>
      <c r="H43" s="651">
        <v>30</v>
      </c>
      <c r="I43" s="655">
        <f>+(141.5/(G43+131.5))*$M$33</f>
        <v>278.5382378452905</v>
      </c>
      <c r="J43" s="656">
        <f>+I43*H43</f>
        <v>8356.1471353587149</v>
      </c>
    </row>
    <row r="44" spans="3:15" x14ac:dyDescent="0.25">
      <c r="D44" s="650" t="s">
        <v>1010</v>
      </c>
      <c r="E44" s="653">
        <v>0.6</v>
      </c>
      <c r="F44" s="650"/>
      <c r="G44" s="654">
        <f>+G36</f>
        <v>22.068612719099065</v>
      </c>
      <c r="H44" s="654">
        <v>0</v>
      </c>
      <c r="I44" s="655">
        <f>+(141.5/(G44+131.5))*$M$33</f>
        <v>322.36528756402009</v>
      </c>
      <c r="J44" s="656">
        <f>+I44*H44</f>
        <v>0</v>
      </c>
    </row>
    <row r="45" spans="3:15" x14ac:dyDescent="0.25">
      <c r="D45" s="650"/>
      <c r="E45" s="657">
        <f>+SUM(E42:E44)</f>
        <v>1</v>
      </c>
      <c r="F45" s="650"/>
      <c r="G45" s="654">
        <f>+G37</f>
        <v>12.986528564073609</v>
      </c>
      <c r="H45" s="654">
        <v>70</v>
      </c>
      <c r="I45" s="655">
        <f>+(141.5/(G45+131.5))*$M$33</f>
        <v>342.62841312604837</v>
      </c>
      <c r="J45" s="656">
        <f>+I45*H45</f>
        <v>23983.988918823386</v>
      </c>
    </row>
    <row r="46" spans="3:15" x14ac:dyDescent="0.25">
      <c r="D46" s="650"/>
      <c r="E46" s="650"/>
      <c r="F46" s="650"/>
      <c r="G46" s="651">
        <f>+(141.5/(I46/M33)-131.5)</f>
        <v>24</v>
      </c>
      <c r="H46" s="654">
        <f>+SUM(H43:H45)</f>
        <v>100</v>
      </c>
      <c r="I46" s="655">
        <f>+(141.5/(G47+131.5))*$M$33</f>
        <v>318.36135048231512</v>
      </c>
      <c r="J46" s="658">
        <f>+SUM(J43:J45)</f>
        <v>32340.136054182101</v>
      </c>
    </row>
    <row r="47" spans="3:15" x14ac:dyDescent="0.25">
      <c r="D47" s="650"/>
      <c r="E47" s="650"/>
      <c r="F47" s="650"/>
      <c r="G47" s="659">
        <f>+E31</f>
        <v>24</v>
      </c>
      <c r="H47" s="659"/>
      <c r="I47" s="659"/>
      <c r="J47" s="660">
        <f>+I46*H46</f>
        <v>31836.13504823151</v>
      </c>
    </row>
    <row r="49" spans="3:11" x14ac:dyDescent="0.25">
      <c r="D49" s="618" t="s">
        <v>713</v>
      </c>
    </row>
    <row r="50" spans="3:11" x14ac:dyDescent="0.25">
      <c r="D50" s="12" t="s">
        <v>1013</v>
      </c>
      <c r="E50">
        <v>2.7603</v>
      </c>
      <c r="F50" s="12" t="s">
        <v>318</v>
      </c>
    </row>
    <row r="51" spans="3:11" x14ac:dyDescent="0.25">
      <c r="D51" s="619" t="s">
        <v>1014</v>
      </c>
      <c r="E51" s="620">
        <f>+E50*($C$8/1000)</f>
        <v>1.6802426854852597E-2</v>
      </c>
      <c r="F51" s="619" t="s">
        <v>1015</v>
      </c>
    </row>
    <row r="52" spans="3:11" x14ac:dyDescent="0.25">
      <c r="D52" s="619" t="s">
        <v>1014</v>
      </c>
      <c r="E52" s="620">
        <f>+E51*1000</f>
        <v>16.802426854852598</v>
      </c>
      <c r="F52" s="619" t="s">
        <v>1016</v>
      </c>
    </row>
    <row r="53" spans="3:11" x14ac:dyDescent="0.25">
      <c r="D53" s="619" t="s">
        <v>1014</v>
      </c>
      <c r="E53" s="620">
        <f>+E52</f>
        <v>16.802426854852598</v>
      </c>
      <c r="F53" s="619" t="s">
        <v>1017</v>
      </c>
    </row>
    <row r="56" spans="3:11" ht="18.75" x14ac:dyDescent="0.3">
      <c r="D56" s="181" t="s">
        <v>536</v>
      </c>
    </row>
    <row r="58" spans="3:11" x14ac:dyDescent="0.25">
      <c r="D58" s="618" t="s">
        <v>1018</v>
      </c>
      <c r="H58" s="12" t="s">
        <v>1073</v>
      </c>
      <c r="J58" s="239">
        <f>+J61/J59</f>
        <v>22.376810491959233</v>
      </c>
      <c r="K58" s="12" t="s">
        <v>318</v>
      </c>
    </row>
    <row r="59" spans="3:11" x14ac:dyDescent="0.25">
      <c r="C59" s="503" t="s">
        <v>1001</v>
      </c>
      <c r="D59" s="16" t="s">
        <v>1020</v>
      </c>
      <c r="E59" s="12">
        <v>250</v>
      </c>
      <c r="F59" s="410" t="s">
        <v>1021</v>
      </c>
      <c r="H59" s="12" t="s">
        <v>1074</v>
      </c>
      <c r="J59" s="239">
        <f>+J60*365*C8/1000</f>
        <v>542.12373136730503</v>
      </c>
      <c r="K59" s="12" t="s">
        <v>56</v>
      </c>
    </row>
    <row r="60" spans="3:11" x14ac:dyDescent="0.25">
      <c r="C60" s="236" t="s">
        <v>1022</v>
      </c>
      <c r="D60" s="16" t="s">
        <v>1023</v>
      </c>
      <c r="E60" s="12">
        <v>218</v>
      </c>
      <c r="F60" s="410" t="s">
        <v>1021</v>
      </c>
      <c r="H60" s="12" t="s">
        <v>1074</v>
      </c>
      <c r="J60">
        <v>244</v>
      </c>
      <c r="K60" s="625" t="s">
        <v>1021</v>
      </c>
    </row>
    <row r="61" spans="3:11" x14ac:dyDescent="0.25">
      <c r="C61" s="621"/>
      <c r="D61" s="16" t="s">
        <v>1024</v>
      </c>
      <c r="E61" s="622">
        <f>+E59*365*C8/1000</f>
        <v>555.45464279436999</v>
      </c>
      <c r="F61" s="410" t="s">
        <v>56</v>
      </c>
      <c r="H61" s="12" t="s">
        <v>1074</v>
      </c>
      <c r="J61">
        <v>12131</v>
      </c>
      <c r="K61" s="12" t="s">
        <v>1075</v>
      </c>
    </row>
    <row r="62" spans="3:11" x14ac:dyDescent="0.25">
      <c r="C62" s="621"/>
      <c r="D62" s="16" t="s">
        <v>1025</v>
      </c>
      <c r="E62" s="622">
        <f>+E60*365*C9/1000</f>
        <v>484.35644851669059</v>
      </c>
      <c r="F62" s="410" t="s">
        <v>56</v>
      </c>
    </row>
    <row r="63" spans="3:11" x14ac:dyDescent="0.25">
      <c r="C63" s="621"/>
      <c r="D63" s="16"/>
      <c r="E63" s="622"/>
      <c r="F63" s="410"/>
    </row>
    <row r="64" spans="3:11" x14ac:dyDescent="0.25">
      <c r="C64" s="236" t="s">
        <v>1026</v>
      </c>
      <c r="D64" s="16" t="s">
        <v>1027</v>
      </c>
      <c r="E64" s="623">
        <f>+E60/E59</f>
        <v>0.872</v>
      </c>
      <c r="F64" s="410"/>
    </row>
    <row r="65" spans="1:9" x14ac:dyDescent="0.25">
      <c r="C65" s="236" t="s">
        <v>1028</v>
      </c>
      <c r="D65" s="16" t="s">
        <v>1029</v>
      </c>
      <c r="E65" s="623">
        <v>0.9</v>
      </c>
      <c r="F65" s="410"/>
    </row>
    <row r="66" spans="1:9" x14ac:dyDescent="0.25">
      <c r="C66" s="621"/>
      <c r="D66" s="16"/>
      <c r="E66" s="623"/>
      <c r="F66" s="410"/>
    </row>
    <row r="67" spans="1:9" x14ac:dyDescent="0.25">
      <c r="C67" s="236" t="s">
        <v>1030</v>
      </c>
      <c r="D67" s="16" t="s">
        <v>1031</v>
      </c>
      <c r="E67" s="624">
        <v>4.8099999999999996</v>
      </c>
      <c r="F67" s="625" t="s">
        <v>1032</v>
      </c>
    </row>
    <row r="68" spans="1:9" x14ac:dyDescent="0.25">
      <c r="A68" s="626">
        <v>8.2176851262728707</v>
      </c>
      <c r="C68" s="621"/>
      <c r="D68" s="16" t="s">
        <v>1033</v>
      </c>
      <c r="E68" s="624">
        <f>DataCAM!O239</f>
        <v>0.7898193760262725</v>
      </c>
      <c r="F68" s="625" t="s">
        <v>444</v>
      </c>
    </row>
    <row r="70" spans="1:9" x14ac:dyDescent="0.25">
      <c r="D70" s="618" t="s">
        <v>1034</v>
      </c>
    </row>
    <row r="71" spans="1:9" x14ac:dyDescent="0.25">
      <c r="E71" s="599" t="s">
        <v>323</v>
      </c>
      <c r="F71" s="159" t="s">
        <v>56</v>
      </c>
    </row>
    <row r="72" spans="1:9" x14ac:dyDescent="0.25">
      <c r="C72" s="236" t="s">
        <v>1076</v>
      </c>
      <c r="D72" s="12" t="s">
        <v>1077</v>
      </c>
      <c r="E72" s="391">
        <f>+(F72/C21)/365</f>
        <v>1.5972602739726026E-2</v>
      </c>
      <c r="F72" s="239">
        <f>+E82*J59</f>
        <v>0.700183</v>
      </c>
    </row>
    <row r="73" spans="1:9" x14ac:dyDescent="0.25">
      <c r="C73" s="236" t="s">
        <v>1026</v>
      </c>
      <c r="D73" s="12" t="s">
        <v>1078</v>
      </c>
      <c r="E73" s="239">
        <f>+F73*E17</f>
        <v>35.54706415898611</v>
      </c>
      <c r="F73" s="239">
        <f>+E83*J59</f>
        <v>13.004534319337711</v>
      </c>
      <c r="I73" s="622"/>
    </row>
    <row r="74" spans="1:9" x14ac:dyDescent="0.25">
      <c r="C74" s="236" t="s">
        <v>1026</v>
      </c>
      <c r="D74" s="12" t="s">
        <v>1079</v>
      </c>
      <c r="E74" s="239">
        <f>+F74*E7</f>
        <v>58.960930528934362</v>
      </c>
      <c r="F74" s="239">
        <f>+E84*J59</f>
        <v>21.726420759325691</v>
      </c>
    </row>
    <row r="75" spans="1:9" x14ac:dyDescent="0.25">
      <c r="C75" s="236" t="s">
        <v>1026</v>
      </c>
      <c r="D75" s="12" t="s">
        <v>1080</v>
      </c>
      <c r="E75" s="627">
        <f>+F75*E15</f>
        <v>3.4528026945575578</v>
      </c>
      <c r="F75" s="239">
        <f>+E85*J59</f>
        <v>6.8821246913333587</v>
      </c>
    </row>
    <row r="76" spans="1:9" x14ac:dyDescent="0.25">
      <c r="C76" s="503" t="s">
        <v>1040</v>
      </c>
      <c r="D76" s="12" t="s">
        <v>1081</v>
      </c>
      <c r="E76">
        <v>651</v>
      </c>
      <c r="F76" s="391">
        <f>+(E76/E14)/1000</f>
        <v>0.9638296566055029</v>
      </c>
      <c r="H76" s="622"/>
    </row>
    <row r="77" spans="1:9" x14ac:dyDescent="0.25">
      <c r="C77" s="503"/>
      <c r="D77" s="12"/>
    </row>
    <row r="79" spans="1:9" x14ac:dyDescent="0.25">
      <c r="A79" s="391"/>
      <c r="B79" s="631"/>
      <c r="C79" s="12"/>
      <c r="D79" s="12"/>
      <c r="E79" s="391"/>
      <c r="F79" s="12"/>
    </row>
    <row r="80" spans="1:9" x14ac:dyDescent="0.25">
      <c r="A80" s="391"/>
      <c r="B80" s="239"/>
      <c r="C80" s="12"/>
      <c r="D80" s="618" t="s">
        <v>1046</v>
      </c>
      <c r="E80" s="391"/>
      <c r="F80" s="12"/>
    </row>
    <row r="81" spans="3:12" x14ac:dyDescent="0.25">
      <c r="G81" s="506" t="s">
        <v>1047</v>
      </c>
      <c r="H81" s="506" t="s">
        <v>1048</v>
      </c>
      <c r="I81" s="632" t="s">
        <v>1049</v>
      </c>
    </row>
    <row r="82" spans="3:12" x14ac:dyDescent="0.25">
      <c r="C82" s="503" t="s">
        <v>1082</v>
      </c>
      <c r="D82" s="12" t="s">
        <v>1050</v>
      </c>
      <c r="E82" s="375">
        <f>(5.83*C21)/J59</f>
        <v>1.2915557085723759E-3</v>
      </c>
      <c r="F82" s="12" t="s">
        <v>729</v>
      </c>
      <c r="G82" s="510">
        <f>E82*J59</f>
        <v>0.700183</v>
      </c>
      <c r="H82" s="510">
        <f>G82/C21</f>
        <v>5.83</v>
      </c>
      <c r="I82" s="633">
        <f>H82/(J60*365)</f>
        <v>6.5461486638221421E-5</v>
      </c>
      <c r="J82" s="12" t="s">
        <v>1051</v>
      </c>
      <c r="K82" s="470">
        <f>I82*1000</f>
        <v>6.5461486638221419E-2</v>
      </c>
      <c r="L82" s="634" t="s">
        <v>1016</v>
      </c>
    </row>
    <row r="83" spans="3:12" x14ac:dyDescent="0.25">
      <c r="C83" s="503" t="s">
        <v>1083</v>
      </c>
      <c r="D83" s="12" t="s">
        <v>1052</v>
      </c>
      <c r="E83">
        <f>291/J61</f>
        <v>2.3988129585359824E-2</v>
      </c>
      <c r="F83" s="12" t="s">
        <v>729</v>
      </c>
      <c r="G83" s="635">
        <f>E83*J59</f>
        <v>13.004534319337711</v>
      </c>
      <c r="H83" s="510">
        <f>G83/(C17/1000)</f>
        <v>12974.678418029931</v>
      </c>
      <c r="I83" s="636">
        <f>H83/(J60*365)</f>
        <v>0.14568468917617258</v>
      </c>
      <c r="J83" s="12" t="s">
        <v>1053</v>
      </c>
    </row>
    <row r="84" spans="3:12" x14ac:dyDescent="0.25">
      <c r="C84" s="503" t="s">
        <v>1083</v>
      </c>
      <c r="D84" s="12" t="s">
        <v>1054</v>
      </c>
      <c r="E84">
        <f>+((642-(289*68.8%))+43)/J61</f>
        <v>4.0076498227681147E-2</v>
      </c>
      <c r="F84" s="12" t="s">
        <v>729</v>
      </c>
      <c r="G84" s="510">
        <f>E84*J59</f>
        <v>21.726420759325691</v>
      </c>
      <c r="H84" s="510">
        <f>G84/(C7/1000)</f>
        <v>21520.739643061046</v>
      </c>
      <c r="I84" s="636">
        <f>H84/(J60*365)</f>
        <v>0.24164315790546875</v>
      </c>
      <c r="J84" s="12" t="s">
        <v>1053</v>
      </c>
    </row>
    <row r="85" spans="3:12" x14ac:dyDescent="0.25">
      <c r="C85" s="503" t="s">
        <v>1083</v>
      </c>
      <c r="D85" s="12" t="s">
        <v>1055</v>
      </c>
      <c r="E85">
        <f>154/J61</f>
        <v>1.2694748990190421E-2</v>
      </c>
      <c r="F85" s="12" t="s">
        <v>729</v>
      </c>
      <c r="G85" s="506">
        <f>E85*J59</f>
        <v>6.8821246913333587</v>
      </c>
      <c r="H85" s="510">
        <f>G85/(C15/1000)</f>
        <v>1260.2729835135085</v>
      </c>
      <c r="I85" s="637">
        <f>H85/(J60*365)</f>
        <v>1.4150830715399826E-2</v>
      </c>
      <c r="J85" s="12" t="s">
        <v>1057</v>
      </c>
      <c r="K85" s="391">
        <f>I85*1000</f>
        <v>14.150830715399826</v>
      </c>
      <c r="L85" s="12" t="s">
        <v>1058</v>
      </c>
    </row>
    <row r="86" spans="3:12" x14ac:dyDescent="0.25">
      <c r="C86" s="503" t="s">
        <v>1040</v>
      </c>
      <c r="D86" s="12" t="s">
        <v>1056</v>
      </c>
      <c r="E86">
        <f>+F76/E62</f>
        <v>1.9899180852390157E-3</v>
      </c>
      <c r="F86" s="12" t="s">
        <v>729</v>
      </c>
      <c r="G86" s="510">
        <f>E86*E62</f>
        <v>0.96382965660550279</v>
      </c>
      <c r="H86" s="510">
        <f>G86/(C14/1000)</f>
        <v>237.61499999999995</v>
      </c>
      <c r="I86" s="637">
        <f>H86/(E60*365)</f>
        <v>2.9862385321100912E-3</v>
      </c>
      <c r="J86" s="12" t="s">
        <v>1057</v>
      </c>
      <c r="K86" s="391">
        <f>I86*1000</f>
        <v>2.9862385321100913</v>
      </c>
      <c r="L86" s="12" t="s">
        <v>1058</v>
      </c>
    </row>
    <row r="87" spans="3:12" x14ac:dyDescent="0.25">
      <c r="E87" s="638">
        <f>+SUM(E82:E86)</f>
        <v>8.0040850597042787E-2</v>
      </c>
      <c r="F87" s="12" t="s">
        <v>729</v>
      </c>
      <c r="H87" s="391"/>
      <c r="I87" s="12"/>
    </row>
    <row r="90" spans="3:12" ht="18.75" x14ac:dyDescent="0.3">
      <c r="D90" s="181" t="s">
        <v>537</v>
      </c>
    </row>
    <row r="91" spans="3:12" ht="18.75" x14ac:dyDescent="0.3">
      <c r="D91" s="181"/>
    </row>
    <row r="92" spans="3:12" x14ac:dyDescent="0.25">
      <c r="D92" s="12" t="s">
        <v>1084</v>
      </c>
      <c r="E92" s="391">
        <f>289*68.8%</f>
        <v>198.83199999999999</v>
      </c>
      <c r="F92" s="12" t="s">
        <v>1085</v>
      </c>
    </row>
    <row r="93" spans="3:12" x14ac:dyDescent="0.25">
      <c r="D93" s="12" t="s">
        <v>1086</v>
      </c>
      <c r="E93" s="391">
        <f>+E92/J58</f>
        <v>8.8856273806960679</v>
      </c>
      <c r="F93" s="12" t="s">
        <v>56</v>
      </c>
      <c r="H93" s="650" t="s">
        <v>1087</v>
      </c>
      <c r="I93" s="650"/>
      <c r="J93" s="650">
        <f>+E93*(1/G97)</f>
        <v>6.745757088924214</v>
      </c>
      <c r="K93" s="650" t="s">
        <v>56</v>
      </c>
    </row>
    <row r="94" spans="3:12" x14ac:dyDescent="0.25">
      <c r="D94" s="12"/>
      <c r="E94" s="391"/>
      <c r="F94" s="12"/>
      <c r="J94">
        <f>J93/C21</f>
        <v>56.167835877803611</v>
      </c>
      <c r="K94" s="12" t="s">
        <v>1088</v>
      </c>
    </row>
    <row r="95" spans="3:12" x14ac:dyDescent="0.25">
      <c r="J95">
        <f>J94/J60</f>
        <v>0.23019604867952301</v>
      </c>
    </row>
    <row r="96" spans="3:12" x14ac:dyDescent="0.25">
      <c r="E96" s="639"/>
      <c r="F96" s="640" t="s">
        <v>323</v>
      </c>
      <c r="G96" s="640" t="s">
        <v>1059</v>
      </c>
    </row>
    <row r="97" spans="1:21" x14ac:dyDescent="0.25">
      <c r="B97" s="503" t="s">
        <v>1060</v>
      </c>
      <c r="C97" s="503" t="s">
        <v>1061</v>
      </c>
      <c r="E97" s="641" t="s">
        <v>1062</v>
      </c>
      <c r="F97" s="642">
        <f>394.77/299.7</f>
        <v>1.3172172172172172</v>
      </c>
      <c r="G97" s="643">
        <f>+F97</f>
        <v>1.3172172172172172</v>
      </c>
      <c r="H97" s="12" t="s">
        <v>1063</v>
      </c>
      <c r="K97" s="12"/>
    </row>
    <row r="98" spans="1:21" x14ac:dyDescent="0.25">
      <c r="B98" s="503"/>
      <c r="C98" s="503"/>
      <c r="E98" s="641"/>
      <c r="F98" s="642"/>
      <c r="G98" s="643"/>
      <c r="H98" s="12"/>
    </row>
    <row r="100" spans="1:21" ht="18.75" x14ac:dyDescent="0.3">
      <c r="D100" s="181" t="s">
        <v>540</v>
      </c>
    </row>
    <row r="101" spans="1:21" ht="18.75" x14ac:dyDescent="0.3">
      <c r="D101" s="181"/>
    </row>
    <row r="102" spans="1:21" x14ac:dyDescent="0.25">
      <c r="C102" s="503" t="s">
        <v>1001</v>
      </c>
      <c r="D102" s="12" t="s">
        <v>1089</v>
      </c>
      <c r="E102">
        <v>222</v>
      </c>
      <c r="F102" s="12" t="s">
        <v>1021</v>
      </c>
      <c r="G102" s="239">
        <f>+E102/E8</f>
        <v>493.24372280140039</v>
      </c>
      <c r="H102" s="12" t="s">
        <v>56</v>
      </c>
    </row>
    <row r="103" spans="1:21" x14ac:dyDescent="0.25">
      <c r="C103" s="503" t="s">
        <v>1001</v>
      </c>
      <c r="D103" s="12" t="s">
        <v>1090</v>
      </c>
      <c r="E103" s="661">
        <f>180/0.819941176470588</f>
        <v>219.52794318100302</v>
      </c>
      <c r="F103" s="662" t="s">
        <v>1021</v>
      </c>
      <c r="G103" s="239"/>
      <c r="H103" s="12"/>
    </row>
    <row r="104" spans="1:21" x14ac:dyDescent="0.25">
      <c r="D104" s="12"/>
      <c r="F104" s="12"/>
    </row>
    <row r="105" spans="1:21" x14ac:dyDescent="0.25">
      <c r="E105" s="117" t="s">
        <v>323</v>
      </c>
      <c r="F105" s="117" t="s">
        <v>1059</v>
      </c>
      <c r="H105" s="12" t="s">
        <v>1064</v>
      </c>
      <c r="I105" s="12" t="s">
        <v>1091</v>
      </c>
      <c r="L105" s="12" t="s">
        <v>1092</v>
      </c>
      <c r="Q105" s="12" t="s">
        <v>1093</v>
      </c>
    </row>
    <row r="106" spans="1:21" x14ac:dyDescent="0.25">
      <c r="A106" s="12" t="s">
        <v>1094</v>
      </c>
      <c r="B106" s="12" t="s">
        <v>1095</v>
      </c>
      <c r="C106" s="503" t="s">
        <v>1001</v>
      </c>
      <c r="D106" s="12" t="s">
        <v>1096</v>
      </c>
      <c r="E106" s="663">
        <f>+SUM(E107:E111)</f>
        <v>219.52794318100302</v>
      </c>
      <c r="F106" s="664">
        <f>+SUM(F107:F112)</f>
        <v>443.55104552439349</v>
      </c>
      <c r="G106" s="12" t="s">
        <v>56</v>
      </c>
      <c r="H106" s="153">
        <f>+SUM(H107:H112)</f>
        <v>1.0000000000000002</v>
      </c>
      <c r="I106" s="665">
        <f>+SUM(I107:I112)</f>
        <v>1</v>
      </c>
      <c r="K106" s="12" t="s">
        <v>8</v>
      </c>
      <c r="L106">
        <v>60</v>
      </c>
      <c r="M106" s="114">
        <f>L106/SUM($L$106:$L$110)</f>
        <v>0.34482758620689657</v>
      </c>
      <c r="Q106" s="12" t="s">
        <v>1097</v>
      </c>
      <c r="S106" s="12" t="s">
        <v>1091</v>
      </c>
      <c r="U106" s="12" t="s">
        <v>1098</v>
      </c>
    </row>
    <row r="107" spans="1:21" x14ac:dyDescent="0.25">
      <c r="A107" s="622">
        <f>E107+E108+E109+E111</f>
        <v>169.11501327211428</v>
      </c>
      <c r="B107">
        <f>180-10</f>
        <v>170</v>
      </c>
      <c r="C107" s="503" t="s">
        <v>1001</v>
      </c>
      <c r="D107" s="12" t="s">
        <v>1066</v>
      </c>
      <c r="E107" s="239">
        <f>+$E$103*I107</f>
        <v>71.127053590644977</v>
      </c>
      <c r="F107" s="239">
        <f>+E107/E11</f>
        <v>138.39745879012727</v>
      </c>
      <c r="G107" s="12" t="s">
        <v>56</v>
      </c>
      <c r="H107" s="114">
        <f>+F107/$F$106</f>
        <v>0.31202149152079045</v>
      </c>
      <c r="I107" s="665">
        <v>0.32400000000000001</v>
      </c>
      <c r="K107" s="12" t="s">
        <v>14</v>
      </c>
      <c r="L107">
        <v>65</v>
      </c>
      <c r="M107" s="114">
        <f t="shared" ref="M107:M110" si="0">L107/SUM($L$106:$L$110)</f>
        <v>0.37356321839080459</v>
      </c>
      <c r="P107" s="666" t="s">
        <v>297</v>
      </c>
      <c r="Q107">
        <v>72</v>
      </c>
      <c r="R107" s="12" t="s">
        <v>1044</v>
      </c>
      <c r="S107" s="114">
        <f>Q107/$Q$111</f>
        <v>0.42352941176470588</v>
      </c>
    </row>
    <row r="108" spans="1:21" x14ac:dyDescent="0.25">
      <c r="B108" s="12"/>
      <c r="C108" s="503" t="s">
        <v>1001</v>
      </c>
      <c r="D108" s="12" t="s">
        <v>737</v>
      </c>
      <c r="E108" s="239">
        <f>+$E$103*I108</f>
        <v>72.224693306549995</v>
      </c>
      <c r="F108" s="239">
        <f>+E108/E12</f>
        <v>149.49501752736234</v>
      </c>
      <c r="G108" s="12" t="s">
        <v>56</v>
      </c>
      <c r="H108" s="114">
        <f t="shared" ref="H108:H112" si="1">+F108/$F$106</f>
        <v>0.33704129217105122</v>
      </c>
      <c r="I108" s="665">
        <v>0.32900000000000001</v>
      </c>
      <c r="K108" s="12" t="s">
        <v>1099</v>
      </c>
      <c r="L108">
        <v>23</v>
      </c>
      <c r="M108" s="114">
        <f t="shared" si="0"/>
        <v>0.13218390804597702</v>
      </c>
      <c r="P108" s="666" t="s">
        <v>60</v>
      </c>
      <c r="Q108">
        <v>73</v>
      </c>
      <c r="R108" s="12" t="s">
        <v>1044</v>
      </c>
      <c r="S108" s="114">
        <f t="shared" ref="S108:S110" si="2">Q108/$Q$111</f>
        <v>0.42941176470588233</v>
      </c>
    </row>
    <row r="109" spans="1:21" x14ac:dyDescent="0.25">
      <c r="A109" s="12" t="s">
        <v>1100</v>
      </c>
      <c r="B109" s="667">
        <f>A107/B107</f>
        <v>0.99479419571831929</v>
      </c>
      <c r="C109" s="503" t="s">
        <v>1001</v>
      </c>
      <c r="D109" s="12" t="s">
        <v>1067</v>
      </c>
      <c r="E109" s="239">
        <f>+$E$103*I109</f>
        <v>21.7332663749193</v>
      </c>
      <c r="F109" s="239">
        <f>+E109/E13</f>
        <v>37.376982368943032</v>
      </c>
      <c r="G109" s="12" t="s">
        <v>56</v>
      </c>
      <c r="H109" s="114">
        <f t="shared" si="1"/>
        <v>8.4267600642793331E-2</v>
      </c>
      <c r="I109" s="665">
        <v>9.9000000000000005E-2</v>
      </c>
      <c r="K109" s="12" t="s">
        <v>850</v>
      </c>
      <c r="L109">
        <v>20</v>
      </c>
      <c r="M109" s="114">
        <f t="shared" si="0"/>
        <v>0.11494252873563218</v>
      </c>
      <c r="P109" s="666" t="s">
        <v>300</v>
      </c>
      <c r="Q109">
        <v>21</v>
      </c>
      <c r="R109" s="12" t="s">
        <v>1044</v>
      </c>
      <c r="S109" s="114">
        <f t="shared" si="2"/>
        <v>0.12352941176470589</v>
      </c>
    </row>
    <row r="110" spans="1:21" x14ac:dyDescent="0.25">
      <c r="B110" s="668">
        <v>0.81994117647058795</v>
      </c>
      <c r="C110" s="503" t="s">
        <v>1001</v>
      </c>
      <c r="D110" s="12" t="s">
        <v>303</v>
      </c>
      <c r="E110" s="239">
        <f>+E103-(E107+E108+E109+E111)</f>
        <v>50.412929908888742</v>
      </c>
      <c r="F110" s="239">
        <f>+E110/E15</f>
        <v>100.4830279573444</v>
      </c>
      <c r="G110" s="12" t="s">
        <v>56</v>
      </c>
      <c r="H110" s="114">
        <f t="shared" si="1"/>
        <v>0.22654219614914253</v>
      </c>
      <c r="I110" s="472">
        <f>+E110/E106</f>
        <v>0.22964242810457514</v>
      </c>
      <c r="K110" s="12" t="s">
        <v>22</v>
      </c>
      <c r="L110">
        <v>6</v>
      </c>
      <c r="M110" s="114">
        <f t="shared" si="0"/>
        <v>3.4482758620689655E-2</v>
      </c>
      <c r="P110" s="666" t="s">
        <v>22</v>
      </c>
      <c r="Q110">
        <v>4</v>
      </c>
      <c r="R110" s="12" t="s">
        <v>1044</v>
      </c>
      <c r="S110" s="114">
        <f t="shared" si="2"/>
        <v>2.3529411764705882E-2</v>
      </c>
    </row>
    <row r="111" spans="1:21" x14ac:dyDescent="0.25">
      <c r="B111" s="12"/>
      <c r="C111" s="503" t="s">
        <v>1040</v>
      </c>
      <c r="D111" s="12" t="s">
        <v>22</v>
      </c>
      <c r="E111" s="12">
        <f>4030/1000</f>
        <v>4.03</v>
      </c>
      <c r="F111" s="239">
        <f>+E111/E14</f>
        <v>5.9665645408912091</v>
      </c>
      <c r="G111" s="12" t="s">
        <v>56</v>
      </c>
      <c r="H111" s="114">
        <f t="shared" si="1"/>
        <v>1.3451810340875574E-2</v>
      </c>
      <c r="I111" s="113">
        <f>+E111/E103</f>
        <v>1.8357571895424831E-2</v>
      </c>
      <c r="J111" s="114"/>
      <c r="Q111">
        <f>SUM(Q107:Q110)</f>
        <v>170</v>
      </c>
      <c r="R111" s="12" t="s">
        <v>1044</v>
      </c>
    </row>
    <row r="112" spans="1:21" x14ac:dyDescent="0.25">
      <c r="C112" s="503" t="s">
        <v>1026</v>
      </c>
      <c r="D112" s="12" t="s">
        <v>1069</v>
      </c>
      <c r="E112" s="391">
        <f>+F112*E17</f>
        <v>32.342000997110311</v>
      </c>
      <c r="F112" s="239">
        <f>+E83*$G$102</f>
        <v>11.831994339725293</v>
      </c>
      <c r="G112" s="12" t="s">
        <v>56</v>
      </c>
      <c r="H112" s="114">
        <f t="shared" si="1"/>
        <v>2.6675609175347063E-2</v>
      </c>
      <c r="J112" s="114"/>
    </row>
    <row r="113" spans="3:13" x14ac:dyDescent="0.25">
      <c r="C113" s="503" t="s">
        <v>1101</v>
      </c>
      <c r="D113" s="12" t="s">
        <v>69</v>
      </c>
      <c r="H113" s="153"/>
      <c r="J113" s="114"/>
    </row>
    <row r="114" spans="3:13" x14ac:dyDescent="0.25">
      <c r="J114" s="114"/>
    </row>
    <row r="115" spans="3:13" x14ac:dyDescent="0.25">
      <c r="D115" s="618" t="s">
        <v>1070</v>
      </c>
      <c r="H115" s="239"/>
      <c r="J115" s="114"/>
      <c r="M115" s="12" t="s">
        <v>1102</v>
      </c>
    </row>
    <row r="116" spans="3:13" x14ac:dyDescent="0.25">
      <c r="D116" s="12" t="s">
        <v>1066</v>
      </c>
      <c r="E116" s="470">
        <f>+F107/$E$61</f>
        <v>0.24916068410893127</v>
      </c>
      <c r="F116" s="12" t="s">
        <v>729</v>
      </c>
      <c r="K116" s="12" t="s">
        <v>1103</v>
      </c>
      <c r="L116" s="12" t="s">
        <v>22</v>
      </c>
      <c r="M116">
        <v>4.4279999999999999</v>
      </c>
    </row>
    <row r="117" spans="3:13" x14ac:dyDescent="0.25">
      <c r="D117" s="12" t="s">
        <v>737</v>
      </c>
      <c r="E117" s="470">
        <f t="shared" ref="E117:E119" si="3">+F108/$E$61</f>
        <v>0.26913991892350708</v>
      </c>
      <c r="F117" s="12" t="s">
        <v>729</v>
      </c>
    </row>
    <row r="118" spans="3:13" x14ac:dyDescent="0.25">
      <c r="D118" s="12" t="s">
        <v>1067</v>
      </c>
      <c r="E118" s="470">
        <f t="shared" si="3"/>
        <v>6.7290791163267027E-2</v>
      </c>
      <c r="F118" s="12" t="s">
        <v>729</v>
      </c>
    </row>
    <row r="119" spans="3:13" x14ac:dyDescent="0.25">
      <c r="D119" s="12" t="s">
        <v>303</v>
      </c>
      <c r="E119" s="470">
        <f t="shared" si="3"/>
        <v>0.18090230995610446</v>
      </c>
      <c r="F119" s="12" t="s">
        <v>729</v>
      </c>
      <c r="G119" s="239"/>
    </row>
    <row r="120" spans="3:13" x14ac:dyDescent="0.25">
      <c r="D120" s="12" t="s">
        <v>22</v>
      </c>
      <c r="E120" s="470">
        <f>+F111/$E$61</f>
        <v>1.0741767340128326E-2</v>
      </c>
      <c r="F120" s="12" t="s">
        <v>729</v>
      </c>
    </row>
    <row r="121" spans="3:13" x14ac:dyDescent="0.25">
      <c r="D121" s="12" t="s">
        <v>1069</v>
      </c>
      <c r="E121" s="470">
        <f>+F112/$E$61</f>
        <v>2.1301459071799516E-2</v>
      </c>
      <c r="F121" s="12" t="s">
        <v>729</v>
      </c>
    </row>
    <row r="122" spans="3:13" x14ac:dyDescent="0.25">
      <c r="D122" s="12"/>
      <c r="E122" s="470"/>
      <c r="F122" s="12"/>
    </row>
    <row r="124" spans="3:13" x14ac:dyDescent="0.25">
      <c r="C124" s="503" t="s">
        <v>800</v>
      </c>
      <c r="D124" s="12" t="s">
        <v>801</v>
      </c>
      <c r="E124" s="472">
        <f>+F106/G102</f>
        <v>0.89925330018438943</v>
      </c>
      <c r="F124" s="12"/>
    </row>
    <row r="125" spans="3:13" x14ac:dyDescent="0.25">
      <c r="C125" s="503"/>
    </row>
    <row r="129" spans="1:16" x14ac:dyDescent="0.25">
      <c r="A129" s="164"/>
      <c r="B129" s="1"/>
      <c r="C129" s="1"/>
      <c r="D129" s="1"/>
      <c r="E129" s="1"/>
      <c r="F129" s="1"/>
    </row>
    <row r="132" spans="1:16" ht="18.75" x14ac:dyDescent="0.3">
      <c r="A132" s="164" t="s">
        <v>136</v>
      </c>
      <c r="B132" s="1"/>
      <c r="C132" s="1"/>
      <c r="D132" s="1"/>
      <c r="E132" s="1"/>
      <c r="F132" s="1"/>
      <c r="H132" s="181" t="s">
        <v>534</v>
      </c>
    </row>
    <row r="133" spans="1:16" x14ac:dyDescent="0.25">
      <c r="A133" s="165" t="s">
        <v>137</v>
      </c>
      <c r="B133" s="166" t="s">
        <v>39</v>
      </c>
      <c r="C133" s="166" t="s">
        <v>138</v>
      </c>
      <c r="D133" s="166" t="s">
        <v>139</v>
      </c>
      <c r="E133" s="166" t="s">
        <v>140</v>
      </c>
      <c r="F133" s="167" t="s">
        <v>141</v>
      </c>
    </row>
    <row r="134" spans="1:16" x14ac:dyDescent="0.25">
      <c r="A134" s="1" t="s">
        <v>155</v>
      </c>
      <c r="B134" s="1"/>
      <c r="C134" s="17" t="s">
        <v>543</v>
      </c>
      <c r="D134" s="1" t="s">
        <v>544</v>
      </c>
      <c r="E134" s="1" t="s">
        <v>56</v>
      </c>
      <c r="F134" s="1" t="s">
        <v>154</v>
      </c>
    </row>
    <row r="135" spans="1:16" x14ac:dyDescent="0.25">
      <c r="A135" s="1"/>
      <c r="B135" s="1"/>
      <c r="C135" s="168" t="s">
        <v>545</v>
      </c>
      <c r="D135" s="169" t="s">
        <v>546</v>
      </c>
      <c r="E135" s="1" t="s">
        <v>56</v>
      </c>
      <c r="F135" s="1" t="s">
        <v>154</v>
      </c>
      <c r="H135" s="182" t="s">
        <v>416</v>
      </c>
      <c r="I135" s="1"/>
      <c r="J135" s="1"/>
      <c r="K135" s="1"/>
      <c r="L135" s="1"/>
      <c r="N135" s="156" t="s">
        <v>416</v>
      </c>
    </row>
    <row r="136" spans="1:16" x14ac:dyDescent="0.25">
      <c r="A136" s="1"/>
      <c r="B136" s="1"/>
      <c r="C136" s="170" t="s">
        <v>547</v>
      </c>
      <c r="D136" s="169" t="s">
        <v>548</v>
      </c>
      <c r="E136" s="1" t="s">
        <v>56</v>
      </c>
      <c r="F136" s="1" t="s">
        <v>154</v>
      </c>
      <c r="H136" s="183" t="s">
        <v>138</v>
      </c>
      <c r="I136" s="687" t="s">
        <v>417</v>
      </c>
      <c r="J136" s="687" t="s">
        <v>418</v>
      </c>
      <c r="K136" s="687" t="s">
        <v>535</v>
      </c>
      <c r="L136" s="689" t="s">
        <v>447</v>
      </c>
      <c r="N136" s="411" t="s">
        <v>138</v>
      </c>
      <c r="O136" s="411" t="s">
        <v>418</v>
      </c>
      <c r="P136" s="411" t="s">
        <v>752</v>
      </c>
    </row>
    <row r="137" spans="1:16" x14ac:dyDescent="0.25">
      <c r="A137" s="1"/>
      <c r="B137" s="1"/>
      <c r="C137" s="17" t="s">
        <v>549</v>
      </c>
      <c r="D137" s="169" t="s">
        <v>550</v>
      </c>
      <c r="E137" s="1" t="s">
        <v>56</v>
      </c>
      <c r="F137" s="1" t="s">
        <v>154</v>
      </c>
      <c r="H137" s="177" t="s">
        <v>543</v>
      </c>
      <c r="I137" s="177" t="s">
        <v>13</v>
      </c>
      <c r="J137" s="177" t="s">
        <v>561</v>
      </c>
      <c r="K137" s="153">
        <f>E35</f>
        <v>0.23009135447964041</v>
      </c>
      <c r="L137" s="179">
        <v>1</v>
      </c>
      <c r="N137" t="str">
        <f>H137</f>
        <v>MIX-OIL-REF2</v>
      </c>
      <c r="O137" s="12" t="str">
        <f>M152</f>
        <v>CO2e-REF2</v>
      </c>
      <c r="P137">
        <v>2.76</v>
      </c>
    </row>
    <row r="138" spans="1:16" x14ac:dyDescent="0.25">
      <c r="A138" s="169"/>
      <c r="B138" s="169"/>
      <c r="C138" s="16" t="s">
        <v>551</v>
      </c>
      <c r="D138" s="12" t="s">
        <v>552</v>
      </c>
      <c r="E138" s="1" t="s">
        <v>56</v>
      </c>
      <c r="F138" s="1" t="s">
        <v>154</v>
      </c>
      <c r="H138" s="177"/>
      <c r="I138" s="87" t="s">
        <v>21</v>
      </c>
      <c r="J138" s="177"/>
      <c r="K138" s="153">
        <f>E37</f>
        <v>0.3</v>
      </c>
      <c r="L138" s="177"/>
    </row>
    <row r="139" spans="1:16" x14ac:dyDescent="0.25">
      <c r="A139" s="169"/>
      <c r="B139" s="169"/>
      <c r="C139" s="16" t="s">
        <v>553</v>
      </c>
      <c r="D139" s="12" t="s">
        <v>554</v>
      </c>
      <c r="E139" s="12" t="s">
        <v>56</v>
      </c>
      <c r="F139" s="171" t="s">
        <v>154</v>
      </c>
      <c r="I139" s="177" t="s">
        <v>17</v>
      </c>
      <c r="J139" s="87"/>
      <c r="K139" s="153">
        <f>E36</f>
        <v>0.46990864552035966</v>
      </c>
      <c r="L139" s="87"/>
    </row>
    <row r="140" spans="1:16" x14ac:dyDescent="0.25">
      <c r="A140" s="169"/>
      <c r="B140" s="169"/>
      <c r="C140" s="16" t="s">
        <v>555</v>
      </c>
      <c r="D140" s="169" t="s">
        <v>556</v>
      </c>
      <c r="E140" s="169" t="s">
        <v>56</v>
      </c>
      <c r="F140" s="171" t="s">
        <v>154</v>
      </c>
    </row>
    <row r="141" spans="1:16" x14ac:dyDescent="0.25">
      <c r="A141" s="169"/>
      <c r="B141" s="169"/>
      <c r="C141" s="1" t="s">
        <v>557</v>
      </c>
      <c r="D141" s="1" t="s">
        <v>558</v>
      </c>
      <c r="E141" s="169" t="s">
        <v>56</v>
      </c>
      <c r="F141" s="171" t="s">
        <v>154</v>
      </c>
    </row>
    <row r="142" spans="1:16" x14ac:dyDescent="0.25">
      <c r="A142" s="169"/>
      <c r="B142" s="169"/>
      <c r="C142" s="1" t="s">
        <v>559</v>
      </c>
      <c r="D142" s="1" t="s">
        <v>560</v>
      </c>
      <c r="E142" s="169" t="s">
        <v>56</v>
      </c>
      <c r="F142" s="171" t="s">
        <v>154</v>
      </c>
    </row>
    <row r="145" spans="1:17" ht="18.75" x14ac:dyDescent="0.3">
      <c r="A145" s="172" t="s">
        <v>37</v>
      </c>
      <c r="B145" s="172"/>
      <c r="C145" s="173"/>
      <c r="D145" s="173"/>
      <c r="E145" s="173"/>
      <c r="H145" s="181" t="s">
        <v>536</v>
      </c>
    </row>
    <row r="146" spans="1:17" x14ac:dyDescent="0.25">
      <c r="A146" s="165" t="s">
        <v>38</v>
      </c>
      <c r="B146" s="166" t="s">
        <v>39</v>
      </c>
      <c r="C146" s="166" t="s">
        <v>40</v>
      </c>
      <c r="D146" s="166" t="s">
        <v>41</v>
      </c>
      <c r="E146" s="167" t="s">
        <v>42</v>
      </c>
    </row>
    <row r="147" spans="1:17" x14ac:dyDescent="0.25">
      <c r="A147" s="174" t="s">
        <v>55</v>
      </c>
      <c r="B147" s="174"/>
      <c r="C147" s="1" t="s">
        <v>561</v>
      </c>
      <c r="D147" s="1" t="s">
        <v>562</v>
      </c>
      <c r="E147" s="1" t="s">
        <v>56</v>
      </c>
    </row>
    <row r="148" spans="1:17" x14ac:dyDescent="0.25">
      <c r="A148" s="1"/>
      <c r="B148" s="1"/>
      <c r="C148" s="12" t="s">
        <v>563</v>
      </c>
      <c r="D148" s="12" t="s">
        <v>564</v>
      </c>
      <c r="E148" s="12" t="s">
        <v>56</v>
      </c>
      <c r="H148" s="175" t="s">
        <v>416</v>
      </c>
      <c r="I148" s="169"/>
      <c r="J148" s="1"/>
    </row>
    <row r="149" spans="1:17" x14ac:dyDescent="0.25">
      <c r="A149" s="1"/>
      <c r="B149" s="169"/>
      <c r="C149" s="12" t="s">
        <v>565</v>
      </c>
      <c r="D149" s="12" t="s">
        <v>566</v>
      </c>
      <c r="E149" s="12" t="s">
        <v>56</v>
      </c>
      <c r="G149" s="186" t="s">
        <v>138</v>
      </c>
      <c r="H149" s="187" t="s">
        <v>417</v>
      </c>
      <c r="I149" s="187" t="s">
        <v>43</v>
      </c>
      <c r="J149" s="188" t="s">
        <v>1122</v>
      </c>
      <c r="M149" s="156" t="s">
        <v>493</v>
      </c>
    </row>
    <row r="150" spans="1:17" ht="15.75" thickBot="1" x14ac:dyDescent="0.3">
      <c r="A150" s="1"/>
      <c r="B150" s="169"/>
      <c r="C150" s="16" t="s">
        <v>567</v>
      </c>
      <c r="D150" s="12" t="s">
        <v>568</v>
      </c>
      <c r="E150" s="12" t="s">
        <v>56</v>
      </c>
      <c r="G150" s="189" t="s">
        <v>545</v>
      </c>
      <c r="H150" s="1" t="s">
        <v>561</v>
      </c>
      <c r="I150" t="s">
        <v>485</v>
      </c>
      <c r="J150" s="190">
        <v>0.9258909044479231</v>
      </c>
      <c r="M150" s="698" t="s">
        <v>40</v>
      </c>
      <c r="N150" s="699" t="s">
        <v>569</v>
      </c>
      <c r="O150" s="699" t="s">
        <v>571</v>
      </c>
      <c r="P150" s="699" t="s">
        <v>575</v>
      </c>
      <c r="Q150" s="699" t="s">
        <v>573</v>
      </c>
    </row>
    <row r="151" spans="1:17" ht="15.75" thickBot="1" x14ac:dyDescent="0.3">
      <c r="C151" s="16" t="s">
        <v>569</v>
      </c>
      <c r="D151" s="16" t="s">
        <v>570</v>
      </c>
      <c r="E151" s="171" t="s">
        <v>56</v>
      </c>
      <c r="H151" s="191" t="s">
        <v>565</v>
      </c>
      <c r="I151" t="s">
        <v>485</v>
      </c>
      <c r="J151" s="190">
        <v>1.1958396831549553E-3</v>
      </c>
      <c r="M151" s="84" t="s">
        <v>494</v>
      </c>
      <c r="N151" s="85" t="s">
        <v>318</v>
      </c>
      <c r="O151" s="85" t="s">
        <v>318</v>
      </c>
      <c r="P151" s="85" t="s">
        <v>318</v>
      </c>
      <c r="Q151" s="85"/>
    </row>
    <row r="152" spans="1:17" x14ac:dyDescent="0.25">
      <c r="A152" s="1"/>
      <c r="B152" s="1"/>
      <c r="C152" s="16" t="s">
        <v>571</v>
      </c>
      <c r="D152" s="16" t="s">
        <v>572</v>
      </c>
      <c r="E152" s="171" t="s">
        <v>56</v>
      </c>
      <c r="H152" s="192" t="s">
        <v>569</v>
      </c>
      <c r="I152" t="s">
        <v>485</v>
      </c>
      <c r="J152" s="190">
        <v>3.7106465191133281E-2</v>
      </c>
      <c r="M152" s="12" t="s">
        <v>92</v>
      </c>
      <c r="N152" s="159">
        <f>D7</f>
        <v>55.539114956987063</v>
      </c>
      <c r="O152" s="159">
        <f>D15</f>
        <v>78.281203343664757</v>
      </c>
      <c r="P152" s="159">
        <f>D17</f>
        <v>40.784041574326501</v>
      </c>
      <c r="Q152" s="159">
        <f>D14</f>
        <v>47.28933824683137</v>
      </c>
    </row>
    <row r="153" spans="1:17" x14ac:dyDescent="0.25">
      <c r="A153" s="1"/>
      <c r="B153" s="1"/>
      <c r="C153" s="16" t="s">
        <v>573</v>
      </c>
      <c r="D153" s="12" t="s">
        <v>574</v>
      </c>
      <c r="E153" s="171" t="s">
        <v>56</v>
      </c>
      <c r="H153" s="193" t="s">
        <v>575</v>
      </c>
      <c r="I153" t="s">
        <v>485</v>
      </c>
      <c r="J153" s="190">
        <v>2.2210390997802788E-2</v>
      </c>
    </row>
    <row r="154" spans="1:17" x14ac:dyDescent="0.25">
      <c r="A154" s="1"/>
      <c r="B154" s="1"/>
      <c r="C154" s="1" t="s">
        <v>575</v>
      </c>
      <c r="D154" s="1" t="s">
        <v>576</v>
      </c>
      <c r="E154" s="171" t="s">
        <v>56</v>
      </c>
      <c r="H154" s="108" t="s">
        <v>573</v>
      </c>
      <c r="I154" t="s">
        <v>485</v>
      </c>
      <c r="J154" s="190">
        <v>1.8424470557192316E-3</v>
      </c>
    </row>
    <row r="155" spans="1:17" x14ac:dyDescent="0.25">
      <c r="H155" t="s">
        <v>571</v>
      </c>
      <c r="I155" t="s">
        <v>485</v>
      </c>
      <c r="J155" s="114">
        <v>1.1753952624266767E-2</v>
      </c>
    </row>
    <row r="157" spans="1:17" x14ac:dyDescent="0.25">
      <c r="A157" s="175" t="s">
        <v>416</v>
      </c>
      <c r="B157" s="169"/>
      <c r="C157" s="1"/>
      <c r="D157" s="1"/>
    </row>
    <row r="158" spans="1:17" x14ac:dyDescent="0.25">
      <c r="A158" s="176" t="s">
        <v>138</v>
      </c>
      <c r="B158" s="176" t="s">
        <v>417</v>
      </c>
      <c r="C158" s="176" t="s">
        <v>418</v>
      </c>
      <c r="D158" s="176" t="s">
        <v>447</v>
      </c>
    </row>
    <row r="159" spans="1:17" x14ac:dyDescent="0.25">
      <c r="A159" s="177" t="s">
        <v>553</v>
      </c>
      <c r="B159" s="177" t="s">
        <v>7</v>
      </c>
      <c r="C159" s="177" t="s">
        <v>569</v>
      </c>
      <c r="D159" s="178">
        <v>1</v>
      </c>
    </row>
    <row r="160" spans="1:17" ht="18.75" x14ac:dyDescent="0.3">
      <c r="A160" s="177" t="s">
        <v>555</v>
      </c>
      <c r="B160" s="177" t="s">
        <v>26</v>
      </c>
      <c r="C160" s="177" t="s">
        <v>571</v>
      </c>
      <c r="D160" s="179">
        <v>1</v>
      </c>
      <c r="H160" s="181" t="s">
        <v>537</v>
      </c>
    </row>
    <row r="161" spans="1:22" x14ac:dyDescent="0.25">
      <c r="A161" s="89" t="s">
        <v>557</v>
      </c>
      <c r="B161" s="2" t="s">
        <v>22</v>
      </c>
      <c r="C161" s="2" t="s">
        <v>573</v>
      </c>
      <c r="D161" s="180">
        <v>1</v>
      </c>
    </row>
    <row r="162" spans="1:22" x14ac:dyDescent="0.25">
      <c r="A162" s="89" t="s">
        <v>559</v>
      </c>
      <c r="B162" s="2" t="s">
        <v>83</v>
      </c>
      <c r="C162" s="2" t="s">
        <v>575</v>
      </c>
      <c r="D162" s="180">
        <v>1</v>
      </c>
      <c r="H162" s="182"/>
      <c r="I162" s="1"/>
      <c r="J162" s="1"/>
      <c r="K162" s="194"/>
      <c r="L162" s="1"/>
      <c r="N162" s="202" t="s">
        <v>416</v>
      </c>
      <c r="O162" s="2"/>
      <c r="P162" s="2"/>
      <c r="Q162" s="89"/>
      <c r="R162" s="89"/>
      <c r="S162" s="89"/>
      <c r="T162" s="89"/>
      <c r="U162" s="89"/>
      <c r="V162" s="89"/>
    </row>
    <row r="163" spans="1:22" x14ac:dyDescent="0.25">
      <c r="H163" s="198" t="s">
        <v>138</v>
      </c>
      <c r="I163" s="198" t="s">
        <v>417</v>
      </c>
      <c r="J163" s="449" t="s">
        <v>418</v>
      </c>
      <c r="K163" s="515" t="s">
        <v>447</v>
      </c>
      <c r="L163" s="515" t="s">
        <v>814</v>
      </c>
      <c r="M163" s="515" t="s">
        <v>826</v>
      </c>
      <c r="N163" s="515" t="s">
        <v>815</v>
      </c>
      <c r="O163" s="515" t="s">
        <v>817</v>
      </c>
      <c r="P163" s="515" t="s">
        <v>940</v>
      </c>
    </row>
    <row r="164" spans="1:22" x14ac:dyDescent="0.25">
      <c r="H164" s="428" t="s">
        <v>547</v>
      </c>
      <c r="I164" s="428" t="s">
        <v>569</v>
      </c>
      <c r="J164" s="428" t="s">
        <v>565</v>
      </c>
      <c r="K164">
        <f>1/G97</f>
        <v>0.75917622919674754</v>
      </c>
      <c r="L164" s="591">
        <v>0.95</v>
      </c>
      <c r="M164">
        <f>0.65/L164</f>
        <v>0.68421052631578949</v>
      </c>
      <c r="N164" s="428">
        <v>1.4</v>
      </c>
      <c r="O164" s="428">
        <v>25</v>
      </c>
      <c r="P164" s="89">
        <v>29</v>
      </c>
    </row>
    <row r="166" spans="1:22" x14ac:dyDescent="0.25">
      <c r="A166" s="503" t="s">
        <v>800</v>
      </c>
      <c r="B166" s="12" t="s">
        <v>801</v>
      </c>
      <c r="C166" s="472">
        <v>0.74089987835615179</v>
      </c>
    </row>
    <row r="169" spans="1:22" ht="18.75" x14ac:dyDescent="0.3">
      <c r="H169" s="181" t="s">
        <v>540</v>
      </c>
    </row>
    <row r="170" spans="1:22" x14ac:dyDescent="0.25">
      <c r="N170" t="s">
        <v>1105</v>
      </c>
    </row>
    <row r="171" spans="1:22" x14ac:dyDescent="0.25">
      <c r="H171" s="175" t="s">
        <v>1124</v>
      </c>
      <c r="I171" s="150"/>
      <c r="J171" s="82"/>
      <c r="L171">
        <v>1</v>
      </c>
      <c r="M171" t="s">
        <v>56</v>
      </c>
    </row>
    <row r="172" spans="1:22" x14ac:dyDescent="0.25">
      <c r="G172" s="183" t="s">
        <v>138</v>
      </c>
      <c r="H172" s="198" t="s">
        <v>418</v>
      </c>
      <c r="I172" s="198" t="s">
        <v>43</v>
      </c>
      <c r="J172" s="199" t="s">
        <v>1123</v>
      </c>
    </row>
    <row r="173" spans="1:22" x14ac:dyDescent="0.25">
      <c r="G173" s="173" t="s">
        <v>545</v>
      </c>
      <c r="H173" s="2" t="s">
        <v>8</v>
      </c>
      <c r="I173" t="s">
        <v>484</v>
      </c>
      <c r="J173" s="153">
        <f t="shared" ref="J173:J179" si="4">H107</f>
        <v>0.31202149152079045</v>
      </c>
      <c r="L173" s="115">
        <f>J173*$L$171</f>
        <v>0.31202149152079045</v>
      </c>
      <c r="M173" t="s">
        <v>56</v>
      </c>
    </row>
    <row r="174" spans="1:22" x14ac:dyDescent="0.25">
      <c r="H174" s="2" t="s">
        <v>14</v>
      </c>
      <c r="I174" t="s">
        <v>484</v>
      </c>
      <c r="J174" s="153">
        <f t="shared" si="4"/>
        <v>0.33704129217105122</v>
      </c>
      <c r="L174" s="115">
        <f t="shared" ref="L174:L179" si="5">J174*$L$171</f>
        <v>0.33704129217105122</v>
      </c>
      <c r="M174" t="s">
        <v>56</v>
      </c>
    </row>
    <row r="175" spans="1:22" x14ac:dyDescent="0.25">
      <c r="H175" s="2" t="s">
        <v>18</v>
      </c>
      <c r="I175" t="s">
        <v>484</v>
      </c>
      <c r="J175" s="153">
        <f t="shared" si="4"/>
        <v>8.4267600642793331E-2</v>
      </c>
      <c r="L175" s="115">
        <f t="shared" si="5"/>
        <v>8.4267600642793331E-2</v>
      </c>
      <c r="M175" t="s">
        <v>56</v>
      </c>
    </row>
    <row r="176" spans="1:22" x14ac:dyDescent="0.25">
      <c r="H176" s="2" t="s">
        <v>22</v>
      </c>
      <c r="I176" t="s">
        <v>484</v>
      </c>
      <c r="J176" s="153">
        <f t="shared" si="4"/>
        <v>0.22654219614914253</v>
      </c>
      <c r="L176" s="115">
        <f t="shared" si="5"/>
        <v>0.22654219614914253</v>
      </c>
      <c r="M176" t="s">
        <v>56</v>
      </c>
    </row>
    <row r="177" spans="8:17" x14ac:dyDescent="0.25">
      <c r="H177" s="2" t="s">
        <v>26</v>
      </c>
      <c r="I177" t="s">
        <v>484</v>
      </c>
      <c r="J177" s="153">
        <f t="shared" si="4"/>
        <v>1.3451810340875574E-2</v>
      </c>
      <c r="L177" s="115">
        <f t="shared" si="5"/>
        <v>1.3451810340875574E-2</v>
      </c>
      <c r="M177" t="s">
        <v>56</v>
      </c>
    </row>
    <row r="178" spans="8:17" x14ac:dyDescent="0.25">
      <c r="H178" s="2" t="s">
        <v>83</v>
      </c>
      <c r="I178" t="s">
        <v>484</v>
      </c>
      <c r="J178" s="153">
        <f t="shared" si="4"/>
        <v>2.6675609175347063E-2</v>
      </c>
      <c r="L178" s="115">
        <f t="shared" si="5"/>
        <v>2.6675609175347063E-2</v>
      </c>
      <c r="M178" t="s">
        <v>56</v>
      </c>
    </row>
    <row r="179" spans="8:17" x14ac:dyDescent="0.25">
      <c r="H179" s="2" t="s">
        <v>69</v>
      </c>
      <c r="I179" t="s">
        <v>484</v>
      </c>
      <c r="J179" s="153">
        <f t="shared" si="4"/>
        <v>0</v>
      </c>
      <c r="L179" s="115">
        <f t="shared" si="5"/>
        <v>0</v>
      </c>
      <c r="M179" t="s">
        <v>56</v>
      </c>
    </row>
    <row r="181" spans="8:17" x14ac:dyDescent="0.25">
      <c r="J181" s="665"/>
    </row>
    <row r="182" spans="8:17" ht="18.75" x14ac:dyDescent="0.3">
      <c r="H182" s="181" t="s">
        <v>541</v>
      </c>
    </row>
    <row r="184" spans="8:17" x14ac:dyDescent="0.25">
      <c r="H184" s="202" t="s">
        <v>416</v>
      </c>
      <c r="I184" s="177"/>
      <c r="J184" s="177"/>
      <c r="K184" s="175"/>
      <c r="L184" s="177"/>
    </row>
    <row r="185" spans="8:17" x14ac:dyDescent="0.25">
      <c r="H185" s="186" t="s">
        <v>138</v>
      </c>
      <c r="I185" s="187" t="s">
        <v>488</v>
      </c>
      <c r="J185" s="187" t="s">
        <v>538</v>
      </c>
      <c r="K185" s="187" t="s">
        <v>484</v>
      </c>
      <c r="L185" s="203" t="s">
        <v>485</v>
      </c>
    </row>
    <row r="186" spans="8:17" x14ac:dyDescent="0.25">
      <c r="H186" s="204" t="s">
        <v>545</v>
      </c>
      <c r="I186" s="205" t="s">
        <v>539</v>
      </c>
      <c r="J186" s="177">
        <v>2019</v>
      </c>
      <c r="K186" s="206">
        <f>+E62*E124</f>
        <v>435.55913479422435</v>
      </c>
    </row>
    <row r="187" spans="8:17" x14ac:dyDescent="0.25">
      <c r="H187" s="207" t="s">
        <v>545</v>
      </c>
      <c r="I187" s="87" t="s">
        <v>539</v>
      </c>
      <c r="J187" s="208">
        <v>2020</v>
      </c>
      <c r="K187" s="206">
        <f>+E61*E65*E124</f>
        <v>449.54497857202057</v>
      </c>
      <c r="L187" s="177"/>
    </row>
    <row r="188" spans="8:17" x14ac:dyDescent="0.25">
      <c r="H188" s="204" t="s">
        <v>545</v>
      </c>
      <c r="I188" s="196" t="s">
        <v>447</v>
      </c>
      <c r="J188" s="177">
        <v>2019</v>
      </c>
      <c r="K188" s="177"/>
      <c r="L188" s="179">
        <f>+E124*J150</f>
        <v>0.83261045143550405</v>
      </c>
      <c r="Q188" s="454">
        <f>L188/J150</f>
        <v>0.89925330018438943</v>
      </c>
    </row>
    <row r="189" spans="8:17" x14ac:dyDescent="0.25">
      <c r="H189" s="189" t="s">
        <v>545</v>
      </c>
      <c r="I189" s="177" t="s">
        <v>542</v>
      </c>
      <c r="J189" s="196">
        <v>2019</v>
      </c>
      <c r="K189" s="179"/>
      <c r="L189" s="209">
        <f>N192/L188</f>
        <v>0.94882306442101549</v>
      </c>
    </row>
    <row r="192" spans="8:17" x14ac:dyDescent="0.25">
      <c r="N192">
        <v>0.79</v>
      </c>
      <c r="O192" t="s">
        <v>968</v>
      </c>
    </row>
    <row r="193" spans="13:15" x14ac:dyDescent="0.25">
      <c r="M193" t="s">
        <v>969</v>
      </c>
      <c r="N193">
        <v>484.36</v>
      </c>
    </row>
    <row r="194" spans="13:15" x14ac:dyDescent="0.25">
      <c r="M194" t="s">
        <v>971</v>
      </c>
      <c r="N194">
        <v>358.86</v>
      </c>
    </row>
    <row r="197" spans="13:15" x14ac:dyDescent="0.25">
      <c r="M197" t="s">
        <v>970</v>
      </c>
      <c r="N197">
        <f>N193*N192</f>
        <v>382.64440000000002</v>
      </c>
      <c r="O197" t="s">
        <v>343</v>
      </c>
    </row>
    <row r="198" spans="13:15" x14ac:dyDescent="0.25">
      <c r="M198" t="s">
        <v>970</v>
      </c>
      <c r="N198" s="115">
        <f>N194*N192/Q188</f>
        <v>315.26089472439998</v>
      </c>
      <c r="O198" t="s">
        <v>343</v>
      </c>
    </row>
    <row r="199" spans="13:15" x14ac:dyDescent="0.25">
      <c r="N199" s="239"/>
    </row>
  </sheetData>
  <mergeCells count="2">
    <mergeCell ref="T7:T8"/>
    <mergeCell ref="U7:V7"/>
  </mergeCells>
  <conditionalFormatting sqref="K6:L22">
    <cfRule type="containsText" dxfId="35" priority="1" operator="containsText" text="Oil and Gas">
      <formula>NOT(ISERROR(SEARCH(("Oil and Gas"),(K6))))</formula>
    </cfRule>
    <cfRule type="containsText" dxfId="34" priority="2" operator="containsText" text="Gas">
      <formula>NOT(ISERROR(SEARCH(("Gas"),(K6))))</formula>
    </cfRule>
    <cfRule type="containsText" dxfId="33" priority="3" operator="containsText" text="Oil">
      <formula>NOT(ISERROR(SEARCH(("Oil"),(K6))))</formula>
    </cfRule>
  </conditionalFormatting>
  <conditionalFormatting sqref="O6:P22">
    <cfRule type="cellIs" dxfId="32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CBAD-5BDD-4052-9919-619801374342}">
  <sheetPr>
    <tabColor theme="1"/>
  </sheetPr>
  <dimension ref="A1:DQ266"/>
  <sheetViews>
    <sheetView showGridLines="0" topLeftCell="I234" zoomScale="85" zoomScaleNormal="85" workbookViewId="0">
      <selection activeCell="M239" sqref="M239"/>
    </sheetView>
  </sheetViews>
  <sheetFormatPr baseColWidth="10" defaultColWidth="14.42578125" defaultRowHeight="15" customHeight="1" x14ac:dyDescent="0.25"/>
  <cols>
    <col min="1" max="2" width="10.7109375" customWidth="1"/>
    <col min="3" max="3" width="26.5703125" customWidth="1"/>
    <col min="4" max="4" width="12" customWidth="1"/>
    <col min="5" max="8" width="10.7109375" customWidth="1"/>
    <col min="9" max="9" width="27.28515625" customWidth="1"/>
    <col min="10" max="10" width="30.5703125" customWidth="1"/>
    <col min="11" max="11" width="10.7109375" customWidth="1"/>
    <col min="12" max="12" width="7.140625" customWidth="1"/>
    <col min="13" max="13" width="20" customWidth="1"/>
    <col min="14" max="14" width="13.42578125" customWidth="1"/>
    <col min="15" max="15" width="10.7109375" customWidth="1"/>
    <col min="16" max="16" width="14.42578125" customWidth="1"/>
    <col min="17" max="17" width="10.7109375" customWidth="1"/>
    <col min="18" max="18" width="15.5703125" customWidth="1"/>
    <col min="19" max="19" width="13.7109375" customWidth="1"/>
    <col min="20" max="20" width="11.42578125" customWidth="1"/>
    <col min="21" max="24" width="10.7109375" customWidth="1"/>
    <col min="25" max="26" width="13.42578125" customWidth="1"/>
    <col min="27" max="27" width="10.7109375" customWidth="1"/>
    <col min="28" max="28" width="12.7109375" customWidth="1"/>
    <col min="29" max="29" width="11.85546875" customWidth="1"/>
    <col min="30" max="33" width="10.7109375" customWidth="1"/>
    <col min="34" max="35" width="7.7109375" customWidth="1"/>
    <col min="36" max="36" width="8.85546875" customWidth="1"/>
    <col min="37" max="47" width="7.7109375" customWidth="1"/>
    <col min="48" max="79" width="8.7109375" customWidth="1"/>
    <col min="80" max="80" width="7.7109375" customWidth="1"/>
    <col min="81" max="81" width="8.85546875" customWidth="1"/>
    <col min="82" max="92" width="7.7109375" customWidth="1"/>
    <col min="93" max="121" width="8.7109375" customWidth="1"/>
  </cols>
  <sheetData>
    <row r="1" spans="2:106" x14ac:dyDescent="0.25">
      <c r="CV1" s="1"/>
      <c r="CW1" s="1"/>
      <c r="CX1" s="1"/>
      <c r="CY1" s="1"/>
      <c r="CZ1" s="1"/>
      <c r="DA1" s="1"/>
      <c r="DB1" s="1"/>
    </row>
    <row r="2" spans="2:106" x14ac:dyDescent="0.25">
      <c r="CV2" s="1"/>
      <c r="CW2" s="1"/>
      <c r="CX2" s="1"/>
      <c r="CY2" s="1"/>
      <c r="CZ2" s="1"/>
      <c r="DA2" s="1"/>
      <c r="DB2" s="1"/>
    </row>
    <row r="3" spans="2:106" ht="18.75" x14ac:dyDescent="0.25">
      <c r="N3" s="14" t="s">
        <v>577</v>
      </c>
      <c r="O3" s="14" t="s">
        <v>577</v>
      </c>
      <c r="P3" s="14" t="s">
        <v>577</v>
      </c>
      <c r="Q3" s="14" t="s">
        <v>577</v>
      </c>
      <c r="R3" s="14" t="s">
        <v>577</v>
      </c>
      <c r="S3" s="14" t="s">
        <v>577</v>
      </c>
      <c r="T3" s="14" t="s">
        <v>577</v>
      </c>
      <c r="U3" s="14" t="s">
        <v>577</v>
      </c>
      <c r="V3" s="14" t="s">
        <v>577</v>
      </c>
      <c r="W3" s="14" t="s">
        <v>577</v>
      </c>
      <c r="X3" s="14" t="s">
        <v>577</v>
      </c>
      <c r="Y3" s="14" t="s">
        <v>578</v>
      </c>
      <c r="Z3" s="14" t="s">
        <v>577</v>
      </c>
      <c r="AA3" s="1"/>
      <c r="AB3" s="738">
        <v>2019</v>
      </c>
      <c r="AC3" s="712"/>
      <c r="AD3" s="712"/>
      <c r="AE3" s="712"/>
      <c r="AF3" s="712"/>
      <c r="AG3" s="210"/>
      <c r="AH3" s="210"/>
      <c r="AI3" s="210"/>
      <c r="AJ3" s="210"/>
      <c r="AK3" s="210"/>
      <c r="AL3" s="210"/>
      <c r="AM3" s="210"/>
      <c r="AN3" s="210"/>
      <c r="CV3" s="1"/>
      <c r="CW3" s="1"/>
      <c r="CX3" s="1"/>
      <c r="CY3" s="1"/>
      <c r="CZ3" s="1"/>
      <c r="DA3" s="1"/>
      <c r="DB3" s="1"/>
    </row>
    <row r="4" spans="2:106" ht="37.5" x14ac:dyDescent="0.25">
      <c r="D4" s="14" t="s">
        <v>316</v>
      </c>
      <c r="E4" s="14" t="s">
        <v>317</v>
      </c>
      <c r="I4" s="211" t="s">
        <v>579</v>
      </c>
      <c r="J4" s="211" t="s">
        <v>580</v>
      </c>
      <c r="K4" s="211" t="s">
        <v>581</v>
      </c>
      <c r="L4" s="212"/>
      <c r="M4" s="211" t="s">
        <v>740</v>
      </c>
      <c r="N4" s="213" t="s">
        <v>582</v>
      </c>
      <c r="O4" s="213" t="s">
        <v>583</v>
      </c>
      <c r="P4" s="213" t="s">
        <v>584</v>
      </c>
      <c r="Q4" s="211" t="s">
        <v>585</v>
      </c>
      <c r="R4" s="211" t="s">
        <v>586</v>
      </c>
      <c r="S4" s="211" t="s">
        <v>587</v>
      </c>
      <c r="T4" s="211" t="s">
        <v>588</v>
      </c>
      <c r="U4" s="211" t="s">
        <v>589</v>
      </c>
      <c r="V4" s="211" t="s">
        <v>590</v>
      </c>
      <c r="W4" s="211" t="s">
        <v>591</v>
      </c>
      <c r="X4" s="211" t="s">
        <v>592</v>
      </c>
      <c r="Y4" s="211" t="s">
        <v>593</v>
      </c>
      <c r="Z4" s="213" t="s">
        <v>594</v>
      </c>
      <c r="AA4" s="1"/>
      <c r="AB4" s="214" t="s">
        <v>595</v>
      </c>
      <c r="AC4" s="87" t="s">
        <v>596</v>
      </c>
      <c r="AD4" s="214" t="s">
        <v>597</v>
      </c>
      <c r="AE4" s="214" t="s">
        <v>598</v>
      </c>
      <c r="AF4" s="214" t="s">
        <v>599</v>
      </c>
      <c r="AI4" s="214"/>
      <c r="AJ4" s="214"/>
      <c r="AK4" s="214"/>
      <c r="AL4" s="215"/>
      <c r="AM4" s="215"/>
      <c r="AN4" s="215"/>
      <c r="CV4" s="1"/>
      <c r="CW4" s="1"/>
      <c r="CX4" s="1"/>
      <c r="CY4" s="1"/>
      <c r="CZ4" s="1"/>
      <c r="DA4" s="1"/>
      <c r="DB4" s="1"/>
    </row>
    <row r="5" spans="2:106" x14ac:dyDescent="0.25">
      <c r="D5" s="14"/>
      <c r="E5" s="14" t="s">
        <v>318</v>
      </c>
      <c r="I5" s="216" t="s">
        <v>600</v>
      </c>
      <c r="J5" s="217" t="s">
        <v>601</v>
      </c>
      <c r="K5" s="218" t="s">
        <v>314</v>
      </c>
      <c r="L5" s="219" t="s">
        <v>7</v>
      </c>
      <c r="M5" s="219" t="s">
        <v>642</v>
      </c>
      <c r="N5" s="220">
        <f t="shared" ref="N5:N24" si="0">+SUM(R5:X5)-W5</f>
        <v>162.95282191780822</v>
      </c>
      <c r="O5" s="220">
        <f t="shared" ref="O5:O24" si="1">+S5+R5+U5+T5</f>
        <v>6.7568767123287659</v>
      </c>
      <c r="P5" s="220">
        <f t="shared" ref="P5:P24" si="2">+V5-W5+X5</f>
        <v>156.19594520547946</v>
      </c>
      <c r="Q5" s="221">
        <v>162.95279452054797</v>
      </c>
      <c r="R5" s="221">
        <v>0</v>
      </c>
      <c r="S5" s="221">
        <v>0</v>
      </c>
      <c r="T5" s="221">
        <v>6.5319452054794507</v>
      </c>
      <c r="U5" s="221">
        <v>0.22493150684931507</v>
      </c>
      <c r="V5" s="221">
        <v>13.287095890410958</v>
      </c>
      <c r="W5" s="221">
        <v>0</v>
      </c>
      <c r="X5" s="221">
        <v>142.90884931506849</v>
      </c>
      <c r="Y5" s="221">
        <v>0</v>
      </c>
      <c r="Z5" s="222">
        <f t="shared" ref="Z5:Z27" si="3">+N5-S5</f>
        <v>162.95282191780822</v>
      </c>
      <c r="AA5" s="206"/>
      <c r="AB5" s="206">
        <f t="shared" ref="AB5:AB27" si="4">+Y5+(P5*1000000/$D$22)</f>
        <v>26930.335380255081</v>
      </c>
      <c r="AC5" s="223">
        <f t="shared" ref="AC5:AC27" si="5">+Y5+(Z5*1000000/$D$22)</f>
        <v>28095.314123760039</v>
      </c>
      <c r="AD5" s="224">
        <v>26000</v>
      </c>
      <c r="AE5" s="179">
        <f t="shared" ref="AE5:AE27" si="6">+(AD5-AB5)/AB5</f>
        <v>-3.4546000527612773E-2</v>
      </c>
      <c r="AF5" s="179">
        <f t="shared" ref="AF5:AF27" si="7">+(AD5-AC5)/AC5</f>
        <v>-7.4578775468754938E-2</v>
      </c>
      <c r="AI5" s="206"/>
      <c r="AJ5" s="206"/>
      <c r="AK5" s="206"/>
      <c r="AL5" s="225"/>
      <c r="AM5" s="225"/>
      <c r="AN5" s="225"/>
      <c r="CV5" s="1"/>
      <c r="CW5" s="1"/>
      <c r="CX5" s="1"/>
      <c r="CY5" s="1"/>
      <c r="CZ5" s="1"/>
      <c r="DA5" s="1"/>
      <c r="DB5" s="1"/>
    </row>
    <row r="6" spans="2:106" x14ac:dyDescent="0.25">
      <c r="C6" s="12" t="s">
        <v>602</v>
      </c>
      <c r="D6" s="14" t="s">
        <v>321</v>
      </c>
      <c r="E6" s="14" t="s">
        <v>322</v>
      </c>
      <c r="I6" s="216" t="s">
        <v>600</v>
      </c>
      <c r="J6" s="217" t="s">
        <v>603</v>
      </c>
      <c r="K6" s="218" t="s">
        <v>314</v>
      </c>
      <c r="L6" s="219" t="s">
        <v>7</v>
      </c>
      <c r="M6" s="219" t="s">
        <v>642</v>
      </c>
      <c r="N6" s="220">
        <f t="shared" si="0"/>
        <v>23.174410958904112</v>
      </c>
      <c r="O6" s="220">
        <f t="shared" si="1"/>
        <v>0.14397260273972604</v>
      </c>
      <c r="P6" s="220">
        <f t="shared" si="2"/>
        <v>23.030438356164385</v>
      </c>
      <c r="Q6" s="221">
        <v>23.174301369863016</v>
      </c>
      <c r="R6" s="221">
        <v>0</v>
      </c>
      <c r="S6" s="221">
        <v>0</v>
      </c>
      <c r="T6" s="221">
        <v>0.11695890410958903</v>
      </c>
      <c r="U6" s="221">
        <v>2.701369863013699E-2</v>
      </c>
      <c r="V6" s="221">
        <v>1.9608219178082194</v>
      </c>
      <c r="W6" s="221">
        <v>0</v>
      </c>
      <c r="X6" s="221">
        <v>21.069616438356167</v>
      </c>
      <c r="Y6" s="221">
        <v>0</v>
      </c>
      <c r="Z6" s="222">
        <f t="shared" si="3"/>
        <v>23.174410958904112</v>
      </c>
      <c r="AA6" s="1"/>
      <c r="AB6" s="206">
        <f t="shared" si="4"/>
        <v>3970.7652338214457</v>
      </c>
      <c r="AC6" s="226">
        <f t="shared" si="5"/>
        <v>3995.5880963627774</v>
      </c>
      <c r="AD6" s="224">
        <v>3750</v>
      </c>
      <c r="AE6" s="179">
        <f t="shared" si="6"/>
        <v>-5.5597654563168994E-2</v>
      </c>
      <c r="AF6" s="179">
        <f t="shared" si="7"/>
        <v>-6.1464818304554115E-2</v>
      </c>
      <c r="AI6" s="206"/>
      <c r="AJ6" s="206"/>
      <c r="AK6" s="206"/>
      <c r="AL6" s="225"/>
      <c r="AM6" s="225"/>
      <c r="AN6" s="225"/>
      <c r="CV6" s="1"/>
      <c r="CW6" s="1"/>
      <c r="CX6" s="1"/>
      <c r="CY6" s="1"/>
      <c r="CZ6" s="1"/>
      <c r="DA6" s="1"/>
      <c r="DB6" s="1"/>
    </row>
    <row r="7" spans="2:106" x14ac:dyDescent="0.25">
      <c r="B7" s="14" t="s">
        <v>7</v>
      </c>
      <c r="C7" s="227" t="s">
        <v>604</v>
      </c>
      <c r="D7" s="228">
        <v>1.0095573442026637</v>
      </c>
      <c r="E7" s="229">
        <v>55.539114956987063</v>
      </c>
      <c r="I7" s="216" t="s">
        <v>605</v>
      </c>
      <c r="J7" s="217" t="s">
        <v>606</v>
      </c>
      <c r="K7" s="218" t="s">
        <v>314</v>
      </c>
      <c r="L7" s="219" t="s">
        <v>7</v>
      </c>
      <c r="M7" s="219" t="s">
        <v>642</v>
      </c>
      <c r="N7" s="220">
        <f t="shared" si="0"/>
        <v>35.569315068493154</v>
      </c>
      <c r="O7" s="220">
        <f t="shared" si="1"/>
        <v>0</v>
      </c>
      <c r="P7" s="220">
        <f t="shared" si="2"/>
        <v>31.996931506849318</v>
      </c>
      <c r="Q7" s="221">
        <v>35.569315068493154</v>
      </c>
      <c r="R7" s="221">
        <v>0</v>
      </c>
      <c r="S7" s="221">
        <v>0</v>
      </c>
      <c r="T7" s="221">
        <v>0</v>
      </c>
      <c r="U7" s="221">
        <v>0</v>
      </c>
      <c r="V7" s="221">
        <v>35.569315068493154</v>
      </c>
      <c r="W7" s="221">
        <v>3.5723835616438366</v>
      </c>
      <c r="X7" s="221">
        <v>0</v>
      </c>
      <c r="Y7" s="221">
        <v>0</v>
      </c>
      <c r="Z7" s="222">
        <f t="shared" si="3"/>
        <v>35.569315068493154</v>
      </c>
      <c r="AA7" s="1"/>
      <c r="AB7" s="206">
        <f t="shared" si="4"/>
        <v>5516.7123287671238</v>
      </c>
      <c r="AC7" s="226">
        <f t="shared" si="5"/>
        <v>6132.6405290505427</v>
      </c>
      <c r="AD7" s="224">
        <v>5700</v>
      </c>
      <c r="AE7" s="179">
        <f t="shared" si="6"/>
        <v>3.3224076281287145E-2</v>
      </c>
      <c r="AF7" s="179">
        <f t="shared" si="7"/>
        <v>-7.0547185506978388E-2</v>
      </c>
      <c r="AI7" s="206"/>
      <c r="AJ7" s="206"/>
      <c r="AK7" s="206"/>
      <c r="AL7" s="225"/>
      <c r="AM7" s="225"/>
      <c r="AN7" s="225"/>
      <c r="CV7" s="1"/>
      <c r="CW7" s="1"/>
      <c r="CX7" s="1"/>
      <c r="CY7" s="1"/>
      <c r="CZ7" s="1"/>
      <c r="DA7" s="1"/>
      <c r="DB7" s="1"/>
    </row>
    <row r="8" spans="2:106" x14ac:dyDescent="0.25">
      <c r="B8" s="14" t="s">
        <v>13</v>
      </c>
      <c r="C8" s="227" t="s">
        <v>607</v>
      </c>
      <c r="D8" s="228">
        <v>6.0871741676095334</v>
      </c>
      <c r="E8" s="229">
        <v>77.841777688967127</v>
      </c>
      <c r="I8" s="216" t="s">
        <v>605</v>
      </c>
      <c r="J8" s="217" t="s">
        <v>608</v>
      </c>
      <c r="K8" s="218">
        <v>48</v>
      </c>
      <c r="L8" s="219"/>
      <c r="M8" s="219" t="s">
        <v>292</v>
      </c>
      <c r="N8" s="220">
        <f t="shared" si="0"/>
        <v>649.48632876712327</v>
      </c>
      <c r="O8" s="220">
        <f t="shared" si="1"/>
        <v>436.89753424657533</v>
      </c>
      <c r="P8" s="220">
        <f t="shared" si="2"/>
        <v>204.32512328767126</v>
      </c>
      <c r="Q8" s="221">
        <v>649.4862739726027</v>
      </c>
      <c r="R8" s="221">
        <v>0</v>
      </c>
      <c r="S8" s="221">
        <v>396.38389041095888</v>
      </c>
      <c r="T8" s="221">
        <v>38.275260273972606</v>
      </c>
      <c r="U8" s="221">
        <v>2.2383835616438361</v>
      </c>
      <c r="V8" s="221">
        <v>16.510794520547947</v>
      </c>
      <c r="W8" s="221">
        <v>8.2636712328767121</v>
      </c>
      <c r="X8" s="221">
        <v>196.07800000000003</v>
      </c>
      <c r="Y8" s="221">
        <v>10231.853999999999</v>
      </c>
      <c r="Z8" s="222">
        <f t="shared" si="3"/>
        <v>253.10243835616438</v>
      </c>
      <c r="AA8" s="1"/>
      <c r="AB8" s="206">
        <f t="shared" si="4"/>
        <v>45460.323532357113</v>
      </c>
      <c r="AC8" s="226">
        <f t="shared" si="5"/>
        <v>53870.205440717997</v>
      </c>
      <c r="AD8" s="224">
        <v>50400</v>
      </c>
      <c r="AE8" s="230">
        <f t="shared" si="6"/>
        <v>0.1086590697958186</v>
      </c>
      <c r="AF8" s="179">
        <f t="shared" si="7"/>
        <v>-6.4417898768491216E-2</v>
      </c>
      <c r="AI8" s="206"/>
      <c r="AJ8" s="206"/>
      <c r="AK8" s="206"/>
      <c r="AL8" s="225"/>
      <c r="AM8" s="225"/>
      <c r="AN8" s="225"/>
      <c r="CV8" s="1"/>
      <c r="CW8" s="1"/>
      <c r="CX8" s="1"/>
      <c r="CY8" s="1"/>
      <c r="CZ8" s="1"/>
      <c r="DA8" s="1"/>
      <c r="DB8" s="1"/>
    </row>
    <row r="9" spans="2:106" x14ac:dyDescent="0.25">
      <c r="B9" s="14" t="s">
        <v>17</v>
      </c>
      <c r="C9" s="231" t="s">
        <v>609</v>
      </c>
      <c r="D9" s="88">
        <v>6.0871741676095334</v>
      </c>
      <c r="E9" s="232">
        <v>77.841777688967127</v>
      </c>
      <c r="I9" s="216" t="s">
        <v>605</v>
      </c>
      <c r="J9" s="217" t="s">
        <v>610</v>
      </c>
      <c r="K9" s="218">
        <v>52</v>
      </c>
      <c r="L9" s="219"/>
      <c r="M9" s="219" t="s">
        <v>292</v>
      </c>
      <c r="N9" s="220">
        <f t="shared" si="0"/>
        <v>277.3735890410959</v>
      </c>
      <c r="O9" s="220">
        <f t="shared" si="1"/>
        <v>82.001808219178074</v>
      </c>
      <c r="P9" s="220">
        <f t="shared" si="2"/>
        <v>165.01969863013699</v>
      </c>
      <c r="Q9" s="221">
        <v>277.37400000000002</v>
      </c>
      <c r="R9" s="221">
        <v>0</v>
      </c>
      <c r="S9" s="221">
        <v>50.500383561643829</v>
      </c>
      <c r="T9" s="221">
        <v>30.359369863013697</v>
      </c>
      <c r="U9" s="221">
        <v>1.1420547945205479</v>
      </c>
      <c r="V9" s="221">
        <v>30.377342465753429</v>
      </c>
      <c r="W9" s="221">
        <v>30.352082191780823</v>
      </c>
      <c r="X9" s="221">
        <v>164.99443835616438</v>
      </c>
      <c r="Y9" s="221">
        <v>3182.6220821917809</v>
      </c>
      <c r="Z9" s="222">
        <f t="shared" si="3"/>
        <v>226.87320547945205</v>
      </c>
      <c r="AA9" s="1"/>
      <c r="AB9" s="206">
        <f t="shared" si="4"/>
        <v>31634.294259801609</v>
      </c>
      <c r="AC9" s="226">
        <f t="shared" si="5"/>
        <v>42298.691992442131</v>
      </c>
      <c r="AD9" s="224">
        <v>33000</v>
      </c>
      <c r="AE9" s="179">
        <f t="shared" si="6"/>
        <v>4.3171683521127997E-2</v>
      </c>
      <c r="AF9" s="230">
        <f t="shared" si="7"/>
        <v>-0.21983403160796575</v>
      </c>
      <c r="AI9" s="206"/>
      <c r="AJ9" s="206"/>
      <c r="AK9" s="206"/>
      <c r="AL9" s="225"/>
      <c r="AM9" s="225"/>
      <c r="AN9" s="225"/>
      <c r="CV9" s="1"/>
      <c r="CW9" s="1"/>
      <c r="CX9" s="1"/>
      <c r="CY9" s="1"/>
      <c r="CZ9" s="1"/>
      <c r="DA9" s="1"/>
      <c r="DB9" s="1"/>
    </row>
    <row r="10" spans="2:106" x14ac:dyDescent="0.25">
      <c r="B10" s="14" t="s">
        <v>21</v>
      </c>
      <c r="C10" s="233" t="s">
        <v>611</v>
      </c>
      <c r="D10" s="234">
        <v>6.0871741676095334</v>
      </c>
      <c r="E10" s="235">
        <v>77.841777688967127</v>
      </c>
      <c r="I10" s="216" t="s">
        <v>605</v>
      </c>
      <c r="J10" s="217" t="s">
        <v>612</v>
      </c>
      <c r="K10" s="218">
        <v>46</v>
      </c>
      <c r="L10" s="219"/>
      <c r="M10" s="219" t="s">
        <v>292</v>
      </c>
      <c r="N10" s="220">
        <f t="shared" si="0"/>
        <v>435.40112328767128</v>
      </c>
      <c r="O10" s="220">
        <f t="shared" si="1"/>
        <v>235.53923287671233</v>
      </c>
      <c r="P10" s="220">
        <f t="shared" si="2"/>
        <v>199.86189041095895</v>
      </c>
      <c r="Q10" s="221">
        <v>435.4008767123288</v>
      </c>
      <c r="R10" s="221">
        <v>0</v>
      </c>
      <c r="S10" s="221">
        <v>225.24104109589044</v>
      </c>
      <c r="T10" s="221">
        <v>9.0779452054794518</v>
      </c>
      <c r="U10" s="221">
        <v>1.2202465753424658</v>
      </c>
      <c r="V10" s="221">
        <v>142.09446575342469</v>
      </c>
      <c r="W10" s="221">
        <v>0</v>
      </c>
      <c r="X10" s="221">
        <v>57.767424657534249</v>
      </c>
      <c r="Y10" s="221">
        <v>27008.407917808221</v>
      </c>
      <c r="Z10" s="222">
        <f t="shared" si="3"/>
        <v>210.16008219178084</v>
      </c>
      <c r="AA10" s="1"/>
      <c r="AB10" s="206">
        <f t="shared" si="4"/>
        <v>61467.354540387343</v>
      </c>
      <c r="AC10" s="226">
        <f t="shared" si="5"/>
        <v>63242.904847425612</v>
      </c>
      <c r="AD10" s="224">
        <v>59550</v>
      </c>
      <c r="AE10" s="179">
        <f t="shared" si="6"/>
        <v>-3.1193054503875526E-2</v>
      </c>
      <c r="AF10" s="179">
        <f t="shared" si="7"/>
        <v>-5.8392397634719602E-2</v>
      </c>
      <c r="AI10" s="206"/>
      <c r="AJ10" s="206"/>
      <c r="AK10" s="206"/>
      <c r="AL10" s="225"/>
      <c r="AM10" s="225"/>
      <c r="AN10" s="225"/>
      <c r="CV10" s="1"/>
      <c r="CW10" s="1"/>
      <c r="CX10" s="1"/>
      <c r="CY10" s="1"/>
      <c r="CZ10" s="1"/>
      <c r="DA10" s="1"/>
      <c r="DB10" s="1"/>
    </row>
    <row r="11" spans="2:106" x14ac:dyDescent="0.25">
      <c r="B11" s="14" t="s">
        <v>8</v>
      </c>
      <c r="C11" s="227" t="s">
        <v>613</v>
      </c>
      <c r="D11" s="228">
        <v>5.3308987344700309</v>
      </c>
      <c r="E11" s="229">
        <v>69.193827140333724</v>
      </c>
      <c r="I11" s="216" t="s">
        <v>605</v>
      </c>
      <c r="J11" s="217" t="s">
        <v>614</v>
      </c>
      <c r="K11" s="218">
        <f>44+((47-44)/2)</f>
        <v>45.5</v>
      </c>
      <c r="L11" s="219"/>
      <c r="M11" s="219" t="s">
        <v>292</v>
      </c>
      <c r="N11" s="220">
        <f t="shared" si="0"/>
        <v>166.60876712328769</v>
      </c>
      <c r="O11" s="220">
        <f t="shared" si="1"/>
        <v>166.60876712328769</v>
      </c>
      <c r="P11" s="220">
        <f>+V11-W11+X11</f>
        <v>0</v>
      </c>
      <c r="Q11" s="221">
        <v>166.60868493150684</v>
      </c>
      <c r="R11" s="221">
        <v>0</v>
      </c>
      <c r="S11" s="221">
        <v>161.80676712328767</v>
      </c>
      <c r="T11" s="221">
        <v>0.54767123287671238</v>
      </c>
      <c r="U11" s="221">
        <v>4.2543287671232868</v>
      </c>
      <c r="V11" s="221">
        <v>0</v>
      </c>
      <c r="W11" s="221">
        <v>0</v>
      </c>
      <c r="X11" s="221">
        <v>0</v>
      </c>
      <c r="Y11" s="221">
        <v>8010.0189863013702</v>
      </c>
      <c r="Z11" s="222">
        <f t="shared" si="3"/>
        <v>4.8020000000000209</v>
      </c>
      <c r="AA11" s="1"/>
      <c r="AB11" s="206">
        <f t="shared" si="4"/>
        <v>8010.0189863013702</v>
      </c>
      <c r="AC11" s="226">
        <f t="shared" si="5"/>
        <v>8837.950020784132</v>
      </c>
      <c r="AD11" s="224">
        <v>8450</v>
      </c>
      <c r="AE11" s="179">
        <f t="shared" si="6"/>
        <v>5.4928835306268256E-2</v>
      </c>
      <c r="AF11" s="179">
        <f t="shared" si="7"/>
        <v>-4.389592833991969E-2</v>
      </c>
      <c r="AI11" s="206"/>
      <c r="AJ11" s="206"/>
      <c r="AK11" s="206"/>
      <c r="AL11" s="225"/>
      <c r="AM11" s="225"/>
      <c r="AN11" s="225"/>
      <c r="CV11" s="1"/>
      <c r="CW11" s="1"/>
      <c r="CX11" s="1"/>
      <c r="CY11" s="1"/>
      <c r="CZ11" s="1"/>
      <c r="DA11" s="1"/>
      <c r="DB11" s="1"/>
    </row>
    <row r="12" spans="2:106" x14ac:dyDescent="0.25">
      <c r="B12" s="14" t="s">
        <v>14</v>
      </c>
      <c r="C12" s="231" t="s">
        <v>615</v>
      </c>
      <c r="D12" s="88">
        <v>5.6708498400612823</v>
      </c>
      <c r="E12" s="232">
        <v>75.166375708662926</v>
      </c>
      <c r="I12" s="216" t="s">
        <v>605</v>
      </c>
      <c r="J12" s="217" t="s">
        <v>616</v>
      </c>
      <c r="K12" s="218">
        <f>11.3+(14.4-11.3)/2</f>
        <v>12.850000000000001</v>
      </c>
      <c r="L12" s="219"/>
      <c r="M12" s="219" t="s">
        <v>296</v>
      </c>
      <c r="N12" s="220">
        <f t="shared" si="0"/>
        <v>0</v>
      </c>
      <c r="O12" s="220">
        <f t="shared" si="1"/>
        <v>0</v>
      </c>
      <c r="P12" s="220">
        <f t="shared" si="2"/>
        <v>0</v>
      </c>
      <c r="Q12" s="221">
        <v>0</v>
      </c>
      <c r="R12" s="221">
        <v>0</v>
      </c>
      <c r="S12" s="221">
        <v>0</v>
      </c>
      <c r="T12" s="221">
        <v>0</v>
      </c>
      <c r="U12" s="221">
        <v>0</v>
      </c>
      <c r="V12" s="221">
        <v>0</v>
      </c>
      <c r="W12" s="221">
        <v>0</v>
      </c>
      <c r="X12" s="221">
        <v>0</v>
      </c>
      <c r="Y12" s="221">
        <v>119308.68268493151</v>
      </c>
      <c r="Z12" s="222">
        <f t="shared" si="3"/>
        <v>0</v>
      </c>
      <c r="AA12" s="1"/>
      <c r="AB12" s="206">
        <f t="shared" si="4"/>
        <v>119308.68268493151</v>
      </c>
      <c r="AC12" s="226">
        <f t="shared" si="5"/>
        <v>119308.68268493151</v>
      </c>
      <c r="AD12" s="224">
        <v>112500</v>
      </c>
      <c r="AE12" s="179">
        <f t="shared" si="6"/>
        <v>-5.706778862785513E-2</v>
      </c>
      <c r="AF12" s="179">
        <f t="shared" si="7"/>
        <v>-5.706778862785513E-2</v>
      </c>
      <c r="AI12" s="206"/>
      <c r="AJ12" s="206"/>
      <c r="AK12" s="206"/>
      <c r="AL12" s="225"/>
      <c r="AM12" s="225"/>
      <c r="AN12" s="225"/>
      <c r="CV12" s="1"/>
      <c r="CW12" s="1"/>
      <c r="CX12" s="1"/>
      <c r="CY12" s="1"/>
      <c r="CZ12" s="1"/>
      <c r="DA12" s="1"/>
      <c r="DB12" s="1"/>
    </row>
    <row r="13" spans="2:106" x14ac:dyDescent="0.25">
      <c r="B13" s="14" t="s">
        <v>18</v>
      </c>
      <c r="C13" s="233" t="s">
        <v>61</v>
      </c>
      <c r="D13" s="234">
        <v>4.7117947967516214</v>
      </c>
      <c r="E13" s="235">
        <v>87.735056011523966</v>
      </c>
      <c r="I13" s="216" t="s">
        <v>605</v>
      </c>
      <c r="J13" s="217" t="s">
        <v>617</v>
      </c>
      <c r="K13" s="218">
        <v>13.7</v>
      </c>
      <c r="L13" s="219"/>
      <c r="M13" s="219" t="s">
        <v>296</v>
      </c>
      <c r="N13" s="220">
        <f t="shared" si="0"/>
        <v>0</v>
      </c>
      <c r="O13" s="220">
        <f t="shared" si="1"/>
        <v>0</v>
      </c>
      <c r="P13" s="220">
        <f t="shared" si="2"/>
        <v>0</v>
      </c>
      <c r="Q13" s="221">
        <v>0</v>
      </c>
      <c r="R13" s="221">
        <v>0</v>
      </c>
      <c r="S13" s="221">
        <v>0</v>
      </c>
      <c r="T13" s="221">
        <v>0</v>
      </c>
      <c r="U13" s="221">
        <v>0</v>
      </c>
      <c r="V13" s="221">
        <v>0</v>
      </c>
      <c r="W13" s="221">
        <v>0</v>
      </c>
      <c r="X13" s="221">
        <v>0</v>
      </c>
      <c r="Y13" s="221">
        <v>114056.06200000001</v>
      </c>
      <c r="Z13" s="222">
        <f t="shared" si="3"/>
        <v>0</v>
      </c>
      <c r="AA13" s="1"/>
      <c r="AB13" s="206">
        <f t="shared" si="4"/>
        <v>114056.06200000001</v>
      </c>
      <c r="AC13" s="226">
        <f t="shared" si="5"/>
        <v>114056.06200000001</v>
      </c>
      <c r="AD13" s="224">
        <v>112200</v>
      </c>
      <c r="AE13" s="179">
        <f t="shared" si="6"/>
        <v>-1.6273242889974629E-2</v>
      </c>
      <c r="AF13" s="179">
        <f t="shared" si="7"/>
        <v>-1.6273242889974629E-2</v>
      </c>
      <c r="AI13" s="206"/>
      <c r="AJ13" s="206"/>
      <c r="AK13" s="206"/>
      <c r="AL13" s="225"/>
      <c r="AM13" s="225"/>
      <c r="AN13" s="225"/>
      <c r="CV13" s="1"/>
      <c r="CW13" s="1"/>
      <c r="CX13" s="1"/>
      <c r="CY13" s="1"/>
      <c r="CZ13" s="1"/>
      <c r="DA13" s="1"/>
      <c r="DB13" s="1"/>
    </row>
    <row r="14" spans="2:106" x14ac:dyDescent="0.25">
      <c r="B14" s="14" t="s">
        <v>22</v>
      </c>
      <c r="C14" s="227" t="s">
        <v>618</v>
      </c>
      <c r="D14" s="228">
        <v>4.0562660463586173</v>
      </c>
      <c r="E14" s="229">
        <v>47.28933824683137</v>
      </c>
      <c r="I14" s="216" t="s">
        <v>605</v>
      </c>
      <c r="J14" s="217" t="s">
        <v>619</v>
      </c>
      <c r="K14" s="218">
        <f>7+(20-7)/2</f>
        <v>13.5</v>
      </c>
      <c r="L14" s="219"/>
      <c r="M14" s="219" t="s">
        <v>296</v>
      </c>
      <c r="N14" s="220">
        <f t="shared" si="0"/>
        <v>3.793589041095891</v>
      </c>
      <c r="O14" s="220">
        <f t="shared" si="1"/>
        <v>3.793589041095891</v>
      </c>
      <c r="P14" s="220">
        <f t="shared" si="2"/>
        <v>0</v>
      </c>
      <c r="Q14" s="221">
        <v>3.7935616438356163</v>
      </c>
      <c r="R14" s="221">
        <v>0</v>
      </c>
      <c r="S14" s="221">
        <v>0</v>
      </c>
      <c r="T14" s="221">
        <v>0.87139726027397268</v>
      </c>
      <c r="U14" s="221">
        <v>2.9221917808219184</v>
      </c>
      <c r="V14" s="221">
        <v>0</v>
      </c>
      <c r="W14" s="221">
        <v>0</v>
      </c>
      <c r="X14" s="221">
        <v>0</v>
      </c>
      <c r="Y14" s="221">
        <v>69090.784575342463</v>
      </c>
      <c r="Z14" s="222">
        <f t="shared" si="3"/>
        <v>3.793589041095891</v>
      </c>
      <c r="AA14" s="1"/>
      <c r="AB14" s="206">
        <f t="shared" si="4"/>
        <v>69090.784575342463</v>
      </c>
      <c r="AC14" s="226">
        <f t="shared" si="5"/>
        <v>69744.851651393474</v>
      </c>
      <c r="AD14" s="224">
        <v>69000</v>
      </c>
      <c r="AE14" s="179">
        <f t="shared" si="6"/>
        <v>-1.3139896427643461E-3</v>
      </c>
      <c r="AF14" s="179">
        <f t="shared" si="7"/>
        <v>-1.06796650040418E-2</v>
      </c>
      <c r="AI14" s="206"/>
      <c r="AJ14" s="206"/>
      <c r="AK14" s="206"/>
      <c r="AL14" s="225"/>
      <c r="AM14" s="225"/>
      <c r="AN14" s="225"/>
      <c r="CV14" s="1"/>
      <c r="CW14" s="1"/>
      <c r="CX14" s="1"/>
      <c r="CY14" s="1"/>
      <c r="CZ14" s="1"/>
      <c r="DA14" s="1"/>
      <c r="DB14" s="1"/>
    </row>
    <row r="15" spans="2:106" x14ac:dyDescent="0.25">
      <c r="B15" s="14" t="s">
        <v>26</v>
      </c>
      <c r="C15" s="231" t="s">
        <v>620</v>
      </c>
      <c r="D15" s="88">
        <v>5.4608206169323079</v>
      </c>
      <c r="E15" s="232">
        <v>78.281203343664757</v>
      </c>
      <c r="I15" s="216" t="s">
        <v>605</v>
      </c>
      <c r="J15" s="217" t="s">
        <v>621</v>
      </c>
      <c r="K15" s="218">
        <v>8</v>
      </c>
      <c r="L15" s="219"/>
      <c r="M15" s="219" t="s">
        <v>296</v>
      </c>
      <c r="N15" s="220">
        <f t="shared" si="0"/>
        <v>0.58205479452054798</v>
      </c>
      <c r="O15" s="220">
        <f t="shared" si="1"/>
        <v>0.58205479452054798</v>
      </c>
      <c r="P15" s="220">
        <f t="shared" si="2"/>
        <v>0</v>
      </c>
      <c r="Q15" s="221">
        <v>0.58205479452054798</v>
      </c>
      <c r="R15" s="221">
        <v>0</v>
      </c>
      <c r="S15" s="221">
        <v>0</v>
      </c>
      <c r="T15" s="221">
        <v>0</v>
      </c>
      <c r="U15" s="221">
        <v>0.58205479452054798</v>
      </c>
      <c r="V15" s="221">
        <v>0</v>
      </c>
      <c r="W15" s="221">
        <v>0</v>
      </c>
      <c r="X15" s="221">
        <v>0</v>
      </c>
      <c r="Y15" s="221">
        <v>19756.607616438356</v>
      </c>
      <c r="Z15" s="222">
        <f t="shared" si="3"/>
        <v>0.58205479452054798</v>
      </c>
      <c r="AA15" s="1"/>
      <c r="AB15" s="206">
        <f t="shared" si="4"/>
        <v>19756.607616438356</v>
      </c>
      <c r="AC15" s="226">
        <f t="shared" si="5"/>
        <v>19856.961891355691</v>
      </c>
      <c r="AD15" s="224">
        <v>19000</v>
      </c>
      <c r="AE15" s="179">
        <f t="shared" si="6"/>
        <v>-3.8296433837600001E-2</v>
      </c>
      <c r="AF15" s="179">
        <f t="shared" si="7"/>
        <v>-4.3156747544988328E-2</v>
      </c>
      <c r="AI15" s="206"/>
      <c r="AJ15" s="206"/>
      <c r="AK15" s="206"/>
      <c r="AL15" s="225"/>
      <c r="AM15" s="225"/>
      <c r="AN15" s="225"/>
      <c r="CV15" s="1"/>
      <c r="CW15" s="1"/>
      <c r="CX15" s="1"/>
      <c r="CY15" s="1"/>
      <c r="CZ15" s="1"/>
      <c r="DA15" s="1"/>
      <c r="DB15" s="1"/>
    </row>
    <row r="16" spans="2:106" x14ac:dyDescent="0.25">
      <c r="B16" s="14" t="s">
        <v>69</v>
      </c>
      <c r="C16" s="231" t="s">
        <v>622</v>
      </c>
      <c r="D16" s="88">
        <v>4.7615165047769556</v>
      </c>
      <c r="E16" s="232">
        <v>56.337812381502502</v>
      </c>
      <c r="I16" s="216" t="s">
        <v>605</v>
      </c>
      <c r="J16" s="217" t="s">
        <v>623</v>
      </c>
      <c r="K16" s="218">
        <v>13.5</v>
      </c>
      <c r="L16" s="219"/>
      <c r="M16" s="219" t="s">
        <v>296</v>
      </c>
      <c r="N16" s="220">
        <f t="shared" si="0"/>
        <v>1.1906575342465753</v>
      </c>
      <c r="O16" s="220">
        <f t="shared" si="1"/>
        <v>1.5506849315068495E-2</v>
      </c>
      <c r="P16" s="220">
        <f t="shared" si="2"/>
        <v>0.64550684931506841</v>
      </c>
      <c r="Q16" s="221">
        <v>1.1908493150684931</v>
      </c>
      <c r="R16" s="221">
        <v>0</v>
      </c>
      <c r="S16" s="221">
        <v>0</v>
      </c>
      <c r="T16" s="221">
        <v>1.5506849315068495E-2</v>
      </c>
      <c r="U16" s="221">
        <v>0</v>
      </c>
      <c r="V16" s="221">
        <v>1.1751506849315068</v>
      </c>
      <c r="W16" s="221">
        <v>0.52964383561643835</v>
      </c>
      <c r="X16" s="221">
        <v>0</v>
      </c>
      <c r="Y16" s="221">
        <v>3941.1335068493149</v>
      </c>
      <c r="Z16" s="222">
        <f t="shared" si="3"/>
        <v>1.1906575342465753</v>
      </c>
      <c r="AA16" s="1"/>
      <c r="AB16" s="206">
        <f t="shared" si="4"/>
        <v>4052.4277912139819</v>
      </c>
      <c r="AC16" s="226">
        <f t="shared" si="5"/>
        <v>4146.4192886159663</v>
      </c>
      <c r="AD16" s="224">
        <v>4210</v>
      </c>
      <c r="AE16" s="179">
        <f t="shared" si="6"/>
        <v>3.8883409379347471E-2</v>
      </c>
      <c r="AF16" s="179">
        <f t="shared" si="7"/>
        <v>1.5333883758112741E-2</v>
      </c>
      <c r="AI16" s="206"/>
      <c r="AJ16" s="206"/>
      <c r="AK16" s="206"/>
      <c r="AL16" s="225"/>
      <c r="AM16" s="225"/>
      <c r="AN16" s="225"/>
      <c r="CV16" s="1"/>
      <c r="CW16" s="1"/>
      <c r="CX16" s="1"/>
      <c r="CY16" s="1"/>
      <c r="CZ16" s="1"/>
      <c r="DA16" s="1"/>
      <c r="DB16" s="1"/>
    </row>
    <row r="17" spans="2:106" x14ac:dyDescent="0.25">
      <c r="B17" s="14" t="s">
        <v>72</v>
      </c>
      <c r="C17" s="233" t="s">
        <v>73</v>
      </c>
      <c r="D17" s="234">
        <v>4.1867999999999999</v>
      </c>
      <c r="E17" s="235">
        <v>40.784041574326501</v>
      </c>
      <c r="I17" s="216" t="s">
        <v>624</v>
      </c>
      <c r="J17" s="217" t="s">
        <v>625</v>
      </c>
      <c r="K17" s="218">
        <v>35</v>
      </c>
      <c r="L17" s="219"/>
      <c r="M17" s="219" t="s">
        <v>292</v>
      </c>
      <c r="N17" s="220">
        <f t="shared" si="0"/>
        <v>3.4626301369863017</v>
      </c>
      <c r="O17" s="220">
        <f t="shared" si="1"/>
        <v>3.4626301369863017</v>
      </c>
      <c r="P17" s="220">
        <f t="shared" si="2"/>
        <v>0</v>
      </c>
      <c r="Q17" s="221">
        <v>3.4626301369863017</v>
      </c>
      <c r="R17" s="221">
        <v>0</v>
      </c>
      <c r="S17" s="221">
        <v>0</v>
      </c>
      <c r="T17" s="221">
        <v>0</v>
      </c>
      <c r="U17" s="221">
        <v>3.4626301369863017</v>
      </c>
      <c r="V17" s="221">
        <v>0</v>
      </c>
      <c r="W17" s="221">
        <v>0</v>
      </c>
      <c r="X17" s="221">
        <v>0</v>
      </c>
      <c r="Y17" s="221">
        <v>1962.0646849315069</v>
      </c>
      <c r="Z17" s="222">
        <f t="shared" si="3"/>
        <v>3.4626301369863017</v>
      </c>
      <c r="AA17" s="1"/>
      <c r="AB17" s="206">
        <f t="shared" si="4"/>
        <v>1962.0646849315069</v>
      </c>
      <c r="AC17" s="226">
        <f t="shared" si="5"/>
        <v>2559.0698809636278</v>
      </c>
      <c r="AD17" s="224">
        <v>2100</v>
      </c>
      <c r="AE17" s="179">
        <f t="shared" si="6"/>
        <v>7.030110481464999E-2</v>
      </c>
      <c r="AF17" s="230">
        <f t="shared" si="7"/>
        <v>-0.17938934937984705</v>
      </c>
      <c r="AI17" s="206"/>
      <c r="AJ17" s="206"/>
      <c r="AK17" s="206"/>
      <c r="AL17" s="225"/>
      <c r="AM17" s="225"/>
      <c r="AN17" s="225"/>
      <c r="CV17" s="1"/>
      <c r="CW17" s="1"/>
      <c r="CX17" s="1"/>
      <c r="CY17" s="1"/>
      <c r="CZ17" s="1"/>
      <c r="DA17" s="1"/>
      <c r="DB17" s="1"/>
    </row>
    <row r="18" spans="2:106" x14ac:dyDescent="0.25">
      <c r="B18" s="236" t="s">
        <v>626</v>
      </c>
      <c r="I18" s="216" t="s">
        <v>627</v>
      </c>
      <c r="J18" s="217" t="s">
        <v>628</v>
      </c>
      <c r="K18" s="218">
        <v>21</v>
      </c>
      <c r="L18" s="219"/>
      <c r="M18" s="219" t="s">
        <v>295</v>
      </c>
      <c r="N18" s="220">
        <f t="shared" si="0"/>
        <v>1.1893972602739726</v>
      </c>
      <c r="O18" s="220">
        <f t="shared" si="1"/>
        <v>1.1893972602739726</v>
      </c>
      <c r="P18" s="220">
        <f t="shared" si="2"/>
        <v>0</v>
      </c>
      <c r="Q18" s="221">
        <v>1.1894794520547947</v>
      </c>
      <c r="R18" s="221">
        <v>0</v>
      </c>
      <c r="S18" s="221">
        <v>0</v>
      </c>
      <c r="T18" s="221">
        <v>0.95542465753424666</v>
      </c>
      <c r="U18" s="221">
        <v>0.23397260273972598</v>
      </c>
      <c r="V18" s="221">
        <v>0</v>
      </c>
      <c r="W18" s="221">
        <v>0</v>
      </c>
      <c r="X18" s="221">
        <v>0</v>
      </c>
      <c r="Y18" s="221">
        <v>12119.3965753425</v>
      </c>
      <c r="Z18" s="222">
        <f t="shared" si="3"/>
        <v>1.1893972602739726</v>
      </c>
      <c r="AA18" s="1"/>
      <c r="AB18" s="206">
        <f t="shared" si="4"/>
        <v>12119.3965753425</v>
      </c>
      <c r="AC18" s="226">
        <f t="shared" si="5"/>
        <v>12324.465068493186</v>
      </c>
      <c r="AD18" s="224">
        <v>11750</v>
      </c>
      <c r="AE18" s="179">
        <f t="shared" si="6"/>
        <v>-3.0479782804867961E-2</v>
      </c>
      <c r="AF18" s="179">
        <f t="shared" si="7"/>
        <v>-4.6611764916416047E-2</v>
      </c>
      <c r="AI18" s="206"/>
      <c r="AJ18" s="206"/>
      <c r="AK18" s="206"/>
      <c r="AL18" s="225"/>
      <c r="AM18" s="225"/>
      <c r="AN18" s="225"/>
      <c r="CV18" s="1"/>
      <c r="CW18" s="1"/>
      <c r="CX18" s="1"/>
      <c r="CY18" s="1"/>
      <c r="CZ18" s="1"/>
      <c r="DA18" s="1"/>
      <c r="DB18" s="1"/>
    </row>
    <row r="19" spans="2:106" x14ac:dyDescent="0.25">
      <c r="I19" s="216" t="s">
        <v>627</v>
      </c>
      <c r="J19" s="217" t="s">
        <v>629</v>
      </c>
      <c r="K19" s="218">
        <v>12.5</v>
      </c>
      <c r="L19" s="219"/>
      <c r="M19" s="219" t="s">
        <v>296</v>
      </c>
      <c r="N19" s="220">
        <f t="shared" si="0"/>
        <v>0.23824657534246574</v>
      </c>
      <c r="O19" s="220">
        <f t="shared" si="1"/>
        <v>0.23824657534246574</v>
      </c>
      <c r="P19" s="220">
        <f t="shared" si="2"/>
        <v>0</v>
      </c>
      <c r="Q19" s="221">
        <v>0.23827397260273972</v>
      </c>
      <c r="R19" s="221">
        <v>0</v>
      </c>
      <c r="S19" s="221">
        <v>0</v>
      </c>
      <c r="T19" s="221">
        <v>0.10038356164383562</v>
      </c>
      <c r="U19" s="221">
        <v>0.1378630136986301</v>
      </c>
      <c r="V19" s="221">
        <v>0</v>
      </c>
      <c r="W19" s="221">
        <v>0</v>
      </c>
      <c r="X19" s="221">
        <v>0</v>
      </c>
      <c r="Y19" s="221">
        <v>1476.5236986301368</v>
      </c>
      <c r="Z19" s="222">
        <f t="shared" si="3"/>
        <v>0.23824657534246574</v>
      </c>
      <c r="AA19" s="1"/>
      <c r="AB19" s="206">
        <f t="shared" si="4"/>
        <v>1476.5236986301368</v>
      </c>
      <c r="AC19" s="226">
        <f t="shared" si="5"/>
        <v>1517.6006943788377</v>
      </c>
      <c r="AD19" s="224">
        <v>1500</v>
      </c>
      <c r="AE19" s="179">
        <f t="shared" si="6"/>
        <v>1.5899711864864514E-2</v>
      </c>
      <c r="AF19" s="179">
        <f t="shared" si="7"/>
        <v>-1.1597711073822205E-2</v>
      </c>
      <c r="AI19" s="206"/>
      <c r="AJ19" s="206"/>
      <c r="AK19" s="206"/>
      <c r="AL19" s="225"/>
      <c r="AM19" s="225"/>
      <c r="AN19" s="225"/>
      <c r="CV19" s="1"/>
      <c r="CW19" s="1"/>
      <c r="CX19" s="1"/>
      <c r="CY19" s="1"/>
      <c r="CZ19" s="1"/>
      <c r="DA19" s="1"/>
      <c r="DB19" s="1"/>
    </row>
    <row r="20" spans="2:106" x14ac:dyDescent="0.25">
      <c r="C20" s="12" t="s">
        <v>630</v>
      </c>
      <c r="D20" s="237">
        <v>6117863200</v>
      </c>
      <c r="E20" s="12" t="s">
        <v>631</v>
      </c>
      <c r="I20" s="216" t="s">
        <v>627</v>
      </c>
      <c r="J20" s="217" t="s">
        <v>632</v>
      </c>
      <c r="K20" s="218">
        <v>21</v>
      </c>
      <c r="L20" s="219"/>
      <c r="M20" s="219" t="s">
        <v>295</v>
      </c>
      <c r="N20" s="220">
        <f t="shared" si="0"/>
        <v>5.057041095890412</v>
      </c>
      <c r="O20" s="220">
        <f t="shared" si="1"/>
        <v>2.6139452054794523</v>
      </c>
      <c r="P20" s="220">
        <f t="shared" si="2"/>
        <v>2.4430958904109596</v>
      </c>
      <c r="Q20" s="221">
        <v>5.0572054794520547</v>
      </c>
      <c r="R20" s="221">
        <v>0</v>
      </c>
      <c r="S20" s="221">
        <v>0</v>
      </c>
      <c r="T20" s="221">
        <v>2.4027123287671235</v>
      </c>
      <c r="U20" s="221">
        <v>0.21123287671232879</v>
      </c>
      <c r="V20" s="221">
        <v>0</v>
      </c>
      <c r="W20" s="221">
        <v>0</v>
      </c>
      <c r="X20" s="221">
        <v>2.4430958904109596</v>
      </c>
      <c r="Y20" s="221">
        <v>17849.99879452055</v>
      </c>
      <c r="Z20" s="222">
        <f t="shared" si="3"/>
        <v>5.057041095890412</v>
      </c>
      <c r="AA20" s="1"/>
      <c r="AB20" s="206">
        <f t="shared" si="4"/>
        <v>18271.22222390175</v>
      </c>
      <c r="AC20" s="226">
        <f t="shared" si="5"/>
        <v>18721.902431743034</v>
      </c>
      <c r="AD20" s="224">
        <v>18000</v>
      </c>
      <c r="AE20" s="179">
        <f t="shared" si="6"/>
        <v>-1.484422993591239E-2</v>
      </c>
      <c r="AF20" s="179">
        <f t="shared" si="7"/>
        <v>-3.8559245481327074E-2</v>
      </c>
      <c r="AI20" s="206"/>
      <c r="AJ20" s="206"/>
      <c r="AK20" s="206"/>
      <c r="AL20" s="225"/>
      <c r="AM20" s="225"/>
      <c r="AN20" s="225"/>
      <c r="CV20" s="1"/>
      <c r="CW20" s="1"/>
      <c r="CX20" s="1"/>
      <c r="CY20" s="1"/>
      <c r="CZ20" s="1"/>
      <c r="DA20" s="1"/>
      <c r="DB20" s="1"/>
    </row>
    <row r="21" spans="2:106" ht="15.75" customHeight="1" x14ac:dyDescent="0.25">
      <c r="C21" s="12" t="s">
        <v>630</v>
      </c>
      <c r="D21" s="237">
        <f>+D20*1000/(1000000000000)</f>
        <v>6.1178632000000004</v>
      </c>
      <c r="E21" s="12" t="s">
        <v>633</v>
      </c>
      <c r="I21" s="216" t="s">
        <v>627</v>
      </c>
      <c r="J21" s="217" t="s">
        <v>634</v>
      </c>
      <c r="K21" s="218">
        <f>20+(25-20)/2</f>
        <v>22.5</v>
      </c>
      <c r="L21" s="219"/>
      <c r="M21" s="219" t="s">
        <v>295</v>
      </c>
      <c r="N21" s="220">
        <f t="shared" si="0"/>
        <v>6.7767123287671236</v>
      </c>
      <c r="O21" s="220">
        <f t="shared" si="1"/>
        <v>3.0408493150684928</v>
      </c>
      <c r="P21" s="220">
        <f t="shared" si="2"/>
        <v>3.7358630136986304</v>
      </c>
      <c r="Q21" s="221">
        <v>6.7767123287671236</v>
      </c>
      <c r="R21" s="221">
        <v>0</v>
      </c>
      <c r="S21" s="221">
        <v>0</v>
      </c>
      <c r="T21" s="221">
        <v>1.396739726027397</v>
      </c>
      <c r="U21" s="221">
        <v>1.6441095890410957</v>
      </c>
      <c r="V21" s="221">
        <v>3.7358630136986304</v>
      </c>
      <c r="W21" s="221">
        <v>0</v>
      </c>
      <c r="X21" s="221">
        <v>0</v>
      </c>
      <c r="Y21" s="221">
        <v>42334.39687671233</v>
      </c>
      <c r="Z21" s="222">
        <f t="shared" si="3"/>
        <v>6.7767123287671236</v>
      </c>
      <c r="AA21" s="1"/>
      <c r="AB21" s="206">
        <f t="shared" si="4"/>
        <v>42978.51118941899</v>
      </c>
      <c r="AC21" s="226">
        <f t="shared" si="5"/>
        <v>43502.795554085969</v>
      </c>
      <c r="AD21" s="224">
        <v>42100</v>
      </c>
      <c r="AE21" s="179">
        <f t="shared" si="6"/>
        <v>-2.0440707812030345E-2</v>
      </c>
      <c r="AF21" s="179">
        <f t="shared" si="7"/>
        <v>-3.2246101341738088E-2</v>
      </c>
      <c r="AI21" s="206"/>
      <c r="AJ21" s="206"/>
      <c r="AK21" s="206"/>
      <c r="AL21" s="225"/>
      <c r="AM21" s="225"/>
      <c r="AN21" s="225"/>
      <c r="CV21" s="1"/>
      <c r="CW21" s="1"/>
      <c r="CX21" s="1"/>
      <c r="CY21" s="1"/>
      <c r="CZ21" s="1"/>
      <c r="DA21" s="1"/>
      <c r="DB21" s="1"/>
    </row>
    <row r="22" spans="2:106" ht="15.75" customHeight="1" x14ac:dyDescent="0.25">
      <c r="D22" s="12">
        <v>5800</v>
      </c>
      <c r="E22" s="12" t="s">
        <v>635</v>
      </c>
      <c r="I22" s="216" t="s">
        <v>636</v>
      </c>
      <c r="J22" s="217" t="s">
        <v>637</v>
      </c>
      <c r="K22" s="218">
        <v>23</v>
      </c>
      <c r="L22" s="219"/>
      <c r="M22" s="219" t="s">
        <v>295</v>
      </c>
      <c r="N22" s="220">
        <f t="shared" si="0"/>
        <v>1.9274794520547947</v>
      </c>
      <c r="O22" s="220">
        <f t="shared" si="1"/>
        <v>0.33145205479452056</v>
      </c>
      <c r="P22" s="220">
        <f t="shared" si="2"/>
        <v>1.0367123287671232</v>
      </c>
      <c r="Q22" s="221">
        <v>1.9275342465753424</v>
      </c>
      <c r="R22" s="221">
        <v>0</v>
      </c>
      <c r="S22" s="221">
        <v>0</v>
      </c>
      <c r="T22" s="221">
        <v>0.10339726027397263</v>
      </c>
      <c r="U22" s="221">
        <v>0.22805479452054794</v>
      </c>
      <c r="V22" s="221">
        <v>1.5925479452054794</v>
      </c>
      <c r="W22" s="221">
        <v>0.55931506849315071</v>
      </c>
      <c r="X22" s="221">
        <v>3.4794520547945205E-3</v>
      </c>
      <c r="Y22" s="221">
        <v>4684.6815890410962</v>
      </c>
      <c r="Z22" s="222">
        <f t="shared" si="3"/>
        <v>1.9274794520547947</v>
      </c>
      <c r="AA22" s="1"/>
      <c r="AB22" s="206">
        <f t="shared" si="4"/>
        <v>4863.4250940009451</v>
      </c>
      <c r="AC22" s="226">
        <f t="shared" si="5"/>
        <v>5017.0056324988191</v>
      </c>
      <c r="AD22" s="224">
        <v>4850</v>
      </c>
      <c r="AE22" s="179">
        <f t="shared" si="6"/>
        <v>-2.7604196099380754E-3</v>
      </c>
      <c r="AF22" s="179">
        <f t="shared" si="7"/>
        <v>-3.3287910106578576E-2</v>
      </c>
      <c r="AI22" s="206"/>
      <c r="AJ22" s="206"/>
      <c r="AK22" s="206"/>
      <c r="AL22" s="225"/>
      <c r="AM22" s="225"/>
      <c r="AN22" s="225"/>
      <c r="CV22" s="1"/>
      <c r="CW22" s="1"/>
      <c r="CX22" s="1"/>
      <c r="CY22" s="1"/>
      <c r="CZ22" s="1"/>
      <c r="DA22" s="1"/>
      <c r="DB22" s="1"/>
    </row>
    <row r="23" spans="2:106" ht="15.75" customHeight="1" x14ac:dyDescent="0.25">
      <c r="I23" s="216" t="s">
        <v>636</v>
      </c>
      <c r="J23" s="217" t="s">
        <v>638</v>
      </c>
      <c r="K23" s="218">
        <v>25.5</v>
      </c>
      <c r="L23" s="219"/>
      <c r="M23" s="219" t="s">
        <v>295</v>
      </c>
      <c r="N23" s="220">
        <f t="shared" si="0"/>
        <v>0.8670410958904109</v>
      </c>
      <c r="O23" s="220">
        <f t="shared" si="1"/>
        <v>0.8670410958904109</v>
      </c>
      <c r="P23" s="220">
        <f t="shared" si="2"/>
        <v>0</v>
      </c>
      <c r="Q23" s="221">
        <v>0.86709589041095891</v>
      </c>
      <c r="R23" s="221">
        <v>0</v>
      </c>
      <c r="S23" s="221">
        <v>0</v>
      </c>
      <c r="T23" s="221">
        <v>0.45498630136986301</v>
      </c>
      <c r="U23" s="221">
        <v>0.41205479452054788</v>
      </c>
      <c r="V23" s="221">
        <v>0</v>
      </c>
      <c r="W23" s="221">
        <v>0</v>
      </c>
      <c r="X23" s="221">
        <v>0</v>
      </c>
      <c r="Y23" s="221">
        <v>4154.1152328767121</v>
      </c>
      <c r="Z23" s="222">
        <f t="shared" si="3"/>
        <v>0.8670410958904109</v>
      </c>
      <c r="AA23" s="1"/>
      <c r="AB23" s="206">
        <f t="shared" si="4"/>
        <v>4154.1152328767121</v>
      </c>
      <c r="AC23" s="226">
        <f t="shared" si="5"/>
        <v>4303.6050769957483</v>
      </c>
      <c r="AD23" s="224">
        <v>4000</v>
      </c>
      <c r="AE23" s="179">
        <f t="shared" si="6"/>
        <v>-3.7099412085877005E-2</v>
      </c>
      <c r="AF23" s="179">
        <f t="shared" si="7"/>
        <v>-7.0546686223283361E-2</v>
      </c>
      <c r="AI23" s="206"/>
      <c r="AJ23" s="206"/>
      <c r="AK23" s="206"/>
      <c r="AL23" s="225"/>
      <c r="AM23" s="225"/>
      <c r="AN23" s="225"/>
      <c r="CV23" s="1"/>
      <c r="CW23" s="1"/>
      <c r="CX23" s="1"/>
      <c r="CY23" s="1"/>
      <c r="CZ23" s="1"/>
      <c r="DA23" s="1"/>
      <c r="DB23" s="1"/>
    </row>
    <row r="24" spans="2:106" ht="15.75" customHeight="1" x14ac:dyDescent="0.25">
      <c r="I24" s="216" t="s">
        <v>636</v>
      </c>
      <c r="J24" s="238" t="s">
        <v>639</v>
      </c>
      <c r="K24" s="218">
        <v>21</v>
      </c>
      <c r="L24" s="219"/>
      <c r="M24" s="219" t="s">
        <v>295</v>
      </c>
      <c r="N24" s="220">
        <f t="shared" si="0"/>
        <v>1.1906575342465753</v>
      </c>
      <c r="O24" s="220">
        <f t="shared" si="1"/>
        <v>1.5506849315068495E-2</v>
      </c>
      <c r="P24" s="220">
        <f t="shared" si="2"/>
        <v>0.64550684931506841</v>
      </c>
      <c r="Q24" s="221">
        <v>1.1908493150684931</v>
      </c>
      <c r="R24" s="221">
        <v>0</v>
      </c>
      <c r="S24" s="221">
        <v>0</v>
      </c>
      <c r="T24" s="221">
        <v>0</v>
      </c>
      <c r="U24" s="221">
        <v>1.5506849315068495E-2</v>
      </c>
      <c r="V24" s="221">
        <v>1.1751506849315068</v>
      </c>
      <c r="W24" s="221">
        <v>0.52964383561643835</v>
      </c>
      <c r="X24" s="221">
        <v>0</v>
      </c>
      <c r="Y24" s="221">
        <v>3941.1335068493149</v>
      </c>
      <c r="Z24" s="222">
        <f t="shared" si="3"/>
        <v>1.1906575342465753</v>
      </c>
      <c r="AA24" s="1"/>
      <c r="AB24" s="206">
        <f t="shared" si="4"/>
        <v>4052.4277912139819</v>
      </c>
      <c r="AC24" s="226">
        <f t="shared" si="5"/>
        <v>4146.4192886159663</v>
      </c>
      <c r="AD24" s="224">
        <v>4000</v>
      </c>
      <c r="AE24" s="179">
        <f t="shared" si="6"/>
        <v>-1.2937378261902638E-2</v>
      </c>
      <c r="AF24" s="179">
        <f t="shared" si="7"/>
        <v>-3.5312224457850129E-2</v>
      </c>
      <c r="AI24" s="206"/>
      <c r="AJ24" s="206"/>
      <c r="AK24" s="206"/>
      <c r="AL24" s="225"/>
      <c r="AM24" s="225"/>
      <c r="AN24" s="225"/>
      <c r="CV24" s="1"/>
      <c r="CW24" s="1"/>
      <c r="CX24" s="1"/>
      <c r="CY24" s="1"/>
      <c r="CZ24" s="1"/>
      <c r="DA24" s="1"/>
      <c r="DB24" s="1"/>
    </row>
    <row r="25" spans="2:106" ht="15.75" customHeight="1" x14ac:dyDescent="0.25">
      <c r="I25" s="216" t="s">
        <v>640</v>
      </c>
      <c r="J25" s="238" t="s">
        <v>641</v>
      </c>
      <c r="K25" s="218" t="s">
        <v>314</v>
      </c>
      <c r="L25" s="219" t="s">
        <v>7</v>
      </c>
      <c r="M25" s="219" t="s">
        <v>642</v>
      </c>
      <c r="N25" s="220">
        <v>2.9418904109589041</v>
      </c>
      <c r="O25" s="220">
        <v>0</v>
      </c>
      <c r="P25" s="220">
        <v>2.9418904109589041</v>
      </c>
      <c r="Q25" s="221">
        <v>2.9418904109589041</v>
      </c>
      <c r="R25" s="221">
        <v>0</v>
      </c>
      <c r="S25" s="221">
        <v>0</v>
      </c>
      <c r="T25" s="221">
        <v>0</v>
      </c>
      <c r="U25" s="221">
        <v>0</v>
      </c>
      <c r="V25" s="221">
        <v>0</v>
      </c>
      <c r="W25" s="221">
        <v>0</v>
      </c>
      <c r="X25" s="221">
        <v>2.9418904109589041</v>
      </c>
      <c r="Y25" s="221">
        <v>0</v>
      </c>
      <c r="Z25" s="222">
        <f t="shared" si="3"/>
        <v>2.9418904109589041</v>
      </c>
      <c r="AA25" s="1"/>
      <c r="AB25" s="206">
        <f t="shared" si="4"/>
        <v>507.22248464808695</v>
      </c>
      <c r="AC25" s="226">
        <f t="shared" si="5"/>
        <v>507.22248464808695</v>
      </c>
      <c r="AD25" s="224">
        <v>468</v>
      </c>
      <c r="AE25" s="179">
        <f t="shared" si="6"/>
        <v>-7.7327969155980281E-2</v>
      </c>
      <c r="AF25" s="179">
        <f t="shared" si="7"/>
        <v>-7.7327969155980281E-2</v>
      </c>
      <c r="AI25" s="206"/>
      <c r="AJ25" s="206"/>
      <c r="AK25" s="206"/>
      <c r="AL25" s="225"/>
      <c r="AM25" s="225"/>
      <c r="AN25" s="225"/>
      <c r="CV25" s="1"/>
      <c r="CW25" s="1"/>
      <c r="CX25" s="1"/>
      <c r="CY25" s="1"/>
      <c r="CZ25" s="1"/>
      <c r="DA25" s="1"/>
      <c r="DB25" s="1"/>
    </row>
    <row r="26" spans="2:106" ht="15.75" customHeight="1" x14ac:dyDescent="0.25">
      <c r="I26" s="216" t="s">
        <v>640</v>
      </c>
      <c r="J26" s="238" t="s">
        <v>643</v>
      </c>
      <c r="K26" s="218" t="s">
        <v>314</v>
      </c>
      <c r="L26" s="219" t="s">
        <v>7</v>
      </c>
      <c r="M26" s="219" t="s">
        <v>642</v>
      </c>
      <c r="N26" s="220">
        <v>6.2215616438356163</v>
      </c>
      <c r="O26" s="220">
        <v>0.13172602739726028</v>
      </c>
      <c r="P26" s="220">
        <v>6.0898356164383562</v>
      </c>
      <c r="Q26" s="221">
        <v>6.2215890410958909</v>
      </c>
      <c r="R26" s="221">
        <v>0</v>
      </c>
      <c r="S26" s="221">
        <v>0</v>
      </c>
      <c r="T26" s="221">
        <v>1.1643835616438357E-2</v>
      </c>
      <c r="U26" s="221">
        <v>0.12008219178082191</v>
      </c>
      <c r="V26" s="221">
        <v>0</v>
      </c>
      <c r="W26" s="221">
        <v>0</v>
      </c>
      <c r="X26" s="221">
        <v>6.0898356164383562</v>
      </c>
      <c r="Y26" s="221">
        <v>6.111890410958905</v>
      </c>
      <c r="Z26" s="222">
        <f t="shared" si="3"/>
        <v>6.2215616438356163</v>
      </c>
      <c r="AA26" s="1"/>
      <c r="AB26" s="206">
        <f t="shared" si="4"/>
        <v>1056.083548417572</v>
      </c>
      <c r="AC26" s="226">
        <f t="shared" si="5"/>
        <v>1078.7949324515826</v>
      </c>
      <c r="AD26" s="224">
        <v>1017</v>
      </c>
      <c r="AE26" s="179">
        <f t="shared" si="6"/>
        <v>-3.700800800858469E-2</v>
      </c>
      <c r="AF26" s="179">
        <f t="shared" si="7"/>
        <v>-5.7281444872152268E-2</v>
      </c>
      <c r="AI26" s="206"/>
      <c r="AJ26" s="206"/>
      <c r="AK26" s="206"/>
      <c r="AL26" s="225"/>
      <c r="AM26" s="225"/>
      <c r="AN26" s="225"/>
      <c r="CV26" s="1"/>
      <c r="CW26" s="1"/>
      <c r="CX26" s="1"/>
      <c r="CY26" s="1"/>
      <c r="CZ26" s="1"/>
      <c r="DA26" s="1"/>
      <c r="DB26" s="1"/>
    </row>
    <row r="27" spans="2:106" ht="15.75" customHeight="1" x14ac:dyDescent="0.25">
      <c r="I27" s="216" t="s">
        <v>640</v>
      </c>
      <c r="J27" s="238" t="s">
        <v>644</v>
      </c>
      <c r="K27" s="218" t="s">
        <v>314</v>
      </c>
      <c r="L27" s="219" t="s">
        <v>7</v>
      </c>
      <c r="M27" s="219" t="s">
        <v>642</v>
      </c>
      <c r="N27" s="220">
        <v>28.099424657534254</v>
      </c>
      <c r="O27" s="220">
        <v>0.58819178082191803</v>
      </c>
      <c r="P27" s="220">
        <v>27.511232876712334</v>
      </c>
      <c r="Q27" s="221">
        <v>28.099315068493151</v>
      </c>
      <c r="R27" s="221">
        <v>0</v>
      </c>
      <c r="S27" s="221">
        <v>0</v>
      </c>
      <c r="T27" s="221">
        <v>5.0520547945205482E-2</v>
      </c>
      <c r="U27" s="221">
        <v>0.53767123287671237</v>
      </c>
      <c r="V27" s="221">
        <v>0</v>
      </c>
      <c r="W27" s="221">
        <v>0</v>
      </c>
      <c r="X27" s="221">
        <v>27.511232876712334</v>
      </c>
      <c r="Y27" s="221">
        <v>27.609561643835615</v>
      </c>
      <c r="Z27" s="222">
        <f t="shared" si="3"/>
        <v>28.099424657534254</v>
      </c>
      <c r="AA27" s="1"/>
      <c r="AB27" s="206">
        <f t="shared" si="4"/>
        <v>4770.9255748701007</v>
      </c>
      <c r="AC27" s="226">
        <f t="shared" si="5"/>
        <v>4872.3379508738799</v>
      </c>
      <c r="AD27" s="224">
        <v>4600</v>
      </c>
      <c r="AE27" s="179">
        <f t="shared" si="6"/>
        <v>-3.5826502046147422E-2</v>
      </c>
      <c r="AF27" s="179">
        <f t="shared" si="7"/>
        <v>-5.5894716996187553E-2</v>
      </c>
      <c r="AI27" s="206"/>
      <c r="AJ27" s="206"/>
      <c r="AK27" s="206"/>
      <c r="AL27" s="225"/>
      <c r="AM27" s="225"/>
      <c r="AN27" s="225"/>
      <c r="CV27" s="1"/>
      <c r="CW27" s="1"/>
      <c r="CX27" s="1"/>
      <c r="CY27" s="1"/>
      <c r="CZ27" s="1"/>
      <c r="DA27" s="1"/>
      <c r="DB27" s="1"/>
    </row>
    <row r="28" spans="2:106" ht="15.75" customHeight="1" x14ac:dyDescent="0.25">
      <c r="N28" s="239">
        <f>+SUM(N5:N27)</f>
        <v>1814.1047397260272</v>
      </c>
      <c r="O28" s="239">
        <f>+SUM(O5:O27)</f>
        <v>944.81832876712326</v>
      </c>
      <c r="P28" s="239">
        <f t="shared" ref="P28:X28" si="8">+SUM(P5:P27)</f>
        <v>825.47967123287674</v>
      </c>
      <c r="Q28" s="239">
        <f t="shared" si="8"/>
        <v>1814.1052876712326</v>
      </c>
      <c r="R28" s="239">
        <f t="shared" si="8"/>
        <v>0</v>
      </c>
      <c r="S28" s="239">
        <f t="shared" si="8"/>
        <v>833.93208219178086</v>
      </c>
      <c r="T28" s="239">
        <f t="shared" si="8"/>
        <v>91.271863013698635</v>
      </c>
      <c r="U28" s="239">
        <f t="shared" si="8"/>
        <v>19.614383561643841</v>
      </c>
      <c r="V28" s="239">
        <f t="shared" si="8"/>
        <v>247.47854794520552</v>
      </c>
      <c r="W28" s="239">
        <f t="shared" si="8"/>
        <v>43.806739726027402</v>
      </c>
      <c r="X28" s="239">
        <f t="shared" si="8"/>
        <v>621.80786301369858</v>
      </c>
      <c r="Y28" s="239">
        <f>+SUM(Y5:Y27)</f>
        <v>463142.20578082197</v>
      </c>
      <c r="Z28" s="319">
        <f>SUM(Z5:Z27)</f>
        <v>980.17265753424635</v>
      </c>
      <c r="AA28" s="1"/>
      <c r="AB28" s="1"/>
      <c r="AC28" s="206"/>
      <c r="AD28" s="1"/>
      <c r="AE28" s="1"/>
      <c r="AF28" s="1"/>
      <c r="AH28" s="1"/>
      <c r="AI28" s="1"/>
      <c r="AJ28" s="1"/>
      <c r="AK28" s="1"/>
      <c r="AL28" s="1"/>
      <c r="AM28" s="1"/>
      <c r="AN28" s="1"/>
      <c r="CV28" s="1"/>
      <c r="CW28" s="1"/>
      <c r="CX28" s="1"/>
      <c r="CY28" s="1"/>
      <c r="CZ28" s="1"/>
      <c r="DA28" s="1"/>
      <c r="DB28" s="1"/>
    </row>
    <row r="29" spans="2:106" ht="15.75" customHeight="1" x14ac:dyDescent="0.25">
      <c r="AA29" s="225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CV29" s="1"/>
      <c r="CW29" s="1"/>
      <c r="CX29" s="1"/>
      <c r="CY29" s="1"/>
      <c r="CZ29" s="1"/>
      <c r="DA29" s="1"/>
      <c r="DB29" s="1"/>
    </row>
    <row r="30" spans="2:106" ht="15.75" customHeight="1" x14ac:dyDescent="0.25">
      <c r="Y30" s="226"/>
      <c r="Z30" s="240"/>
      <c r="AA30" s="225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CV30" s="1"/>
      <c r="CW30" s="1"/>
      <c r="CX30" s="1"/>
      <c r="CY30" s="1"/>
      <c r="CZ30" s="1"/>
      <c r="DA30" s="1"/>
      <c r="DB30" s="1"/>
    </row>
    <row r="31" spans="2:106" ht="49.5" customHeight="1" x14ac:dyDescent="0.25">
      <c r="T31" s="239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CV31" s="1"/>
      <c r="CW31" s="1"/>
      <c r="CX31" s="1"/>
      <c r="CY31" s="1"/>
      <c r="CZ31" s="1"/>
      <c r="DA31" s="1"/>
      <c r="DB31" s="1"/>
    </row>
    <row r="32" spans="2:106" ht="15.75" customHeight="1" x14ac:dyDescent="0.25">
      <c r="N32" s="240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CV32" s="1"/>
      <c r="CW32" s="1"/>
      <c r="CX32" s="1"/>
      <c r="CY32" s="1"/>
      <c r="CZ32" s="1"/>
      <c r="DA32" s="1"/>
      <c r="DB32" s="1"/>
    </row>
    <row r="33" spans="9:106" ht="15.75" customHeight="1" x14ac:dyDescent="0.25">
      <c r="N33" s="14" t="s">
        <v>56</v>
      </c>
      <c r="O33" s="14" t="s">
        <v>56</v>
      </c>
      <c r="P33" s="14" t="s">
        <v>56</v>
      </c>
      <c r="Q33" s="14" t="s">
        <v>56</v>
      </c>
      <c r="R33" s="14" t="s">
        <v>56</v>
      </c>
      <c r="S33" s="14" t="s">
        <v>56</v>
      </c>
      <c r="T33" s="14" t="s">
        <v>56</v>
      </c>
      <c r="U33" s="14" t="s">
        <v>56</v>
      </c>
      <c r="V33" s="14" t="s">
        <v>56</v>
      </c>
      <c r="W33" s="14" t="s">
        <v>56</v>
      </c>
      <c r="X33" s="14" t="s">
        <v>56</v>
      </c>
      <c r="Y33" s="14" t="s">
        <v>56</v>
      </c>
      <c r="Z33" s="14" t="s">
        <v>56</v>
      </c>
      <c r="AA33" s="738"/>
      <c r="AB33" s="712"/>
      <c r="AC33" s="712"/>
      <c r="AD33" s="712"/>
      <c r="AE33" s="712"/>
      <c r="AF33" s="712"/>
      <c r="AG33" s="712"/>
      <c r="AH33" s="712"/>
      <c r="AI33" s="712"/>
      <c r="AJ33" s="712"/>
      <c r="AK33" s="712"/>
      <c r="AL33" s="712"/>
      <c r="AM33" s="712"/>
      <c r="AN33" s="1"/>
      <c r="CV33" s="1"/>
      <c r="CW33" s="1"/>
      <c r="CX33" s="1"/>
      <c r="CY33" s="1"/>
      <c r="CZ33" s="1"/>
      <c r="DA33" s="1"/>
      <c r="DB33" s="1"/>
    </row>
    <row r="34" spans="9:106" ht="15.75" customHeight="1" x14ac:dyDescent="0.25">
      <c r="I34" s="211" t="s">
        <v>579</v>
      </c>
      <c r="J34" s="211" t="s">
        <v>580</v>
      </c>
      <c r="K34" s="211" t="s">
        <v>581</v>
      </c>
      <c r="L34" s="212"/>
      <c r="M34" s="211" t="s">
        <v>740</v>
      </c>
      <c r="N34" s="213" t="s">
        <v>582</v>
      </c>
      <c r="O34" s="213" t="s">
        <v>583</v>
      </c>
      <c r="P34" s="213" t="s">
        <v>584</v>
      </c>
      <c r="Q34" s="211" t="s">
        <v>585</v>
      </c>
      <c r="R34" s="211" t="s">
        <v>586</v>
      </c>
      <c r="S34" s="211" t="s">
        <v>587</v>
      </c>
      <c r="T34" s="211" t="s">
        <v>588</v>
      </c>
      <c r="U34" s="211" t="s">
        <v>589</v>
      </c>
      <c r="V34" s="211" t="s">
        <v>590</v>
      </c>
      <c r="W34" s="211" t="s">
        <v>591</v>
      </c>
      <c r="X34" s="211" t="s">
        <v>592</v>
      </c>
      <c r="Y34" s="211" t="s">
        <v>593</v>
      </c>
      <c r="Z34" s="213" t="s">
        <v>594</v>
      </c>
      <c r="AA34" s="214"/>
      <c r="AB34" s="214"/>
      <c r="AC34" s="214"/>
      <c r="AD34" s="214"/>
      <c r="AE34" s="214"/>
      <c r="AF34" s="214"/>
      <c r="AG34" s="214"/>
      <c r="AH34" s="214"/>
      <c r="AI34" s="214"/>
      <c r="AJ34" s="214"/>
      <c r="AK34" s="215"/>
      <c r="AL34" s="215"/>
      <c r="AM34" s="215"/>
      <c r="AN34" s="1"/>
      <c r="CV34" s="1"/>
      <c r="CW34" s="1"/>
      <c r="CX34" s="1"/>
      <c r="CY34" s="1"/>
      <c r="CZ34" s="1"/>
      <c r="DA34" s="1"/>
      <c r="DB34" s="1"/>
    </row>
    <row r="35" spans="9:106" ht="15.75" customHeight="1" x14ac:dyDescent="0.25">
      <c r="I35" s="216" t="s">
        <v>600</v>
      </c>
      <c r="J35" s="217" t="s">
        <v>601</v>
      </c>
      <c r="K35" s="218" t="s">
        <v>314</v>
      </c>
      <c r="L35" s="219" t="s">
        <v>7</v>
      </c>
      <c r="M35" s="219" t="s">
        <v>642</v>
      </c>
      <c r="N35" s="220">
        <f t="shared" ref="N35:X50" si="9">+N5*365*$D$7/1000</f>
        <v>60.04622961587031</v>
      </c>
      <c r="O35" s="220">
        <f t="shared" si="9"/>
        <v>2.4898308957132613</v>
      </c>
      <c r="P35" s="220">
        <f t="shared" si="9"/>
        <v>57.556398720157048</v>
      </c>
      <c r="Q35" s="221">
        <f t="shared" si="9"/>
        <v>60.04621952029688</v>
      </c>
      <c r="R35" s="221">
        <f t="shared" si="9"/>
        <v>0</v>
      </c>
      <c r="S35" s="221">
        <f t="shared" si="9"/>
        <v>0</v>
      </c>
      <c r="T35" s="221">
        <f t="shared" si="9"/>
        <v>2.4069462377542221</v>
      </c>
      <c r="U35" s="221">
        <f t="shared" si="9"/>
        <v>8.2884657959038696E-2</v>
      </c>
      <c r="V35" s="221">
        <f t="shared" si="9"/>
        <v>4.8961411123406373</v>
      </c>
      <c r="W35" s="221">
        <f t="shared" si="9"/>
        <v>0</v>
      </c>
      <c r="X35" s="221">
        <f t="shared" si="9"/>
        <v>52.660257607816412</v>
      </c>
      <c r="Y35" s="221">
        <f t="shared" ref="Y35:Y57" si="10">+Y5*365*(0.001)*$D$8/1000</f>
        <v>0</v>
      </c>
      <c r="Z35" s="222">
        <f t="shared" ref="Z35:Z57" si="11">+N35-S35</f>
        <v>60.04622961587031</v>
      </c>
      <c r="AA35" s="241"/>
      <c r="AB35" s="241"/>
      <c r="AC35" s="241"/>
      <c r="AD35" s="241"/>
      <c r="AE35" s="241"/>
      <c r="AF35" s="241"/>
      <c r="AG35" s="241"/>
      <c r="AH35" s="241"/>
      <c r="AI35" s="241"/>
      <c r="AJ35" s="241"/>
      <c r="AK35" s="241"/>
      <c r="AL35" s="241"/>
      <c r="AM35" s="241"/>
      <c r="AN35" s="1"/>
      <c r="CV35" s="1"/>
      <c r="CW35" s="1"/>
      <c r="CX35" s="1"/>
      <c r="CY35" s="1"/>
      <c r="CZ35" s="1"/>
      <c r="DA35" s="1"/>
      <c r="DB35" s="1"/>
    </row>
    <row r="36" spans="9:106" ht="15.75" customHeight="1" x14ac:dyDescent="0.25">
      <c r="I36" s="216" t="s">
        <v>600</v>
      </c>
      <c r="J36" s="217" t="s">
        <v>603</v>
      </c>
      <c r="K36" s="218" t="s">
        <v>314</v>
      </c>
      <c r="L36" s="219" t="s">
        <v>7</v>
      </c>
      <c r="M36" s="219" t="s">
        <v>642</v>
      </c>
      <c r="N36" s="220">
        <f t="shared" si="9"/>
        <v>8.539502325113304</v>
      </c>
      <c r="O36" s="220">
        <f t="shared" si="9"/>
        <v>5.3052238437849987E-2</v>
      </c>
      <c r="P36" s="220">
        <f t="shared" si="9"/>
        <v>8.4864500866754558</v>
      </c>
      <c r="Q36" s="221">
        <f t="shared" si="9"/>
        <v>8.5394619428195373</v>
      </c>
      <c r="R36" s="221">
        <f t="shared" si="9"/>
        <v>0</v>
      </c>
      <c r="S36" s="221">
        <f t="shared" si="9"/>
        <v>0</v>
      </c>
      <c r="T36" s="221">
        <f t="shared" si="9"/>
        <v>4.3098003024011712E-2</v>
      </c>
      <c r="U36" s="221">
        <f t="shared" si="9"/>
        <v>9.9542354138382663E-3</v>
      </c>
      <c r="V36" s="221">
        <f t="shared" si="9"/>
        <v>0.72254019124584645</v>
      </c>
      <c r="W36" s="221">
        <f t="shared" si="9"/>
        <v>0</v>
      </c>
      <c r="X36" s="221">
        <f t="shared" si="9"/>
        <v>7.7639098954296077</v>
      </c>
      <c r="Y36" s="221">
        <f t="shared" si="10"/>
        <v>0</v>
      </c>
      <c r="Z36" s="222">
        <f t="shared" si="11"/>
        <v>8.539502325113304</v>
      </c>
      <c r="AA36" s="241"/>
      <c r="AB36" s="241"/>
      <c r="AC36" s="241"/>
      <c r="AD36" s="241"/>
      <c r="AE36" s="241"/>
      <c r="AF36" s="241"/>
      <c r="AG36" s="241"/>
      <c r="AH36" s="241"/>
      <c r="AI36" s="241"/>
      <c r="AJ36" s="241"/>
      <c r="AK36" s="241"/>
      <c r="AL36" s="241"/>
      <c r="AM36" s="241"/>
      <c r="AN36" s="1"/>
      <c r="CV36" s="1"/>
      <c r="CW36" s="1"/>
      <c r="CX36" s="1"/>
      <c r="CY36" s="1"/>
      <c r="CZ36" s="1"/>
      <c r="DA36" s="1"/>
      <c r="DB36" s="1"/>
    </row>
    <row r="37" spans="9:106" ht="15.75" customHeight="1" x14ac:dyDescent="0.25">
      <c r="I37" s="216" t="s">
        <v>605</v>
      </c>
      <c r="J37" s="217" t="s">
        <v>606</v>
      </c>
      <c r="K37" s="218" t="s">
        <v>314</v>
      </c>
      <c r="L37" s="219" t="s">
        <v>7</v>
      </c>
      <c r="M37" s="219" t="s">
        <v>642</v>
      </c>
      <c r="N37" s="220">
        <f t="shared" si="9"/>
        <v>13.106881088314344</v>
      </c>
      <c r="O37" s="220">
        <f t="shared" si="9"/>
        <v>0</v>
      </c>
      <c r="P37" s="220">
        <f t="shared" si="9"/>
        <v>11.790499076061607</v>
      </c>
      <c r="Q37" s="221">
        <f t="shared" si="9"/>
        <v>13.106881088314344</v>
      </c>
      <c r="R37" s="221">
        <f t="shared" si="9"/>
        <v>0</v>
      </c>
      <c r="S37" s="221">
        <f t="shared" si="9"/>
        <v>0</v>
      </c>
      <c r="T37" s="221">
        <f t="shared" si="9"/>
        <v>0</v>
      </c>
      <c r="U37" s="221">
        <f t="shared" si="9"/>
        <v>0</v>
      </c>
      <c r="V37" s="221">
        <f t="shared" si="9"/>
        <v>13.106881088314344</v>
      </c>
      <c r="W37" s="221">
        <f t="shared" si="9"/>
        <v>1.3163820122527377</v>
      </c>
      <c r="X37" s="221">
        <f t="shared" si="9"/>
        <v>0</v>
      </c>
      <c r="Y37" s="221">
        <f t="shared" si="10"/>
        <v>0</v>
      </c>
      <c r="Z37" s="222">
        <f t="shared" si="11"/>
        <v>13.106881088314344</v>
      </c>
      <c r="AA37" s="241"/>
      <c r="AB37" s="241"/>
      <c r="AC37" s="241"/>
      <c r="AD37" s="241"/>
      <c r="AE37" s="241"/>
      <c r="AF37" s="241"/>
      <c r="AG37" s="241"/>
      <c r="AH37" s="241"/>
      <c r="AI37" s="241"/>
      <c r="AJ37" s="241"/>
      <c r="AK37" s="241"/>
      <c r="AL37" s="241"/>
      <c r="AM37" s="241"/>
      <c r="AN37" s="1"/>
      <c r="CV37" s="1"/>
      <c r="CW37" s="1"/>
      <c r="CX37" s="1"/>
      <c r="CY37" s="1"/>
      <c r="CZ37" s="1"/>
      <c r="DA37" s="1"/>
      <c r="DB37" s="1"/>
    </row>
    <row r="38" spans="9:106" ht="15.75" customHeight="1" x14ac:dyDescent="0.25">
      <c r="I38" s="216" t="s">
        <v>605</v>
      </c>
      <c r="J38" s="217" t="s">
        <v>608</v>
      </c>
      <c r="K38" s="218">
        <v>48</v>
      </c>
      <c r="L38" s="219"/>
      <c r="M38" s="219" t="s">
        <v>292</v>
      </c>
      <c r="N38" s="220">
        <f t="shared" si="9"/>
        <v>239.32819800561739</v>
      </c>
      <c r="O38" s="220">
        <f t="shared" si="9"/>
        <v>160.99168674237271</v>
      </c>
      <c r="P38" s="220">
        <f t="shared" si="9"/>
        <v>75.291444019366878</v>
      </c>
      <c r="Q38" s="221">
        <f t="shared" si="9"/>
        <v>239.32817781447051</v>
      </c>
      <c r="R38" s="221">
        <f t="shared" si="9"/>
        <v>0</v>
      </c>
      <c r="S38" s="221">
        <f t="shared" si="9"/>
        <v>146.06287770612269</v>
      </c>
      <c r="T38" s="221">
        <f t="shared" si="9"/>
        <v>14.103990590462988</v>
      </c>
      <c r="U38" s="221">
        <f t="shared" si="9"/>
        <v>0.82481844578701846</v>
      </c>
      <c r="V38" s="221">
        <f t="shared" si="9"/>
        <v>6.0840367613967006</v>
      </c>
      <c r="W38" s="221">
        <f t="shared" si="9"/>
        <v>3.0450672438778423</v>
      </c>
      <c r="X38" s="221">
        <f t="shared" si="9"/>
        <v>72.252474501848027</v>
      </c>
      <c r="Y38" s="221">
        <f t="shared" si="10"/>
        <v>22.733323234776581</v>
      </c>
      <c r="Z38" s="222">
        <f t="shared" si="11"/>
        <v>93.265320299494704</v>
      </c>
      <c r="AA38" s="241"/>
      <c r="AB38" s="241"/>
      <c r="AC38" s="241"/>
      <c r="AD38" s="241"/>
      <c r="AE38" s="241"/>
      <c r="AF38" s="241"/>
      <c r="AG38" s="241"/>
      <c r="AH38" s="241"/>
      <c r="AI38" s="241"/>
      <c r="AJ38" s="241"/>
      <c r="AK38" s="241"/>
      <c r="AL38" s="241"/>
      <c r="AM38" s="241"/>
      <c r="AN38" s="1"/>
      <c r="CV38" s="1"/>
      <c r="CW38" s="1"/>
      <c r="CX38" s="1"/>
      <c r="CY38" s="1"/>
      <c r="CZ38" s="1"/>
      <c r="DA38" s="1"/>
      <c r="DB38" s="1"/>
    </row>
    <row r="39" spans="9:106" ht="15.75" customHeight="1" x14ac:dyDescent="0.25">
      <c r="I39" s="216" t="s">
        <v>605</v>
      </c>
      <c r="J39" s="217" t="s">
        <v>610</v>
      </c>
      <c r="K39" s="218">
        <v>52</v>
      </c>
      <c r="L39" s="219"/>
      <c r="M39" s="219" t="s">
        <v>292</v>
      </c>
      <c r="N39" s="220">
        <f t="shared" si="9"/>
        <v>102.2089585250658</v>
      </c>
      <c r="O39" s="220">
        <f t="shared" si="9"/>
        <v>30.216717619832895</v>
      </c>
      <c r="P39" s="220">
        <f t="shared" si="9"/>
        <v>60.807849771910249</v>
      </c>
      <c r="Q39" s="221">
        <f t="shared" si="9"/>
        <v>102.20910995866744</v>
      </c>
      <c r="R39" s="221">
        <f t="shared" si="9"/>
        <v>0</v>
      </c>
      <c r="S39" s="221">
        <f t="shared" si="9"/>
        <v>18.608807085043786</v>
      </c>
      <c r="T39" s="221">
        <f t="shared" si="9"/>
        <v>11.187076555858232</v>
      </c>
      <c r="U39" s="221">
        <f t="shared" si="9"/>
        <v>0.42083397893088031</v>
      </c>
      <c r="V39" s="221">
        <f t="shared" si="9"/>
        <v>11.193699252036202</v>
      </c>
      <c r="W39" s="221">
        <f t="shared" si="9"/>
        <v>11.184391133322654</v>
      </c>
      <c r="X39" s="221">
        <f t="shared" si="9"/>
        <v>60.798541653196693</v>
      </c>
      <c r="Y39" s="221">
        <f t="shared" si="10"/>
        <v>7.0712088472532377</v>
      </c>
      <c r="Z39" s="222">
        <f t="shared" si="11"/>
        <v>83.600151440022017</v>
      </c>
      <c r="AA39" s="241"/>
      <c r="AB39" s="241"/>
      <c r="AC39" s="241"/>
      <c r="AD39" s="241"/>
      <c r="AE39" s="241"/>
      <c r="AF39" s="241"/>
      <c r="AG39" s="241"/>
      <c r="AH39" s="241"/>
      <c r="AI39" s="241"/>
      <c r="AJ39" s="241"/>
      <c r="AK39" s="241"/>
      <c r="AL39" s="241"/>
      <c r="AM39" s="241"/>
      <c r="AN39" s="1"/>
      <c r="CV39" s="1"/>
      <c r="CW39" s="1"/>
      <c r="CX39" s="1"/>
      <c r="CY39" s="1"/>
      <c r="CZ39" s="1"/>
      <c r="DA39" s="1"/>
      <c r="DB39" s="1"/>
    </row>
    <row r="40" spans="9:106" ht="15.75" customHeight="1" x14ac:dyDescent="0.25">
      <c r="I40" s="216" t="s">
        <v>605</v>
      </c>
      <c r="J40" s="217" t="s">
        <v>612</v>
      </c>
      <c r="K40" s="218">
        <v>46</v>
      </c>
      <c r="L40" s="219"/>
      <c r="M40" s="219" t="s">
        <v>292</v>
      </c>
      <c r="N40" s="220">
        <f t="shared" si="9"/>
        <v>160.44027661654269</v>
      </c>
      <c r="O40" s="220">
        <f t="shared" si="9"/>
        <v>86.793482275469458</v>
      </c>
      <c r="P40" s="220">
        <f t="shared" si="9"/>
        <v>73.646794341073218</v>
      </c>
      <c r="Q40" s="221">
        <f t="shared" si="9"/>
        <v>160.44018575638168</v>
      </c>
      <c r="R40" s="221">
        <f t="shared" si="9"/>
        <v>0</v>
      </c>
      <c r="S40" s="221">
        <f t="shared" si="9"/>
        <v>82.998717747786728</v>
      </c>
      <c r="T40" s="221">
        <f t="shared" si="9"/>
        <v>3.345117782148316</v>
      </c>
      <c r="U40" s="221">
        <f t="shared" si="9"/>
        <v>0.44964674553442446</v>
      </c>
      <c r="V40" s="221">
        <f t="shared" si="9"/>
        <v>52.360166687252182</v>
      </c>
      <c r="W40" s="221">
        <f t="shared" si="9"/>
        <v>0</v>
      </c>
      <c r="X40" s="221">
        <f t="shared" si="9"/>
        <v>21.286627653821029</v>
      </c>
      <c r="Y40" s="221">
        <f t="shared" si="10"/>
        <v>60.007782289723188</v>
      </c>
      <c r="Z40" s="222">
        <f t="shared" si="11"/>
        <v>77.441558868755962</v>
      </c>
      <c r="AA40" s="241"/>
      <c r="AB40" s="241"/>
      <c r="AC40" s="241"/>
      <c r="AD40" s="241"/>
      <c r="AE40" s="241"/>
      <c r="AF40" s="241"/>
      <c r="AG40" s="241"/>
      <c r="AH40" s="241"/>
      <c r="AI40" s="241"/>
      <c r="AJ40" s="241"/>
      <c r="AK40" s="241"/>
      <c r="AL40" s="241"/>
      <c r="AM40" s="241"/>
      <c r="AN40" s="1"/>
      <c r="CV40" s="1"/>
      <c r="CW40" s="1"/>
      <c r="CX40" s="1"/>
      <c r="CY40" s="1"/>
      <c r="CZ40" s="1"/>
      <c r="DA40" s="1"/>
      <c r="DB40" s="1"/>
    </row>
    <row r="41" spans="9:106" ht="15.75" customHeight="1" x14ac:dyDescent="0.25">
      <c r="I41" s="216" t="s">
        <v>605</v>
      </c>
      <c r="J41" s="217" t="s">
        <v>614</v>
      </c>
      <c r="K41" s="218">
        <f>44+((47-44)/2)</f>
        <v>45.5</v>
      </c>
      <c r="L41" s="219"/>
      <c r="M41" s="219" t="s">
        <v>292</v>
      </c>
      <c r="N41" s="220">
        <f t="shared" si="9"/>
        <v>61.393403127121232</v>
      </c>
      <c r="O41" s="220">
        <f t="shared" si="9"/>
        <v>61.393403127121232</v>
      </c>
      <c r="P41" s="220">
        <f t="shared" si="9"/>
        <v>0</v>
      </c>
      <c r="Q41" s="221">
        <f t="shared" si="9"/>
        <v>61.3933728404009</v>
      </c>
      <c r="R41" s="221">
        <f t="shared" si="9"/>
        <v>0</v>
      </c>
      <c r="S41" s="221">
        <f t="shared" si="9"/>
        <v>59.623921683216899</v>
      </c>
      <c r="T41" s="221">
        <f t="shared" si="9"/>
        <v>0.2018105131061125</v>
      </c>
      <c r="U41" s="221">
        <f t="shared" si="9"/>
        <v>1.5676709307982222</v>
      </c>
      <c r="V41" s="221">
        <f t="shared" si="9"/>
        <v>0</v>
      </c>
      <c r="W41" s="221">
        <f t="shared" si="9"/>
        <v>0</v>
      </c>
      <c r="X41" s="221">
        <f t="shared" si="9"/>
        <v>0</v>
      </c>
      <c r="Y41" s="221">
        <f t="shared" si="10"/>
        <v>17.796808939248596</v>
      </c>
      <c r="Z41" s="222">
        <f t="shared" si="11"/>
        <v>1.7694814439043327</v>
      </c>
      <c r="AA41" s="241"/>
      <c r="AB41" s="241"/>
      <c r="AC41" s="241"/>
      <c r="AD41" s="241"/>
      <c r="AE41" s="241"/>
      <c r="AF41" s="241"/>
      <c r="AG41" s="241"/>
      <c r="AH41" s="241"/>
      <c r="AI41" s="241"/>
      <c r="AJ41" s="241"/>
      <c r="AK41" s="241"/>
      <c r="AL41" s="241"/>
      <c r="AM41" s="241"/>
      <c r="AN41" s="1"/>
      <c r="CV41" s="1"/>
      <c r="CW41" s="1"/>
      <c r="CX41" s="1"/>
      <c r="CY41" s="1"/>
      <c r="CZ41" s="1"/>
      <c r="DA41" s="1"/>
      <c r="DB41" s="1"/>
    </row>
    <row r="42" spans="9:106" ht="15.75" customHeight="1" x14ac:dyDescent="0.25">
      <c r="I42" s="216" t="s">
        <v>605</v>
      </c>
      <c r="J42" s="217" t="s">
        <v>616</v>
      </c>
      <c r="K42" s="218">
        <f>11.3+(14.4-11.3)/2</f>
        <v>12.850000000000001</v>
      </c>
      <c r="L42" s="219"/>
      <c r="M42" s="219" t="s">
        <v>296</v>
      </c>
      <c r="N42" s="220">
        <f t="shared" si="9"/>
        <v>0</v>
      </c>
      <c r="O42" s="220">
        <f t="shared" si="9"/>
        <v>0</v>
      </c>
      <c r="P42" s="220">
        <f t="shared" si="9"/>
        <v>0</v>
      </c>
      <c r="Q42" s="221">
        <f t="shared" si="9"/>
        <v>0</v>
      </c>
      <c r="R42" s="221">
        <f t="shared" si="9"/>
        <v>0</v>
      </c>
      <c r="S42" s="221">
        <f t="shared" si="9"/>
        <v>0</v>
      </c>
      <c r="T42" s="221">
        <f t="shared" si="9"/>
        <v>0</v>
      </c>
      <c r="U42" s="221">
        <f t="shared" si="9"/>
        <v>0</v>
      </c>
      <c r="V42" s="221">
        <f t="shared" si="9"/>
        <v>0</v>
      </c>
      <c r="W42" s="221">
        <f t="shared" si="9"/>
        <v>0</v>
      </c>
      <c r="X42" s="221">
        <f t="shared" si="9"/>
        <v>0</v>
      </c>
      <c r="Y42" s="221">
        <f t="shared" si="10"/>
        <v>265.08224689210181</v>
      </c>
      <c r="Z42" s="222">
        <f t="shared" si="11"/>
        <v>0</v>
      </c>
      <c r="AA42" s="241"/>
      <c r="AB42" s="241"/>
      <c r="AC42" s="241"/>
      <c r="AD42" s="241"/>
      <c r="AE42" s="241"/>
      <c r="AF42" s="241"/>
      <c r="AG42" s="241"/>
      <c r="AH42" s="241"/>
      <c r="AI42" s="241"/>
      <c r="AJ42" s="241"/>
      <c r="AK42" s="241"/>
      <c r="AL42" s="241"/>
      <c r="AM42" s="241"/>
      <c r="AN42" s="1"/>
      <c r="CV42" s="1"/>
      <c r="CW42" s="1"/>
      <c r="CX42" s="1"/>
      <c r="CY42" s="1"/>
      <c r="CZ42" s="1"/>
      <c r="DA42" s="1"/>
      <c r="DB42" s="1"/>
    </row>
    <row r="43" spans="9:106" ht="15.75" customHeight="1" x14ac:dyDescent="0.25">
      <c r="I43" s="216" t="s">
        <v>605</v>
      </c>
      <c r="J43" s="217" t="s">
        <v>617</v>
      </c>
      <c r="K43" s="218">
        <v>13.7</v>
      </c>
      <c r="L43" s="219"/>
      <c r="M43" s="219" t="s">
        <v>296</v>
      </c>
      <c r="N43" s="220">
        <f t="shared" si="9"/>
        <v>0</v>
      </c>
      <c r="O43" s="220">
        <f t="shared" si="9"/>
        <v>0</v>
      </c>
      <c r="P43" s="220">
        <f t="shared" si="9"/>
        <v>0</v>
      </c>
      <c r="Q43" s="221">
        <f t="shared" si="9"/>
        <v>0</v>
      </c>
      <c r="R43" s="221">
        <f t="shared" si="9"/>
        <v>0</v>
      </c>
      <c r="S43" s="221">
        <f t="shared" si="9"/>
        <v>0</v>
      </c>
      <c r="T43" s="221">
        <f t="shared" si="9"/>
        <v>0</v>
      </c>
      <c r="U43" s="221">
        <f t="shared" si="9"/>
        <v>0</v>
      </c>
      <c r="V43" s="221">
        <f t="shared" si="9"/>
        <v>0</v>
      </c>
      <c r="W43" s="221">
        <f t="shared" si="9"/>
        <v>0</v>
      </c>
      <c r="X43" s="221">
        <f t="shared" si="9"/>
        <v>0</v>
      </c>
      <c r="Y43" s="221">
        <f t="shared" si="10"/>
        <v>253.41187670697005</v>
      </c>
      <c r="Z43" s="222">
        <f t="shared" si="11"/>
        <v>0</v>
      </c>
      <c r="AA43" s="241"/>
      <c r="AB43" s="241"/>
      <c r="AC43" s="241"/>
      <c r="AD43" s="241"/>
      <c r="AE43" s="241"/>
      <c r="AF43" s="241"/>
      <c r="AG43" s="241"/>
      <c r="AH43" s="241"/>
      <c r="AI43" s="241"/>
      <c r="AJ43" s="241"/>
      <c r="AK43" s="241"/>
      <c r="AL43" s="241"/>
      <c r="AM43" s="241"/>
      <c r="AN43" s="1"/>
      <c r="CV43" s="1"/>
      <c r="CW43" s="1"/>
      <c r="CX43" s="1"/>
      <c r="CY43" s="1"/>
      <c r="CZ43" s="1"/>
      <c r="DA43" s="1"/>
      <c r="DB43" s="1"/>
    </row>
    <row r="44" spans="9:106" ht="15.75" customHeight="1" x14ac:dyDescent="0.25">
      <c r="I44" s="216" t="s">
        <v>605</v>
      </c>
      <c r="J44" s="217" t="s">
        <v>619</v>
      </c>
      <c r="K44" s="218">
        <f>7+(20-7)/2</f>
        <v>13.5</v>
      </c>
      <c r="L44" s="219"/>
      <c r="M44" s="219" t="s">
        <v>296</v>
      </c>
      <c r="N44" s="220">
        <f t="shared" si="9"/>
        <v>1.3978936722236606</v>
      </c>
      <c r="O44" s="220">
        <f t="shared" si="9"/>
        <v>1.3978936722236606</v>
      </c>
      <c r="P44" s="220">
        <f t="shared" si="9"/>
        <v>0</v>
      </c>
      <c r="Q44" s="221">
        <f t="shared" si="9"/>
        <v>1.3978835766502182</v>
      </c>
      <c r="R44" s="221">
        <f t="shared" si="9"/>
        <v>0</v>
      </c>
      <c r="S44" s="221">
        <f t="shared" si="9"/>
        <v>0</v>
      </c>
      <c r="T44" s="221">
        <f t="shared" si="9"/>
        <v>0.32109980889709927</v>
      </c>
      <c r="U44" s="221">
        <f t="shared" si="9"/>
        <v>1.0767938633265612</v>
      </c>
      <c r="V44" s="221">
        <f t="shared" si="9"/>
        <v>0</v>
      </c>
      <c r="W44" s="221">
        <f t="shared" si="9"/>
        <v>0</v>
      </c>
      <c r="X44" s="221">
        <f t="shared" si="9"/>
        <v>0</v>
      </c>
      <c r="Y44" s="221">
        <f t="shared" si="10"/>
        <v>153.50718826671843</v>
      </c>
      <c r="Z44" s="222">
        <f t="shared" si="11"/>
        <v>1.3978936722236606</v>
      </c>
      <c r="AA44" s="241"/>
      <c r="AB44" s="241"/>
      <c r="AC44" s="241"/>
      <c r="AD44" s="241"/>
      <c r="AE44" s="241"/>
      <c r="AF44" s="241"/>
      <c r="AG44" s="241"/>
      <c r="AH44" s="241"/>
      <c r="AI44" s="241"/>
      <c r="AJ44" s="241"/>
      <c r="AK44" s="241"/>
      <c r="AL44" s="241"/>
      <c r="AM44" s="241"/>
      <c r="AN44" s="1"/>
      <c r="CV44" s="1"/>
      <c r="CW44" s="1"/>
      <c r="CX44" s="1"/>
      <c r="CY44" s="1"/>
      <c r="CZ44" s="1"/>
      <c r="DA44" s="1"/>
      <c r="DB44" s="1"/>
    </row>
    <row r="45" spans="9:106" ht="15.75" customHeight="1" x14ac:dyDescent="0.25">
      <c r="I45" s="216" t="s">
        <v>605</v>
      </c>
      <c r="J45" s="217" t="s">
        <v>621</v>
      </c>
      <c r="K45" s="218">
        <v>8</v>
      </c>
      <c r="L45" s="219"/>
      <c r="M45" s="219" t="s">
        <v>296</v>
      </c>
      <c r="N45" s="220">
        <f t="shared" si="9"/>
        <v>0.21448045777585595</v>
      </c>
      <c r="O45" s="220">
        <f t="shared" si="9"/>
        <v>0.21448045777585595</v>
      </c>
      <c r="P45" s="220">
        <f t="shared" si="9"/>
        <v>0</v>
      </c>
      <c r="Q45" s="221">
        <f t="shared" si="9"/>
        <v>0.21448045777585595</v>
      </c>
      <c r="R45" s="221">
        <f t="shared" si="9"/>
        <v>0</v>
      </c>
      <c r="S45" s="221">
        <f t="shared" si="9"/>
        <v>0</v>
      </c>
      <c r="T45" s="221">
        <f t="shared" si="9"/>
        <v>0</v>
      </c>
      <c r="U45" s="221">
        <f t="shared" si="9"/>
        <v>0.21448045777585595</v>
      </c>
      <c r="V45" s="221">
        <f t="shared" si="9"/>
        <v>0</v>
      </c>
      <c r="W45" s="221">
        <f t="shared" si="9"/>
        <v>0</v>
      </c>
      <c r="X45" s="221">
        <f t="shared" si="9"/>
        <v>0</v>
      </c>
      <c r="Y45" s="221">
        <f t="shared" si="10"/>
        <v>43.895597705669182</v>
      </c>
      <c r="Z45" s="222">
        <f t="shared" si="11"/>
        <v>0.21448045777585595</v>
      </c>
      <c r="AA45" s="241"/>
      <c r="AB45" s="241"/>
      <c r="AC45" s="241"/>
      <c r="AD45" s="241"/>
      <c r="AE45" s="241"/>
      <c r="AF45" s="241"/>
      <c r="AG45" s="241"/>
      <c r="AH45" s="241"/>
      <c r="AI45" s="241"/>
      <c r="AJ45" s="241"/>
      <c r="AK45" s="241"/>
      <c r="AL45" s="241"/>
      <c r="AM45" s="241"/>
      <c r="AN45" s="1"/>
      <c r="CV45" s="1"/>
      <c r="CW45" s="1"/>
      <c r="CX45" s="1"/>
      <c r="CY45" s="1"/>
      <c r="CZ45" s="1"/>
      <c r="DA45" s="1"/>
      <c r="DB45" s="1"/>
    </row>
    <row r="46" spans="9:106" ht="15.75" customHeight="1" x14ac:dyDescent="0.25">
      <c r="I46" s="216" t="s">
        <v>605</v>
      </c>
      <c r="J46" s="217" t="s">
        <v>623</v>
      </c>
      <c r="K46" s="218">
        <v>13.5</v>
      </c>
      <c r="L46" s="219"/>
      <c r="M46" s="219" t="s">
        <v>296</v>
      </c>
      <c r="N46" s="220">
        <f t="shared" si="9"/>
        <v>0.43874352621703561</v>
      </c>
      <c r="O46" s="220">
        <f t="shared" si="9"/>
        <v>5.7140945681870784E-3</v>
      </c>
      <c r="P46" s="220">
        <f t="shared" si="9"/>
        <v>0.23786180586758957</v>
      </c>
      <c r="Q46" s="221">
        <f t="shared" si="9"/>
        <v>0.4388141952311298</v>
      </c>
      <c r="R46" s="221">
        <f t="shared" si="9"/>
        <v>0</v>
      </c>
      <c r="S46" s="221">
        <f t="shared" si="9"/>
        <v>0</v>
      </c>
      <c r="T46" s="221">
        <f t="shared" si="9"/>
        <v>5.7140945681870784E-3</v>
      </c>
      <c r="U46" s="221">
        <f t="shared" si="9"/>
        <v>0</v>
      </c>
      <c r="V46" s="221">
        <f t="shared" si="9"/>
        <v>0.4330294316488485</v>
      </c>
      <c r="W46" s="221">
        <f t="shared" si="9"/>
        <v>0.19516762578125896</v>
      </c>
      <c r="X46" s="221">
        <f t="shared" si="9"/>
        <v>0</v>
      </c>
      <c r="Y46" s="221">
        <f t="shared" si="10"/>
        <v>8.7564836170076354</v>
      </c>
      <c r="Z46" s="222">
        <f t="shared" si="11"/>
        <v>0.43874352621703561</v>
      </c>
      <c r="AA46" s="241"/>
      <c r="AB46" s="241"/>
      <c r="AC46" s="241"/>
      <c r="AD46" s="241"/>
      <c r="AE46" s="241"/>
      <c r="AF46" s="241"/>
      <c r="AG46" s="241"/>
      <c r="AH46" s="241"/>
      <c r="AI46" s="241"/>
      <c r="AJ46" s="241"/>
      <c r="AK46" s="241"/>
      <c r="AL46" s="241"/>
      <c r="AM46" s="241"/>
      <c r="AN46" s="1"/>
      <c r="CV46" s="1"/>
      <c r="CW46" s="1"/>
      <c r="CX46" s="1"/>
      <c r="CY46" s="1"/>
      <c r="CZ46" s="1"/>
      <c r="DA46" s="1"/>
      <c r="DB46" s="1"/>
    </row>
    <row r="47" spans="9:106" ht="15.75" customHeight="1" x14ac:dyDescent="0.25">
      <c r="I47" s="216" t="s">
        <v>624</v>
      </c>
      <c r="J47" s="217" t="s">
        <v>625</v>
      </c>
      <c r="K47" s="218">
        <v>35</v>
      </c>
      <c r="L47" s="219"/>
      <c r="M47" s="219" t="s">
        <v>292</v>
      </c>
      <c r="N47" s="220">
        <f t="shared" si="9"/>
        <v>1.2759391450439788</v>
      </c>
      <c r="O47" s="220">
        <f t="shared" si="9"/>
        <v>1.2759391450439788</v>
      </c>
      <c r="P47" s="220">
        <f t="shared" si="9"/>
        <v>0</v>
      </c>
      <c r="Q47" s="221">
        <f t="shared" si="9"/>
        <v>1.2759391450439788</v>
      </c>
      <c r="R47" s="221">
        <f t="shared" si="9"/>
        <v>0</v>
      </c>
      <c r="S47" s="221">
        <f t="shared" si="9"/>
        <v>0</v>
      </c>
      <c r="T47" s="221">
        <f t="shared" si="9"/>
        <v>0</v>
      </c>
      <c r="U47" s="221">
        <f t="shared" si="9"/>
        <v>1.2759391450439788</v>
      </c>
      <c r="V47" s="221">
        <f t="shared" si="9"/>
        <v>0</v>
      </c>
      <c r="W47" s="221">
        <f t="shared" si="9"/>
        <v>0</v>
      </c>
      <c r="X47" s="221">
        <f t="shared" si="9"/>
        <v>0</v>
      </c>
      <c r="Y47" s="221">
        <f t="shared" si="10"/>
        <v>4.3593517548323124</v>
      </c>
      <c r="Z47" s="222">
        <f t="shared" si="11"/>
        <v>1.2759391450439788</v>
      </c>
      <c r="AA47" s="241"/>
      <c r="AB47" s="241"/>
      <c r="AC47" s="241"/>
      <c r="AD47" s="241"/>
      <c r="AE47" s="241"/>
      <c r="AF47" s="241"/>
      <c r="AG47" s="241"/>
      <c r="AH47" s="241"/>
      <c r="AI47" s="241"/>
      <c r="AJ47" s="241"/>
      <c r="AK47" s="241"/>
      <c r="AL47" s="241"/>
      <c r="AM47" s="241"/>
      <c r="AN47" s="1"/>
      <c r="CV47" s="1"/>
      <c r="CW47" s="1"/>
      <c r="CX47" s="1"/>
      <c r="CY47" s="1"/>
      <c r="CZ47" s="1"/>
      <c r="DA47" s="1"/>
      <c r="DB47" s="1"/>
    </row>
    <row r="48" spans="9:106" ht="15.75" customHeight="1" x14ac:dyDescent="0.25">
      <c r="I48" s="216" t="s">
        <v>627</v>
      </c>
      <c r="J48" s="217" t="s">
        <v>628</v>
      </c>
      <c r="K48" s="218">
        <v>21</v>
      </c>
      <c r="L48" s="219"/>
      <c r="M48" s="219" t="s">
        <v>295</v>
      </c>
      <c r="N48" s="220">
        <f t="shared" si="9"/>
        <v>0.43827912983870243</v>
      </c>
      <c r="O48" s="220">
        <f t="shared" si="9"/>
        <v>0.43827912983870243</v>
      </c>
      <c r="P48" s="220">
        <f t="shared" si="9"/>
        <v>0</v>
      </c>
      <c r="Q48" s="221">
        <f t="shared" si="9"/>
        <v>0.43830941655902855</v>
      </c>
      <c r="R48" s="221">
        <f t="shared" si="9"/>
        <v>0</v>
      </c>
      <c r="S48" s="221">
        <f t="shared" si="9"/>
        <v>0</v>
      </c>
      <c r="T48" s="221">
        <f t="shared" si="9"/>
        <v>0.35206293264379496</v>
      </c>
      <c r="U48" s="221">
        <f t="shared" si="9"/>
        <v>8.621619719490746E-2</v>
      </c>
      <c r="V48" s="221">
        <f t="shared" si="9"/>
        <v>0</v>
      </c>
      <c r="W48" s="221">
        <f t="shared" si="9"/>
        <v>0</v>
      </c>
      <c r="X48" s="221">
        <f t="shared" si="9"/>
        <v>0</v>
      </c>
      <c r="Y48" s="221">
        <f t="shared" si="10"/>
        <v>26.927100382560717</v>
      </c>
      <c r="Z48" s="222">
        <f t="shared" si="11"/>
        <v>0.43827912983870243</v>
      </c>
      <c r="AA48" s="241"/>
      <c r="AB48" s="241"/>
      <c r="AC48" s="241"/>
      <c r="AD48" s="241"/>
      <c r="AE48" s="241"/>
      <c r="AF48" s="241"/>
      <c r="AG48" s="241"/>
      <c r="AH48" s="241"/>
      <c r="AI48" s="241"/>
      <c r="AJ48" s="241"/>
      <c r="AK48" s="241"/>
      <c r="AL48" s="241"/>
      <c r="AM48" s="241"/>
      <c r="AN48" s="1"/>
      <c r="CV48" s="1"/>
      <c r="CW48" s="1"/>
      <c r="CX48" s="1"/>
      <c r="CY48" s="1"/>
      <c r="CZ48" s="1"/>
      <c r="DA48" s="1"/>
      <c r="DB48" s="1"/>
    </row>
    <row r="49" spans="1:121" ht="15.75" customHeight="1" x14ac:dyDescent="0.25">
      <c r="I49" s="216" t="s">
        <v>627</v>
      </c>
      <c r="J49" s="217" t="s">
        <v>629</v>
      </c>
      <c r="K49" s="218">
        <v>12.5</v>
      </c>
      <c r="L49" s="219"/>
      <c r="M49" s="219" t="s">
        <v>296</v>
      </c>
      <c r="N49" s="220">
        <f t="shared" si="9"/>
        <v>8.7791106651863626E-2</v>
      </c>
      <c r="O49" s="220">
        <f t="shared" si="9"/>
        <v>8.7791106651863626E-2</v>
      </c>
      <c r="P49" s="220">
        <f t="shared" si="9"/>
        <v>0</v>
      </c>
      <c r="Q49" s="221">
        <f t="shared" si="9"/>
        <v>8.7801202225305658E-2</v>
      </c>
      <c r="R49" s="221">
        <f t="shared" si="9"/>
        <v>0</v>
      </c>
      <c r="S49" s="221">
        <f t="shared" si="9"/>
        <v>0</v>
      </c>
      <c r="T49" s="221">
        <f t="shared" si="9"/>
        <v>3.6990181091585597E-2</v>
      </c>
      <c r="U49" s="221">
        <f t="shared" si="9"/>
        <v>5.0800925560278022E-2</v>
      </c>
      <c r="V49" s="221">
        <f t="shared" si="9"/>
        <v>0</v>
      </c>
      <c r="W49" s="221">
        <f t="shared" si="9"/>
        <v>0</v>
      </c>
      <c r="X49" s="221">
        <f t="shared" si="9"/>
        <v>0</v>
      </c>
      <c r="Y49" s="221">
        <f t="shared" si="10"/>
        <v>3.2805677744000978</v>
      </c>
      <c r="Z49" s="222">
        <f t="shared" si="11"/>
        <v>8.7791106651863626E-2</v>
      </c>
      <c r="AA49" s="241"/>
      <c r="AB49" s="241"/>
      <c r="AC49" s="241"/>
      <c r="AD49" s="241"/>
      <c r="AE49" s="241"/>
      <c r="AF49" s="241"/>
      <c r="AG49" s="241"/>
      <c r="AH49" s="241"/>
      <c r="AI49" s="241"/>
      <c r="AJ49" s="241"/>
      <c r="AK49" s="241"/>
      <c r="AL49" s="241"/>
      <c r="AM49" s="241"/>
      <c r="AN49" s="1"/>
      <c r="CV49" s="1"/>
      <c r="CW49" s="1"/>
      <c r="CX49" s="1"/>
      <c r="CY49" s="1"/>
      <c r="CZ49" s="1"/>
      <c r="DA49" s="1"/>
      <c r="DB49" s="1"/>
    </row>
    <row r="50" spans="1:121" ht="15.75" customHeight="1" x14ac:dyDescent="0.25">
      <c r="I50" s="216" t="s">
        <v>627</v>
      </c>
      <c r="J50" s="217" t="s">
        <v>632</v>
      </c>
      <c r="K50" s="218">
        <v>21</v>
      </c>
      <c r="L50" s="219"/>
      <c r="M50" s="219" t="s">
        <v>295</v>
      </c>
      <c r="N50" s="220">
        <f t="shared" si="9"/>
        <v>1.8634611370761611</v>
      </c>
      <c r="O50" s="220">
        <f t="shared" si="9"/>
        <v>0.96320856653031961</v>
      </c>
      <c r="P50" s="220">
        <f t="shared" si="9"/>
        <v>0.90025257054584151</v>
      </c>
      <c r="Q50" s="221">
        <f t="shared" si="9"/>
        <v>1.8635217105168129</v>
      </c>
      <c r="R50" s="221">
        <f t="shared" si="9"/>
        <v>0</v>
      </c>
      <c r="S50" s="221">
        <f t="shared" si="9"/>
        <v>0</v>
      </c>
      <c r="T50" s="221">
        <f t="shared" si="9"/>
        <v>0.8853716952922942</v>
      </c>
      <c r="U50" s="221">
        <f t="shared" si="9"/>
        <v>7.7836871238025379E-2</v>
      </c>
      <c r="V50" s="221">
        <f t="shared" si="9"/>
        <v>0</v>
      </c>
      <c r="W50" s="221">
        <f t="shared" si="9"/>
        <v>0</v>
      </c>
      <c r="X50" s="221">
        <f t="shared" si="9"/>
        <v>0.90025257054584151</v>
      </c>
      <c r="Y50" s="221">
        <f t="shared" si="10"/>
        <v>39.659458817161386</v>
      </c>
      <c r="Z50" s="222">
        <f t="shared" si="11"/>
        <v>1.8634611370761611</v>
      </c>
      <c r="AA50" s="241"/>
      <c r="AB50" s="241"/>
      <c r="AC50" s="241"/>
      <c r="AD50" s="241"/>
      <c r="AE50" s="241"/>
      <c r="AF50" s="241"/>
      <c r="AG50" s="241"/>
      <c r="AH50" s="241"/>
      <c r="AI50" s="241"/>
      <c r="AJ50" s="241"/>
      <c r="AK50" s="241"/>
      <c r="AL50" s="241"/>
      <c r="AM50" s="241"/>
      <c r="AN50" s="1"/>
      <c r="CV50" s="1"/>
      <c r="CW50" s="1"/>
      <c r="CX50" s="1"/>
      <c r="CY50" s="1"/>
      <c r="CZ50" s="1"/>
      <c r="DA50" s="1"/>
      <c r="DB50" s="1"/>
    </row>
    <row r="51" spans="1:121" ht="15.75" customHeight="1" x14ac:dyDescent="0.25">
      <c r="I51" s="216" t="s">
        <v>627</v>
      </c>
      <c r="J51" s="217" t="s">
        <v>634</v>
      </c>
      <c r="K51" s="218">
        <f>20+(25-20)/2</f>
        <v>22.5</v>
      </c>
      <c r="L51" s="219"/>
      <c r="M51" s="219" t="s">
        <v>295</v>
      </c>
      <c r="N51" s="220">
        <f t="shared" ref="N51:X57" si="12">+N21*365*$D$7/1000</f>
        <v>2.497140090885289</v>
      </c>
      <c r="O51" s="220">
        <f t="shared" si="12"/>
        <v>1.1205177919039784</v>
      </c>
      <c r="P51" s="220">
        <f t="shared" si="12"/>
        <v>1.3766222989813104</v>
      </c>
      <c r="Q51" s="221">
        <f t="shared" si="12"/>
        <v>2.497140090885289</v>
      </c>
      <c r="R51" s="221">
        <f t="shared" si="12"/>
        <v>0</v>
      </c>
      <c r="S51" s="221">
        <f t="shared" si="12"/>
        <v>0</v>
      </c>
      <c r="T51" s="221">
        <f t="shared" si="12"/>
        <v>0.51468242964795996</v>
      </c>
      <c r="U51" s="221">
        <f t="shared" si="12"/>
        <v>0.60583536225601842</v>
      </c>
      <c r="V51" s="221">
        <f t="shared" si="12"/>
        <v>1.3766222989813104</v>
      </c>
      <c r="W51" s="221">
        <f t="shared" si="12"/>
        <v>0</v>
      </c>
      <c r="X51" s="221">
        <f t="shared" si="12"/>
        <v>0</v>
      </c>
      <c r="Y51" s="221">
        <f t="shared" si="10"/>
        <v>94.059349180277351</v>
      </c>
      <c r="Z51" s="222">
        <f t="shared" si="11"/>
        <v>2.497140090885289</v>
      </c>
      <c r="AA51" s="241"/>
      <c r="AB51" s="241"/>
      <c r="AC51" s="241"/>
      <c r="AD51" s="241"/>
      <c r="AE51" s="241"/>
      <c r="AF51" s="241"/>
      <c r="AG51" s="241"/>
      <c r="AH51" s="241"/>
      <c r="AI51" s="241"/>
      <c r="AJ51" s="241"/>
      <c r="AK51" s="241"/>
      <c r="AL51" s="241"/>
      <c r="AM51" s="241"/>
      <c r="AN51" s="1"/>
      <c r="CV51" s="1"/>
      <c r="CW51" s="1"/>
      <c r="CX51" s="1"/>
      <c r="CY51" s="1"/>
      <c r="CZ51" s="1"/>
      <c r="DA51" s="1"/>
      <c r="DB51" s="1"/>
    </row>
    <row r="52" spans="1:121" ht="15.75" customHeight="1" x14ac:dyDescent="0.25">
      <c r="I52" s="216" t="s">
        <v>636</v>
      </c>
      <c r="J52" s="217" t="s">
        <v>637</v>
      </c>
      <c r="K52" s="218">
        <v>23</v>
      </c>
      <c r="L52" s="219"/>
      <c r="M52" s="219" t="s">
        <v>295</v>
      </c>
      <c r="N52" s="220">
        <f t="shared" si="12"/>
        <v>0.71025387836690013</v>
      </c>
      <c r="O52" s="220">
        <f t="shared" si="12"/>
        <v>0.12213624750163826</v>
      </c>
      <c r="P52" s="220">
        <f t="shared" si="12"/>
        <v>0.38201649904628793</v>
      </c>
      <c r="Q52" s="221">
        <f t="shared" si="12"/>
        <v>0.71027406951378402</v>
      </c>
      <c r="R52" s="221">
        <f t="shared" si="12"/>
        <v>0</v>
      </c>
      <c r="S52" s="221">
        <f t="shared" si="12"/>
        <v>0</v>
      </c>
      <c r="T52" s="221">
        <f t="shared" si="12"/>
        <v>3.8100694170208539E-2</v>
      </c>
      <c r="U52" s="221">
        <f t="shared" si="12"/>
        <v>8.403555333142973E-2</v>
      </c>
      <c r="V52" s="221">
        <f t="shared" si="12"/>
        <v>0.58683549303812432</v>
      </c>
      <c r="W52" s="221">
        <f t="shared" si="12"/>
        <v>0.2061011318189738</v>
      </c>
      <c r="X52" s="221">
        <f t="shared" si="12"/>
        <v>1.2821378271373829E-3</v>
      </c>
      <c r="Y52" s="221">
        <f t="shared" si="10"/>
        <v>10.408512554584734</v>
      </c>
      <c r="Z52" s="222">
        <f t="shared" si="11"/>
        <v>0.71025387836690013</v>
      </c>
      <c r="AA52" s="241"/>
      <c r="AB52" s="241"/>
      <c r="AC52" s="241"/>
      <c r="AD52" s="241"/>
      <c r="AE52" s="241"/>
      <c r="AF52" s="241"/>
      <c r="AG52" s="241"/>
      <c r="AH52" s="241"/>
      <c r="AI52" s="241"/>
      <c r="AJ52" s="241"/>
      <c r="AK52" s="241"/>
      <c r="AL52" s="241"/>
      <c r="AM52" s="241"/>
      <c r="AN52" s="1"/>
      <c r="CV52" s="1"/>
      <c r="CW52" s="1"/>
      <c r="CX52" s="1"/>
      <c r="CY52" s="1"/>
      <c r="CZ52" s="1"/>
      <c r="DA52" s="1"/>
      <c r="DB52" s="1"/>
    </row>
    <row r="53" spans="1:121" ht="15.75" customHeight="1" x14ac:dyDescent="0.25">
      <c r="I53" s="216" t="s">
        <v>636</v>
      </c>
      <c r="J53" s="217" t="s">
        <v>638</v>
      </c>
      <c r="K53" s="218">
        <v>25.5</v>
      </c>
      <c r="L53" s="219"/>
      <c r="M53" s="219" t="s">
        <v>295</v>
      </c>
      <c r="N53" s="220">
        <f t="shared" si="12"/>
        <v>0.31949461271981699</v>
      </c>
      <c r="O53" s="220">
        <f t="shared" si="12"/>
        <v>0.31949461271981699</v>
      </c>
      <c r="P53" s="220">
        <f t="shared" si="12"/>
        <v>0</v>
      </c>
      <c r="Q53" s="221">
        <f t="shared" si="12"/>
        <v>0.31951480386670106</v>
      </c>
      <c r="R53" s="221">
        <f t="shared" si="12"/>
        <v>0</v>
      </c>
      <c r="S53" s="221">
        <f t="shared" si="12"/>
        <v>0</v>
      </c>
      <c r="T53" s="221">
        <f t="shared" si="12"/>
        <v>0.16765718815173636</v>
      </c>
      <c r="U53" s="221">
        <f t="shared" si="12"/>
        <v>0.15183742456808058</v>
      </c>
      <c r="V53" s="221">
        <f t="shared" si="12"/>
        <v>0</v>
      </c>
      <c r="W53" s="221">
        <f t="shared" si="12"/>
        <v>0</v>
      </c>
      <c r="X53" s="221">
        <f t="shared" si="12"/>
        <v>0</v>
      </c>
      <c r="Y53" s="221">
        <f t="shared" si="10"/>
        <v>9.2296903712167389</v>
      </c>
      <c r="Z53" s="222">
        <f t="shared" si="11"/>
        <v>0.31949461271981699</v>
      </c>
      <c r="AA53" s="241"/>
      <c r="AB53" s="241"/>
      <c r="AC53" s="241"/>
      <c r="AD53" s="241"/>
      <c r="AE53" s="241"/>
      <c r="AF53" s="241"/>
      <c r="AG53" s="241"/>
      <c r="AH53" s="241"/>
      <c r="AI53" s="241"/>
      <c r="AJ53" s="241"/>
      <c r="AK53" s="241"/>
      <c r="AL53" s="241"/>
      <c r="AM53" s="241"/>
      <c r="AN53" s="1"/>
      <c r="CV53" s="1"/>
      <c r="CW53" s="1"/>
      <c r="CX53" s="1"/>
      <c r="CY53" s="1"/>
      <c r="CZ53" s="1"/>
      <c r="DA53" s="1"/>
      <c r="DB53" s="1"/>
    </row>
    <row r="54" spans="1:121" ht="15.75" customHeight="1" x14ac:dyDescent="0.25">
      <c r="I54" s="216" t="s">
        <v>636</v>
      </c>
      <c r="J54" s="238" t="s">
        <v>639</v>
      </c>
      <c r="K54" s="218">
        <v>21</v>
      </c>
      <c r="L54" s="219"/>
      <c r="M54" s="219" t="s">
        <v>295</v>
      </c>
      <c r="N54" s="220">
        <f t="shared" si="12"/>
        <v>0.43874352621703561</v>
      </c>
      <c r="O54" s="220">
        <f t="shared" si="12"/>
        <v>5.7140945681870784E-3</v>
      </c>
      <c r="P54" s="220">
        <f t="shared" si="12"/>
        <v>0.23786180586758957</v>
      </c>
      <c r="Q54" s="221">
        <f t="shared" si="12"/>
        <v>0.4388141952311298</v>
      </c>
      <c r="R54" s="221">
        <f t="shared" si="12"/>
        <v>0</v>
      </c>
      <c r="S54" s="221">
        <f t="shared" si="12"/>
        <v>0</v>
      </c>
      <c r="T54" s="221">
        <f t="shared" si="12"/>
        <v>0</v>
      </c>
      <c r="U54" s="221">
        <f t="shared" si="12"/>
        <v>5.7140945681870784E-3</v>
      </c>
      <c r="V54" s="221">
        <f t="shared" si="12"/>
        <v>0.4330294316488485</v>
      </c>
      <c r="W54" s="221">
        <f t="shared" si="12"/>
        <v>0.19516762578125896</v>
      </c>
      <c r="X54" s="221">
        <f t="shared" si="12"/>
        <v>0</v>
      </c>
      <c r="Y54" s="221">
        <f t="shared" si="10"/>
        <v>8.7564836170076354</v>
      </c>
      <c r="Z54" s="222">
        <f t="shared" si="11"/>
        <v>0.43874352621703561</v>
      </c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1"/>
      <c r="CV54" s="1"/>
      <c r="CW54" s="1"/>
      <c r="CX54" s="1"/>
      <c r="CY54" s="1"/>
      <c r="CZ54" s="1"/>
      <c r="DA54" s="1"/>
      <c r="DB54" s="1"/>
    </row>
    <row r="55" spans="1:121" ht="15.75" customHeight="1" x14ac:dyDescent="0.25">
      <c r="I55" s="216" t="s">
        <v>640</v>
      </c>
      <c r="J55" s="242" t="s">
        <v>641</v>
      </c>
      <c r="K55" s="218" t="s">
        <v>314</v>
      </c>
      <c r="L55" s="219" t="s">
        <v>7</v>
      </c>
      <c r="M55" s="219" t="s">
        <v>642</v>
      </c>
      <c r="N55" s="220">
        <f t="shared" si="12"/>
        <v>1.0840525806313783</v>
      </c>
      <c r="O55" s="220">
        <f t="shared" si="12"/>
        <v>0</v>
      </c>
      <c r="P55" s="220">
        <f t="shared" si="12"/>
        <v>1.0840525806313783</v>
      </c>
      <c r="Q55" s="221">
        <f t="shared" si="12"/>
        <v>1.0840525806313783</v>
      </c>
      <c r="R55" s="221">
        <f t="shared" si="12"/>
        <v>0</v>
      </c>
      <c r="S55" s="221">
        <f t="shared" si="12"/>
        <v>0</v>
      </c>
      <c r="T55" s="221">
        <f t="shared" si="12"/>
        <v>0</v>
      </c>
      <c r="U55" s="221">
        <f t="shared" si="12"/>
        <v>0</v>
      </c>
      <c r="V55" s="221">
        <f t="shared" si="12"/>
        <v>0</v>
      </c>
      <c r="W55" s="221">
        <f t="shared" si="12"/>
        <v>0</v>
      </c>
      <c r="X55" s="221">
        <f t="shared" si="12"/>
        <v>1.0840525806313783</v>
      </c>
      <c r="Y55" s="221">
        <f t="shared" si="10"/>
        <v>0</v>
      </c>
      <c r="Z55" s="222">
        <f t="shared" si="11"/>
        <v>1.0840525806313783</v>
      </c>
      <c r="AA55" s="241"/>
      <c r="AB55" s="241"/>
      <c r="AC55" s="241"/>
      <c r="AD55" s="241"/>
      <c r="AE55" s="241"/>
      <c r="AF55" s="241"/>
      <c r="AG55" s="241"/>
      <c r="AH55" s="241"/>
      <c r="AI55" s="241"/>
      <c r="AJ55" s="241"/>
      <c r="AK55" s="241"/>
      <c r="AL55" s="241"/>
      <c r="AM55" s="241"/>
      <c r="AN55" s="1"/>
      <c r="CV55" s="1"/>
      <c r="CW55" s="1"/>
      <c r="CX55" s="1"/>
      <c r="CY55" s="1"/>
      <c r="CZ55" s="1"/>
      <c r="DA55" s="1"/>
      <c r="DB55" s="1"/>
    </row>
    <row r="56" spans="1:121" ht="15.75" customHeight="1" x14ac:dyDescent="0.25">
      <c r="I56" s="216" t="s">
        <v>640</v>
      </c>
      <c r="J56" s="242" t="s">
        <v>643</v>
      </c>
      <c r="K56" s="218" t="s">
        <v>314</v>
      </c>
      <c r="L56" s="219" t="s">
        <v>7</v>
      </c>
      <c r="M56" s="219" t="s">
        <v>642</v>
      </c>
      <c r="N56" s="220">
        <f t="shared" si="12"/>
        <v>2.2925734862295029</v>
      </c>
      <c r="O56" s="220">
        <f t="shared" si="12"/>
        <v>4.8539517109264067E-2</v>
      </c>
      <c r="P56" s="220">
        <f t="shared" si="12"/>
        <v>2.2440339691202391</v>
      </c>
      <c r="Q56" s="221">
        <f t="shared" si="12"/>
        <v>2.292583581802945</v>
      </c>
      <c r="R56" s="221">
        <f t="shared" si="12"/>
        <v>0</v>
      </c>
      <c r="S56" s="221">
        <f t="shared" si="12"/>
        <v>0</v>
      </c>
      <c r="T56" s="221">
        <f t="shared" si="12"/>
        <v>4.2906187128613207E-3</v>
      </c>
      <c r="U56" s="221">
        <f t="shared" si="12"/>
        <v>4.4248898396402753E-2</v>
      </c>
      <c r="V56" s="221">
        <f t="shared" si="12"/>
        <v>0</v>
      </c>
      <c r="W56" s="221">
        <f t="shared" si="12"/>
        <v>0</v>
      </c>
      <c r="X56" s="221">
        <f t="shared" si="12"/>
        <v>2.2440339691202391</v>
      </c>
      <c r="Y56" s="243">
        <f t="shared" si="10"/>
        <v>1.3579511620070052E-2</v>
      </c>
      <c r="Z56" s="222">
        <f t="shared" si="11"/>
        <v>2.2925734862295029</v>
      </c>
      <c r="AA56" s="241"/>
      <c r="AB56" s="241"/>
      <c r="AC56" s="241"/>
      <c r="AD56" s="241"/>
      <c r="AE56" s="241"/>
      <c r="AF56" s="241"/>
      <c r="AG56" s="241"/>
      <c r="AH56" s="241"/>
      <c r="AI56" s="241"/>
      <c r="AJ56" s="241"/>
      <c r="AK56" s="241"/>
      <c r="AL56" s="241"/>
      <c r="AM56" s="241"/>
      <c r="AN56" s="1"/>
      <c r="CV56" s="1"/>
      <c r="CW56" s="1"/>
      <c r="CX56" s="1"/>
      <c r="CY56" s="1"/>
      <c r="CZ56" s="1"/>
      <c r="DA56" s="1"/>
      <c r="DB56" s="1"/>
    </row>
    <row r="57" spans="1:121" ht="15.75" customHeight="1" x14ac:dyDescent="0.25">
      <c r="I57" s="216" t="s">
        <v>640</v>
      </c>
      <c r="J57" s="242" t="s">
        <v>644</v>
      </c>
      <c r="K57" s="218" t="s">
        <v>314</v>
      </c>
      <c r="L57" s="219" t="s">
        <v>7</v>
      </c>
      <c r="M57" s="219" t="s">
        <v>642</v>
      </c>
      <c r="N57" s="220">
        <f t="shared" si="12"/>
        <v>10.354312893772342</v>
      </c>
      <c r="O57" s="220">
        <f t="shared" si="12"/>
        <v>0.21674186622686997</v>
      </c>
      <c r="P57" s="220">
        <f t="shared" si="12"/>
        <v>10.137571027545471</v>
      </c>
      <c r="Q57" s="221">
        <f t="shared" si="12"/>
        <v>10.35427251147857</v>
      </c>
      <c r="R57" s="221">
        <f t="shared" si="12"/>
        <v>0</v>
      </c>
      <c r="S57" s="221">
        <f t="shared" si="12"/>
        <v>0</v>
      </c>
      <c r="T57" s="221">
        <f t="shared" si="12"/>
        <v>1.8616237427097122E-2</v>
      </c>
      <c r="U57" s="221">
        <f t="shared" si="12"/>
        <v>0.19812562879977277</v>
      </c>
      <c r="V57" s="221">
        <f t="shared" si="12"/>
        <v>0</v>
      </c>
      <c r="W57" s="221">
        <f t="shared" si="12"/>
        <v>0</v>
      </c>
      <c r="X57" s="221">
        <f t="shared" si="12"/>
        <v>10.137571027545471</v>
      </c>
      <c r="Y57" s="243">
        <f t="shared" si="10"/>
        <v>6.1343436802343387E-2</v>
      </c>
      <c r="Z57" s="222">
        <f t="shared" si="11"/>
        <v>10.354312893772342</v>
      </c>
      <c r="AA57" s="241"/>
      <c r="AB57" s="241"/>
      <c r="AC57" s="241"/>
      <c r="AD57" s="241"/>
      <c r="AE57" s="241"/>
      <c r="AF57" s="241"/>
      <c r="AG57" s="241"/>
      <c r="AH57" s="241"/>
      <c r="AI57" s="241"/>
      <c r="AJ57" s="241"/>
      <c r="AK57" s="241"/>
      <c r="AL57" s="241"/>
      <c r="AM57" s="241"/>
      <c r="AN57" s="1"/>
      <c r="CV57" s="1"/>
      <c r="CW57" s="1"/>
      <c r="CX57" s="1"/>
      <c r="CY57" s="1"/>
      <c r="CZ57" s="1"/>
      <c r="DA57" s="1"/>
      <c r="DB57" s="1"/>
    </row>
    <row r="58" spans="1:121" ht="15.75" customHeight="1" x14ac:dyDescent="0.25">
      <c r="A58" s="1"/>
      <c r="B58" s="1"/>
      <c r="C58" s="1"/>
      <c r="D58" s="1"/>
      <c r="E58" s="1"/>
      <c r="F58" s="1"/>
      <c r="G58" s="1"/>
      <c r="H58" s="1"/>
      <c r="I58" s="244"/>
      <c r="J58" s="196"/>
      <c r="K58" s="136"/>
      <c r="L58" s="177"/>
      <c r="M58" s="177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6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</row>
    <row r="59" spans="1:121" ht="15.75" customHeight="1" x14ac:dyDescent="0.25">
      <c r="A59" s="1"/>
      <c r="B59" s="1"/>
      <c r="C59" s="1"/>
      <c r="D59" s="1"/>
      <c r="E59" s="1"/>
      <c r="F59" s="1"/>
      <c r="G59" s="1"/>
      <c r="H59" s="1"/>
      <c r="I59" s="244"/>
      <c r="J59" s="196"/>
      <c r="K59" s="136"/>
      <c r="L59" s="177"/>
      <c r="M59" s="177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6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</row>
    <row r="60" spans="1:121" ht="15.75" customHeight="1" x14ac:dyDescent="0.25">
      <c r="A60" s="1"/>
      <c r="B60" s="1"/>
      <c r="C60" s="1"/>
      <c r="D60" s="1"/>
      <c r="E60" s="1"/>
      <c r="F60" s="1"/>
      <c r="G60" s="1"/>
      <c r="H60" s="1"/>
      <c r="I60" s="244"/>
      <c r="J60" s="196"/>
      <c r="K60" s="136"/>
      <c r="L60" s="177"/>
      <c r="M60" s="177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6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</row>
    <row r="61" spans="1:121" ht="15.75" customHeight="1" x14ac:dyDescent="0.25">
      <c r="B61" s="1"/>
      <c r="C61" s="1"/>
      <c r="D61" s="1"/>
      <c r="E61" s="1"/>
      <c r="F61" s="1"/>
      <c r="G61" s="1"/>
      <c r="H61" s="1"/>
      <c r="I61" s="1"/>
      <c r="T61" s="226">
        <f>+SUM(T35:T57)</f>
        <v>33.632625562956704</v>
      </c>
      <c r="CV61" s="1"/>
      <c r="CW61" s="1"/>
      <c r="CX61" s="1"/>
      <c r="CY61" s="1"/>
      <c r="CZ61" s="1"/>
      <c r="DA61" s="1"/>
      <c r="DB61" s="1"/>
    </row>
    <row r="62" spans="1:121" ht="15.75" customHeight="1" x14ac:dyDescent="0.25">
      <c r="B62" s="1"/>
      <c r="C62" s="1"/>
      <c r="D62" s="1"/>
      <c r="E62" s="1"/>
      <c r="F62" s="1"/>
      <c r="G62" s="1"/>
      <c r="H62" s="1"/>
      <c r="I62" s="1"/>
      <c r="CV62" s="1"/>
      <c r="CW62" s="1"/>
      <c r="CX62" s="1"/>
      <c r="CY62" s="1"/>
      <c r="CZ62" s="1"/>
      <c r="DA62" s="1"/>
      <c r="DB62" s="1"/>
    </row>
    <row r="63" spans="1:121" ht="15.75" customHeight="1" x14ac:dyDescent="0.25">
      <c r="B63" s="1"/>
      <c r="C63" s="1"/>
      <c r="D63" s="1"/>
      <c r="E63" s="1"/>
      <c r="F63" s="1"/>
      <c r="G63" s="1"/>
      <c r="H63" s="1"/>
      <c r="I63" s="1"/>
      <c r="Y63" s="226"/>
      <c r="BL63" s="247"/>
      <c r="BM63" s="12" t="s">
        <v>645</v>
      </c>
      <c r="CV63" s="1"/>
      <c r="CW63" s="1"/>
      <c r="CX63" s="1"/>
      <c r="CY63" s="1"/>
      <c r="CZ63" s="1"/>
      <c r="DA63" s="1"/>
      <c r="DB63" s="1"/>
    </row>
    <row r="64" spans="1:121" ht="15.75" customHeight="1" x14ac:dyDescent="0.25">
      <c r="N64" s="226"/>
      <c r="R64" s="729" t="s">
        <v>646</v>
      </c>
      <c r="S64" s="712"/>
      <c r="T64" s="712"/>
      <c r="U64" s="712"/>
      <c r="V64" s="712"/>
      <c r="W64" s="734" t="s">
        <v>647</v>
      </c>
      <c r="X64" s="712"/>
      <c r="Y64" s="712"/>
      <c r="Z64" s="712"/>
      <c r="AA64" s="248" t="s">
        <v>648</v>
      </c>
      <c r="AB64" s="12" t="s">
        <v>649</v>
      </c>
      <c r="CV64" s="1"/>
      <c r="CW64" s="1"/>
      <c r="CX64" s="1"/>
      <c r="CY64" s="1"/>
      <c r="CZ64" s="1"/>
      <c r="DA64" s="1"/>
      <c r="DB64" s="1"/>
    </row>
    <row r="65" spans="1:121" ht="15.75" customHeight="1" x14ac:dyDescent="0.25">
      <c r="N65" s="14" t="str">
        <f t="shared" ref="N65:O65" si="13">Y33</f>
        <v>PJ</v>
      </c>
      <c r="O65" s="14" t="str">
        <f t="shared" si="13"/>
        <v>PJ</v>
      </c>
      <c r="P65" s="249" t="s">
        <v>650</v>
      </c>
      <c r="Q65" s="249" t="s">
        <v>56</v>
      </c>
      <c r="R65" s="250" t="str">
        <f t="shared" ref="R65:V65" si="14">T33</f>
        <v>PJ</v>
      </c>
      <c r="S65" s="250" t="str">
        <f t="shared" si="14"/>
        <v>PJ</v>
      </c>
      <c r="T65" s="250" t="str">
        <f t="shared" si="14"/>
        <v>PJ</v>
      </c>
      <c r="U65" s="250" t="str">
        <f t="shared" si="14"/>
        <v>PJ</v>
      </c>
      <c r="V65" s="250" t="str">
        <f t="shared" si="14"/>
        <v>PJ</v>
      </c>
      <c r="W65" s="251" t="s">
        <v>650</v>
      </c>
      <c r="X65" s="251" t="s">
        <v>650</v>
      </c>
      <c r="Y65" s="251" t="s">
        <v>650</v>
      </c>
      <c r="Z65" s="251" t="s">
        <v>650</v>
      </c>
      <c r="AA65" s="144" t="s">
        <v>650</v>
      </c>
      <c r="AB65" s="252" t="s">
        <v>56</v>
      </c>
      <c r="AC65" s="252" t="s">
        <v>651</v>
      </c>
      <c r="AD65" s="249" t="s">
        <v>56</v>
      </c>
      <c r="AE65" s="249" t="s">
        <v>651</v>
      </c>
      <c r="AF65" s="249" t="s">
        <v>56</v>
      </c>
      <c r="AG65" s="249" t="s">
        <v>651</v>
      </c>
      <c r="AH65" s="14" t="s">
        <v>56</v>
      </c>
      <c r="AI65" s="731" t="s">
        <v>652</v>
      </c>
      <c r="AJ65" s="732"/>
      <c r="AK65" s="732"/>
      <c r="AL65" s="732"/>
      <c r="AM65" s="732"/>
      <c r="AN65" s="732"/>
      <c r="AO65" s="732"/>
      <c r="AP65" s="732"/>
      <c r="AQ65" s="732"/>
      <c r="AR65" s="732"/>
      <c r="AS65" s="732"/>
      <c r="AT65" s="732"/>
      <c r="AU65" s="732"/>
      <c r="AV65" s="733"/>
      <c r="AW65" s="731" t="s">
        <v>653</v>
      </c>
      <c r="AX65" s="732"/>
      <c r="AY65" s="732"/>
      <c r="AZ65" s="732"/>
      <c r="BA65" s="732"/>
      <c r="BB65" s="732"/>
      <c r="BC65" s="732"/>
      <c r="BD65" s="732"/>
      <c r="BE65" s="732"/>
      <c r="BF65" s="732"/>
      <c r="BG65" s="732"/>
      <c r="BH65" s="732"/>
      <c r="BI65" s="732"/>
      <c r="BJ65" s="733"/>
      <c r="BK65" s="731" t="s">
        <v>654</v>
      </c>
      <c r="BL65" s="732"/>
      <c r="BM65" s="732"/>
      <c r="BN65" s="732"/>
      <c r="BO65" s="732"/>
      <c r="BP65" s="732"/>
      <c r="BQ65" s="732"/>
      <c r="BR65" s="732"/>
      <c r="BS65" s="732"/>
      <c r="BT65" s="732"/>
      <c r="BU65" s="732"/>
      <c r="BV65" s="732"/>
      <c r="BW65" s="732"/>
      <c r="BX65" s="733"/>
      <c r="BY65" s="253"/>
      <c r="BZ65" s="253"/>
      <c r="CA65" s="253"/>
      <c r="CB65" s="254" t="s">
        <v>652</v>
      </c>
      <c r="CC65" s="255"/>
      <c r="CD65" s="255"/>
      <c r="CE65" s="255"/>
      <c r="CF65" s="255"/>
      <c r="CG65" s="255"/>
      <c r="CH65" s="255"/>
      <c r="CI65" s="255"/>
      <c r="CJ65" s="255"/>
      <c r="CK65" s="255"/>
      <c r="CL65" s="255"/>
      <c r="CM65" s="255"/>
      <c r="CN65" s="255"/>
      <c r="CO65" s="256"/>
      <c r="CP65" s="254" t="s">
        <v>653</v>
      </c>
      <c r="CQ65" s="255"/>
      <c r="CR65" s="255"/>
      <c r="CS65" s="255"/>
      <c r="CT65" s="255"/>
      <c r="CU65" s="255"/>
      <c r="CV65" s="255"/>
      <c r="CW65" s="255"/>
      <c r="CX65" s="255"/>
      <c r="CY65" s="255"/>
      <c r="CZ65" s="255"/>
      <c r="DA65" s="255"/>
      <c r="DB65" s="255"/>
      <c r="DC65" s="256"/>
      <c r="DD65" s="254" t="s">
        <v>654</v>
      </c>
      <c r="DE65" s="255"/>
      <c r="DF65" s="255"/>
      <c r="DG65" s="255"/>
      <c r="DH65" s="255"/>
      <c r="DI65" s="255"/>
      <c r="DJ65" s="255"/>
      <c r="DK65" s="255"/>
      <c r="DL65" s="255"/>
      <c r="DM65" s="255"/>
      <c r="DN65" s="255"/>
      <c r="DO65" s="255"/>
      <c r="DP65" s="255"/>
      <c r="DQ65" s="256"/>
    </row>
    <row r="66" spans="1:121" ht="15.75" customHeight="1" x14ac:dyDescent="0.25">
      <c r="A66" s="5"/>
      <c r="B66" s="5"/>
      <c r="C66" s="5"/>
      <c r="D66" s="5"/>
      <c r="E66" s="5"/>
      <c r="F66" s="5"/>
      <c r="G66" s="5"/>
      <c r="H66" s="5"/>
      <c r="I66" s="211" t="s">
        <v>579</v>
      </c>
      <c r="J66" s="211" t="s">
        <v>580</v>
      </c>
      <c r="K66" s="211" t="s">
        <v>581</v>
      </c>
      <c r="L66" s="212"/>
      <c r="M66" s="211" t="str">
        <f t="shared" ref="M66:M86" si="15">M34</f>
        <v>Type of Oil producing</v>
      </c>
      <c r="N66" s="211" t="s">
        <v>593</v>
      </c>
      <c r="O66" s="211" t="s">
        <v>594</v>
      </c>
      <c r="P66" s="257" t="s">
        <v>655</v>
      </c>
      <c r="Q66" s="257" t="s">
        <v>584</v>
      </c>
      <c r="R66" s="213" t="s">
        <v>588</v>
      </c>
      <c r="S66" s="213" t="s">
        <v>589</v>
      </c>
      <c r="T66" s="213" t="s">
        <v>590</v>
      </c>
      <c r="U66" s="213" t="s">
        <v>591</v>
      </c>
      <c r="V66" s="213" t="s">
        <v>592</v>
      </c>
      <c r="W66" s="258" t="s">
        <v>588</v>
      </c>
      <c r="X66" s="258" t="s">
        <v>589</v>
      </c>
      <c r="Y66" s="258" t="s">
        <v>590</v>
      </c>
      <c r="Z66" s="258" t="s">
        <v>592</v>
      </c>
      <c r="AA66" s="259" t="s">
        <v>591</v>
      </c>
      <c r="AB66" s="260" t="s">
        <v>656</v>
      </c>
      <c r="AC66" s="260" t="s">
        <v>657</v>
      </c>
      <c r="AD66" s="257" t="s">
        <v>658</v>
      </c>
      <c r="AE66" s="257" t="s">
        <v>659</v>
      </c>
      <c r="AF66" s="257" t="s">
        <v>660</v>
      </c>
      <c r="AG66" s="257" t="s">
        <v>661</v>
      </c>
      <c r="AH66" s="261" t="s">
        <v>662</v>
      </c>
      <c r="AI66" s="262">
        <v>2019</v>
      </c>
      <c r="AJ66" s="263">
        <v>2020</v>
      </c>
      <c r="AK66" s="263">
        <v>2023</v>
      </c>
      <c r="AL66" s="263">
        <v>2025</v>
      </c>
      <c r="AM66" s="263">
        <v>2027</v>
      </c>
      <c r="AN66" s="263">
        <v>2030</v>
      </c>
      <c r="AO66" s="263">
        <v>2033</v>
      </c>
      <c r="AP66" s="263">
        <v>2035</v>
      </c>
      <c r="AQ66" s="263">
        <v>2037</v>
      </c>
      <c r="AR66" s="263">
        <v>2040</v>
      </c>
      <c r="AS66" s="263">
        <v>2043</v>
      </c>
      <c r="AT66" s="263">
        <v>2045</v>
      </c>
      <c r="AU66" s="263">
        <v>2047</v>
      </c>
      <c r="AV66" s="264">
        <v>2050</v>
      </c>
      <c r="AW66" s="262">
        <v>2019</v>
      </c>
      <c r="AX66" s="263">
        <v>2020</v>
      </c>
      <c r="AY66" s="263">
        <v>2023</v>
      </c>
      <c r="AZ66" s="263">
        <v>2025</v>
      </c>
      <c r="BA66" s="263">
        <v>2027</v>
      </c>
      <c r="BB66" s="263">
        <v>2030</v>
      </c>
      <c r="BC66" s="263">
        <v>2033</v>
      </c>
      <c r="BD66" s="263">
        <v>2035</v>
      </c>
      <c r="BE66" s="263">
        <v>2037</v>
      </c>
      <c r="BF66" s="263">
        <v>2040</v>
      </c>
      <c r="BG66" s="263">
        <v>2043</v>
      </c>
      <c r="BH66" s="263">
        <v>2045</v>
      </c>
      <c r="BI66" s="263">
        <v>2047</v>
      </c>
      <c r="BJ66" s="264">
        <v>2050</v>
      </c>
      <c r="BK66" s="262">
        <v>2019</v>
      </c>
      <c r="BL66" s="263">
        <v>2020</v>
      </c>
      <c r="BM66" s="263">
        <v>2023</v>
      </c>
      <c r="BN66" s="263">
        <v>2025</v>
      </c>
      <c r="BO66" s="263">
        <v>2027</v>
      </c>
      <c r="BP66" s="263">
        <v>2030</v>
      </c>
      <c r="BQ66" s="263">
        <v>2033</v>
      </c>
      <c r="BR66" s="263">
        <v>2035</v>
      </c>
      <c r="BS66" s="263">
        <v>2037</v>
      </c>
      <c r="BT66" s="263">
        <v>2040</v>
      </c>
      <c r="BU66" s="263">
        <v>2043</v>
      </c>
      <c r="BV66" s="263">
        <v>2045</v>
      </c>
      <c r="BW66" s="263">
        <v>2047</v>
      </c>
      <c r="BX66" s="264">
        <v>2050</v>
      </c>
      <c r="BY66" s="214"/>
      <c r="BZ66" s="214"/>
      <c r="CA66" s="214"/>
      <c r="CB66" s="262">
        <v>2019</v>
      </c>
      <c r="CC66" s="263">
        <v>2020</v>
      </c>
      <c r="CD66" s="263">
        <v>2023</v>
      </c>
      <c r="CE66" s="263">
        <v>2025</v>
      </c>
      <c r="CF66" s="263">
        <v>2027</v>
      </c>
      <c r="CG66" s="263">
        <v>2030</v>
      </c>
      <c r="CH66" s="263">
        <v>2033</v>
      </c>
      <c r="CI66" s="263">
        <v>2035</v>
      </c>
      <c r="CJ66" s="263">
        <v>2037</v>
      </c>
      <c r="CK66" s="263">
        <v>2040</v>
      </c>
      <c r="CL66" s="263">
        <v>2043</v>
      </c>
      <c r="CM66" s="263">
        <v>2045</v>
      </c>
      <c r="CN66" s="263">
        <v>2047</v>
      </c>
      <c r="CO66" s="264">
        <v>2050</v>
      </c>
      <c r="CP66" s="262">
        <v>2019</v>
      </c>
      <c r="CQ66" s="263">
        <v>2020</v>
      </c>
      <c r="CR66" s="263">
        <v>2023</v>
      </c>
      <c r="CS66" s="263">
        <v>2025</v>
      </c>
      <c r="CT66" s="263">
        <v>2027</v>
      </c>
      <c r="CU66" s="263">
        <v>2030</v>
      </c>
      <c r="CV66" s="263">
        <v>2033</v>
      </c>
      <c r="CW66" s="263">
        <v>2035</v>
      </c>
      <c r="CX66" s="263">
        <v>2037</v>
      </c>
      <c r="CY66" s="263">
        <v>2040</v>
      </c>
      <c r="CZ66" s="263">
        <v>2043</v>
      </c>
      <c r="DA66" s="263">
        <v>2045</v>
      </c>
      <c r="DB66" s="263">
        <v>2047</v>
      </c>
      <c r="DC66" s="264">
        <v>2050</v>
      </c>
      <c r="DD66" s="262">
        <v>2019</v>
      </c>
      <c r="DE66" s="263">
        <v>2020</v>
      </c>
      <c r="DF66" s="263">
        <v>2023</v>
      </c>
      <c r="DG66" s="263">
        <v>2025</v>
      </c>
      <c r="DH66" s="263">
        <v>2027</v>
      </c>
      <c r="DI66" s="263">
        <v>2030</v>
      </c>
      <c r="DJ66" s="263">
        <v>2033</v>
      </c>
      <c r="DK66" s="263">
        <v>2035</v>
      </c>
      <c r="DL66" s="263">
        <v>2037</v>
      </c>
      <c r="DM66" s="263">
        <v>2040</v>
      </c>
      <c r="DN66" s="263">
        <v>2043</v>
      </c>
      <c r="DO66" s="263">
        <v>2045</v>
      </c>
      <c r="DP66" s="263">
        <v>2047</v>
      </c>
      <c r="DQ66" s="264">
        <v>2050</v>
      </c>
    </row>
    <row r="67" spans="1:121" ht="15.75" customHeight="1" x14ac:dyDescent="0.25">
      <c r="I67" s="216" t="s">
        <v>600</v>
      </c>
      <c r="J67" s="217" t="s">
        <v>601</v>
      </c>
      <c r="K67" s="218" t="s">
        <v>314</v>
      </c>
      <c r="L67" s="219" t="s">
        <v>7</v>
      </c>
      <c r="M67" s="219" t="str">
        <f t="shared" si="15"/>
        <v>Doesn't Apply</v>
      </c>
      <c r="N67" s="221">
        <f t="shared" ref="N67:O82" si="16">Y35</f>
        <v>0</v>
      </c>
      <c r="O67" s="265">
        <f t="shared" si="16"/>
        <v>60.04622961587031</v>
      </c>
      <c r="P67" s="266">
        <f>+O67/(N67+O67)</f>
        <v>1</v>
      </c>
      <c r="Q67" s="267">
        <f t="shared" ref="Q67:Q89" si="17">+V67+T67-U67</f>
        <v>57.556398720157048</v>
      </c>
      <c r="R67" s="220">
        <f t="shared" ref="R67:V82" si="18">T35</f>
        <v>2.4069462377542221</v>
      </c>
      <c r="S67" s="220">
        <f t="shared" si="18"/>
        <v>8.2884657959038696E-2</v>
      </c>
      <c r="T67" s="220">
        <f t="shared" si="18"/>
        <v>4.8961411123406373</v>
      </c>
      <c r="U67" s="220">
        <f t="shared" si="18"/>
        <v>0</v>
      </c>
      <c r="V67" s="220">
        <f t="shared" si="18"/>
        <v>52.660257607816412</v>
      </c>
      <c r="W67" s="268">
        <f t="shared" ref="W67:Y82" si="19">+IF($O67=0,"-",R67/$O67)</f>
        <v>4.0084885481603369E-2</v>
      </c>
      <c r="X67" s="268">
        <f t="shared" si="19"/>
        <v>1.3803474171362818E-3</v>
      </c>
      <c r="Y67" s="268">
        <f t="shared" si="19"/>
        <v>8.1539526189444198E-2</v>
      </c>
      <c r="Z67" s="268">
        <f t="shared" ref="Z67:Z89" si="20">+IF($O67=0,"-",V67/$O67)</f>
        <v>0.87699524091181613</v>
      </c>
      <c r="AA67" s="269">
        <f t="shared" ref="AA67:AA89" si="21">+IF($T67=0,"-",U67/$T67)</f>
        <v>0</v>
      </c>
      <c r="AB67" s="270">
        <v>175.46031657600003</v>
      </c>
      <c r="AC67" s="271">
        <f t="shared" ref="AC67:AC89" si="22">+AB67/(Q67+N67)</f>
        <v>3.0484936597423249</v>
      </c>
      <c r="AD67" s="272">
        <f t="shared" ref="AD67:AD89" si="23">+AB67*(N67/(N67+O67))</f>
        <v>0</v>
      </c>
      <c r="AE67" s="273" t="str">
        <f t="shared" ref="AE67:AE89" si="24">+IF(N67=0,"-",AD67/N67)</f>
        <v>-</v>
      </c>
      <c r="AF67" s="272">
        <f t="shared" ref="AF67:AF89" si="25">+AB67*(O67/(O67+N67))</f>
        <v>175.46031657600003</v>
      </c>
      <c r="AG67" s="274">
        <f t="shared" ref="AG67:AG89" si="26">+IF(O67=0,"-",AF67/O67)</f>
        <v>2.9220871601507783</v>
      </c>
      <c r="AH67" s="275">
        <f t="shared" ref="AH67:AH89" si="27">+N67+O67</f>
        <v>60.04622961587031</v>
      </c>
      <c r="AI67" s="276">
        <v>1</v>
      </c>
      <c r="AJ67" s="277">
        <v>0.82105610703186049</v>
      </c>
      <c r="AK67" s="277">
        <v>0.65141290382779549</v>
      </c>
      <c r="AL67" s="277">
        <v>0.53831743502508556</v>
      </c>
      <c r="AM67" s="277">
        <v>0.42181118695405573</v>
      </c>
      <c r="AN67" s="277">
        <v>0.24705181484752231</v>
      </c>
      <c r="AO67" s="277">
        <v>7.2292442740975987E-2</v>
      </c>
      <c r="AP67" s="277">
        <v>0</v>
      </c>
      <c r="AQ67" s="277">
        <v>0</v>
      </c>
      <c r="AR67" s="277">
        <v>0</v>
      </c>
      <c r="AS67" s="277">
        <v>0</v>
      </c>
      <c r="AT67" s="277">
        <v>0</v>
      </c>
      <c r="AU67" s="277">
        <v>0</v>
      </c>
      <c r="AV67" s="278">
        <v>0</v>
      </c>
      <c r="AW67" s="279">
        <f t="shared" ref="AW67:BJ82" si="28">+IF(AI67="","",AI67*$AH67)</f>
        <v>60.04622961587031</v>
      </c>
      <c r="AX67" s="280">
        <f t="shared" si="28"/>
        <v>49.301323530347688</v>
      </c>
      <c r="AY67" s="280">
        <f t="shared" si="28"/>
        <v>39.114888797984648</v>
      </c>
      <c r="AZ67" s="280">
        <f t="shared" si="28"/>
        <v>32.323932309742631</v>
      </c>
      <c r="BA67" s="280">
        <f t="shared" si="28"/>
        <v>25.328171386386028</v>
      </c>
      <c r="BB67" s="280">
        <f t="shared" si="28"/>
        <v>14.834530001351803</v>
      </c>
      <c r="BC67" s="280">
        <f t="shared" si="28"/>
        <v>4.3408886163168008</v>
      </c>
      <c r="BD67" s="280">
        <f t="shared" si="28"/>
        <v>0</v>
      </c>
      <c r="BE67" s="280">
        <f t="shared" si="28"/>
        <v>0</v>
      </c>
      <c r="BF67" s="280">
        <f t="shared" si="28"/>
        <v>0</v>
      </c>
      <c r="BG67" s="280">
        <f t="shared" si="28"/>
        <v>0</v>
      </c>
      <c r="BH67" s="280">
        <f t="shared" si="28"/>
        <v>0</v>
      </c>
      <c r="BI67" s="280">
        <f t="shared" si="28"/>
        <v>0</v>
      </c>
      <c r="BJ67" s="281">
        <f t="shared" si="28"/>
        <v>0</v>
      </c>
      <c r="BK67" s="279">
        <v>60.04622961587031</v>
      </c>
      <c r="BL67" s="280">
        <v>49.301323530347688</v>
      </c>
      <c r="BM67" s="282">
        <v>39.114888797984648</v>
      </c>
      <c r="BN67" s="280">
        <v>32.323932309742631</v>
      </c>
      <c r="BO67" s="280">
        <v>25.328171386386028</v>
      </c>
      <c r="BP67" s="283">
        <v>14.834530001351803</v>
      </c>
      <c r="BQ67" s="283">
        <v>4.3408886163168008</v>
      </c>
      <c r="BR67" s="283">
        <v>0</v>
      </c>
      <c r="BS67" s="283">
        <v>0</v>
      </c>
      <c r="BT67" s="283">
        <v>0</v>
      </c>
      <c r="BU67" s="283">
        <v>0</v>
      </c>
      <c r="BV67" s="283">
        <v>0</v>
      </c>
      <c r="BW67" s="283">
        <v>0</v>
      </c>
      <c r="BX67" s="284">
        <v>0</v>
      </c>
      <c r="BY67" s="180"/>
      <c r="BZ67" s="180"/>
      <c r="CA67" s="180"/>
      <c r="CB67" s="276" t="s">
        <v>663</v>
      </c>
      <c r="CC67" s="277" t="s">
        <v>663</v>
      </c>
      <c r="CD67" s="277" t="s">
        <v>663</v>
      </c>
      <c r="CE67" s="277" t="s">
        <v>663</v>
      </c>
      <c r="CF67" s="277" t="s">
        <v>663</v>
      </c>
      <c r="CG67" s="277" t="s">
        <v>663</v>
      </c>
      <c r="CH67" s="277" t="s">
        <v>663</v>
      </c>
      <c r="CI67" s="277" t="s">
        <v>663</v>
      </c>
      <c r="CJ67" s="277" t="s">
        <v>663</v>
      </c>
      <c r="CK67" s="277" t="s">
        <v>663</v>
      </c>
      <c r="CL67" s="277" t="s">
        <v>663</v>
      </c>
      <c r="CM67" s="277" t="s">
        <v>663</v>
      </c>
      <c r="CN67" s="277" t="s">
        <v>663</v>
      </c>
      <c r="CO67" s="278" t="s">
        <v>663</v>
      </c>
      <c r="CP67" s="279" t="s">
        <v>663</v>
      </c>
      <c r="CQ67" s="280" t="s">
        <v>663</v>
      </c>
      <c r="CR67" s="280" t="s">
        <v>663</v>
      </c>
      <c r="CS67" s="280" t="s">
        <v>663</v>
      </c>
      <c r="CT67" s="280" t="s">
        <v>663</v>
      </c>
      <c r="CU67" s="280" t="s">
        <v>663</v>
      </c>
      <c r="CV67" s="280" t="s">
        <v>663</v>
      </c>
      <c r="CW67" s="280" t="s">
        <v>663</v>
      </c>
      <c r="CX67" s="280" t="s">
        <v>663</v>
      </c>
      <c r="CY67" s="280" t="s">
        <v>663</v>
      </c>
      <c r="CZ67" s="280" t="s">
        <v>663</v>
      </c>
      <c r="DA67" s="280" t="s">
        <v>663</v>
      </c>
      <c r="DB67" s="280" t="s">
        <v>663</v>
      </c>
      <c r="DC67" s="281" t="s">
        <v>663</v>
      </c>
      <c r="DD67" s="279">
        <v>60.04622961587031</v>
      </c>
      <c r="DE67" s="280">
        <v>42.664606901262424</v>
      </c>
      <c r="DF67" s="282">
        <v>33.849422998255946</v>
      </c>
      <c r="DG67" s="280">
        <v>27.972633729584967</v>
      </c>
      <c r="DH67" s="280">
        <v>21.918609853603293</v>
      </c>
      <c r="DI67" s="283" t="s">
        <v>663</v>
      </c>
      <c r="DJ67" s="283" t="s">
        <v>663</v>
      </c>
      <c r="DK67" s="283" t="s">
        <v>663</v>
      </c>
      <c r="DL67" s="283" t="s">
        <v>663</v>
      </c>
      <c r="DM67" s="283" t="s">
        <v>663</v>
      </c>
      <c r="DN67" s="283" t="s">
        <v>663</v>
      </c>
      <c r="DO67" s="283" t="s">
        <v>663</v>
      </c>
      <c r="DP67" s="283" t="s">
        <v>663</v>
      </c>
      <c r="DQ67" s="284" t="s">
        <v>663</v>
      </c>
    </row>
    <row r="68" spans="1:121" ht="15.75" customHeight="1" x14ac:dyDescent="0.25">
      <c r="I68" s="216" t="s">
        <v>600</v>
      </c>
      <c r="J68" s="217" t="s">
        <v>603</v>
      </c>
      <c r="K68" s="218" t="s">
        <v>314</v>
      </c>
      <c r="L68" s="219" t="s">
        <v>7</v>
      </c>
      <c r="M68" s="219" t="str">
        <f t="shared" si="15"/>
        <v>Doesn't Apply</v>
      </c>
      <c r="N68" s="221">
        <f t="shared" si="16"/>
        <v>0</v>
      </c>
      <c r="O68" s="265">
        <f t="shared" si="16"/>
        <v>8.539502325113304</v>
      </c>
      <c r="P68" s="266">
        <f t="shared" ref="P68:P89" si="29">+O68/(N68+O68)</f>
        <v>1</v>
      </c>
      <c r="Q68" s="267">
        <f t="shared" si="17"/>
        <v>8.486450086675454</v>
      </c>
      <c r="R68" s="220">
        <f t="shared" si="18"/>
        <v>4.3098003024011712E-2</v>
      </c>
      <c r="S68" s="220">
        <f t="shared" si="18"/>
        <v>9.9542354138382663E-3</v>
      </c>
      <c r="T68" s="220">
        <f t="shared" si="18"/>
        <v>0.72254019124584645</v>
      </c>
      <c r="U68" s="220">
        <f t="shared" si="18"/>
        <v>0</v>
      </c>
      <c r="V68" s="220">
        <f t="shared" si="18"/>
        <v>7.7639098954296077</v>
      </c>
      <c r="W68" s="268">
        <f t="shared" si="19"/>
        <v>5.046898681351419E-3</v>
      </c>
      <c r="X68" s="268">
        <f t="shared" si="19"/>
        <v>1.1656692667632936E-3</v>
      </c>
      <c r="Y68" s="268">
        <f t="shared" si="19"/>
        <v>8.4611510570232168E-2</v>
      </c>
      <c r="Z68" s="268">
        <f t="shared" si="20"/>
        <v>0.90917592148165316</v>
      </c>
      <c r="AA68" s="269">
        <f t="shared" si="21"/>
        <v>0</v>
      </c>
      <c r="AB68" s="270">
        <v>91.278518944000012</v>
      </c>
      <c r="AC68" s="271">
        <f t="shared" si="22"/>
        <v>10.755795180757158</v>
      </c>
      <c r="AD68" s="272">
        <f t="shared" si="23"/>
        <v>0</v>
      </c>
      <c r="AE68" s="273" t="str">
        <f t="shared" si="24"/>
        <v>-</v>
      </c>
      <c r="AF68" s="272">
        <f t="shared" si="25"/>
        <v>91.278518944000012</v>
      </c>
      <c r="AG68" s="274">
        <f t="shared" si="26"/>
        <v>10.688974072360699</v>
      </c>
      <c r="AH68" s="275">
        <f t="shared" si="27"/>
        <v>8.539502325113304</v>
      </c>
      <c r="AI68" s="276">
        <v>1</v>
      </c>
      <c r="AJ68" s="277">
        <v>0.71685328526162295</v>
      </c>
      <c r="AK68" s="277">
        <v>1.0757259540778876</v>
      </c>
      <c r="AL68" s="277">
        <v>0.77263629352239904</v>
      </c>
      <c r="AM68" s="277">
        <v>0.67891132441900459</v>
      </c>
      <c r="AN68" s="277">
        <v>0.61682447940381147</v>
      </c>
      <c r="AO68" s="277">
        <v>0.42940427627605338</v>
      </c>
      <c r="AP68" s="277">
        <v>0.33576851240974936</v>
      </c>
      <c r="AQ68" s="277">
        <v>0.27368166739455629</v>
      </c>
      <c r="AR68" s="277">
        <v>0.1805513998717613</v>
      </c>
      <c r="AS68" s="277">
        <v>8.7421132348974542E-2</v>
      </c>
      <c r="AT68" s="277">
        <v>2.5334287333775622E-2</v>
      </c>
      <c r="AU68" s="277">
        <v>0</v>
      </c>
      <c r="AV68" s="278">
        <v>0</v>
      </c>
      <c r="AW68" s="279">
        <f t="shared" si="28"/>
        <v>8.539502325113304</v>
      </c>
      <c r="AX68" s="280">
        <f t="shared" si="28"/>
        <v>6.1215702962567402</v>
      </c>
      <c r="AY68" s="280">
        <f t="shared" si="28"/>
        <v>9.1861642860328487</v>
      </c>
      <c r="AZ68" s="280">
        <f t="shared" si="28"/>
        <v>6.5979294250014515</v>
      </c>
      <c r="BA68" s="280">
        <f t="shared" si="28"/>
        <v>5.7975648334218421</v>
      </c>
      <c r="BB68" s="280">
        <f t="shared" si="28"/>
        <v>5.2673740760556509</v>
      </c>
      <c r="BC68" s="280">
        <f t="shared" si="28"/>
        <v>3.6668988156729534</v>
      </c>
      <c r="BD68" s="280">
        <f t="shared" si="28"/>
        <v>2.86729599242289</v>
      </c>
      <c r="BE68" s="280">
        <f t="shared" si="28"/>
        <v>2.3371052350566992</v>
      </c>
      <c r="BF68" s="280">
        <f t="shared" si="28"/>
        <v>1.5418190990073675</v>
      </c>
      <c r="BG68" s="280">
        <f t="shared" si="28"/>
        <v>0.74653296295810601</v>
      </c>
      <c r="BH68" s="280">
        <f t="shared" si="28"/>
        <v>0.21634220559186546</v>
      </c>
      <c r="BI68" s="280">
        <f t="shared" si="28"/>
        <v>0</v>
      </c>
      <c r="BJ68" s="281">
        <f t="shared" si="28"/>
        <v>0</v>
      </c>
      <c r="BK68" s="279">
        <v>8.539502325113304</v>
      </c>
      <c r="BL68" s="280">
        <v>6.1215702962567402</v>
      </c>
      <c r="BM68" s="280">
        <v>9.1861642860328487</v>
      </c>
      <c r="BN68" s="280">
        <v>6.5979294250014515</v>
      </c>
      <c r="BO68" s="280">
        <v>5.7975648334218421</v>
      </c>
      <c r="BP68" s="280">
        <v>5.2673740760556509</v>
      </c>
      <c r="BQ68" s="280">
        <v>3.6668988156729534</v>
      </c>
      <c r="BR68" s="280">
        <v>2.86729599242289</v>
      </c>
      <c r="BS68" s="280">
        <v>2.3371052350566992</v>
      </c>
      <c r="BT68" s="283">
        <v>1.5418190990073675</v>
      </c>
      <c r="BU68" s="283">
        <v>0.74653296295810601</v>
      </c>
      <c r="BV68" s="283">
        <v>0.21634220559186546</v>
      </c>
      <c r="BW68" s="283">
        <v>0</v>
      </c>
      <c r="BX68" s="284">
        <v>0</v>
      </c>
      <c r="BY68" s="180"/>
      <c r="BZ68" s="180"/>
      <c r="CA68" s="180"/>
      <c r="CB68" s="276" t="s">
        <v>663</v>
      </c>
      <c r="CC68" s="277" t="s">
        <v>663</v>
      </c>
      <c r="CD68" s="277" t="s">
        <v>663</v>
      </c>
      <c r="CE68" s="277" t="s">
        <v>663</v>
      </c>
      <c r="CF68" s="277" t="s">
        <v>663</v>
      </c>
      <c r="CG68" s="277" t="s">
        <v>663</v>
      </c>
      <c r="CH68" s="277" t="s">
        <v>663</v>
      </c>
      <c r="CI68" s="277" t="s">
        <v>663</v>
      </c>
      <c r="CJ68" s="277" t="s">
        <v>663</v>
      </c>
      <c r="CK68" s="277" t="s">
        <v>663</v>
      </c>
      <c r="CL68" s="277" t="s">
        <v>663</v>
      </c>
      <c r="CM68" s="277" t="s">
        <v>663</v>
      </c>
      <c r="CN68" s="277" t="s">
        <v>663</v>
      </c>
      <c r="CO68" s="278" t="s">
        <v>663</v>
      </c>
      <c r="CP68" s="279" t="s">
        <v>663</v>
      </c>
      <c r="CQ68" s="280" t="s">
        <v>663</v>
      </c>
      <c r="CR68" s="280" t="s">
        <v>663</v>
      </c>
      <c r="CS68" s="280" t="s">
        <v>663</v>
      </c>
      <c r="CT68" s="280" t="s">
        <v>663</v>
      </c>
      <c r="CU68" s="280" t="s">
        <v>663</v>
      </c>
      <c r="CV68" s="280" t="s">
        <v>663</v>
      </c>
      <c r="CW68" s="280" t="s">
        <v>663</v>
      </c>
      <c r="CX68" s="280" t="s">
        <v>663</v>
      </c>
      <c r="CY68" s="280" t="s">
        <v>663</v>
      </c>
      <c r="CZ68" s="280" t="s">
        <v>663</v>
      </c>
      <c r="DA68" s="280" t="s">
        <v>663</v>
      </c>
      <c r="DB68" s="280" t="s">
        <v>663</v>
      </c>
      <c r="DC68" s="281" t="s">
        <v>663</v>
      </c>
      <c r="DD68" s="279">
        <v>8.539502325113304</v>
      </c>
      <c r="DE68" s="280">
        <v>6.1215702962567402</v>
      </c>
      <c r="DF68" s="280">
        <v>9.1861642860328487</v>
      </c>
      <c r="DG68" s="280">
        <v>6.5979294250014515</v>
      </c>
      <c r="DH68" s="280">
        <v>5.7975648334218421</v>
      </c>
      <c r="DI68" s="280">
        <v>5.2673740760556509</v>
      </c>
      <c r="DJ68" s="280">
        <v>3.6668988156729534</v>
      </c>
      <c r="DK68" s="280">
        <v>2.86729599242289</v>
      </c>
      <c r="DL68" s="280">
        <v>2.3371052350566992</v>
      </c>
      <c r="DM68" s="283" t="s">
        <v>663</v>
      </c>
      <c r="DN68" s="283" t="s">
        <v>663</v>
      </c>
      <c r="DO68" s="283" t="s">
        <v>663</v>
      </c>
      <c r="DP68" s="283" t="s">
        <v>663</v>
      </c>
      <c r="DQ68" s="284" t="s">
        <v>663</v>
      </c>
    </row>
    <row r="69" spans="1:121" ht="15.75" customHeight="1" x14ac:dyDescent="0.25">
      <c r="I69" s="216" t="s">
        <v>605</v>
      </c>
      <c r="J69" s="217" t="s">
        <v>606</v>
      </c>
      <c r="K69" s="218" t="s">
        <v>314</v>
      </c>
      <c r="L69" s="219" t="s">
        <v>7</v>
      </c>
      <c r="M69" s="219" t="s">
        <v>292</v>
      </c>
      <c r="N69" s="221">
        <f t="shared" si="16"/>
        <v>0</v>
      </c>
      <c r="O69" s="265">
        <f t="shared" si="16"/>
        <v>13.106881088314344</v>
      </c>
      <c r="P69" s="266">
        <f t="shared" si="29"/>
        <v>1</v>
      </c>
      <c r="Q69" s="267">
        <f t="shared" si="17"/>
        <v>11.790499076061606</v>
      </c>
      <c r="R69" s="220">
        <f t="shared" si="18"/>
        <v>0</v>
      </c>
      <c r="S69" s="220">
        <f t="shared" si="18"/>
        <v>0</v>
      </c>
      <c r="T69" s="220">
        <f t="shared" si="18"/>
        <v>13.106881088314344</v>
      </c>
      <c r="U69" s="220">
        <f t="shared" si="18"/>
        <v>1.3163820122527377</v>
      </c>
      <c r="V69" s="220">
        <f t="shared" si="18"/>
        <v>0</v>
      </c>
      <c r="W69" s="268">
        <f t="shared" si="19"/>
        <v>0</v>
      </c>
      <c r="X69" s="268">
        <f t="shared" si="19"/>
        <v>0</v>
      </c>
      <c r="Y69" s="268">
        <f t="shared" si="19"/>
        <v>1</v>
      </c>
      <c r="Z69" s="268">
        <f t="shared" si="20"/>
        <v>0</v>
      </c>
      <c r="AA69" s="269">
        <f t="shared" si="21"/>
        <v>0.10043442092614846</v>
      </c>
      <c r="AB69" s="270">
        <v>23.492594688000001</v>
      </c>
      <c r="AC69" s="271">
        <f t="shared" si="22"/>
        <v>1.9925021440099429</v>
      </c>
      <c r="AD69" s="272">
        <f t="shared" si="23"/>
        <v>0</v>
      </c>
      <c r="AE69" s="273" t="str">
        <f t="shared" si="24"/>
        <v>-</v>
      </c>
      <c r="AF69" s="272">
        <f t="shared" si="25"/>
        <v>23.492594688000001</v>
      </c>
      <c r="AG69" s="274">
        <f t="shared" si="26"/>
        <v>1.7923863449821951</v>
      </c>
      <c r="AH69" s="275">
        <f t="shared" si="27"/>
        <v>13.106881088314344</v>
      </c>
      <c r="AI69" s="276">
        <v>1</v>
      </c>
      <c r="AJ69" s="277">
        <v>0.95820762096323608</v>
      </c>
      <c r="AK69" s="277">
        <v>0.30506201810258143</v>
      </c>
      <c r="AL69" s="277">
        <v>0.16426416359369764</v>
      </c>
      <c r="AM69" s="277">
        <v>8.2132081796848902E-2</v>
      </c>
      <c r="AN69" s="277">
        <v>0</v>
      </c>
      <c r="AO69" s="277">
        <v>0</v>
      </c>
      <c r="AP69" s="277">
        <v>0</v>
      </c>
      <c r="AQ69" s="277">
        <v>0</v>
      </c>
      <c r="AR69" s="277">
        <v>0</v>
      </c>
      <c r="AS69" s="277">
        <v>0</v>
      </c>
      <c r="AT69" s="277">
        <v>0</v>
      </c>
      <c r="AU69" s="277">
        <v>0</v>
      </c>
      <c r="AV69" s="278">
        <v>0</v>
      </c>
      <c r="AW69" s="279">
        <f t="shared" si="28"/>
        <v>13.106881088314344</v>
      </c>
      <c r="AX69" s="280">
        <f t="shared" si="28"/>
        <v>12.559113345881718</v>
      </c>
      <c r="AY69" s="280">
        <f t="shared" si="28"/>
        <v>3.9984115958317328</v>
      </c>
      <c r="AZ69" s="280">
        <f t="shared" si="28"/>
        <v>2.1529908592940092</v>
      </c>
      <c r="BA69" s="280">
        <f t="shared" si="28"/>
        <v>1.0764954296470057</v>
      </c>
      <c r="BB69" s="280">
        <f t="shared" si="28"/>
        <v>0</v>
      </c>
      <c r="BC69" s="280">
        <f t="shared" si="28"/>
        <v>0</v>
      </c>
      <c r="BD69" s="280">
        <f t="shared" si="28"/>
        <v>0</v>
      </c>
      <c r="BE69" s="280">
        <f t="shared" si="28"/>
        <v>0</v>
      </c>
      <c r="BF69" s="280">
        <f t="shared" si="28"/>
        <v>0</v>
      </c>
      <c r="BG69" s="280">
        <f t="shared" si="28"/>
        <v>0</v>
      </c>
      <c r="BH69" s="280">
        <f t="shared" si="28"/>
        <v>0</v>
      </c>
      <c r="BI69" s="280">
        <f t="shared" si="28"/>
        <v>0</v>
      </c>
      <c r="BJ69" s="281">
        <f t="shared" si="28"/>
        <v>0</v>
      </c>
      <c r="BK69" s="279">
        <v>13.106881088314344</v>
      </c>
      <c r="BL69" s="280">
        <v>12.559113345881718</v>
      </c>
      <c r="BM69" s="280">
        <v>3.9984115958317328</v>
      </c>
      <c r="BN69" s="280">
        <v>2.1529908592940092</v>
      </c>
      <c r="BO69" s="280">
        <v>1.0764954296470057</v>
      </c>
      <c r="BP69" s="283">
        <v>0</v>
      </c>
      <c r="BQ69" s="283">
        <v>0</v>
      </c>
      <c r="BR69" s="283">
        <v>0</v>
      </c>
      <c r="BS69" s="283">
        <v>0</v>
      </c>
      <c r="BT69" s="283">
        <v>0</v>
      </c>
      <c r="BU69" s="283">
        <v>0</v>
      </c>
      <c r="BV69" s="283">
        <v>0</v>
      </c>
      <c r="BW69" s="283">
        <v>0</v>
      </c>
      <c r="BX69" s="284">
        <v>0</v>
      </c>
      <c r="BY69" s="180"/>
      <c r="BZ69" s="180"/>
      <c r="CA69" s="180"/>
      <c r="CB69" s="276" t="s">
        <v>663</v>
      </c>
      <c r="CC69" s="277" t="s">
        <v>663</v>
      </c>
      <c r="CD69" s="277" t="s">
        <v>663</v>
      </c>
      <c r="CE69" s="277" t="s">
        <v>663</v>
      </c>
      <c r="CF69" s="277" t="s">
        <v>663</v>
      </c>
      <c r="CG69" s="277" t="s">
        <v>663</v>
      </c>
      <c r="CH69" s="277" t="s">
        <v>663</v>
      </c>
      <c r="CI69" s="277" t="s">
        <v>663</v>
      </c>
      <c r="CJ69" s="277" t="s">
        <v>663</v>
      </c>
      <c r="CK69" s="277" t="s">
        <v>663</v>
      </c>
      <c r="CL69" s="277" t="s">
        <v>663</v>
      </c>
      <c r="CM69" s="277" t="s">
        <v>663</v>
      </c>
      <c r="CN69" s="277" t="s">
        <v>663</v>
      </c>
      <c r="CO69" s="278" t="s">
        <v>663</v>
      </c>
      <c r="CP69" s="279" t="s">
        <v>663</v>
      </c>
      <c r="CQ69" s="280" t="s">
        <v>663</v>
      </c>
      <c r="CR69" s="280" t="s">
        <v>663</v>
      </c>
      <c r="CS69" s="280" t="s">
        <v>663</v>
      </c>
      <c r="CT69" s="280" t="s">
        <v>663</v>
      </c>
      <c r="CU69" s="280" t="s">
        <v>663</v>
      </c>
      <c r="CV69" s="280" t="s">
        <v>663</v>
      </c>
      <c r="CW69" s="280" t="s">
        <v>663</v>
      </c>
      <c r="CX69" s="280" t="s">
        <v>663</v>
      </c>
      <c r="CY69" s="280" t="s">
        <v>663</v>
      </c>
      <c r="CZ69" s="280" t="s">
        <v>663</v>
      </c>
      <c r="DA69" s="280" t="s">
        <v>663</v>
      </c>
      <c r="DB69" s="280" t="s">
        <v>663</v>
      </c>
      <c r="DC69" s="281" t="s">
        <v>663</v>
      </c>
      <c r="DD69" s="279">
        <v>13.106881088314344</v>
      </c>
      <c r="DE69" s="280">
        <v>12.559113345881718</v>
      </c>
      <c r="DF69" s="280">
        <v>3.9984115958317328</v>
      </c>
      <c r="DG69" s="280">
        <v>2.1529908592940092</v>
      </c>
      <c r="DH69" s="280">
        <v>1.0764954296470057</v>
      </c>
      <c r="DI69" s="283" t="s">
        <v>663</v>
      </c>
      <c r="DJ69" s="283" t="s">
        <v>663</v>
      </c>
      <c r="DK69" s="283" t="s">
        <v>663</v>
      </c>
      <c r="DL69" s="283" t="s">
        <v>663</v>
      </c>
      <c r="DM69" s="283" t="s">
        <v>663</v>
      </c>
      <c r="DN69" s="283" t="s">
        <v>663</v>
      </c>
      <c r="DO69" s="283" t="s">
        <v>663</v>
      </c>
      <c r="DP69" s="283" t="s">
        <v>663</v>
      </c>
      <c r="DQ69" s="284" t="s">
        <v>663</v>
      </c>
    </row>
    <row r="70" spans="1:121" ht="15.75" customHeight="1" x14ac:dyDescent="0.25">
      <c r="I70" s="218" t="s">
        <v>605</v>
      </c>
      <c r="J70" s="219" t="s">
        <v>608</v>
      </c>
      <c r="K70" s="218">
        <v>48</v>
      </c>
      <c r="L70" s="219"/>
      <c r="M70" s="219" t="str">
        <f t="shared" si="15"/>
        <v>Light Oil</v>
      </c>
      <c r="N70" s="285">
        <f t="shared" si="16"/>
        <v>22.733323234776581</v>
      </c>
      <c r="O70" s="286">
        <f t="shared" si="16"/>
        <v>93.265320299494704</v>
      </c>
      <c r="P70" s="287">
        <f t="shared" si="29"/>
        <v>0.80402078384597564</v>
      </c>
      <c r="Q70" s="288">
        <f t="shared" si="17"/>
        <v>75.291444019366892</v>
      </c>
      <c r="R70" s="289">
        <f t="shared" si="18"/>
        <v>14.103990590462988</v>
      </c>
      <c r="S70" s="289">
        <f t="shared" si="18"/>
        <v>0.82481844578701846</v>
      </c>
      <c r="T70" s="289">
        <f t="shared" si="18"/>
        <v>6.0840367613967006</v>
      </c>
      <c r="U70" s="289">
        <f t="shared" si="18"/>
        <v>3.0450672438778423</v>
      </c>
      <c r="V70" s="289">
        <f t="shared" si="18"/>
        <v>72.252474501848027</v>
      </c>
      <c r="W70" s="290">
        <f t="shared" si="19"/>
        <v>0.15122438378136788</v>
      </c>
      <c r="X70" s="290">
        <f t="shared" si="19"/>
        <v>8.8437850547057762E-3</v>
      </c>
      <c r="Y70" s="290">
        <f t="shared" si="19"/>
        <v>6.5233644637251759E-2</v>
      </c>
      <c r="Z70" s="290">
        <f t="shared" si="20"/>
        <v>0.77469818652667488</v>
      </c>
      <c r="AA70" s="291">
        <f t="shared" si="21"/>
        <v>0.50050112504231359</v>
      </c>
      <c r="AB70" s="270">
        <v>1074.662101981407</v>
      </c>
      <c r="AC70" s="271">
        <f t="shared" si="22"/>
        <v>10.963169126382001</v>
      </c>
      <c r="AD70" s="272">
        <f t="shared" si="23"/>
        <v>210.61143637675241</v>
      </c>
      <c r="AE70" s="292">
        <f t="shared" si="24"/>
        <v>9.2644368006243347</v>
      </c>
      <c r="AF70" s="272">
        <f t="shared" si="25"/>
        <v>864.05066560465468</v>
      </c>
      <c r="AG70" s="274">
        <f t="shared" si="26"/>
        <v>9.2644368006243365</v>
      </c>
      <c r="AH70" s="275">
        <f t="shared" si="27"/>
        <v>115.99864353427128</v>
      </c>
      <c r="AI70" s="276">
        <v>1</v>
      </c>
      <c r="AJ70" s="277">
        <v>1.1460583239097806</v>
      </c>
      <c r="AK70" s="277">
        <v>1.0267765189182025</v>
      </c>
      <c r="AL70" s="277">
        <v>0.79637254256474788</v>
      </c>
      <c r="AM70" s="277">
        <v>0.6671995559556464</v>
      </c>
      <c r="AN70" s="277">
        <v>0.47344007604199378</v>
      </c>
      <c r="AO70" s="277">
        <v>0.35327754723604365</v>
      </c>
      <c r="AP70" s="277">
        <v>0.27316919469874357</v>
      </c>
      <c r="AQ70" s="277">
        <v>0.20255695994008427</v>
      </c>
      <c r="AR70" s="277">
        <v>0.10260539330343703</v>
      </c>
      <c r="AS70" s="277">
        <v>8.2721426420613448E-2</v>
      </c>
      <c r="AT70" s="277">
        <v>6.9465448498731056E-2</v>
      </c>
      <c r="AU70" s="277">
        <v>6.2248018561534842E-2</v>
      </c>
      <c r="AV70" s="278">
        <v>5.1421873655740524E-2</v>
      </c>
      <c r="AW70" s="279">
        <f t="shared" si="28"/>
        <v>115.99864353427128</v>
      </c>
      <c r="AX70" s="280">
        <f t="shared" si="28"/>
        <v>132.94121098469506</v>
      </c>
      <c r="AY70" s="280">
        <f t="shared" si="28"/>
        <v>119.10468340735252</v>
      </c>
      <c r="AZ70" s="280">
        <f t="shared" si="28"/>
        <v>92.378134685449467</v>
      </c>
      <c r="BA70" s="280">
        <f t="shared" si="28"/>
        <v>77.394243457523118</v>
      </c>
      <c r="BB70" s="280">
        <f t="shared" si="28"/>
        <v>54.918406615633529</v>
      </c>
      <c r="BC70" s="280">
        <f t="shared" si="28"/>
        <v>40.979716270495516</v>
      </c>
      <c r="BD70" s="280">
        <f t="shared" si="28"/>
        <v>31.687256040403504</v>
      </c>
      <c r="BE70" s="280">
        <f t="shared" si="28"/>
        <v>23.496332591475504</v>
      </c>
      <c r="BF70" s="280">
        <f t="shared" si="28"/>
        <v>11.902086442499098</v>
      </c>
      <c r="BG70" s="280">
        <f t="shared" si="28"/>
        <v>9.595573256011189</v>
      </c>
      <c r="BH70" s="280">
        <f t="shared" si="28"/>
        <v>8.0578977983525846</v>
      </c>
      <c r="BI70" s="280">
        <f t="shared" si="28"/>
        <v>7.2206857158341826</v>
      </c>
      <c r="BJ70" s="281">
        <f t="shared" si="28"/>
        <v>5.9648675920565806</v>
      </c>
      <c r="BK70" s="279">
        <v>115.99864353427128</v>
      </c>
      <c r="BL70" s="280">
        <v>132.94121098469506</v>
      </c>
      <c r="BM70" s="280">
        <v>119.10468340735252</v>
      </c>
      <c r="BN70" s="280">
        <v>92.378134685449467</v>
      </c>
      <c r="BO70" s="282">
        <v>77.394243457523118</v>
      </c>
      <c r="BP70" s="280">
        <v>54.918406615633529</v>
      </c>
      <c r="BQ70" s="282">
        <v>40.979716270495516</v>
      </c>
      <c r="BR70" s="280">
        <v>31.687256040403504</v>
      </c>
      <c r="BS70" s="282">
        <v>23.496332591475504</v>
      </c>
      <c r="BT70" s="280">
        <v>11.902086442499098</v>
      </c>
      <c r="BU70" s="282">
        <v>9.595573256011189</v>
      </c>
      <c r="BV70" s="280">
        <v>8.0578977983525846</v>
      </c>
      <c r="BW70" s="282">
        <v>7.2206857158341826</v>
      </c>
      <c r="BX70" s="281">
        <v>5.9648675920565806</v>
      </c>
      <c r="BY70" s="180"/>
      <c r="BZ70" s="180"/>
      <c r="CA70" s="180"/>
      <c r="CB70" s="276" t="s">
        <v>663</v>
      </c>
      <c r="CC70" s="277" t="s">
        <v>663</v>
      </c>
      <c r="CD70" s="277" t="s">
        <v>663</v>
      </c>
      <c r="CE70" s="277" t="s">
        <v>663</v>
      </c>
      <c r="CF70" s="277" t="s">
        <v>663</v>
      </c>
      <c r="CG70" s="277" t="s">
        <v>663</v>
      </c>
      <c r="CH70" s="277" t="s">
        <v>663</v>
      </c>
      <c r="CI70" s="277" t="s">
        <v>663</v>
      </c>
      <c r="CJ70" s="277" t="s">
        <v>663</v>
      </c>
      <c r="CK70" s="277" t="s">
        <v>663</v>
      </c>
      <c r="CL70" s="277" t="s">
        <v>663</v>
      </c>
      <c r="CM70" s="277" t="s">
        <v>663</v>
      </c>
      <c r="CN70" s="277" t="s">
        <v>663</v>
      </c>
      <c r="CO70" s="278" t="s">
        <v>663</v>
      </c>
      <c r="CP70" s="279" t="s">
        <v>663</v>
      </c>
      <c r="CQ70" s="280" t="s">
        <v>663</v>
      </c>
      <c r="CR70" s="280" t="s">
        <v>663</v>
      </c>
      <c r="CS70" s="280" t="s">
        <v>663</v>
      </c>
      <c r="CT70" s="280" t="s">
        <v>663</v>
      </c>
      <c r="CU70" s="280" t="s">
        <v>663</v>
      </c>
      <c r="CV70" s="280" t="s">
        <v>663</v>
      </c>
      <c r="CW70" s="280" t="s">
        <v>663</v>
      </c>
      <c r="CX70" s="280" t="s">
        <v>663</v>
      </c>
      <c r="CY70" s="280" t="s">
        <v>663</v>
      </c>
      <c r="CZ70" s="280" t="s">
        <v>663</v>
      </c>
      <c r="DA70" s="280" t="s">
        <v>663</v>
      </c>
      <c r="DB70" s="280" t="s">
        <v>663</v>
      </c>
      <c r="DC70" s="281" t="s">
        <v>663</v>
      </c>
      <c r="DD70" s="279">
        <v>115.99864353427128</v>
      </c>
      <c r="DE70" s="280">
        <v>132.94121098469506</v>
      </c>
      <c r="DF70" s="280">
        <v>119.10468340735252</v>
      </c>
      <c r="DG70" s="280">
        <v>92.378134685449467</v>
      </c>
      <c r="DH70" s="282">
        <v>77.394243457523089</v>
      </c>
      <c r="DI70" s="280">
        <v>54.918406615633529</v>
      </c>
      <c r="DJ70" s="282">
        <v>40.979716270495516</v>
      </c>
      <c r="DK70" s="280">
        <v>31.687256040403504</v>
      </c>
      <c r="DL70" s="282">
        <v>23.773188201241741</v>
      </c>
      <c r="DM70" s="280">
        <v>11.902086442499098</v>
      </c>
      <c r="DN70" s="282">
        <v>9.595573256011189</v>
      </c>
      <c r="DO70" s="280">
        <v>8.0578977983525846</v>
      </c>
      <c r="DP70" s="282">
        <v>7.2206857158341826</v>
      </c>
      <c r="DQ70" s="281">
        <v>5.9648675920565806</v>
      </c>
    </row>
    <row r="71" spans="1:121" ht="15.75" customHeight="1" x14ac:dyDescent="0.25">
      <c r="I71" s="218" t="s">
        <v>605</v>
      </c>
      <c r="J71" s="219" t="s">
        <v>610</v>
      </c>
      <c r="K71" s="218">
        <v>52</v>
      </c>
      <c r="L71" s="219"/>
      <c r="M71" s="219" t="str">
        <f t="shared" si="15"/>
        <v>Light Oil</v>
      </c>
      <c r="N71" s="285">
        <f t="shared" si="16"/>
        <v>7.0712088472532377</v>
      </c>
      <c r="O71" s="286">
        <f t="shared" si="16"/>
        <v>83.600151440022017</v>
      </c>
      <c r="P71" s="287">
        <f t="shared" si="29"/>
        <v>0.92201276318289005</v>
      </c>
      <c r="Q71" s="288">
        <f t="shared" si="17"/>
        <v>60.807849771910234</v>
      </c>
      <c r="R71" s="289">
        <f t="shared" si="18"/>
        <v>11.187076555858232</v>
      </c>
      <c r="S71" s="289">
        <f t="shared" si="18"/>
        <v>0.42083397893088031</v>
      </c>
      <c r="T71" s="289">
        <f t="shared" si="18"/>
        <v>11.193699252036202</v>
      </c>
      <c r="U71" s="289">
        <f t="shared" si="18"/>
        <v>11.184391133322654</v>
      </c>
      <c r="V71" s="289">
        <f t="shared" si="18"/>
        <v>60.798541653196693</v>
      </c>
      <c r="W71" s="290">
        <f t="shared" si="19"/>
        <v>0.13381646280729853</v>
      </c>
      <c r="X71" s="290">
        <f t="shared" si="19"/>
        <v>5.0338901506991034E-3</v>
      </c>
      <c r="Y71" s="290">
        <f t="shared" si="19"/>
        <v>0.13389568151759862</v>
      </c>
      <c r="Z71" s="290">
        <f t="shared" si="20"/>
        <v>0.72725396552440358</v>
      </c>
      <c r="AA71" s="291">
        <f t="shared" si="21"/>
        <v>0.99916845016969213</v>
      </c>
      <c r="AB71" s="270">
        <v>170.99427644000002</v>
      </c>
      <c r="AC71" s="271">
        <f t="shared" si="22"/>
        <v>2.519102060612922</v>
      </c>
      <c r="AD71" s="272">
        <f t="shared" si="23"/>
        <v>13.335371131096654</v>
      </c>
      <c r="AE71" s="292">
        <f t="shared" si="24"/>
        <v>1.8858686568530199</v>
      </c>
      <c r="AF71" s="272">
        <f t="shared" si="25"/>
        <v>157.65890530890337</v>
      </c>
      <c r="AG71" s="274">
        <f t="shared" si="26"/>
        <v>1.8858686568530199</v>
      </c>
      <c r="AH71" s="275">
        <f t="shared" si="27"/>
        <v>90.671360287275249</v>
      </c>
      <c r="AI71" s="276">
        <v>1</v>
      </c>
      <c r="AJ71" s="277">
        <v>0.86406008870132311</v>
      </c>
      <c r="AK71" s="277">
        <v>0.61897237008422135</v>
      </c>
      <c r="AL71" s="277">
        <v>0.45558055767282019</v>
      </c>
      <c r="AM71" s="277">
        <v>0.44541727468556247</v>
      </c>
      <c r="AN71" s="277">
        <v>0.19955654101995188</v>
      </c>
      <c r="AO71" s="277">
        <v>4.4345898004418072E-2</v>
      </c>
      <c r="AP71" s="277">
        <v>0</v>
      </c>
      <c r="AQ71" s="277">
        <v>0</v>
      </c>
      <c r="AR71" s="277">
        <v>0</v>
      </c>
      <c r="AS71" s="277">
        <v>0</v>
      </c>
      <c r="AT71" s="277">
        <v>0</v>
      </c>
      <c r="AU71" s="277">
        <v>0</v>
      </c>
      <c r="AV71" s="278">
        <v>0</v>
      </c>
      <c r="AW71" s="279">
        <f t="shared" si="28"/>
        <v>90.671360287275249</v>
      </c>
      <c r="AX71" s="280">
        <f t="shared" si="28"/>
        <v>78.345503612492678</v>
      </c>
      <c r="AY71" s="280">
        <f t="shared" si="28"/>
        <v>56.123066775775108</v>
      </c>
      <c r="AZ71" s="280">
        <f t="shared" si="28"/>
        <v>41.308108884630059</v>
      </c>
      <c r="BA71" s="280">
        <f t="shared" si="28"/>
        <v>40.386590191190876</v>
      </c>
      <c r="BB71" s="280">
        <f t="shared" si="28"/>
        <v>18.094063028502479</v>
      </c>
      <c r="BC71" s="280">
        <f t="shared" si="28"/>
        <v>4.0209028952213517</v>
      </c>
      <c r="BD71" s="280">
        <f t="shared" si="28"/>
        <v>0</v>
      </c>
      <c r="BE71" s="280">
        <f t="shared" si="28"/>
        <v>0</v>
      </c>
      <c r="BF71" s="280">
        <f t="shared" si="28"/>
        <v>0</v>
      </c>
      <c r="BG71" s="280">
        <f t="shared" si="28"/>
        <v>0</v>
      </c>
      <c r="BH71" s="280">
        <f t="shared" si="28"/>
        <v>0</v>
      </c>
      <c r="BI71" s="280">
        <f t="shared" si="28"/>
        <v>0</v>
      </c>
      <c r="BJ71" s="281">
        <f t="shared" si="28"/>
        <v>0</v>
      </c>
      <c r="BK71" s="279">
        <v>90.671360287275249</v>
      </c>
      <c r="BL71" s="280">
        <v>78.345503612492678</v>
      </c>
      <c r="BM71" s="282">
        <v>56.123066775775108</v>
      </c>
      <c r="BN71" s="280">
        <v>41.308108884630059</v>
      </c>
      <c r="BO71" s="283">
        <v>40.386590191190876</v>
      </c>
      <c r="BP71" s="283">
        <v>18.094063028502479</v>
      </c>
      <c r="BQ71" s="283">
        <v>4.0209028952213517</v>
      </c>
      <c r="BR71" s="283">
        <v>0</v>
      </c>
      <c r="BS71" s="283">
        <v>0</v>
      </c>
      <c r="BT71" s="283">
        <v>0</v>
      </c>
      <c r="BU71" s="283">
        <v>0</v>
      </c>
      <c r="BV71" s="283">
        <v>0</v>
      </c>
      <c r="BW71" s="283">
        <v>0</v>
      </c>
      <c r="BX71" s="284">
        <v>0</v>
      </c>
      <c r="BY71" s="180"/>
      <c r="BZ71" s="180"/>
      <c r="CA71" s="180"/>
      <c r="CB71" s="276" t="s">
        <v>663</v>
      </c>
      <c r="CC71" s="277" t="s">
        <v>663</v>
      </c>
      <c r="CD71" s="277" t="s">
        <v>663</v>
      </c>
      <c r="CE71" s="277" t="s">
        <v>663</v>
      </c>
      <c r="CF71" s="277" t="s">
        <v>663</v>
      </c>
      <c r="CG71" s="277" t="s">
        <v>663</v>
      </c>
      <c r="CH71" s="277" t="s">
        <v>663</v>
      </c>
      <c r="CI71" s="277" t="s">
        <v>663</v>
      </c>
      <c r="CJ71" s="277" t="s">
        <v>663</v>
      </c>
      <c r="CK71" s="277" t="s">
        <v>663</v>
      </c>
      <c r="CL71" s="277" t="s">
        <v>663</v>
      </c>
      <c r="CM71" s="277" t="s">
        <v>663</v>
      </c>
      <c r="CN71" s="277" t="s">
        <v>663</v>
      </c>
      <c r="CO71" s="278" t="s">
        <v>663</v>
      </c>
      <c r="CP71" s="279" t="s">
        <v>663</v>
      </c>
      <c r="CQ71" s="280" t="s">
        <v>663</v>
      </c>
      <c r="CR71" s="280" t="s">
        <v>663</v>
      </c>
      <c r="CS71" s="280" t="s">
        <v>663</v>
      </c>
      <c r="CT71" s="280" t="s">
        <v>663</v>
      </c>
      <c r="CU71" s="280" t="s">
        <v>663</v>
      </c>
      <c r="CV71" s="280" t="s">
        <v>663</v>
      </c>
      <c r="CW71" s="280" t="s">
        <v>663</v>
      </c>
      <c r="CX71" s="280" t="s">
        <v>663</v>
      </c>
      <c r="CY71" s="280" t="s">
        <v>663</v>
      </c>
      <c r="CZ71" s="280" t="s">
        <v>663</v>
      </c>
      <c r="DA71" s="280" t="s">
        <v>663</v>
      </c>
      <c r="DB71" s="280" t="s">
        <v>663</v>
      </c>
      <c r="DC71" s="281" t="s">
        <v>663</v>
      </c>
      <c r="DD71" s="279">
        <v>90.671360287275249</v>
      </c>
      <c r="DE71" s="280">
        <v>78.345503612492678</v>
      </c>
      <c r="DF71" s="282">
        <v>56.123066775775108</v>
      </c>
      <c r="DG71" s="280">
        <v>41.308108884630059</v>
      </c>
      <c r="DH71" s="283" t="s">
        <v>663</v>
      </c>
      <c r="DI71" s="283" t="s">
        <v>663</v>
      </c>
      <c r="DJ71" s="283" t="s">
        <v>663</v>
      </c>
      <c r="DK71" s="283" t="s">
        <v>663</v>
      </c>
      <c r="DL71" s="283" t="s">
        <v>663</v>
      </c>
      <c r="DM71" s="283" t="s">
        <v>663</v>
      </c>
      <c r="DN71" s="283" t="s">
        <v>663</v>
      </c>
      <c r="DO71" s="283" t="s">
        <v>663</v>
      </c>
      <c r="DP71" s="283" t="s">
        <v>663</v>
      </c>
      <c r="DQ71" s="284" t="s">
        <v>663</v>
      </c>
    </row>
    <row r="72" spans="1:121" ht="15.75" customHeight="1" x14ac:dyDescent="0.25">
      <c r="I72" s="218" t="s">
        <v>605</v>
      </c>
      <c r="J72" s="219" t="s">
        <v>612</v>
      </c>
      <c r="K72" s="218">
        <v>46</v>
      </c>
      <c r="L72" s="219"/>
      <c r="M72" s="219" t="str">
        <f t="shared" si="15"/>
        <v>Light Oil</v>
      </c>
      <c r="N72" s="285">
        <f t="shared" si="16"/>
        <v>60.007782289723188</v>
      </c>
      <c r="O72" s="286">
        <f t="shared" si="16"/>
        <v>77.441558868755962</v>
      </c>
      <c r="P72" s="287">
        <f t="shared" si="29"/>
        <v>0.56341891649713927</v>
      </c>
      <c r="Q72" s="288">
        <f t="shared" si="17"/>
        <v>73.646794341073218</v>
      </c>
      <c r="R72" s="289">
        <f t="shared" si="18"/>
        <v>3.345117782148316</v>
      </c>
      <c r="S72" s="289">
        <f t="shared" si="18"/>
        <v>0.44964674553442446</v>
      </c>
      <c r="T72" s="289">
        <f t="shared" si="18"/>
        <v>52.360166687252182</v>
      </c>
      <c r="U72" s="289">
        <f t="shared" si="18"/>
        <v>0</v>
      </c>
      <c r="V72" s="289">
        <f t="shared" si="18"/>
        <v>21.286627653821029</v>
      </c>
      <c r="W72" s="290">
        <f t="shared" si="19"/>
        <v>4.3195382828197612E-2</v>
      </c>
      <c r="X72" s="290">
        <f t="shared" si="19"/>
        <v>5.8062718791141981E-3</v>
      </c>
      <c r="Y72" s="290">
        <f t="shared" si="19"/>
        <v>0.67612490569810901</v>
      </c>
      <c r="Z72" s="290">
        <f t="shared" si="20"/>
        <v>0.27487343959457905</v>
      </c>
      <c r="AA72" s="291">
        <f t="shared" si="21"/>
        <v>0</v>
      </c>
      <c r="AB72" s="270">
        <v>800.21650656000008</v>
      </c>
      <c r="AC72" s="271">
        <f t="shared" si="22"/>
        <v>5.9871986933189376</v>
      </c>
      <c r="AD72" s="272">
        <f t="shared" si="23"/>
        <v>349.35938947083901</v>
      </c>
      <c r="AE72" s="292">
        <f t="shared" si="24"/>
        <v>5.8219013624616087</v>
      </c>
      <c r="AF72" s="272">
        <f t="shared" si="25"/>
        <v>450.85711708916119</v>
      </c>
      <c r="AG72" s="274">
        <f t="shared" si="26"/>
        <v>5.8219013624616087</v>
      </c>
      <c r="AH72" s="275">
        <f t="shared" si="27"/>
        <v>137.44934115847914</v>
      </c>
      <c r="AI72" s="276">
        <v>1</v>
      </c>
      <c r="AJ72" s="277">
        <v>0.96044449526690401</v>
      </c>
      <c r="AK72" s="277">
        <v>0.76403745377837917</v>
      </c>
      <c r="AL72" s="277">
        <v>0.56021621253703868</v>
      </c>
      <c r="AM72" s="277">
        <v>0.34268343632583909</v>
      </c>
      <c r="AN72" s="277">
        <v>0.2529654007733238</v>
      </c>
      <c r="AO72" s="277">
        <v>0.1759897260617134</v>
      </c>
      <c r="AP72" s="277">
        <v>0.13104379000775873</v>
      </c>
      <c r="AQ72" s="277">
        <v>9.8840214794708919E-2</v>
      </c>
      <c r="AR72" s="277">
        <v>7.3268574835202507E-2</v>
      </c>
      <c r="AS72" s="277">
        <v>4.7783853153392786E-2</v>
      </c>
      <c r="AT72" s="277">
        <v>3.0794038698853304E-2</v>
      </c>
      <c r="AU72" s="277">
        <v>1.380422424431382E-2</v>
      </c>
      <c r="AV72" s="278">
        <v>0</v>
      </c>
      <c r="AW72" s="279">
        <f t="shared" si="28"/>
        <v>137.44934115847914</v>
      </c>
      <c r="AX72" s="280">
        <f t="shared" si="28"/>
        <v>132.01246309372399</v>
      </c>
      <c r="AY72" s="280">
        <f t="shared" si="28"/>
        <v>105.01644464224017</v>
      </c>
      <c r="AZ72" s="280">
        <f t="shared" si="28"/>
        <v>77.001349319514489</v>
      </c>
      <c r="BA72" s="280">
        <f t="shared" si="28"/>
        <v>47.101612548910218</v>
      </c>
      <c r="BB72" s="280">
        <f t="shared" si="28"/>
        <v>34.769927672183989</v>
      </c>
      <c r="BC72" s="280">
        <f t="shared" si="28"/>
        <v>24.189671897843734</v>
      </c>
      <c r="BD72" s="280">
        <f t="shared" si="28"/>
        <v>18.011882599476529</v>
      </c>
      <c r="BE72" s="280">
        <f t="shared" si="28"/>
        <v>13.585522403495304</v>
      </c>
      <c r="BF72" s="280">
        <f t="shared" si="28"/>
        <v>10.070717338719309</v>
      </c>
      <c r="BG72" s="280">
        <f t="shared" si="28"/>
        <v>6.567859133947354</v>
      </c>
      <c r="BH72" s="280">
        <f t="shared" si="28"/>
        <v>4.232620330766097</v>
      </c>
      <c r="BI72" s="280">
        <f t="shared" si="28"/>
        <v>1.8973815275848391</v>
      </c>
      <c r="BJ72" s="281">
        <f t="shared" si="28"/>
        <v>0</v>
      </c>
      <c r="BK72" s="279">
        <v>137.44934115847914</v>
      </c>
      <c r="BL72" s="280">
        <v>132.01246309372399</v>
      </c>
      <c r="BM72" s="280">
        <v>105.01644464224017</v>
      </c>
      <c r="BN72" s="280">
        <v>77.001349319514489</v>
      </c>
      <c r="BO72" s="280">
        <v>47.101612548910218</v>
      </c>
      <c r="BP72" s="280">
        <v>34.769927672183989</v>
      </c>
      <c r="BQ72" s="280">
        <v>24.189671897843734</v>
      </c>
      <c r="BR72" s="280">
        <v>18.011882599476529</v>
      </c>
      <c r="BS72" s="280">
        <v>13.585522403495304</v>
      </c>
      <c r="BT72" s="280">
        <v>10.070717338719309</v>
      </c>
      <c r="BU72" s="283">
        <v>6.567859133947354</v>
      </c>
      <c r="BV72" s="283">
        <v>4.232620330766097</v>
      </c>
      <c r="BW72" s="283">
        <v>1.8973815275848391</v>
      </c>
      <c r="BX72" s="284">
        <v>0</v>
      </c>
      <c r="BY72" s="180"/>
      <c r="BZ72" s="180"/>
      <c r="CA72" s="180"/>
      <c r="CB72" s="276" t="s">
        <v>663</v>
      </c>
      <c r="CC72" s="277" t="s">
        <v>663</v>
      </c>
      <c r="CD72" s="277" t="s">
        <v>663</v>
      </c>
      <c r="CE72" s="277" t="s">
        <v>663</v>
      </c>
      <c r="CF72" s="277" t="s">
        <v>663</v>
      </c>
      <c r="CG72" s="277" t="s">
        <v>663</v>
      </c>
      <c r="CH72" s="277" t="s">
        <v>663</v>
      </c>
      <c r="CI72" s="277" t="s">
        <v>663</v>
      </c>
      <c r="CJ72" s="277" t="s">
        <v>663</v>
      </c>
      <c r="CK72" s="277" t="s">
        <v>663</v>
      </c>
      <c r="CL72" s="277" t="s">
        <v>663</v>
      </c>
      <c r="CM72" s="277" t="s">
        <v>663</v>
      </c>
      <c r="CN72" s="277" t="s">
        <v>663</v>
      </c>
      <c r="CO72" s="278" t="s">
        <v>663</v>
      </c>
      <c r="CP72" s="279" t="s">
        <v>663</v>
      </c>
      <c r="CQ72" s="280" t="s">
        <v>663</v>
      </c>
      <c r="CR72" s="280" t="s">
        <v>663</v>
      </c>
      <c r="CS72" s="280" t="s">
        <v>663</v>
      </c>
      <c r="CT72" s="280" t="s">
        <v>663</v>
      </c>
      <c r="CU72" s="280" t="s">
        <v>663</v>
      </c>
      <c r="CV72" s="280" t="s">
        <v>663</v>
      </c>
      <c r="CW72" s="280" t="s">
        <v>663</v>
      </c>
      <c r="CX72" s="280" t="s">
        <v>663</v>
      </c>
      <c r="CY72" s="280" t="s">
        <v>663</v>
      </c>
      <c r="CZ72" s="280" t="s">
        <v>663</v>
      </c>
      <c r="DA72" s="280" t="s">
        <v>663</v>
      </c>
      <c r="DB72" s="280" t="s">
        <v>663</v>
      </c>
      <c r="DC72" s="281" t="s">
        <v>663</v>
      </c>
      <c r="DD72" s="279">
        <v>137.44934115847914</v>
      </c>
      <c r="DE72" s="280">
        <v>132.01246309372399</v>
      </c>
      <c r="DF72" s="280">
        <v>105.01644464224017</v>
      </c>
      <c r="DG72" s="280">
        <v>77.001349319514489</v>
      </c>
      <c r="DH72" s="280">
        <v>47.101612548910218</v>
      </c>
      <c r="DI72" s="280">
        <v>34.769927672183989</v>
      </c>
      <c r="DJ72" s="280">
        <v>24.082150157807057</v>
      </c>
      <c r="DK72" s="280">
        <v>17.952148299456155</v>
      </c>
      <c r="DL72" s="280">
        <v>13.573575543491229</v>
      </c>
      <c r="DM72" s="280">
        <v>10.070717338719309</v>
      </c>
      <c r="DN72" s="283" t="s">
        <v>663</v>
      </c>
      <c r="DO72" s="283" t="s">
        <v>663</v>
      </c>
      <c r="DP72" s="283" t="s">
        <v>663</v>
      </c>
      <c r="DQ72" s="284" t="s">
        <v>663</v>
      </c>
    </row>
    <row r="73" spans="1:121" ht="15.75" customHeight="1" x14ac:dyDescent="0.25">
      <c r="I73" s="218" t="s">
        <v>605</v>
      </c>
      <c r="J73" s="219" t="s">
        <v>614</v>
      </c>
      <c r="K73" s="218">
        <f>44+((47-44)/2)</f>
        <v>45.5</v>
      </c>
      <c r="L73" s="219"/>
      <c r="M73" s="219" t="str">
        <f t="shared" si="15"/>
        <v>Light Oil</v>
      </c>
      <c r="N73" s="285">
        <f t="shared" si="16"/>
        <v>17.796808939248596</v>
      </c>
      <c r="O73" s="293">
        <f t="shared" si="16"/>
        <v>1.7694814439043327</v>
      </c>
      <c r="P73" s="287">
        <f t="shared" si="29"/>
        <v>9.0435203058618671E-2</v>
      </c>
      <c r="Q73" s="288">
        <f t="shared" si="17"/>
        <v>0</v>
      </c>
      <c r="R73" s="294">
        <f t="shared" si="18"/>
        <v>0.2018105131061125</v>
      </c>
      <c r="S73" s="294">
        <f t="shared" si="18"/>
        <v>1.5676709307982222</v>
      </c>
      <c r="T73" s="289">
        <f t="shared" si="18"/>
        <v>0</v>
      </c>
      <c r="U73" s="289">
        <f t="shared" si="18"/>
        <v>0</v>
      </c>
      <c r="V73" s="289">
        <f t="shared" si="18"/>
        <v>0</v>
      </c>
      <c r="W73" s="290">
        <f t="shared" si="19"/>
        <v>0.11405065241081071</v>
      </c>
      <c r="X73" s="290">
        <f t="shared" si="19"/>
        <v>0.88594934758919042</v>
      </c>
      <c r="Y73" s="290">
        <f t="shared" si="19"/>
        <v>0</v>
      </c>
      <c r="Z73" s="290">
        <f t="shared" si="20"/>
        <v>0</v>
      </c>
      <c r="AA73" s="291" t="str">
        <f t="shared" si="21"/>
        <v>-</v>
      </c>
      <c r="AB73" s="270">
        <v>89.866756597045551</v>
      </c>
      <c r="AC73" s="271">
        <f t="shared" si="22"/>
        <v>5.0495994480704836</v>
      </c>
      <c r="AD73" s="272">
        <f t="shared" si="23"/>
        <v>81.739638215972278</v>
      </c>
      <c r="AE73" s="292">
        <f t="shared" si="24"/>
        <v>4.5929378966195404</v>
      </c>
      <c r="AF73" s="272">
        <f t="shared" si="25"/>
        <v>8.1271183810732737</v>
      </c>
      <c r="AG73" s="274">
        <f t="shared" si="26"/>
        <v>4.5929378966195404</v>
      </c>
      <c r="AH73" s="275">
        <f t="shared" si="27"/>
        <v>19.566290383152928</v>
      </c>
      <c r="AI73" s="276">
        <v>1</v>
      </c>
      <c r="AJ73" s="277">
        <v>0.7022515504416712</v>
      </c>
      <c r="AK73" s="277">
        <v>0.58616858919918358</v>
      </c>
      <c r="AL73" s="277">
        <v>0.42817637636521416</v>
      </c>
      <c r="AM73" s="277">
        <v>0.27357007256918159</v>
      </c>
      <c r="AN73" s="277">
        <v>0.21313263520085107</v>
      </c>
      <c r="AO73" s="277">
        <v>0.16301714425670513</v>
      </c>
      <c r="AP73" s="277">
        <v>0.12960681696060614</v>
      </c>
      <c r="AQ73" s="277">
        <v>0.10201912610891797</v>
      </c>
      <c r="AR73" s="277">
        <v>7.2782955555135476E-2</v>
      </c>
      <c r="AS73" s="277">
        <v>6.0873017373386004E-2</v>
      </c>
      <c r="AT73" s="277">
        <v>5.2933058585553035E-2</v>
      </c>
      <c r="AU73" s="277">
        <v>4.6581091555286676E-2</v>
      </c>
      <c r="AV73" s="278">
        <v>3.7053141009887144E-2</v>
      </c>
      <c r="AW73" s="279">
        <f t="shared" si="28"/>
        <v>19.566290383152928</v>
      </c>
      <c r="AX73" s="280">
        <f t="shared" si="28"/>
        <v>13.740457757961105</v>
      </c>
      <c r="AY73" s="280">
        <f t="shared" si="28"/>
        <v>11.469144829754304</v>
      </c>
      <c r="AZ73" s="280">
        <f t="shared" si="28"/>
        <v>8.3778233151679586</v>
      </c>
      <c r="BA73" s="280">
        <f t="shared" si="28"/>
        <v>5.3527514800288261</v>
      </c>
      <c r="BB73" s="280">
        <f t="shared" si="28"/>
        <v>4.170215030466454</v>
      </c>
      <c r="BC73" s="280">
        <f t="shared" si="28"/>
        <v>3.1896407819590231</v>
      </c>
      <c r="BD73" s="280">
        <f t="shared" si="28"/>
        <v>2.5359246162873696</v>
      </c>
      <c r="BE73" s="280">
        <f t="shared" si="28"/>
        <v>1.9961358460825875</v>
      </c>
      <c r="BF73" s="280">
        <f t="shared" si="28"/>
        <v>1.4240924433358944</v>
      </c>
      <c r="BG73" s="280">
        <f t="shared" si="28"/>
        <v>1.1910591344263837</v>
      </c>
      <c r="BH73" s="280">
        <f t="shared" si="28"/>
        <v>1.0357035951533768</v>
      </c>
      <c r="BI73" s="280">
        <f t="shared" si="28"/>
        <v>0.91141916373497178</v>
      </c>
      <c r="BJ73" s="281">
        <f t="shared" si="28"/>
        <v>0.72499251660736419</v>
      </c>
      <c r="BK73" s="279">
        <v>19.566290383152928</v>
      </c>
      <c r="BL73" s="280">
        <v>13.740457757961105</v>
      </c>
      <c r="BM73" s="280">
        <v>11.469144829754304</v>
      </c>
      <c r="BN73" s="280">
        <v>8.3778233151679586</v>
      </c>
      <c r="BO73" s="280">
        <v>5.3527514800288261</v>
      </c>
      <c r="BP73" s="280">
        <v>4.170215030466454</v>
      </c>
      <c r="BQ73" s="282">
        <v>3.1896407819590231</v>
      </c>
      <c r="BR73" s="280">
        <v>2.5359246162873696</v>
      </c>
      <c r="BS73" s="282">
        <v>1.9961358460825875</v>
      </c>
      <c r="BT73" s="280">
        <v>1.4240924433358944</v>
      </c>
      <c r="BU73" s="282">
        <v>1.1910591344263837</v>
      </c>
      <c r="BV73" s="280">
        <v>1.0357035951533768</v>
      </c>
      <c r="BW73" s="282">
        <v>0.91141916373497178</v>
      </c>
      <c r="BX73" s="281">
        <v>0.72499251660736419</v>
      </c>
      <c r="BY73" s="180"/>
      <c r="BZ73" s="180"/>
      <c r="CA73" s="180"/>
      <c r="CB73" s="276" t="s">
        <v>663</v>
      </c>
      <c r="CC73" s="277" t="s">
        <v>663</v>
      </c>
      <c r="CD73" s="277" t="s">
        <v>663</v>
      </c>
      <c r="CE73" s="277" t="s">
        <v>663</v>
      </c>
      <c r="CF73" s="277" t="s">
        <v>663</v>
      </c>
      <c r="CG73" s="277" t="s">
        <v>663</v>
      </c>
      <c r="CH73" s="277" t="s">
        <v>663</v>
      </c>
      <c r="CI73" s="277" t="s">
        <v>663</v>
      </c>
      <c r="CJ73" s="277" t="s">
        <v>663</v>
      </c>
      <c r="CK73" s="277" t="s">
        <v>663</v>
      </c>
      <c r="CL73" s="277" t="s">
        <v>663</v>
      </c>
      <c r="CM73" s="277" t="s">
        <v>663</v>
      </c>
      <c r="CN73" s="277" t="s">
        <v>663</v>
      </c>
      <c r="CO73" s="278" t="s">
        <v>663</v>
      </c>
      <c r="CP73" s="279" t="s">
        <v>663</v>
      </c>
      <c r="CQ73" s="280" t="s">
        <v>663</v>
      </c>
      <c r="CR73" s="280" t="s">
        <v>663</v>
      </c>
      <c r="CS73" s="280" t="s">
        <v>663</v>
      </c>
      <c r="CT73" s="280" t="s">
        <v>663</v>
      </c>
      <c r="CU73" s="280" t="s">
        <v>663</v>
      </c>
      <c r="CV73" s="280" t="s">
        <v>663</v>
      </c>
      <c r="CW73" s="280" t="s">
        <v>663</v>
      </c>
      <c r="CX73" s="280" t="s">
        <v>663</v>
      </c>
      <c r="CY73" s="280" t="s">
        <v>663</v>
      </c>
      <c r="CZ73" s="280" t="s">
        <v>663</v>
      </c>
      <c r="DA73" s="280" t="s">
        <v>663</v>
      </c>
      <c r="DB73" s="280" t="s">
        <v>663</v>
      </c>
      <c r="DC73" s="281" t="s">
        <v>663</v>
      </c>
      <c r="DD73" s="279">
        <v>19.566290383152928</v>
      </c>
      <c r="DE73" s="280">
        <v>13.740457757961105</v>
      </c>
      <c r="DF73" s="280">
        <v>11.469144829754304</v>
      </c>
      <c r="DG73" s="280">
        <v>8.3778233151679586</v>
      </c>
      <c r="DH73" s="280">
        <v>1.7899311127012081</v>
      </c>
      <c r="DI73" s="280">
        <v>4.170215030466454</v>
      </c>
      <c r="DJ73" s="282">
        <v>2.8643236645887322</v>
      </c>
      <c r="DK73" s="280">
        <v>1.9937294206702509</v>
      </c>
      <c r="DL73" s="282">
        <v>1.7658746297365082</v>
      </c>
      <c r="DM73" s="280">
        <v>1.4240924433358944</v>
      </c>
      <c r="DN73" s="282">
        <v>1.1910591344263839</v>
      </c>
      <c r="DO73" s="280">
        <v>1.0357035951533768</v>
      </c>
      <c r="DP73" s="282">
        <v>0.91141916373497178</v>
      </c>
      <c r="DQ73" s="281">
        <v>0.72499251660736419</v>
      </c>
    </row>
    <row r="74" spans="1:121" ht="15.75" customHeight="1" x14ac:dyDescent="0.25">
      <c r="I74" s="218" t="s">
        <v>605</v>
      </c>
      <c r="J74" s="219" t="s">
        <v>616</v>
      </c>
      <c r="K74" s="218">
        <f>11.3+(14.4-11.3)/2</f>
        <v>12.850000000000001</v>
      </c>
      <c r="L74" s="219"/>
      <c r="M74" s="219" t="str">
        <f t="shared" si="15"/>
        <v>Heavy Oil</v>
      </c>
      <c r="N74" s="285">
        <f t="shared" si="16"/>
        <v>265.08224689210181</v>
      </c>
      <c r="O74" s="286">
        <f t="shared" si="16"/>
        <v>0</v>
      </c>
      <c r="P74" s="287">
        <f t="shared" si="29"/>
        <v>0</v>
      </c>
      <c r="Q74" s="288">
        <f t="shared" si="17"/>
        <v>0</v>
      </c>
      <c r="R74" s="289">
        <f t="shared" si="18"/>
        <v>0</v>
      </c>
      <c r="S74" s="289">
        <f t="shared" si="18"/>
        <v>0</v>
      </c>
      <c r="T74" s="289">
        <f t="shared" si="18"/>
        <v>0</v>
      </c>
      <c r="U74" s="289">
        <f t="shared" si="18"/>
        <v>0</v>
      </c>
      <c r="V74" s="289">
        <f t="shared" si="18"/>
        <v>0</v>
      </c>
      <c r="W74" s="290" t="str">
        <f t="shared" si="19"/>
        <v>-</v>
      </c>
      <c r="X74" s="290" t="str">
        <f t="shared" si="19"/>
        <v>-</v>
      </c>
      <c r="Y74" s="290" t="str">
        <f t="shared" si="19"/>
        <v>-</v>
      </c>
      <c r="Z74" s="290" t="str">
        <f t="shared" si="20"/>
        <v>-</v>
      </c>
      <c r="AA74" s="291" t="str">
        <f t="shared" si="21"/>
        <v>-</v>
      </c>
      <c r="AB74" s="270">
        <v>1669.56486728</v>
      </c>
      <c r="AC74" s="271">
        <f t="shared" si="22"/>
        <v>6.2982900094383689</v>
      </c>
      <c r="AD74" s="272">
        <f t="shared" si="23"/>
        <v>1669.56486728</v>
      </c>
      <c r="AE74" s="292">
        <f t="shared" si="24"/>
        <v>6.2982900094383689</v>
      </c>
      <c r="AF74" s="272">
        <f t="shared" si="25"/>
        <v>0</v>
      </c>
      <c r="AG74" s="274" t="str">
        <f t="shared" si="26"/>
        <v>-</v>
      </c>
      <c r="AH74" s="275">
        <f t="shared" si="27"/>
        <v>265.08224689210181</v>
      </c>
      <c r="AI74" s="276">
        <v>1</v>
      </c>
      <c r="AJ74" s="277">
        <v>0.94294294294294301</v>
      </c>
      <c r="AK74" s="277">
        <v>0.75555555555555554</v>
      </c>
      <c r="AL74" s="277">
        <v>0.63063063063063063</v>
      </c>
      <c r="AM74" s="277">
        <v>0.51051051051051055</v>
      </c>
      <c r="AN74" s="277">
        <v>0.33033033033033032</v>
      </c>
      <c r="AO74" s="277">
        <v>0.25825825825825821</v>
      </c>
      <c r="AP74" s="277">
        <v>0.21021021021021014</v>
      </c>
      <c r="AQ74" s="277">
        <v>0.16216216216216484</v>
      </c>
      <c r="AR74" s="277">
        <v>9.0090090090094346E-2</v>
      </c>
      <c r="AS74" s="277">
        <v>1.8018018018023836E-2</v>
      </c>
      <c r="AT74" s="277">
        <v>0</v>
      </c>
      <c r="AU74" s="277">
        <v>0</v>
      </c>
      <c r="AV74" s="278">
        <v>0</v>
      </c>
      <c r="AW74" s="279">
        <f t="shared" si="28"/>
        <v>265.08224689210181</v>
      </c>
      <c r="AX74" s="280">
        <f t="shared" si="28"/>
        <v>249.9574340063663</v>
      </c>
      <c r="AY74" s="280">
        <f t="shared" si="28"/>
        <v>200.28436431847692</v>
      </c>
      <c r="AZ74" s="280">
        <f t="shared" si="28"/>
        <v>167.1689845265507</v>
      </c>
      <c r="BA74" s="280">
        <f t="shared" si="28"/>
        <v>135.32727318816009</v>
      </c>
      <c r="BB74" s="280">
        <f t="shared" si="28"/>
        <v>87.564706180574163</v>
      </c>
      <c r="BC74" s="280">
        <f t="shared" si="28"/>
        <v>68.4596793775398</v>
      </c>
      <c r="BD74" s="280">
        <f t="shared" si="28"/>
        <v>55.722994842183546</v>
      </c>
      <c r="BE74" s="280">
        <f t="shared" si="28"/>
        <v>42.986310306828031</v>
      </c>
      <c r="BF74" s="280">
        <f t="shared" si="28"/>
        <v>23.881283503794084</v>
      </c>
      <c r="BG74" s="280">
        <f t="shared" si="28"/>
        <v>4.7762567007601335</v>
      </c>
      <c r="BH74" s="280">
        <f t="shared" si="28"/>
        <v>0</v>
      </c>
      <c r="BI74" s="280">
        <f t="shared" si="28"/>
        <v>0</v>
      </c>
      <c r="BJ74" s="281">
        <f t="shared" si="28"/>
        <v>0</v>
      </c>
      <c r="BK74" s="279">
        <v>265.08224689210181</v>
      </c>
      <c r="BL74" s="280">
        <v>249.9574340063663</v>
      </c>
      <c r="BM74" s="282">
        <v>200.28436431847692</v>
      </c>
      <c r="BN74" s="280">
        <v>167.1689845265507</v>
      </c>
      <c r="BO74" s="282">
        <v>135.32727318816009</v>
      </c>
      <c r="BP74" s="280">
        <v>87.564706180574163</v>
      </c>
      <c r="BQ74" s="282">
        <v>68.4596793775398</v>
      </c>
      <c r="BR74" s="280">
        <v>55.722994842183546</v>
      </c>
      <c r="BS74" s="283">
        <v>42.986310306828031</v>
      </c>
      <c r="BT74" s="283">
        <v>23.881283503794084</v>
      </c>
      <c r="BU74" s="283">
        <v>4.7762567007601335</v>
      </c>
      <c r="BV74" s="283">
        <v>0</v>
      </c>
      <c r="BW74" s="283">
        <v>0</v>
      </c>
      <c r="BX74" s="284">
        <v>0</v>
      </c>
      <c r="BY74" s="180"/>
      <c r="BZ74" s="180"/>
      <c r="CA74" s="180"/>
      <c r="CB74" s="276" t="s">
        <v>663</v>
      </c>
      <c r="CC74" s="277" t="s">
        <v>663</v>
      </c>
      <c r="CD74" s="277" t="s">
        <v>663</v>
      </c>
      <c r="CE74" s="277" t="s">
        <v>663</v>
      </c>
      <c r="CF74" s="277" t="s">
        <v>663</v>
      </c>
      <c r="CG74" s="277" t="s">
        <v>663</v>
      </c>
      <c r="CH74" s="277" t="s">
        <v>663</v>
      </c>
      <c r="CI74" s="277" t="s">
        <v>663</v>
      </c>
      <c r="CJ74" s="277" t="s">
        <v>663</v>
      </c>
      <c r="CK74" s="277" t="s">
        <v>663</v>
      </c>
      <c r="CL74" s="277" t="s">
        <v>663</v>
      </c>
      <c r="CM74" s="277" t="s">
        <v>663</v>
      </c>
      <c r="CN74" s="277" t="s">
        <v>663</v>
      </c>
      <c r="CO74" s="278" t="s">
        <v>663</v>
      </c>
      <c r="CP74" s="279" t="s">
        <v>663</v>
      </c>
      <c r="CQ74" s="280" t="s">
        <v>663</v>
      </c>
      <c r="CR74" s="280" t="s">
        <v>663</v>
      </c>
      <c r="CS74" s="280" t="s">
        <v>663</v>
      </c>
      <c r="CT74" s="280" t="s">
        <v>663</v>
      </c>
      <c r="CU74" s="280" t="s">
        <v>663</v>
      </c>
      <c r="CV74" s="280" t="s">
        <v>663</v>
      </c>
      <c r="CW74" s="280" t="s">
        <v>663</v>
      </c>
      <c r="CX74" s="280" t="s">
        <v>663</v>
      </c>
      <c r="CY74" s="280" t="s">
        <v>663</v>
      </c>
      <c r="CZ74" s="280" t="s">
        <v>663</v>
      </c>
      <c r="DA74" s="280" t="s">
        <v>663</v>
      </c>
      <c r="DB74" s="280" t="s">
        <v>663</v>
      </c>
      <c r="DC74" s="281" t="s">
        <v>663</v>
      </c>
      <c r="DD74" s="279">
        <v>265.08224689210181</v>
      </c>
      <c r="DE74" s="280">
        <v>249.9574340063663</v>
      </c>
      <c r="DF74" s="282">
        <v>200.28436431847695</v>
      </c>
      <c r="DG74" s="280">
        <v>167.1689845265507</v>
      </c>
      <c r="DH74" s="282">
        <v>135.32727318816009</v>
      </c>
      <c r="DI74" s="280">
        <v>87.564706180574163</v>
      </c>
      <c r="DJ74" s="282">
        <v>68.4596793775398</v>
      </c>
      <c r="DK74" s="280">
        <v>55.722994842183546</v>
      </c>
      <c r="DL74" s="283" t="s">
        <v>663</v>
      </c>
      <c r="DM74" s="283" t="s">
        <v>663</v>
      </c>
      <c r="DN74" s="283" t="s">
        <v>663</v>
      </c>
      <c r="DO74" s="283" t="s">
        <v>663</v>
      </c>
      <c r="DP74" s="283" t="s">
        <v>663</v>
      </c>
      <c r="DQ74" s="284" t="s">
        <v>663</v>
      </c>
    </row>
    <row r="75" spans="1:121" ht="15.75" customHeight="1" x14ac:dyDescent="0.25">
      <c r="I75" s="218" t="s">
        <v>605</v>
      </c>
      <c r="J75" s="219" t="s">
        <v>617</v>
      </c>
      <c r="K75" s="218">
        <v>13.7</v>
      </c>
      <c r="L75" s="219"/>
      <c r="M75" s="219" t="str">
        <f t="shared" si="15"/>
        <v>Heavy Oil</v>
      </c>
      <c r="N75" s="285">
        <f t="shared" si="16"/>
        <v>253.41187670697005</v>
      </c>
      <c r="O75" s="286">
        <f t="shared" si="16"/>
        <v>0</v>
      </c>
      <c r="P75" s="287">
        <f t="shared" si="29"/>
        <v>0</v>
      </c>
      <c r="Q75" s="288">
        <f t="shared" si="17"/>
        <v>0</v>
      </c>
      <c r="R75" s="289">
        <f t="shared" si="18"/>
        <v>0</v>
      </c>
      <c r="S75" s="289">
        <f t="shared" si="18"/>
        <v>0</v>
      </c>
      <c r="T75" s="289">
        <f t="shared" si="18"/>
        <v>0</v>
      </c>
      <c r="U75" s="289">
        <f t="shared" si="18"/>
        <v>0</v>
      </c>
      <c r="V75" s="289">
        <f t="shared" si="18"/>
        <v>0</v>
      </c>
      <c r="W75" s="290" t="str">
        <f t="shared" si="19"/>
        <v>-</v>
      </c>
      <c r="X75" s="290" t="str">
        <f t="shared" si="19"/>
        <v>-</v>
      </c>
      <c r="Y75" s="290" t="str">
        <f t="shared" si="19"/>
        <v>-</v>
      </c>
      <c r="Z75" s="290" t="str">
        <f t="shared" si="20"/>
        <v>-</v>
      </c>
      <c r="AA75" s="291" t="str">
        <f t="shared" si="21"/>
        <v>-</v>
      </c>
      <c r="AB75" s="270">
        <v>2808.3748323555819</v>
      </c>
      <c r="AC75" s="271">
        <f t="shared" si="22"/>
        <v>11.082254189700091</v>
      </c>
      <c r="AD75" s="272">
        <f t="shared" si="23"/>
        <v>2808.3748323555819</v>
      </c>
      <c r="AE75" s="292">
        <f t="shared" si="24"/>
        <v>11.082254189700091</v>
      </c>
      <c r="AF75" s="272">
        <f t="shared" si="25"/>
        <v>0</v>
      </c>
      <c r="AG75" s="274" t="str">
        <f t="shared" si="26"/>
        <v>-</v>
      </c>
      <c r="AH75" s="275">
        <f t="shared" si="27"/>
        <v>253.41187670697005</v>
      </c>
      <c r="AI75" s="276">
        <v>1</v>
      </c>
      <c r="AJ75" s="277">
        <v>1.0012894214427195</v>
      </c>
      <c r="AK75" s="277">
        <v>0.7935476187759164</v>
      </c>
      <c r="AL75" s="277">
        <v>0.67445980594142352</v>
      </c>
      <c r="AM75" s="277">
        <v>0.60372304158111922</v>
      </c>
      <c r="AN75" s="277">
        <v>0.49761789504066278</v>
      </c>
      <c r="AO75" s="277">
        <v>0.43328874761505221</v>
      </c>
      <c r="AP75" s="277">
        <v>0.3904026493313118</v>
      </c>
      <c r="AQ75" s="277">
        <v>0.34756686162508232</v>
      </c>
      <c r="AR75" s="277">
        <v>0.28338216625732354</v>
      </c>
      <c r="AS75" s="277">
        <v>0.22317028021362426</v>
      </c>
      <c r="AT75" s="277">
        <v>0.21201326991288166</v>
      </c>
      <c r="AU75" s="277">
        <v>0.2027885427495851</v>
      </c>
      <c r="AV75" s="278">
        <v>0.18895145200464025</v>
      </c>
      <c r="AW75" s="279">
        <f t="shared" si="28"/>
        <v>253.41187670697005</v>
      </c>
      <c r="AX75" s="280">
        <f t="shared" si="28"/>
        <v>253.73863141463579</v>
      </c>
      <c r="AY75" s="280">
        <f t="shared" si="28"/>
        <v>201.09439133035221</v>
      </c>
      <c r="AZ75" s="280">
        <f t="shared" si="28"/>
        <v>170.91612518703496</v>
      </c>
      <c r="BA75" s="280">
        <f t="shared" si="28"/>
        <v>152.99058897831154</v>
      </c>
      <c r="BB75" s="280">
        <f t="shared" si="28"/>
        <v>126.10228466522641</v>
      </c>
      <c r="BC75" s="280">
        <f t="shared" si="28"/>
        <v>109.80051468914307</v>
      </c>
      <c r="BD75" s="280">
        <f t="shared" si="28"/>
        <v>98.932668038420843</v>
      </c>
      <c r="BE75" s="280">
        <f t="shared" si="28"/>
        <v>88.077570685563884</v>
      </c>
      <c r="BF75" s="280">
        <f t="shared" si="28"/>
        <v>71.812406576554963</v>
      </c>
      <c r="BG75" s="280">
        <f t="shared" si="28"/>
        <v>56.553999534154904</v>
      </c>
      <c r="BH75" s="280">
        <f t="shared" si="28"/>
        <v>53.726680615404732</v>
      </c>
      <c r="BI75" s="280">
        <f t="shared" si="28"/>
        <v>51.389025192843988</v>
      </c>
      <c r="BJ75" s="281">
        <f t="shared" si="28"/>
        <v>47.882542059002866</v>
      </c>
      <c r="BK75" s="279">
        <v>253.41187670697005</v>
      </c>
      <c r="BL75" s="280">
        <v>253.73863141463579</v>
      </c>
      <c r="BM75" s="280">
        <v>201.09439133035221</v>
      </c>
      <c r="BN75" s="280">
        <v>170.91612518703496</v>
      </c>
      <c r="BO75" s="282">
        <v>152.99058897831154</v>
      </c>
      <c r="BP75" s="280">
        <v>126.10228466522641</v>
      </c>
      <c r="BQ75" s="282">
        <v>109.80051468914307</v>
      </c>
      <c r="BR75" s="280">
        <v>98.932668038420843</v>
      </c>
      <c r="BS75" s="282">
        <v>88.077570685563884</v>
      </c>
      <c r="BT75" s="280">
        <v>71.812406576554963</v>
      </c>
      <c r="BU75" s="282">
        <v>56.553999534154904</v>
      </c>
      <c r="BV75" s="282">
        <v>53.726680615404732</v>
      </c>
      <c r="BW75" s="282">
        <v>51.389025192843988</v>
      </c>
      <c r="BX75" s="281">
        <v>47.882542059002866</v>
      </c>
      <c r="BY75" s="180"/>
      <c r="BZ75" s="295"/>
      <c r="CA75" s="296"/>
      <c r="CB75" s="276" t="s">
        <v>663</v>
      </c>
      <c r="CC75" s="277" t="s">
        <v>663</v>
      </c>
      <c r="CD75" s="277" t="s">
        <v>663</v>
      </c>
      <c r="CE75" s="277" t="s">
        <v>663</v>
      </c>
      <c r="CF75" s="277" t="s">
        <v>663</v>
      </c>
      <c r="CG75" s="277" t="s">
        <v>663</v>
      </c>
      <c r="CH75" s="277" t="s">
        <v>663</v>
      </c>
      <c r="CI75" s="277" t="s">
        <v>663</v>
      </c>
      <c r="CJ75" s="277" t="s">
        <v>663</v>
      </c>
      <c r="CK75" s="277" t="s">
        <v>663</v>
      </c>
      <c r="CL75" s="277" t="s">
        <v>663</v>
      </c>
      <c r="CM75" s="277" t="s">
        <v>663</v>
      </c>
      <c r="CN75" s="277" t="s">
        <v>663</v>
      </c>
      <c r="CO75" s="278" t="s">
        <v>663</v>
      </c>
      <c r="CP75" s="279" t="s">
        <v>663</v>
      </c>
      <c r="CQ75" s="280" t="s">
        <v>663</v>
      </c>
      <c r="CR75" s="280" t="s">
        <v>663</v>
      </c>
      <c r="CS75" s="280" t="s">
        <v>663</v>
      </c>
      <c r="CT75" s="280" t="s">
        <v>663</v>
      </c>
      <c r="CU75" s="280" t="s">
        <v>663</v>
      </c>
      <c r="CV75" s="280" t="s">
        <v>663</v>
      </c>
      <c r="CW75" s="280" t="s">
        <v>663</v>
      </c>
      <c r="CX75" s="280" t="s">
        <v>663</v>
      </c>
      <c r="CY75" s="280" t="s">
        <v>663</v>
      </c>
      <c r="CZ75" s="280" t="s">
        <v>663</v>
      </c>
      <c r="DA75" s="280" t="s">
        <v>663</v>
      </c>
      <c r="DB75" s="280" t="s">
        <v>663</v>
      </c>
      <c r="DC75" s="281" t="s">
        <v>663</v>
      </c>
      <c r="DD75" s="279">
        <v>253.41187670697005</v>
      </c>
      <c r="DE75" s="280">
        <v>253.73863141463579</v>
      </c>
      <c r="DF75" s="280">
        <v>90.234575792944611</v>
      </c>
      <c r="DG75" s="280">
        <v>85.560429307289255</v>
      </c>
      <c r="DH75" s="282">
        <v>101.77717145046412</v>
      </c>
      <c r="DI75" s="280">
        <v>126.10228466522641</v>
      </c>
      <c r="DJ75" s="282">
        <v>69.643672617237414</v>
      </c>
      <c r="DK75" s="280">
        <v>32.004597918578092</v>
      </c>
      <c r="DL75" s="282">
        <v>43.031086419869496</v>
      </c>
      <c r="DM75" s="280">
        <v>59.570819171806598</v>
      </c>
      <c r="DN75" s="282">
        <v>56.035487330657105</v>
      </c>
      <c r="DO75" s="282">
        <v>53.678599436557441</v>
      </c>
      <c r="DP75" s="282">
        <v>51.321711542457777</v>
      </c>
      <c r="DQ75" s="281">
        <v>47.786379701308284</v>
      </c>
    </row>
    <row r="76" spans="1:121" ht="15.75" customHeight="1" x14ac:dyDescent="0.25">
      <c r="I76" s="218" t="s">
        <v>605</v>
      </c>
      <c r="J76" s="219" t="s">
        <v>619</v>
      </c>
      <c r="K76" s="218">
        <f>7+(20-7)/2</f>
        <v>13.5</v>
      </c>
      <c r="L76" s="219"/>
      <c r="M76" s="219" t="str">
        <f t="shared" si="15"/>
        <v>Heavy Oil</v>
      </c>
      <c r="N76" s="285">
        <f t="shared" si="16"/>
        <v>153.50718826671843</v>
      </c>
      <c r="O76" s="286">
        <f t="shared" si="16"/>
        <v>1.3978936722236606</v>
      </c>
      <c r="P76" s="287">
        <f t="shared" si="29"/>
        <v>9.0241950407712185E-3</v>
      </c>
      <c r="Q76" s="288">
        <f t="shared" si="17"/>
        <v>0</v>
      </c>
      <c r="R76" s="289">
        <f t="shared" si="18"/>
        <v>0.32109980889709927</v>
      </c>
      <c r="S76" s="289">
        <f t="shared" si="18"/>
        <v>1.0767938633265612</v>
      </c>
      <c r="T76" s="289">
        <f t="shared" si="18"/>
        <v>0</v>
      </c>
      <c r="U76" s="289">
        <f t="shared" si="18"/>
        <v>0</v>
      </c>
      <c r="V76" s="289">
        <f t="shared" si="18"/>
        <v>0</v>
      </c>
      <c r="W76" s="290">
        <f t="shared" si="19"/>
        <v>0.22970259847182703</v>
      </c>
      <c r="X76" s="290">
        <f t="shared" si="19"/>
        <v>0.77029740152817294</v>
      </c>
      <c r="Y76" s="290">
        <f t="shared" si="19"/>
        <v>0</v>
      </c>
      <c r="Z76" s="290">
        <f t="shared" si="20"/>
        <v>0</v>
      </c>
      <c r="AA76" s="291" t="str">
        <f t="shared" si="21"/>
        <v>-</v>
      </c>
      <c r="AB76" s="270">
        <v>1445.2840023680001</v>
      </c>
      <c r="AC76" s="271">
        <f t="shared" si="22"/>
        <v>9.4150900598662659</v>
      </c>
      <c r="AD76" s="272">
        <f t="shared" si="23"/>
        <v>1432.2414776413248</v>
      </c>
      <c r="AE76" s="292">
        <f t="shared" si="24"/>
        <v>9.3301264508396056</v>
      </c>
      <c r="AF76" s="272">
        <f t="shared" si="25"/>
        <v>13.042524726675284</v>
      </c>
      <c r="AG76" s="274">
        <f t="shared" si="26"/>
        <v>9.3301264508396038</v>
      </c>
      <c r="AH76" s="275">
        <f t="shared" si="27"/>
        <v>154.90508193894209</v>
      </c>
      <c r="AI76" s="276">
        <v>1</v>
      </c>
      <c r="AJ76" s="277">
        <v>0.99883325263017586</v>
      </c>
      <c r="AK76" s="277">
        <v>0.89646071146204309</v>
      </c>
      <c r="AL76" s="277">
        <v>0.75559988665176769</v>
      </c>
      <c r="AM76" s="277">
        <v>0.63273626526514493</v>
      </c>
      <c r="AN76" s="277">
        <v>0.44844083318521072</v>
      </c>
      <c r="AO76" s="277">
        <v>0.37502366342996168</v>
      </c>
      <c r="AP76" s="277">
        <v>0.29475321316119518</v>
      </c>
      <c r="AQ76" s="277">
        <v>0.22595125656718268</v>
      </c>
      <c r="AR76" s="277">
        <v>0.12274832167616051</v>
      </c>
      <c r="AS76" s="277">
        <v>6.2815527422288242E-2</v>
      </c>
      <c r="AT76" s="277">
        <v>4.9560348662181647E-2</v>
      </c>
      <c r="AU76" s="277">
        <v>3.6305169902077161E-2</v>
      </c>
      <c r="AV76" s="278">
        <v>1.6422401761917896E-2</v>
      </c>
      <c r="AW76" s="279">
        <f t="shared" si="28"/>
        <v>154.90508193894209</v>
      </c>
      <c r="AX76" s="280">
        <f t="shared" si="28"/>
        <v>154.72434684201744</v>
      </c>
      <c r="AY76" s="280">
        <f t="shared" si="28"/>
        <v>138.8663199640701</v>
      </c>
      <c r="AZ76" s="280">
        <f t="shared" si="28"/>
        <v>117.04626235484743</v>
      </c>
      <c r="BA76" s="280">
        <f t="shared" si="28"/>
        <v>98.014063016637479</v>
      </c>
      <c r="BB76" s="280">
        <f t="shared" si="28"/>
        <v>69.465764009322527</v>
      </c>
      <c r="BC76" s="280">
        <f t="shared" si="28"/>
        <v>58.093071312660456</v>
      </c>
      <c r="BD76" s="280">
        <f t="shared" si="28"/>
        <v>45.658770636501401</v>
      </c>
      <c r="BE76" s="280">
        <f t="shared" si="28"/>
        <v>35.000997912746357</v>
      </c>
      <c r="BF76" s="280">
        <f t="shared" si="28"/>
        <v>19.014338827113264</v>
      </c>
      <c r="BG76" s="280">
        <f t="shared" si="28"/>
        <v>9.7304444223874231</v>
      </c>
      <c r="BH76" s="280">
        <f t="shared" si="28"/>
        <v>7.6771498704377867</v>
      </c>
      <c r="BI76" s="280">
        <f t="shared" si="28"/>
        <v>5.6238553184884772</v>
      </c>
      <c r="BJ76" s="281">
        <f t="shared" si="28"/>
        <v>2.5439134905641185</v>
      </c>
      <c r="BK76" s="279">
        <v>154.90508193894209</v>
      </c>
      <c r="BL76" s="280">
        <v>154.72434684201744</v>
      </c>
      <c r="BM76" s="280">
        <v>138.8663199640701</v>
      </c>
      <c r="BN76" s="280">
        <v>117.04626235484743</v>
      </c>
      <c r="BO76" s="282">
        <v>98.014063016637479</v>
      </c>
      <c r="BP76" s="280">
        <v>69.465764009322527</v>
      </c>
      <c r="BQ76" s="280">
        <v>58.093071312660456</v>
      </c>
      <c r="BR76" s="280">
        <v>45.658770636501401</v>
      </c>
      <c r="BS76" s="280">
        <v>35.000997912746357</v>
      </c>
      <c r="BT76" s="280">
        <v>19.014338827113264</v>
      </c>
      <c r="BU76" s="280">
        <v>9.7304444223874231</v>
      </c>
      <c r="BV76" s="283">
        <v>7.6771498704377867</v>
      </c>
      <c r="BW76" s="283">
        <v>5.6238553184884772</v>
      </c>
      <c r="BX76" s="284">
        <v>2.5439134905641185</v>
      </c>
      <c r="BY76" s="180"/>
      <c r="BZ76" s="180"/>
      <c r="CA76" s="180"/>
      <c r="CB76" s="276" t="s">
        <v>663</v>
      </c>
      <c r="CC76" s="277" t="s">
        <v>663</v>
      </c>
      <c r="CD76" s="277" t="s">
        <v>663</v>
      </c>
      <c r="CE76" s="277" t="s">
        <v>663</v>
      </c>
      <c r="CF76" s="277" t="s">
        <v>663</v>
      </c>
      <c r="CG76" s="277" t="s">
        <v>663</v>
      </c>
      <c r="CH76" s="277" t="s">
        <v>663</v>
      </c>
      <c r="CI76" s="277" t="s">
        <v>663</v>
      </c>
      <c r="CJ76" s="277" t="s">
        <v>663</v>
      </c>
      <c r="CK76" s="277" t="s">
        <v>663</v>
      </c>
      <c r="CL76" s="277" t="s">
        <v>663</v>
      </c>
      <c r="CM76" s="277" t="s">
        <v>663</v>
      </c>
      <c r="CN76" s="277" t="s">
        <v>663</v>
      </c>
      <c r="CO76" s="278" t="s">
        <v>663</v>
      </c>
      <c r="CP76" s="279" t="s">
        <v>663</v>
      </c>
      <c r="CQ76" s="280" t="s">
        <v>663</v>
      </c>
      <c r="CR76" s="280" t="s">
        <v>663</v>
      </c>
      <c r="CS76" s="280" t="s">
        <v>663</v>
      </c>
      <c r="CT76" s="280" t="s">
        <v>663</v>
      </c>
      <c r="CU76" s="280" t="s">
        <v>663</v>
      </c>
      <c r="CV76" s="280" t="s">
        <v>663</v>
      </c>
      <c r="CW76" s="280" t="s">
        <v>663</v>
      </c>
      <c r="CX76" s="280" t="s">
        <v>663</v>
      </c>
      <c r="CY76" s="280" t="s">
        <v>663</v>
      </c>
      <c r="CZ76" s="280" t="s">
        <v>663</v>
      </c>
      <c r="DA76" s="280" t="s">
        <v>663</v>
      </c>
      <c r="DB76" s="280" t="s">
        <v>663</v>
      </c>
      <c r="DC76" s="281" t="s">
        <v>663</v>
      </c>
      <c r="DD76" s="279">
        <v>154.90508193894209</v>
      </c>
      <c r="DE76" s="280">
        <v>154.72434684201744</v>
      </c>
      <c r="DF76" s="280">
        <v>48.027349298771789</v>
      </c>
      <c r="DG76" s="280">
        <v>117.04626235484743</v>
      </c>
      <c r="DH76" s="282">
        <v>98.014063016637465</v>
      </c>
      <c r="DI76" s="280">
        <v>69.465764009322527</v>
      </c>
      <c r="DJ76" s="280">
        <v>36.504949568849092</v>
      </c>
      <c r="DK76" s="280">
        <v>45.658770636501401</v>
      </c>
      <c r="DL76" s="280">
        <v>18.873455084109839</v>
      </c>
      <c r="DM76" s="280">
        <v>12.81038625031162</v>
      </c>
      <c r="DN76" s="280">
        <v>9.7304444223874231</v>
      </c>
      <c r="DO76" s="283" t="s">
        <v>663</v>
      </c>
      <c r="DP76" s="283" t="s">
        <v>663</v>
      </c>
      <c r="DQ76" s="284" t="s">
        <v>663</v>
      </c>
    </row>
    <row r="77" spans="1:121" ht="15.75" customHeight="1" x14ac:dyDescent="0.25">
      <c r="I77" s="218" t="s">
        <v>605</v>
      </c>
      <c r="J77" s="219" t="s">
        <v>621</v>
      </c>
      <c r="K77" s="218">
        <v>8</v>
      </c>
      <c r="L77" s="219"/>
      <c r="M77" s="219" t="str">
        <f t="shared" si="15"/>
        <v>Heavy Oil</v>
      </c>
      <c r="N77" s="285">
        <f t="shared" si="16"/>
        <v>43.895597705669182</v>
      </c>
      <c r="O77" s="286">
        <f t="shared" si="16"/>
        <v>0.21448045777585595</v>
      </c>
      <c r="P77" s="287">
        <f t="shared" si="29"/>
        <v>4.8623912426797849E-3</v>
      </c>
      <c r="Q77" s="288">
        <f t="shared" si="17"/>
        <v>0</v>
      </c>
      <c r="R77" s="289">
        <f t="shared" si="18"/>
        <v>0</v>
      </c>
      <c r="S77" s="289">
        <f t="shared" si="18"/>
        <v>0.21448045777585595</v>
      </c>
      <c r="T77" s="289">
        <f t="shared" si="18"/>
        <v>0</v>
      </c>
      <c r="U77" s="289">
        <f t="shared" si="18"/>
        <v>0</v>
      </c>
      <c r="V77" s="289">
        <f t="shared" si="18"/>
        <v>0</v>
      </c>
      <c r="W77" s="290">
        <f t="shared" si="19"/>
        <v>0</v>
      </c>
      <c r="X77" s="290">
        <f t="shared" si="19"/>
        <v>1</v>
      </c>
      <c r="Y77" s="290">
        <f t="shared" si="19"/>
        <v>0</v>
      </c>
      <c r="Z77" s="290">
        <f t="shared" si="20"/>
        <v>0</v>
      </c>
      <c r="AA77" s="291" t="str">
        <f t="shared" si="21"/>
        <v>-</v>
      </c>
      <c r="AB77" s="270">
        <v>549.81236578400001</v>
      </c>
      <c r="AC77" s="271">
        <f t="shared" si="22"/>
        <v>12.525455729538702</v>
      </c>
      <c r="AD77" s="272">
        <f t="shared" si="23"/>
        <v>547.13896295149482</v>
      </c>
      <c r="AE77" s="292">
        <f t="shared" si="24"/>
        <v>12.464552063288821</v>
      </c>
      <c r="AF77" s="272">
        <f t="shared" si="25"/>
        <v>2.6734028325051762</v>
      </c>
      <c r="AG77" s="274">
        <f t="shared" si="26"/>
        <v>12.464552063288821</v>
      </c>
      <c r="AH77" s="275">
        <f t="shared" si="27"/>
        <v>44.110078163445039</v>
      </c>
      <c r="AI77" s="276">
        <v>1</v>
      </c>
      <c r="AJ77" s="277">
        <v>0.50474547023295946</v>
      </c>
      <c r="AK77" s="277">
        <v>1.0008628127696291</v>
      </c>
      <c r="AL77" s="277">
        <v>0.84555651423641076</v>
      </c>
      <c r="AM77" s="277">
        <v>0.74029335634167392</v>
      </c>
      <c r="AN77" s="277">
        <v>0.58239861949956873</v>
      </c>
      <c r="AO77" s="277">
        <v>0.47886108714408987</v>
      </c>
      <c r="AP77" s="277">
        <v>0.40983606557377061</v>
      </c>
      <c r="AQ77" s="277">
        <v>0.35979292493528908</v>
      </c>
      <c r="AR77" s="277">
        <v>0.28472821397756687</v>
      </c>
      <c r="AS77" s="277">
        <v>0.23554788610871449</v>
      </c>
      <c r="AT77" s="277">
        <v>0.20276100086281287</v>
      </c>
      <c r="AU77" s="277">
        <v>0.16393442622950821</v>
      </c>
      <c r="AV77" s="278">
        <v>0.10569456427955486</v>
      </c>
      <c r="AW77" s="279">
        <f t="shared" si="28"/>
        <v>44.110078163445039</v>
      </c>
      <c r="AX77" s="280">
        <f t="shared" si="28"/>
        <v>22.264362144620662</v>
      </c>
      <c r="AY77" s="280">
        <f t="shared" si="28"/>
        <v>44.148136902153794</v>
      </c>
      <c r="AZ77" s="280">
        <f t="shared" si="28"/>
        <v>37.297563934578207</v>
      </c>
      <c r="BA77" s="280">
        <f t="shared" si="28"/>
        <v>32.654397812110311</v>
      </c>
      <c r="BB77" s="280">
        <f t="shared" si="28"/>
        <v>25.689648628408463</v>
      </c>
      <c r="BC77" s="280">
        <f t="shared" si="28"/>
        <v>21.122599983358072</v>
      </c>
      <c r="BD77" s="280">
        <f t="shared" si="28"/>
        <v>18.077900886657808</v>
      </c>
      <c r="BE77" s="280">
        <f t="shared" si="28"/>
        <v>15.870494041550115</v>
      </c>
      <c r="BF77" s="280">
        <f t="shared" si="28"/>
        <v>12.559383773888579</v>
      </c>
      <c r="BG77" s="280">
        <f t="shared" si="28"/>
        <v>10.390035667489647</v>
      </c>
      <c r="BH77" s="280">
        <f t="shared" si="28"/>
        <v>8.9438035965570233</v>
      </c>
      <c r="BI77" s="280">
        <f t="shared" si="28"/>
        <v>7.231160354663122</v>
      </c>
      <c r="BJ77" s="281">
        <f t="shared" si="28"/>
        <v>4.6621954918224304</v>
      </c>
      <c r="BK77" s="279">
        <v>44.110078163445039</v>
      </c>
      <c r="BL77" s="280">
        <v>22.264362144620662</v>
      </c>
      <c r="BM77" s="280">
        <v>44.148136902153794</v>
      </c>
      <c r="BN77" s="280">
        <v>37.297563934578207</v>
      </c>
      <c r="BO77" s="282">
        <v>32.654397812110311</v>
      </c>
      <c r="BP77" s="280">
        <v>25.689648628408463</v>
      </c>
      <c r="BQ77" s="282">
        <v>21.122599983358072</v>
      </c>
      <c r="BR77" s="280">
        <v>18.077900886657808</v>
      </c>
      <c r="BS77" s="282">
        <v>15.870494041550115</v>
      </c>
      <c r="BT77" s="280">
        <v>12.559383773888579</v>
      </c>
      <c r="BU77" s="282">
        <v>10.390035667489647</v>
      </c>
      <c r="BV77" s="280">
        <v>8.9438035965570233</v>
      </c>
      <c r="BW77" s="280">
        <v>7.231160354663122</v>
      </c>
      <c r="BX77" s="284">
        <v>4.6621954918224304</v>
      </c>
      <c r="BY77" s="180"/>
      <c r="BZ77" s="180"/>
      <c r="CA77" s="180"/>
      <c r="CB77" s="276" t="s">
        <v>663</v>
      </c>
      <c r="CC77" s="277" t="s">
        <v>663</v>
      </c>
      <c r="CD77" s="277" t="s">
        <v>663</v>
      </c>
      <c r="CE77" s="277" t="s">
        <v>663</v>
      </c>
      <c r="CF77" s="277" t="s">
        <v>663</v>
      </c>
      <c r="CG77" s="277" t="s">
        <v>663</v>
      </c>
      <c r="CH77" s="277" t="s">
        <v>663</v>
      </c>
      <c r="CI77" s="277" t="s">
        <v>663</v>
      </c>
      <c r="CJ77" s="277" t="s">
        <v>663</v>
      </c>
      <c r="CK77" s="277" t="s">
        <v>663</v>
      </c>
      <c r="CL77" s="277" t="s">
        <v>663</v>
      </c>
      <c r="CM77" s="277" t="s">
        <v>663</v>
      </c>
      <c r="CN77" s="277" t="s">
        <v>663</v>
      </c>
      <c r="CO77" s="278" t="s">
        <v>663</v>
      </c>
      <c r="CP77" s="279" t="s">
        <v>663</v>
      </c>
      <c r="CQ77" s="280" t="s">
        <v>663</v>
      </c>
      <c r="CR77" s="280" t="s">
        <v>663</v>
      </c>
      <c r="CS77" s="280" t="s">
        <v>663</v>
      </c>
      <c r="CT77" s="280" t="s">
        <v>663</v>
      </c>
      <c r="CU77" s="280" t="s">
        <v>663</v>
      </c>
      <c r="CV77" s="280" t="s">
        <v>663</v>
      </c>
      <c r="CW77" s="280" t="s">
        <v>663</v>
      </c>
      <c r="CX77" s="280" t="s">
        <v>663</v>
      </c>
      <c r="CY77" s="280" t="s">
        <v>663</v>
      </c>
      <c r="CZ77" s="280" t="s">
        <v>663</v>
      </c>
      <c r="DA77" s="280" t="s">
        <v>663</v>
      </c>
      <c r="DB77" s="280" t="s">
        <v>663</v>
      </c>
      <c r="DC77" s="281" t="s">
        <v>663</v>
      </c>
      <c r="DD77" s="279">
        <v>44.110078163445039</v>
      </c>
      <c r="DE77" s="280">
        <v>22.264362144620662</v>
      </c>
      <c r="DF77" s="280">
        <v>44.148136902153794</v>
      </c>
      <c r="DG77" s="280">
        <v>37.297563934578207</v>
      </c>
      <c r="DH77" s="282">
        <v>32.654397812110311</v>
      </c>
      <c r="DI77" s="280">
        <v>25.689648628408463</v>
      </c>
      <c r="DJ77" s="282">
        <v>21.122599983358072</v>
      </c>
      <c r="DK77" s="280">
        <v>18.077900886657808</v>
      </c>
      <c r="DL77" s="282">
        <v>15.870494041550117</v>
      </c>
      <c r="DM77" s="280">
        <v>12.559383773888579</v>
      </c>
      <c r="DN77" s="282">
        <v>10.390035667489645</v>
      </c>
      <c r="DO77" s="280">
        <v>8.9438035965570233</v>
      </c>
      <c r="DP77" s="280">
        <v>7.231160354663122</v>
      </c>
      <c r="DQ77" s="284" t="s">
        <v>663</v>
      </c>
    </row>
    <row r="78" spans="1:121" ht="15.75" customHeight="1" x14ac:dyDescent="0.25">
      <c r="I78" s="218" t="s">
        <v>605</v>
      </c>
      <c r="J78" s="219" t="s">
        <v>623</v>
      </c>
      <c r="K78" s="218">
        <v>13.5</v>
      </c>
      <c r="L78" s="219"/>
      <c r="M78" s="219" t="str">
        <f t="shared" si="15"/>
        <v>Heavy Oil</v>
      </c>
      <c r="N78" s="285">
        <f t="shared" si="16"/>
        <v>8.7564836170076354</v>
      </c>
      <c r="O78" s="285">
        <f t="shared" si="16"/>
        <v>0.43874352621703561</v>
      </c>
      <c r="P78" s="287">
        <f t="shared" si="29"/>
        <v>4.771426734578444E-2</v>
      </c>
      <c r="Q78" s="288">
        <f t="shared" si="17"/>
        <v>0.23786180586758954</v>
      </c>
      <c r="R78" s="289">
        <f t="shared" si="18"/>
        <v>5.7140945681870784E-3</v>
      </c>
      <c r="S78" s="289">
        <f t="shared" si="18"/>
        <v>0</v>
      </c>
      <c r="T78" s="289">
        <f t="shared" si="18"/>
        <v>0.4330294316488485</v>
      </c>
      <c r="U78" s="289">
        <f t="shared" si="18"/>
        <v>0.19516762578125896</v>
      </c>
      <c r="V78" s="289">
        <f t="shared" si="18"/>
        <v>0</v>
      </c>
      <c r="W78" s="290">
        <f t="shared" si="19"/>
        <v>1.302376952990175E-2</v>
      </c>
      <c r="X78" s="290">
        <f t="shared" si="19"/>
        <v>0</v>
      </c>
      <c r="Y78" s="290">
        <f t="shared" si="19"/>
        <v>0.98697623047009819</v>
      </c>
      <c r="Z78" s="290">
        <f t="shared" si="20"/>
        <v>0</v>
      </c>
      <c r="AA78" s="291">
        <f t="shared" si="21"/>
        <v>0.4507029118970462</v>
      </c>
      <c r="AB78" s="270">
        <v>23.676130584000003</v>
      </c>
      <c r="AC78" s="271">
        <f t="shared" si="22"/>
        <v>2.6323350361644713</v>
      </c>
      <c r="AD78" s="272">
        <f t="shared" si="23"/>
        <v>22.546441359601324</v>
      </c>
      <c r="AE78" s="292">
        <f t="shared" si="24"/>
        <v>2.5748282467872818</v>
      </c>
      <c r="AF78" s="272">
        <f t="shared" si="25"/>
        <v>1.1296892243986796</v>
      </c>
      <c r="AG78" s="274">
        <f t="shared" si="26"/>
        <v>2.5748282467872818</v>
      </c>
      <c r="AH78" s="275">
        <f t="shared" si="27"/>
        <v>9.1952271432246704</v>
      </c>
      <c r="AI78" s="276">
        <v>1</v>
      </c>
      <c r="AJ78" s="277">
        <v>0.78056545109387754</v>
      </c>
      <c r="AK78" s="277">
        <v>0.34412371581696649</v>
      </c>
      <c r="AL78" s="277">
        <v>0.21704492141316459</v>
      </c>
      <c r="AM78" s="277">
        <v>0.17236464183355049</v>
      </c>
      <c r="AN78" s="277">
        <v>0.10534422246412935</v>
      </c>
      <c r="AO78" s="277">
        <v>3.8731815885880774E-2</v>
      </c>
      <c r="AP78" s="277">
        <v>2.9297241699206451E-2</v>
      </c>
      <c r="AQ78" s="277">
        <v>2.32712911698339E-2</v>
      </c>
      <c r="AR78" s="277">
        <v>1.4232365375775069E-2</v>
      </c>
      <c r="AS78" s="277">
        <v>5.1934395817169214E-3</v>
      </c>
      <c r="AT78" s="277">
        <v>0</v>
      </c>
      <c r="AU78" s="277">
        <v>0</v>
      </c>
      <c r="AV78" s="278">
        <v>0</v>
      </c>
      <c r="AW78" s="279">
        <f t="shared" si="28"/>
        <v>9.1952271432246704</v>
      </c>
      <c r="AX78" s="280">
        <f t="shared" si="28"/>
        <v>7.1774766229618319</v>
      </c>
      <c r="AY78" s="280">
        <f t="shared" si="28"/>
        <v>3.1642957323075032</v>
      </c>
      <c r="AZ78" s="280">
        <f t="shared" si="28"/>
        <v>1.9957773526773965</v>
      </c>
      <c r="BA78" s="280">
        <f t="shared" si="28"/>
        <v>1.584932033120062</v>
      </c>
      <c r="BB78" s="280">
        <f t="shared" si="28"/>
        <v>0.96866405378406029</v>
      </c>
      <c r="BC78" s="280">
        <f t="shared" si="28"/>
        <v>0.35614784474023137</v>
      </c>
      <c r="BD78" s="280">
        <f t="shared" si="28"/>
        <v>0.26939479209415684</v>
      </c>
      <c r="BE78" s="280">
        <f t="shared" si="28"/>
        <v>0.21398480822274127</v>
      </c>
      <c r="BF78" s="280">
        <f t="shared" si="28"/>
        <v>0.13086983241561789</v>
      </c>
      <c r="BG78" s="280">
        <f t="shared" si="28"/>
        <v>4.7754856608500817E-2</v>
      </c>
      <c r="BH78" s="280">
        <f t="shared" si="28"/>
        <v>0</v>
      </c>
      <c r="BI78" s="280">
        <f t="shared" si="28"/>
        <v>0</v>
      </c>
      <c r="BJ78" s="281">
        <f t="shared" si="28"/>
        <v>0</v>
      </c>
      <c r="BK78" s="279">
        <v>9.1952271432246704</v>
      </c>
      <c r="BL78" s="280">
        <v>7.1774766229618319</v>
      </c>
      <c r="BM78" s="280">
        <v>3.1642957323075032</v>
      </c>
      <c r="BN78" s="280">
        <v>1.9957773526773965</v>
      </c>
      <c r="BO78" s="282">
        <v>1.584932033120062</v>
      </c>
      <c r="BP78" s="280">
        <v>0.96866405378406029</v>
      </c>
      <c r="BQ78" s="282">
        <v>0.35614784474023137</v>
      </c>
      <c r="BR78" s="280">
        <v>0.26939479209415684</v>
      </c>
      <c r="BS78" s="282">
        <v>0.21398480822274127</v>
      </c>
      <c r="BT78" s="280">
        <v>0.13086983241561789</v>
      </c>
      <c r="BU78" s="283">
        <v>4.7754856608500817E-2</v>
      </c>
      <c r="BV78" s="283">
        <v>0</v>
      </c>
      <c r="BW78" s="283">
        <v>0</v>
      </c>
      <c r="BX78" s="284">
        <v>0</v>
      </c>
      <c r="BY78" s="180"/>
      <c r="BZ78" s="180"/>
      <c r="CA78" s="180"/>
      <c r="CB78" s="276" t="s">
        <v>663</v>
      </c>
      <c r="CC78" s="277" t="s">
        <v>663</v>
      </c>
      <c r="CD78" s="277" t="s">
        <v>663</v>
      </c>
      <c r="CE78" s="277" t="s">
        <v>663</v>
      </c>
      <c r="CF78" s="277" t="s">
        <v>663</v>
      </c>
      <c r="CG78" s="277" t="s">
        <v>663</v>
      </c>
      <c r="CH78" s="277" t="s">
        <v>663</v>
      </c>
      <c r="CI78" s="277" t="s">
        <v>663</v>
      </c>
      <c r="CJ78" s="277" t="s">
        <v>663</v>
      </c>
      <c r="CK78" s="277" t="s">
        <v>663</v>
      </c>
      <c r="CL78" s="277" t="s">
        <v>663</v>
      </c>
      <c r="CM78" s="277" t="s">
        <v>663</v>
      </c>
      <c r="CN78" s="277" t="s">
        <v>663</v>
      </c>
      <c r="CO78" s="278" t="s">
        <v>663</v>
      </c>
      <c r="CP78" s="279" t="s">
        <v>663</v>
      </c>
      <c r="CQ78" s="280" t="s">
        <v>663</v>
      </c>
      <c r="CR78" s="280" t="s">
        <v>663</v>
      </c>
      <c r="CS78" s="280" t="s">
        <v>663</v>
      </c>
      <c r="CT78" s="280" t="s">
        <v>663</v>
      </c>
      <c r="CU78" s="280" t="s">
        <v>663</v>
      </c>
      <c r="CV78" s="280" t="s">
        <v>663</v>
      </c>
      <c r="CW78" s="280" t="s">
        <v>663</v>
      </c>
      <c r="CX78" s="280" t="s">
        <v>663</v>
      </c>
      <c r="CY78" s="280" t="s">
        <v>663</v>
      </c>
      <c r="CZ78" s="280" t="s">
        <v>663</v>
      </c>
      <c r="DA78" s="280" t="s">
        <v>663</v>
      </c>
      <c r="DB78" s="280" t="s">
        <v>663</v>
      </c>
      <c r="DC78" s="281" t="s">
        <v>663</v>
      </c>
      <c r="DD78" s="279">
        <v>9.1952271432246704</v>
      </c>
      <c r="DE78" s="280">
        <v>7.1774766229618319</v>
      </c>
      <c r="DF78" s="280">
        <v>3.1642957323075032</v>
      </c>
      <c r="DG78" s="280">
        <v>1.9957773526773965</v>
      </c>
      <c r="DH78" s="282">
        <v>1.584932033120062</v>
      </c>
      <c r="DI78" s="280">
        <v>0.96866405378406029</v>
      </c>
      <c r="DJ78" s="282">
        <v>0.54910249677011824</v>
      </c>
      <c r="DK78" s="280">
        <v>0.26939479209415684</v>
      </c>
      <c r="DL78" s="282">
        <v>0.21398480822274127</v>
      </c>
      <c r="DM78" s="280">
        <v>0.13086983241561789</v>
      </c>
      <c r="DN78" s="283" t="s">
        <v>663</v>
      </c>
      <c r="DO78" s="283" t="s">
        <v>663</v>
      </c>
      <c r="DP78" s="283" t="s">
        <v>663</v>
      </c>
      <c r="DQ78" s="284" t="s">
        <v>663</v>
      </c>
    </row>
    <row r="79" spans="1:121" ht="15.75" customHeight="1" x14ac:dyDescent="0.25">
      <c r="I79" s="218" t="s">
        <v>624</v>
      </c>
      <c r="J79" s="219" t="s">
        <v>625</v>
      </c>
      <c r="K79" s="218">
        <v>35</v>
      </c>
      <c r="L79" s="219"/>
      <c r="M79" s="219" t="str">
        <f t="shared" si="15"/>
        <v>Light Oil</v>
      </c>
      <c r="N79" s="285">
        <f t="shared" si="16"/>
        <v>4.3593517548323124</v>
      </c>
      <c r="O79" s="286">
        <f t="shared" si="16"/>
        <v>1.2759391450439788</v>
      </c>
      <c r="P79" s="287">
        <f t="shared" si="29"/>
        <v>0.2264193930205074</v>
      </c>
      <c r="Q79" s="288">
        <f t="shared" si="17"/>
        <v>0</v>
      </c>
      <c r="R79" s="289">
        <f t="shared" si="18"/>
        <v>0</v>
      </c>
      <c r="S79" s="289">
        <f t="shared" si="18"/>
        <v>1.2759391450439788</v>
      </c>
      <c r="T79" s="289">
        <f t="shared" si="18"/>
        <v>0</v>
      </c>
      <c r="U79" s="289">
        <f t="shared" si="18"/>
        <v>0</v>
      </c>
      <c r="V79" s="289">
        <f t="shared" si="18"/>
        <v>0</v>
      </c>
      <c r="W79" s="290">
        <f t="shared" si="19"/>
        <v>0</v>
      </c>
      <c r="X79" s="290">
        <f t="shared" si="19"/>
        <v>1</v>
      </c>
      <c r="Y79" s="290">
        <f t="shared" si="19"/>
        <v>0</v>
      </c>
      <c r="Z79" s="290">
        <f t="shared" si="20"/>
        <v>0</v>
      </c>
      <c r="AA79" s="291" t="str">
        <f t="shared" si="21"/>
        <v>-</v>
      </c>
      <c r="AB79" s="270">
        <v>44.660401360000002</v>
      </c>
      <c r="AC79" s="271">
        <f t="shared" si="22"/>
        <v>10.244734509091689</v>
      </c>
      <c r="AD79" s="272">
        <f t="shared" si="23"/>
        <v>34.54842039201656</v>
      </c>
      <c r="AE79" s="292">
        <f t="shared" si="24"/>
        <v>7.9251279398869032</v>
      </c>
      <c r="AF79" s="272">
        <f t="shared" si="25"/>
        <v>10.111980967983444</v>
      </c>
      <c r="AG79" s="274">
        <f t="shared" si="26"/>
        <v>7.9251279398869032</v>
      </c>
      <c r="AH79" s="275">
        <f t="shared" si="27"/>
        <v>5.6352908998762912</v>
      </c>
      <c r="AI79" s="276">
        <v>1</v>
      </c>
      <c r="AJ79" s="277">
        <v>0.94496365524402925</v>
      </c>
      <c r="AK79" s="277">
        <v>0.82035306334371783</v>
      </c>
      <c r="AL79" s="277">
        <v>0.73727933541017676</v>
      </c>
      <c r="AM79" s="277">
        <v>0.62097611630321925</v>
      </c>
      <c r="AN79" s="277">
        <v>0.44652128764278304</v>
      </c>
      <c r="AO79" s="277">
        <v>0.35929387331256524</v>
      </c>
      <c r="AP79" s="277">
        <v>0.30114226375908659</v>
      </c>
      <c r="AQ79" s="277">
        <v>0.25960539979231612</v>
      </c>
      <c r="AR79" s="277">
        <v>0.1973001038421604</v>
      </c>
      <c r="AS79" s="277">
        <v>0.17653167185877508</v>
      </c>
      <c r="AT79" s="277">
        <v>0.16268605053651949</v>
      </c>
      <c r="AU79" s="277">
        <v>0.14884042921426174</v>
      </c>
      <c r="AV79" s="278">
        <v>0.1280719972308777</v>
      </c>
      <c r="AW79" s="279">
        <f t="shared" si="28"/>
        <v>5.6352908998762912</v>
      </c>
      <c r="AX79" s="280">
        <f t="shared" si="28"/>
        <v>5.3251450871105153</v>
      </c>
      <c r="AY79" s="280">
        <f t="shared" si="28"/>
        <v>4.6229281525464918</v>
      </c>
      <c r="AZ79" s="280">
        <f t="shared" si="28"/>
        <v>4.1547835295038089</v>
      </c>
      <c r="BA79" s="280">
        <f t="shared" si="28"/>
        <v>3.4993810572440527</v>
      </c>
      <c r="BB79" s="280">
        <f t="shared" si="28"/>
        <v>2.5162773488544192</v>
      </c>
      <c r="BC79" s="280">
        <f t="shared" si="28"/>
        <v>2.0247254946596041</v>
      </c>
      <c r="BD79" s="280">
        <f t="shared" si="28"/>
        <v>1.6970242585297266</v>
      </c>
      <c r="BE79" s="280">
        <f t="shared" si="28"/>
        <v>1.4629519470083854</v>
      </c>
      <c r="BF79" s="280">
        <f t="shared" si="28"/>
        <v>1.1118434797263739</v>
      </c>
      <c r="BG79" s="280">
        <f t="shared" si="28"/>
        <v>0.99480732396570282</v>
      </c>
      <c r="BH79" s="280">
        <f t="shared" si="28"/>
        <v>0.9167832201252627</v>
      </c>
      <c r="BI79" s="280">
        <f t="shared" si="28"/>
        <v>0.83875911628481048</v>
      </c>
      <c r="BJ79" s="281">
        <f t="shared" si="28"/>
        <v>0.72172296052414664</v>
      </c>
      <c r="BK79" s="279">
        <v>5.6352908998762912</v>
      </c>
      <c r="BL79" s="280">
        <v>5.3251450871105153</v>
      </c>
      <c r="BM79" s="282">
        <v>4.6229281525464918</v>
      </c>
      <c r="BN79" s="280">
        <v>4.1547835295038089</v>
      </c>
      <c r="BO79" s="282">
        <v>3.4993810572440527</v>
      </c>
      <c r="BP79" s="280">
        <v>2.5162773488544192</v>
      </c>
      <c r="BQ79" s="282">
        <v>2.0247254946596041</v>
      </c>
      <c r="BR79" s="280">
        <v>1.6970242585297266</v>
      </c>
      <c r="BS79" s="282">
        <v>1.4629519470083854</v>
      </c>
      <c r="BT79" s="280">
        <v>1.1118434797263739</v>
      </c>
      <c r="BU79" s="280">
        <v>0.99480732396570282</v>
      </c>
      <c r="BV79" s="283">
        <v>0.9167832201252627</v>
      </c>
      <c r="BW79" s="283">
        <v>0.83875911628481048</v>
      </c>
      <c r="BX79" s="284">
        <v>0.72172296052414664</v>
      </c>
      <c r="BY79" s="180"/>
      <c r="BZ79" s="180"/>
      <c r="CA79" s="180"/>
      <c r="CB79" s="276" t="s">
        <v>663</v>
      </c>
      <c r="CC79" s="277" t="s">
        <v>663</v>
      </c>
      <c r="CD79" s="277" t="s">
        <v>663</v>
      </c>
      <c r="CE79" s="277" t="s">
        <v>663</v>
      </c>
      <c r="CF79" s="277" t="s">
        <v>663</v>
      </c>
      <c r="CG79" s="277" t="s">
        <v>663</v>
      </c>
      <c r="CH79" s="277" t="s">
        <v>663</v>
      </c>
      <c r="CI79" s="277" t="s">
        <v>663</v>
      </c>
      <c r="CJ79" s="277" t="s">
        <v>663</v>
      </c>
      <c r="CK79" s="277" t="s">
        <v>663</v>
      </c>
      <c r="CL79" s="277" t="s">
        <v>663</v>
      </c>
      <c r="CM79" s="277" t="s">
        <v>663</v>
      </c>
      <c r="CN79" s="277" t="s">
        <v>663</v>
      </c>
      <c r="CO79" s="278" t="s">
        <v>663</v>
      </c>
      <c r="CP79" s="279" t="s">
        <v>663</v>
      </c>
      <c r="CQ79" s="280" t="s">
        <v>663</v>
      </c>
      <c r="CR79" s="280" t="s">
        <v>663</v>
      </c>
      <c r="CS79" s="280" t="s">
        <v>663</v>
      </c>
      <c r="CT79" s="280" t="s">
        <v>663</v>
      </c>
      <c r="CU79" s="280" t="s">
        <v>663</v>
      </c>
      <c r="CV79" s="280" t="s">
        <v>663</v>
      </c>
      <c r="CW79" s="280" t="s">
        <v>663</v>
      </c>
      <c r="CX79" s="280" t="s">
        <v>663</v>
      </c>
      <c r="CY79" s="280" t="s">
        <v>663</v>
      </c>
      <c r="CZ79" s="280" t="s">
        <v>663</v>
      </c>
      <c r="DA79" s="280" t="s">
        <v>663</v>
      </c>
      <c r="DB79" s="280" t="s">
        <v>663</v>
      </c>
      <c r="DC79" s="281" t="s">
        <v>663</v>
      </c>
      <c r="DD79" s="279">
        <v>5.6352908998762912</v>
      </c>
      <c r="DE79" s="280">
        <v>5.3251450871105153</v>
      </c>
      <c r="DF79" s="282">
        <v>4.6229281525464918</v>
      </c>
      <c r="DG79" s="280">
        <v>4.1547835295038089</v>
      </c>
      <c r="DH79" s="282">
        <v>3.4993810572440531</v>
      </c>
      <c r="DI79" s="280">
        <v>2.5162773488544192</v>
      </c>
      <c r="DJ79" s="282">
        <v>2.0247254946596036</v>
      </c>
      <c r="DK79" s="280">
        <v>1.6970242585297266</v>
      </c>
      <c r="DL79" s="282">
        <v>1.4629519470083856</v>
      </c>
      <c r="DM79" s="280">
        <v>1.1118434797263739</v>
      </c>
      <c r="DN79" s="280">
        <v>0.99480732396570282</v>
      </c>
      <c r="DO79" s="283" t="s">
        <v>663</v>
      </c>
      <c r="DP79" s="283" t="s">
        <v>663</v>
      </c>
      <c r="DQ79" s="284" t="s">
        <v>663</v>
      </c>
    </row>
    <row r="80" spans="1:121" ht="15.75" customHeight="1" x14ac:dyDescent="0.25">
      <c r="I80" s="218" t="s">
        <v>627</v>
      </c>
      <c r="J80" s="219" t="s">
        <v>628</v>
      </c>
      <c r="K80" s="218">
        <v>21</v>
      </c>
      <c r="L80" s="219"/>
      <c r="M80" s="219" t="str">
        <f t="shared" si="15"/>
        <v>Medium Oil</v>
      </c>
      <c r="N80" s="285">
        <f t="shared" si="16"/>
        <v>26.927100382560717</v>
      </c>
      <c r="O80" s="286">
        <f t="shared" si="16"/>
        <v>0.43827912983870243</v>
      </c>
      <c r="P80" s="287">
        <f t="shared" si="29"/>
        <v>1.601582501861944E-2</v>
      </c>
      <c r="Q80" s="288">
        <f t="shared" si="17"/>
        <v>0</v>
      </c>
      <c r="R80" s="289">
        <f t="shared" si="18"/>
        <v>0.35206293264379496</v>
      </c>
      <c r="S80" s="289">
        <f t="shared" si="18"/>
        <v>8.621619719490746E-2</v>
      </c>
      <c r="T80" s="289">
        <f t="shared" si="18"/>
        <v>0</v>
      </c>
      <c r="U80" s="289">
        <f t="shared" si="18"/>
        <v>0</v>
      </c>
      <c r="V80" s="289">
        <f t="shared" si="18"/>
        <v>0</v>
      </c>
      <c r="W80" s="290">
        <f t="shared" si="19"/>
        <v>0.8032847303803009</v>
      </c>
      <c r="X80" s="290">
        <f t="shared" si="19"/>
        <v>0.1967152696196991</v>
      </c>
      <c r="Y80" s="290">
        <f t="shared" si="19"/>
        <v>0</v>
      </c>
      <c r="Z80" s="290">
        <f t="shared" si="20"/>
        <v>0</v>
      </c>
      <c r="AA80" s="291" t="str">
        <f t="shared" si="21"/>
        <v>-</v>
      </c>
      <c r="AB80" s="270">
        <v>187.55047520548953</v>
      </c>
      <c r="AC80" s="271">
        <f t="shared" si="22"/>
        <v>6.9651196207875481</v>
      </c>
      <c r="AD80" s="272">
        <f t="shared" si="23"/>
        <v>184.54669961243948</v>
      </c>
      <c r="AE80" s="292">
        <f t="shared" si="24"/>
        <v>6.8535674837072609</v>
      </c>
      <c r="AF80" s="272">
        <f t="shared" si="25"/>
        <v>3.0037755930500443</v>
      </c>
      <c r="AG80" s="274">
        <f t="shared" si="26"/>
        <v>6.8535674837072618</v>
      </c>
      <c r="AH80" s="275">
        <f t="shared" si="27"/>
        <v>27.365379512399418</v>
      </c>
      <c r="AI80" s="276">
        <v>1</v>
      </c>
      <c r="AJ80" s="277">
        <v>1.0310255469146412</v>
      </c>
      <c r="AK80" s="277">
        <v>0.84734488908357375</v>
      </c>
      <c r="AL80" s="277">
        <v>0.66092218511717382</v>
      </c>
      <c r="AM80" s="277">
        <v>0.53040914586081578</v>
      </c>
      <c r="AN80" s="277">
        <v>0.33463958697627877</v>
      </c>
      <c r="AO80" s="277">
        <v>0.25607638307427583</v>
      </c>
      <c r="AP80" s="277">
        <v>0.20370091380627384</v>
      </c>
      <c r="AQ80" s="277">
        <v>0.15334908733553432</v>
      </c>
      <c r="AR80" s="277">
        <v>7.7821347629416823E-2</v>
      </c>
      <c r="AS80" s="277">
        <v>2.9284945174528905E-2</v>
      </c>
      <c r="AT80" s="277">
        <v>2.3808736263604358E-2</v>
      </c>
      <c r="AU80" s="277">
        <v>1.3910049602457838E-2</v>
      </c>
      <c r="AV80" s="278">
        <v>0</v>
      </c>
      <c r="AW80" s="279">
        <f t="shared" si="28"/>
        <v>27.365379512399418</v>
      </c>
      <c r="AX80" s="280">
        <f t="shared" si="28"/>
        <v>28.214405378298327</v>
      </c>
      <c r="AY80" s="280">
        <f t="shared" si="28"/>
        <v>23.187914467663987</v>
      </c>
      <c r="AZ80" s="280">
        <f t="shared" si="28"/>
        <v>18.086386423895764</v>
      </c>
      <c r="BA80" s="280">
        <f t="shared" si="28"/>
        <v>14.514847573328842</v>
      </c>
      <c r="BB80" s="280">
        <f t="shared" si="28"/>
        <v>9.1575392974784613</v>
      </c>
      <c r="BC80" s="280">
        <f t="shared" si="28"/>
        <v>7.0076274069901325</v>
      </c>
      <c r="BD80" s="280">
        <f t="shared" si="28"/>
        <v>5.5743528133312461</v>
      </c>
      <c r="BE80" s="280">
        <f t="shared" si="28"/>
        <v>4.1964559728169801</v>
      </c>
      <c r="BF80" s="280">
        <f t="shared" si="28"/>
        <v>2.129610712045356</v>
      </c>
      <c r="BG80" s="280">
        <f t="shared" si="28"/>
        <v>0.8013936387007935</v>
      </c>
      <c r="BH80" s="280">
        <f t="shared" si="28"/>
        <v>0.65153510356415978</v>
      </c>
      <c r="BI80" s="280">
        <f t="shared" si="28"/>
        <v>0.38065378640755937</v>
      </c>
      <c r="BJ80" s="281">
        <f t="shared" si="28"/>
        <v>0</v>
      </c>
      <c r="BK80" s="279">
        <v>27.365379512399418</v>
      </c>
      <c r="BL80" s="280">
        <v>28.214405378298327</v>
      </c>
      <c r="BM80" s="280">
        <v>23.187914467663987</v>
      </c>
      <c r="BN80" s="280">
        <v>18.086386423895764</v>
      </c>
      <c r="BO80" s="282">
        <v>14.514847573328842</v>
      </c>
      <c r="BP80" s="280">
        <v>9.1575392974784613</v>
      </c>
      <c r="BQ80" s="282">
        <v>7.0076274069901325</v>
      </c>
      <c r="BR80" s="280">
        <v>5.5743528133312461</v>
      </c>
      <c r="BS80" s="282">
        <v>4.1964559728169801</v>
      </c>
      <c r="BT80" s="280">
        <v>2.129610712045356</v>
      </c>
      <c r="BU80" s="282">
        <v>0.8013936387007935</v>
      </c>
      <c r="BV80" s="280">
        <v>0.65153510356415978</v>
      </c>
      <c r="BW80" s="280">
        <v>0.38065378640755937</v>
      </c>
      <c r="BX80" s="284">
        <v>0</v>
      </c>
      <c r="BY80" s="180"/>
      <c r="BZ80" s="180"/>
      <c r="CA80" s="180"/>
      <c r="CB80" s="276" t="s">
        <v>663</v>
      </c>
      <c r="CC80" s="277" t="s">
        <v>663</v>
      </c>
      <c r="CD80" s="277" t="s">
        <v>663</v>
      </c>
      <c r="CE80" s="277" t="s">
        <v>663</v>
      </c>
      <c r="CF80" s="277" t="s">
        <v>663</v>
      </c>
      <c r="CG80" s="277" t="s">
        <v>663</v>
      </c>
      <c r="CH80" s="277" t="s">
        <v>663</v>
      </c>
      <c r="CI80" s="277" t="s">
        <v>663</v>
      </c>
      <c r="CJ80" s="277" t="s">
        <v>663</v>
      </c>
      <c r="CK80" s="277" t="s">
        <v>663</v>
      </c>
      <c r="CL80" s="277" t="s">
        <v>663</v>
      </c>
      <c r="CM80" s="277" t="s">
        <v>663</v>
      </c>
      <c r="CN80" s="277" t="s">
        <v>663</v>
      </c>
      <c r="CO80" s="278" t="s">
        <v>663</v>
      </c>
      <c r="CP80" s="279" t="s">
        <v>663</v>
      </c>
      <c r="CQ80" s="280" t="s">
        <v>663</v>
      </c>
      <c r="CR80" s="280" t="s">
        <v>663</v>
      </c>
      <c r="CS80" s="280" t="s">
        <v>663</v>
      </c>
      <c r="CT80" s="280" t="s">
        <v>663</v>
      </c>
      <c r="CU80" s="280" t="s">
        <v>663</v>
      </c>
      <c r="CV80" s="280" t="s">
        <v>663</v>
      </c>
      <c r="CW80" s="280" t="s">
        <v>663</v>
      </c>
      <c r="CX80" s="280" t="s">
        <v>663</v>
      </c>
      <c r="CY80" s="280" t="s">
        <v>663</v>
      </c>
      <c r="CZ80" s="280" t="s">
        <v>663</v>
      </c>
      <c r="DA80" s="280" t="s">
        <v>663</v>
      </c>
      <c r="DB80" s="280" t="s">
        <v>663</v>
      </c>
      <c r="DC80" s="281" t="s">
        <v>663</v>
      </c>
      <c r="DD80" s="279">
        <v>27.365379512399418</v>
      </c>
      <c r="DE80" s="280">
        <v>28.214405378298327</v>
      </c>
      <c r="DF80" s="280">
        <v>4.8102368843329204</v>
      </c>
      <c r="DG80" s="280">
        <v>18.086386423895764</v>
      </c>
      <c r="DH80" s="282">
        <v>14.514847573328844</v>
      </c>
      <c r="DI80" s="280">
        <v>9.1575392974784613</v>
      </c>
      <c r="DJ80" s="282">
        <v>7.0076274069901325</v>
      </c>
      <c r="DK80" s="280">
        <v>5.5743528133312461</v>
      </c>
      <c r="DL80" s="282">
        <v>3.7550842645610452</v>
      </c>
      <c r="DM80" s="280">
        <v>1.026181441405744</v>
      </c>
      <c r="DN80" s="282">
        <v>0.8013936387007935</v>
      </c>
      <c r="DO80" s="280">
        <v>0.65153510356415978</v>
      </c>
      <c r="DP80" s="280">
        <v>0.38065378640755937</v>
      </c>
      <c r="DQ80" s="284" t="s">
        <v>663</v>
      </c>
    </row>
    <row r="81" spans="9:121" ht="15.75" customHeight="1" x14ac:dyDescent="0.25">
      <c r="I81" s="218" t="s">
        <v>627</v>
      </c>
      <c r="J81" s="219" t="s">
        <v>629</v>
      </c>
      <c r="K81" s="218">
        <v>12.5</v>
      </c>
      <c r="L81" s="219"/>
      <c r="M81" s="219" t="str">
        <f t="shared" si="15"/>
        <v>Heavy Oil</v>
      </c>
      <c r="N81" s="285">
        <f t="shared" si="16"/>
        <v>3.2805677744000978</v>
      </c>
      <c r="O81" s="286">
        <f t="shared" si="16"/>
        <v>8.7791106651863626E-2</v>
      </c>
      <c r="P81" s="287">
        <f t="shared" si="29"/>
        <v>2.6063465845553212E-2</v>
      </c>
      <c r="Q81" s="288">
        <f t="shared" si="17"/>
        <v>0</v>
      </c>
      <c r="R81" s="289">
        <f t="shared" si="18"/>
        <v>3.6990181091585597E-2</v>
      </c>
      <c r="S81" s="289">
        <f t="shared" si="18"/>
        <v>5.0800925560278022E-2</v>
      </c>
      <c r="T81" s="289">
        <f t="shared" si="18"/>
        <v>0</v>
      </c>
      <c r="U81" s="289">
        <f t="shared" si="18"/>
        <v>0</v>
      </c>
      <c r="V81" s="289">
        <f t="shared" si="18"/>
        <v>0</v>
      </c>
      <c r="W81" s="290">
        <f t="shared" si="19"/>
        <v>0.42134314627414909</v>
      </c>
      <c r="X81" s="290">
        <f t="shared" si="19"/>
        <v>0.57865685372585085</v>
      </c>
      <c r="Y81" s="290">
        <f t="shared" si="19"/>
        <v>0</v>
      </c>
      <c r="Z81" s="290">
        <f t="shared" si="20"/>
        <v>0</v>
      </c>
      <c r="AA81" s="291" t="str">
        <f t="shared" si="21"/>
        <v>-</v>
      </c>
      <c r="AB81" s="270">
        <v>34.198855287999997</v>
      </c>
      <c r="AC81" s="271">
        <f t="shared" si="22"/>
        <v>10.42467573902014</v>
      </c>
      <c r="AD81" s="272">
        <f t="shared" si="23"/>
        <v>33.307514591244193</v>
      </c>
      <c r="AE81" s="292">
        <f t="shared" si="24"/>
        <v>10.152972558945223</v>
      </c>
      <c r="AF81" s="272">
        <f t="shared" si="25"/>
        <v>0.89134069675580474</v>
      </c>
      <c r="AG81" s="274">
        <f t="shared" si="26"/>
        <v>10.152972558945223</v>
      </c>
      <c r="AH81" s="275">
        <f t="shared" si="27"/>
        <v>3.3683588810519614</v>
      </c>
      <c r="AI81" s="276">
        <v>1</v>
      </c>
      <c r="AJ81" s="277">
        <v>0.91296648521020596</v>
      </c>
      <c r="AK81" s="277">
        <v>1.037023676788877</v>
      </c>
      <c r="AL81" s="277">
        <v>0.81013478061257982</v>
      </c>
      <c r="AM81" s="277">
        <v>0</v>
      </c>
      <c r="AN81" s="277">
        <v>0</v>
      </c>
      <c r="AO81" s="277">
        <v>0.4888748606283207</v>
      </c>
      <c r="AP81" s="277">
        <v>0.2910572571653447</v>
      </c>
      <c r="AQ81" s="277">
        <v>0.24614678297370035</v>
      </c>
      <c r="AR81" s="277">
        <v>0.17878107168623381</v>
      </c>
      <c r="AS81" s="277">
        <v>0.14556306158588656</v>
      </c>
      <c r="AT81" s="277">
        <v>0.1234177215189884</v>
      </c>
      <c r="AU81" s="277">
        <v>0.10127238145209169</v>
      </c>
      <c r="AV81" s="278">
        <v>6.805437135174483E-2</v>
      </c>
      <c r="AW81" s="279">
        <f t="shared" si="28"/>
        <v>3.3683588810519614</v>
      </c>
      <c r="AX81" s="280">
        <f t="shared" si="28"/>
        <v>3.0751987685605915</v>
      </c>
      <c r="AY81" s="280">
        <f t="shared" si="28"/>
        <v>3.4930679115729726</v>
      </c>
      <c r="AZ81" s="280">
        <f t="shared" si="28"/>
        <v>2.7288246831254654</v>
      </c>
      <c r="BA81" s="280">
        <f t="shared" si="28"/>
        <v>0</v>
      </c>
      <c r="BB81" s="280">
        <f t="shared" si="28"/>
        <v>0</v>
      </c>
      <c r="BC81" s="280">
        <f t="shared" si="28"/>
        <v>1.6467059785204439</v>
      </c>
      <c r="BD81" s="280">
        <f t="shared" si="28"/>
        <v>0.98038529706751343</v>
      </c>
      <c r="BE81" s="280">
        <f t="shared" si="28"/>
        <v>0.82911070247183327</v>
      </c>
      <c r="BF81" s="280">
        <f t="shared" si="28"/>
        <v>0.60219881057831304</v>
      </c>
      <c r="BG81" s="280">
        <f t="shared" si="28"/>
        <v>0.4903086312459346</v>
      </c>
      <c r="BH81" s="280">
        <f t="shared" si="28"/>
        <v>0.41571517835768235</v>
      </c>
      <c r="BI81" s="280">
        <f t="shared" si="28"/>
        <v>0.34112172546943498</v>
      </c>
      <c r="BJ81" s="281">
        <f t="shared" si="28"/>
        <v>0.22923154613705787</v>
      </c>
      <c r="BK81" s="279">
        <v>3.3683588810519614</v>
      </c>
      <c r="BL81" s="280">
        <v>3.0751987685605915</v>
      </c>
      <c r="BM81" s="280">
        <v>3.4930679115729726</v>
      </c>
      <c r="BN81" s="280">
        <v>2.7288246831254654</v>
      </c>
      <c r="BO81" s="282">
        <v>0</v>
      </c>
      <c r="BP81" s="282">
        <v>0</v>
      </c>
      <c r="BQ81" s="280">
        <v>1.6467059785204439</v>
      </c>
      <c r="BR81" s="280">
        <v>0.98038529706751343</v>
      </c>
      <c r="BS81" s="282">
        <v>0.82911070247183327</v>
      </c>
      <c r="BT81" s="280">
        <v>0.60219881057831304</v>
      </c>
      <c r="BU81" s="282">
        <v>0.4903086312459346</v>
      </c>
      <c r="BV81" s="280">
        <v>0.41571517835768235</v>
      </c>
      <c r="BW81" s="283">
        <v>0.34112172546943498</v>
      </c>
      <c r="BX81" s="284">
        <v>0.22923154613705787</v>
      </c>
      <c r="BY81" s="180"/>
      <c r="BZ81" s="180"/>
      <c r="CA81" s="180"/>
      <c r="CB81" s="276" t="s">
        <v>663</v>
      </c>
      <c r="CC81" s="277" t="s">
        <v>663</v>
      </c>
      <c r="CD81" s="277" t="s">
        <v>663</v>
      </c>
      <c r="CE81" s="277" t="s">
        <v>663</v>
      </c>
      <c r="CF81" s="277" t="s">
        <v>663</v>
      </c>
      <c r="CG81" s="277" t="s">
        <v>663</v>
      </c>
      <c r="CH81" s="277" t="s">
        <v>663</v>
      </c>
      <c r="CI81" s="277" t="s">
        <v>663</v>
      </c>
      <c r="CJ81" s="277" t="s">
        <v>663</v>
      </c>
      <c r="CK81" s="277" t="s">
        <v>663</v>
      </c>
      <c r="CL81" s="277" t="s">
        <v>663</v>
      </c>
      <c r="CM81" s="277" t="s">
        <v>663</v>
      </c>
      <c r="CN81" s="277" t="s">
        <v>663</v>
      </c>
      <c r="CO81" s="278" t="s">
        <v>663</v>
      </c>
      <c r="CP81" s="279" t="s">
        <v>663</v>
      </c>
      <c r="CQ81" s="280" t="s">
        <v>663</v>
      </c>
      <c r="CR81" s="280" t="s">
        <v>663</v>
      </c>
      <c r="CS81" s="280" t="s">
        <v>663</v>
      </c>
      <c r="CT81" s="280" t="s">
        <v>663</v>
      </c>
      <c r="CU81" s="280" t="s">
        <v>663</v>
      </c>
      <c r="CV81" s="280" t="s">
        <v>663</v>
      </c>
      <c r="CW81" s="280" t="s">
        <v>663</v>
      </c>
      <c r="CX81" s="280" t="s">
        <v>663</v>
      </c>
      <c r="CY81" s="280" t="s">
        <v>663</v>
      </c>
      <c r="CZ81" s="280" t="s">
        <v>663</v>
      </c>
      <c r="DA81" s="280" t="s">
        <v>663</v>
      </c>
      <c r="DB81" s="280" t="s">
        <v>663</v>
      </c>
      <c r="DC81" s="281" t="s">
        <v>663</v>
      </c>
      <c r="DD81" s="279">
        <v>3.3683588810519614</v>
      </c>
      <c r="DE81" s="280">
        <v>3.0751987685605915</v>
      </c>
      <c r="DF81" s="280">
        <v>3.4930679115729726</v>
      </c>
      <c r="DG81" s="280">
        <v>2.7288246831254654</v>
      </c>
      <c r="DH81" s="282">
        <v>2.4582950069742102</v>
      </c>
      <c r="DI81" s="282">
        <v>2.0525004927473267</v>
      </c>
      <c r="DJ81" s="280">
        <v>1.6467059785204439</v>
      </c>
      <c r="DK81" s="280">
        <v>0.98038529706751343</v>
      </c>
      <c r="DL81" s="282">
        <v>0.82911070247183327</v>
      </c>
      <c r="DM81" s="280">
        <v>0.60219881057831304</v>
      </c>
      <c r="DN81" s="282">
        <v>0.4903086312459346</v>
      </c>
      <c r="DO81" s="280">
        <v>0.41571517835768235</v>
      </c>
      <c r="DP81" s="283" t="s">
        <v>663</v>
      </c>
      <c r="DQ81" s="284" t="s">
        <v>663</v>
      </c>
    </row>
    <row r="82" spans="9:121" ht="15.75" customHeight="1" x14ac:dyDescent="0.25">
      <c r="I82" s="218" t="s">
        <v>627</v>
      </c>
      <c r="J82" s="219" t="s">
        <v>632</v>
      </c>
      <c r="K82" s="218">
        <v>21</v>
      </c>
      <c r="L82" s="219"/>
      <c r="M82" s="219" t="str">
        <f t="shared" si="15"/>
        <v>Medium Oil</v>
      </c>
      <c r="N82" s="285">
        <f t="shared" si="16"/>
        <v>39.659458817161386</v>
      </c>
      <c r="O82" s="286">
        <f t="shared" si="16"/>
        <v>1.8634611370761611</v>
      </c>
      <c r="P82" s="287">
        <f t="shared" si="29"/>
        <v>4.4877892477934681E-2</v>
      </c>
      <c r="Q82" s="288">
        <f t="shared" si="17"/>
        <v>0.90025257054584151</v>
      </c>
      <c r="R82" s="289">
        <f t="shared" si="18"/>
        <v>0.8853716952922942</v>
      </c>
      <c r="S82" s="289">
        <f t="shared" si="18"/>
        <v>7.7836871238025379E-2</v>
      </c>
      <c r="T82" s="289">
        <f t="shared" si="18"/>
        <v>0</v>
      </c>
      <c r="U82" s="289">
        <f t="shared" si="18"/>
        <v>0</v>
      </c>
      <c r="V82" s="289">
        <f t="shared" si="18"/>
        <v>0.90025257054584151</v>
      </c>
      <c r="W82" s="290">
        <f t="shared" si="19"/>
        <v>0.47512216792536649</v>
      </c>
      <c r="X82" s="290">
        <f t="shared" si="19"/>
        <v>4.1770053417993079E-2</v>
      </c>
      <c r="Y82" s="290">
        <f t="shared" si="19"/>
        <v>0</v>
      </c>
      <c r="Z82" s="290">
        <f t="shared" si="20"/>
        <v>0.4831077786566404</v>
      </c>
      <c r="AA82" s="291" t="str">
        <f t="shared" si="21"/>
        <v>-</v>
      </c>
      <c r="AB82" s="270">
        <v>514.19415250670738</v>
      </c>
      <c r="AC82" s="271">
        <f t="shared" si="22"/>
        <v>12.677460832784638</v>
      </c>
      <c r="AD82" s="272">
        <f t="shared" si="23"/>
        <v>491.11820261772863</v>
      </c>
      <c r="AE82" s="292">
        <f t="shared" si="24"/>
        <v>12.38338134874429</v>
      </c>
      <c r="AF82" s="272">
        <f t="shared" si="25"/>
        <v>23.075949888978762</v>
      </c>
      <c r="AG82" s="274">
        <f t="shared" si="26"/>
        <v>12.38338134874429</v>
      </c>
      <c r="AH82" s="275">
        <f t="shared" si="27"/>
        <v>41.522919954237551</v>
      </c>
      <c r="AI82" s="276">
        <v>1</v>
      </c>
      <c r="AJ82" s="277">
        <v>1.0666666666666669</v>
      </c>
      <c r="AK82" s="277">
        <v>0.96355555555555572</v>
      </c>
      <c r="AL82" s="277">
        <v>0.89481481481481495</v>
      </c>
      <c r="AM82" s="277">
        <v>0.77155555555555577</v>
      </c>
      <c r="AN82" s="277">
        <v>0.58666666666666689</v>
      </c>
      <c r="AO82" s="277">
        <v>0.45688888888888901</v>
      </c>
      <c r="AP82" s="277">
        <v>0.37037037037037046</v>
      </c>
      <c r="AQ82" s="277">
        <v>0.32533333333333342</v>
      </c>
      <c r="AR82" s="277">
        <v>0.25777777777777799</v>
      </c>
      <c r="AS82" s="277">
        <v>0.21333333333333346</v>
      </c>
      <c r="AT82" s="277">
        <v>0.18370370370370376</v>
      </c>
      <c r="AU82" s="277">
        <v>0.16118518518518526</v>
      </c>
      <c r="AV82" s="278">
        <v>0.12740740740740755</v>
      </c>
      <c r="AW82" s="279">
        <f t="shared" si="28"/>
        <v>41.522919954237551</v>
      </c>
      <c r="AX82" s="280">
        <f t="shared" si="28"/>
        <v>44.291114617853395</v>
      </c>
      <c r="AY82" s="280">
        <f t="shared" si="28"/>
        <v>40.009640204794231</v>
      </c>
      <c r="AZ82" s="280">
        <f t="shared" si="28"/>
        <v>37.155323929421456</v>
      </c>
      <c r="BA82" s="280">
        <f t="shared" si="28"/>
        <v>32.037239573580628</v>
      </c>
      <c r="BB82" s="280">
        <f t="shared" si="28"/>
        <v>24.360113039819371</v>
      </c>
      <c r="BC82" s="280">
        <f t="shared" si="28"/>
        <v>18.971360761313871</v>
      </c>
      <c r="BD82" s="280">
        <f t="shared" si="28"/>
        <v>15.378859242310208</v>
      </c>
      <c r="BE82" s="280">
        <f t="shared" si="28"/>
        <v>13.508789958445286</v>
      </c>
      <c r="BF82" s="280">
        <f t="shared" si="28"/>
        <v>10.70368603264791</v>
      </c>
      <c r="BG82" s="280">
        <f t="shared" si="28"/>
        <v>8.8582229235706826</v>
      </c>
      <c r="BH82" s="280">
        <f t="shared" si="28"/>
        <v>7.6279141841858635</v>
      </c>
      <c r="BI82" s="280">
        <f t="shared" si="28"/>
        <v>6.6928795422534044</v>
      </c>
      <c r="BJ82" s="281">
        <f t="shared" si="28"/>
        <v>5.2903275793547166</v>
      </c>
      <c r="BK82" s="279">
        <v>41.522919954237551</v>
      </c>
      <c r="BL82" s="280">
        <v>44.291114617853395</v>
      </c>
      <c r="BM82" s="282">
        <v>40.009640204794231</v>
      </c>
      <c r="BN82" s="280">
        <v>37.155323929421456</v>
      </c>
      <c r="BO82" s="282">
        <v>32.037239573580628</v>
      </c>
      <c r="BP82" s="280">
        <v>24.360113039819371</v>
      </c>
      <c r="BQ82" s="282">
        <v>18.971360761313871</v>
      </c>
      <c r="BR82" s="280">
        <v>15.378859242310208</v>
      </c>
      <c r="BS82" s="282">
        <v>13.508789958445286</v>
      </c>
      <c r="BT82" s="280">
        <v>10.70368603264791</v>
      </c>
      <c r="BU82" s="282">
        <v>8.8582229235706826</v>
      </c>
      <c r="BV82" s="280">
        <v>7.6279141841858635</v>
      </c>
      <c r="BW82" s="282">
        <v>6.6928795422534044</v>
      </c>
      <c r="BX82" s="281">
        <v>5.2903275793547166</v>
      </c>
      <c r="BY82" s="180"/>
      <c r="BZ82" s="180"/>
      <c r="CA82" s="180"/>
      <c r="CB82" s="276" t="s">
        <v>663</v>
      </c>
      <c r="CC82" s="277" t="s">
        <v>663</v>
      </c>
      <c r="CD82" s="277" t="s">
        <v>663</v>
      </c>
      <c r="CE82" s="277" t="s">
        <v>663</v>
      </c>
      <c r="CF82" s="277" t="s">
        <v>663</v>
      </c>
      <c r="CG82" s="277" t="s">
        <v>663</v>
      </c>
      <c r="CH82" s="277" t="s">
        <v>663</v>
      </c>
      <c r="CI82" s="277" t="s">
        <v>663</v>
      </c>
      <c r="CJ82" s="277" t="s">
        <v>663</v>
      </c>
      <c r="CK82" s="277" t="s">
        <v>663</v>
      </c>
      <c r="CL82" s="277" t="s">
        <v>663</v>
      </c>
      <c r="CM82" s="277" t="s">
        <v>663</v>
      </c>
      <c r="CN82" s="277" t="s">
        <v>663</v>
      </c>
      <c r="CO82" s="278" t="s">
        <v>663</v>
      </c>
      <c r="CP82" s="279" t="s">
        <v>663</v>
      </c>
      <c r="CQ82" s="280" t="s">
        <v>663</v>
      </c>
      <c r="CR82" s="280" t="s">
        <v>663</v>
      </c>
      <c r="CS82" s="280" t="s">
        <v>663</v>
      </c>
      <c r="CT82" s="280" t="s">
        <v>663</v>
      </c>
      <c r="CU82" s="280" t="s">
        <v>663</v>
      </c>
      <c r="CV82" s="280" t="s">
        <v>663</v>
      </c>
      <c r="CW82" s="280" t="s">
        <v>663</v>
      </c>
      <c r="CX82" s="280" t="s">
        <v>663</v>
      </c>
      <c r="CY82" s="280" t="s">
        <v>663</v>
      </c>
      <c r="CZ82" s="280" t="s">
        <v>663</v>
      </c>
      <c r="DA82" s="280" t="s">
        <v>663</v>
      </c>
      <c r="DB82" s="280" t="s">
        <v>663</v>
      </c>
      <c r="DC82" s="281" t="s">
        <v>663</v>
      </c>
      <c r="DD82" s="279">
        <v>41.522919954237551</v>
      </c>
      <c r="DE82" s="280">
        <v>44.291114617853395</v>
      </c>
      <c r="DF82" s="282">
        <v>40.009640204794231</v>
      </c>
      <c r="DG82" s="280">
        <v>37.155323929421456</v>
      </c>
      <c r="DH82" s="282">
        <v>32.037239573580621</v>
      </c>
      <c r="DI82" s="280">
        <v>24.360113039819371</v>
      </c>
      <c r="DJ82" s="282">
        <v>18.971360761313875</v>
      </c>
      <c r="DK82" s="280">
        <v>15.378859242310208</v>
      </c>
      <c r="DL82" s="282">
        <v>13.50878995844529</v>
      </c>
      <c r="DM82" s="280">
        <v>10.70368603264791</v>
      </c>
      <c r="DN82" s="282">
        <v>8.8582229235706826</v>
      </c>
      <c r="DO82" s="280">
        <v>7.6279141841858635</v>
      </c>
      <c r="DP82" s="282">
        <v>6.6928795422534044</v>
      </c>
      <c r="DQ82" s="281">
        <v>5.2903275793547166</v>
      </c>
    </row>
    <row r="83" spans="9:121" ht="15.75" customHeight="1" x14ac:dyDescent="0.25">
      <c r="I83" s="218" t="s">
        <v>627</v>
      </c>
      <c r="J83" s="219" t="s">
        <v>634</v>
      </c>
      <c r="K83" s="218">
        <f>20+(25-20)/2</f>
        <v>22.5</v>
      </c>
      <c r="L83" s="219"/>
      <c r="M83" s="219" t="str">
        <f t="shared" si="15"/>
        <v>Medium Oil</v>
      </c>
      <c r="N83" s="285">
        <f t="shared" ref="N83:O89" si="30">Y51</f>
        <v>94.059349180277351</v>
      </c>
      <c r="O83" s="286">
        <f t="shared" si="30"/>
        <v>2.497140090885289</v>
      </c>
      <c r="P83" s="287">
        <f t="shared" si="29"/>
        <v>2.5861960285988563E-2</v>
      </c>
      <c r="Q83" s="288">
        <f t="shared" si="17"/>
        <v>1.3766222989813104</v>
      </c>
      <c r="R83" s="289">
        <f t="shared" ref="R83:V89" si="31">T51</f>
        <v>0.51468242964795996</v>
      </c>
      <c r="S83" s="289">
        <f t="shared" si="31"/>
        <v>0.60583536225601842</v>
      </c>
      <c r="T83" s="289">
        <f t="shared" si="31"/>
        <v>1.3766222989813104</v>
      </c>
      <c r="U83" s="289">
        <f t="shared" si="31"/>
        <v>0</v>
      </c>
      <c r="V83" s="289">
        <f t="shared" si="31"/>
        <v>0</v>
      </c>
      <c r="W83" s="290">
        <f t="shared" ref="W83:Y89" si="32">+IF($O83=0,"-",R83/$O83)</f>
        <v>0.20610875277946228</v>
      </c>
      <c r="X83" s="290">
        <f t="shared" si="32"/>
        <v>0.24261168384879719</v>
      </c>
      <c r="Y83" s="290">
        <f t="shared" si="32"/>
        <v>0.55127956337174044</v>
      </c>
      <c r="Z83" s="290">
        <f t="shared" si="20"/>
        <v>0</v>
      </c>
      <c r="AA83" s="291">
        <f t="shared" si="21"/>
        <v>0</v>
      </c>
      <c r="AB83" s="270">
        <v>356.91613908800002</v>
      </c>
      <c r="AC83" s="271">
        <f t="shared" si="22"/>
        <v>3.7398491738051778</v>
      </c>
      <c r="AD83" s="272">
        <f t="shared" si="23"/>
        <v>347.68558807347779</v>
      </c>
      <c r="AE83" s="292">
        <f t="shared" si="24"/>
        <v>3.69644900909416</v>
      </c>
      <c r="AF83" s="272">
        <f t="shared" si="25"/>
        <v>9.2305510145222271</v>
      </c>
      <c r="AG83" s="274">
        <f t="shared" si="26"/>
        <v>3.69644900909416</v>
      </c>
      <c r="AH83" s="275">
        <f t="shared" si="27"/>
        <v>96.556489271162647</v>
      </c>
      <c r="AI83" s="276">
        <v>1</v>
      </c>
      <c r="AJ83" s="277">
        <v>0.8428801816344339</v>
      </c>
      <c r="AK83" s="277">
        <v>0.56078675910832387</v>
      </c>
      <c r="AL83" s="277">
        <v>0.37272447742425052</v>
      </c>
      <c r="AM83" s="277">
        <v>0.27591584803589347</v>
      </c>
      <c r="AN83" s="277">
        <v>0.13070290395335787</v>
      </c>
      <c r="AO83" s="277">
        <v>9.278652515247135E-2</v>
      </c>
      <c r="AP83" s="277">
        <v>6.7508939285213676E-2</v>
      </c>
      <c r="AQ83" s="277">
        <v>5.706727294674778E-2</v>
      </c>
      <c r="AR83" s="277">
        <v>4.1404773439048928E-2</v>
      </c>
      <c r="AS83" s="277">
        <v>2.5742273931349369E-2</v>
      </c>
      <c r="AT83" s="277">
        <v>1.5300607592884145E-2</v>
      </c>
      <c r="AU83" s="277">
        <v>7.0758850390578634E-3</v>
      </c>
      <c r="AV83" s="278">
        <v>4.7150482391972994E-3</v>
      </c>
      <c r="AW83" s="279">
        <f t="shared" ref="AW83:BJ89" si="33">+IF(AI83="","",AI83*$AH83)</f>
        <v>96.556489271162647</v>
      </c>
      <c r="AX83" s="280">
        <f t="shared" si="33"/>
        <v>81.38555121486084</v>
      </c>
      <c r="AY83" s="280">
        <f t="shared" si="33"/>
        <v>54.147600689252947</v>
      </c>
      <c r="AZ83" s="280">
        <f t="shared" si="33"/>
        <v>35.988967005514347</v>
      </c>
      <c r="BA83" s="280">
        <f t="shared" si="33"/>
        <v>26.641465620621492</v>
      </c>
      <c r="BB83" s="280">
        <f t="shared" si="33"/>
        <v>12.620213543282201</v>
      </c>
      <c r="BC83" s="280">
        <f t="shared" si="33"/>
        <v>8.9591411203930633</v>
      </c>
      <c r="BD83" s="280">
        <f t="shared" si="33"/>
        <v>6.5184261718003045</v>
      </c>
      <c r="BE83" s="280">
        <f t="shared" si="33"/>
        <v>5.5102155280171621</v>
      </c>
      <c r="BF83" s="280">
        <f t="shared" si="33"/>
        <v>3.997899562342448</v>
      </c>
      <c r="BG83" s="280">
        <f t="shared" si="33"/>
        <v>2.4855835966676652</v>
      </c>
      <c r="BH83" s="280">
        <f t="shared" si="33"/>
        <v>1.4773729528845878</v>
      </c>
      <c r="BI83" s="280">
        <f t="shared" si="33"/>
        <v>0.68322261785777083</v>
      </c>
      <c r="BJ83" s="281">
        <f t="shared" si="33"/>
        <v>0.45526850472106839</v>
      </c>
      <c r="BK83" s="279">
        <v>96.556489271162647</v>
      </c>
      <c r="BL83" s="280">
        <v>81.38555121486084</v>
      </c>
      <c r="BM83" s="282">
        <v>54.147600689252947</v>
      </c>
      <c r="BN83" s="280">
        <v>35.988967005514347</v>
      </c>
      <c r="BO83" s="282">
        <v>26.641465620621492</v>
      </c>
      <c r="BP83" s="280">
        <v>12.620213543282201</v>
      </c>
      <c r="BQ83" s="282">
        <v>8.9591411203930633</v>
      </c>
      <c r="BR83" s="280">
        <v>6.5184261718003045</v>
      </c>
      <c r="BS83" s="282">
        <v>5.5102155280171621</v>
      </c>
      <c r="BT83" s="280">
        <v>3.997899562342448</v>
      </c>
      <c r="BU83" s="283">
        <v>2.4855835966676652</v>
      </c>
      <c r="BV83" s="283">
        <v>1.4773729528845878</v>
      </c>
      <c r="BW83" s="283">
        <v>0.68322261785777083</v>
      </c>
      <c r="BX83" s="284">
        <v>0.45526850472106839</v>
      </c>
      <c r="BY83" s="180"/>
      <c r="BZ83" s="180"/>
      <c r="CA83" s="180"/>
      <c r="CB83" s="276" t="s">
        <v>663</v>
      </c>
      <c r="CC83" s="277" t="s">
        <v>663</v>
      </c>
      <c r="CD83" s="277" t="s">
        <v>663</v>
      </c>
      <c r="CE83" s="277" t="s">
        <v>663</v>
      </c>
      <c r="CF83" s="277" t="s">
        <v>663</v>
      </c>
      <c r="CG83" s="277" t="s">
        <v>663</v>
      </c>
      <c r="CH83" s="277" t="s">
        <v>663</v>
      </c>
      <c r="CI83" s="277" t="s">
        <v>663</v>
      </c>
      <c r="CJ83" s="277" t="s">
        <v>663</v>
      </c>
      <c r="CK83" s="277" t="s">
        <v>663</v>
      </c>
      <c r="CL83" s="277" t="s">
        <v>663</v>
      </c>
      <c r="CM83" s="277" t="s">
        <v>663</v>
      </c>
      <c r="CN83" s="277" t="s">
        <v>663</v>
      </c>
      <c r="CO83" s="278" t="s">
        <v>663</v>
      </c>
      <c r="CP83" s="279" t="s">
        <v>663</v>
      </c>
      <c r="CQ83" s="280" t="s">
        <v>663</v>
      </c>
      <c r="CR83" s="280" t="s">
        <v>663</v>
      </c>
      <c r="CS83" s="280" t="s">
        <v>663</v>
      </c>
      <c r="CT83" s="280" t="s">
        <v>663</v>
      </c>
      <c r="CU83" s="280" t="s">
        <v>663</v>
      </c>
      <c r="CV83" s="280" t="s">
        <v>663</v>
      </c>
      <c r="CW83" s="280" t="s">
        <v>663</v>
      </c>
      <c r="CX83" s="280" t="s">
        <v>663</v>
      </c>
      <c r="CY83" s="280" t="s">
        <v>663</v>
      </c>
      <c r="CZ83" s="280" t="s">
        <v>663</v>
      </c>
      <c r="DA83" s="280" t="s">
        <v>663</v>
      </c>
      <c r="DB83" s="280" t="s">
        <v>663</v>
      </c>
      <c r="DC83" s="281" t="s">
        <v>663</v>
      </c>
      <c r="DD83" s="279">
        <v>96.556489271162647</v>
      </c>
      <c r="DE83" s="280">
        <v>81.38555121486084</v>
      </c>
      <c r="DF83" s="282">
        <v>54.14760068925294</v>
      </c>
      <c r="DG83" s="280">
        <v>35.988967005514347</v>
      </c>
      <c r="DH83" s="282">
        <v>26.641465620621489</v>
      </c>
      <c r="DI83" s="280">
        <v>12.620213543282201</v>
      </c>
      <c r="DJ83" s="282">
        <v>8.9591411203930633</v>
      </c>
      <c r="DK83" s="280">
        <v>6.5184261718003045</v>
      </c>
      <c r="DL83" s="282">
        <v>5.5102155280171621</v>
      </c>
      <c r="DM83" s="280">
        <v>3.997899562342448</v>
      </c>
      <c r="DN83" s="283" t="s">
        <v>663</v>
      </c>
      <c r="DO83" s="283" t="s">
        <v>663</v>
      </c>
      <c r="DP83" s="283" t="s">
        <v>663</v>
      </c>
      <c r="DQ83" s="284" t="s">
        <v>663</v>
      </c>
    </row>
    <row r="84" spans="9:121" ht="15.75" customHeight="1" x14ac:dyDescent="0.25">
      <c r="I84" s="218" t="s">
        <v>636</v>
      </c>
      <c r="J84" s="219" t="s">
        <v>637</v>
      </c>
      <c r="K84" s="218">
        <v>23</v>
      </c>
      <c r="L84" s="219"/>
      <c r="M84" s="219" t="str">
        <f t="shared" si="15"/>
        <v>Medium Oil</v>
      </c>
      <c r="N84" s="285">
        <f t="shared" si="30"/>
        <v>10.408512554584734</v>
      </c>
      <c r="O84" s="286">
        <f t="shared" si="30"/>
        <v>0.71025387836690013</v>
      </c>
      <c r="P84" s="287">
        <f t="shared" si="29"/>
        <v>6.3878837877373515E-2</v>
      </c>
      <c r="Q84" s="288">
        <f t="shared" si="17"/>
        <v>0.38201649904628787</v>
      </c>
      <c r="R84" s="289">
        <f t="shared" si="31"/>
        <v>3.8100694170208539E-2</v>
      </c>
      <c r="S84" s="289">
        <f t="shared" si="31"/>
        <v>8.403555333142973E-2</v>
      </c>
      <c r="T84" s="289">
        <f t="shared" si="31"/>
        <v>0.58683549303812432</v>
      </c>
      <c r="U84" s="289">
        <f t="shared" si="31"/>
        <v>0.2061011318189738</v>
      </c>
      <c r="V84" s="289">
        <f t="shared" si="31"/>
        <v>1.2821378271373829E-3</v>
      </c>
      <c r="W84" s="290">
        <f t="shared" si="32"/>
        <v>5.3643767856381398E-2</v>
      </c>
      <c r="X84" s="290">
        <f t="shared" si="32"/>
        <v>0.11831762682472671</v>
      </c>
      <c r="Y84" s="290">
        <f t="shared" si="32"/>
        <v>0.82623342288175328</v>
      </c>
      <c r="Z84" s="290">
        <f t="shared" si="20"/>
        <v>1.8051824371384303E-3</v>
      </c>
      <c r="AA84" s="291">
        <f t="shared" si="21"/>
        <v>0.35120767960363336</v>
      </c>
      <c r="AB84" s="270">
        <v>68.678597355267783</v>
      </c>
      <c r="AC84" s="271">
        <f t="shared" si="22"/>
        <v>6.3647108509621582</v>
      </c>
      <c r="AD84" s="272">
        <f t="shared" si="23"/>
        <v>64.291488369165208</v>
      </c>
      <c r="AE84" s="292">
        <f t="shared" si="24"/>
        <v>6.1768180642532</v>
      </c>
      <c r="AF84" s="272">
        <f t="shared" si="25"/>
        <v>4.3871089861025645</v>
      </c>
      <c r="AG84" s="274">
        <f t="shared" si="26"/>
        <v>6.1768180642532009</v>
      </c>
      <c r="AH84" s="275">
        <f t="shared" si="27"/>
        <v>11.118766432951634</v>
      </c>
      <c r="AI84" s="276">
        <v>1</v>
      </c>
      <c r="AJ84" s="277">
        <v>0.92899768313750497</v>
      </c>
      <c r="AK84" s="277">
        <v>0.66664478329632215</v>
      </c>
      <c r="AL84" s="277">
        <v>0.54043952260260264</v>
      </c>
      <c r="AM84" s="277">
        <v>0.42775129566918652</v>
      </c>
      <c r="AN84" s="277">
        <v>0.27808028290295722</v>
      </c>
      <c r="AO84" s="277">
        <v>0.21693685786046518</v>
      </c>
      <c r="AP84" s="277">
        <v>0.17617457449880206</v>
      </c>
      <c r="AQ84" s="277">
        <v>0.1337547602752909</v>
      </c>
      <c r="AR84" s="277">
        <v>7.5845431195485674E-2</v>
      </c>
      <c r="AS84" s="277">
        <v>1.9345471814238253E-2</v>
      </c>
      <c r="AT84" s="277">
        <v>7.3717377731980184E-3</v>
      </c>
      <c r="AU84" s="277">
        <v>6.3022022619874472E-3</v>
      </c>
      <c r="AV84" s="278">
        <v>4.6978989951715908E-3</v>
      </c>
      <c r="AW84" s="279">
        <f t="shared" si="33"/>
        <v>11.118766432951634</v>
      </c>
      <c r="AX84" s="280">
        <f t="shared" si="33"/>
        <v>10.329308255559129</v>
      </c>
      <c r="AY84" s="280">
        <f t="shared" si="33"/>
        <v>7.4122676392174629</v>
      </c>
      <c r="AZ84" s="280">
        <f t="shared" si="33"/>
        <v>6.0090208229542244</v>
      </c>
      <c r="BA84" s="280">
        <f t="shared" si="33"/>
        <v>4.7560667479381209</v>
      </c>
      <c r="BB84" s="280">
        <f t="shared" si="33"/>
        <v>3.0919097152070951</v>
      </c>
      <c r="BC84" s="280">
        <f t="shared" si="33"/>
        <v>2.41207025324894</v>
      </c>
      <c r="BD84" s="280">
        <f t="shared" si="33"/>
        <v>1.9588439452768174</v>
      </c>
      <c r="BE84" s="280">
        <f t="shared" si="33"/>
        <v>1.4871879387963971</v>
      </c>
      <c r="BF84" s="280">
        <f t="shared" si="33"/>
        <v>0.84330763446910884</v>
      </c>
      <c r="BG84" s="280">
        <f t="shared" si="33"/>
        <v>0.21509778263776425</v>
      </c>
      <c r="BH84" s="280">
        <f t="shared" si="33"/>
        <v>8.1964630505155761E-2</v>
      </c>
      <c r="BI84" s="280">
        <f t="shared" si="33"/>
        <v>7.007271496425789E-2</v>
      </c>
      <c r="BJ84" s="281">
        <f t="shared" si="33"/>
        <v>5.2234841652911097E-2</v>
      </c>
      <c r="BK84" s="279">
        <v>11.118766432951634</v>
      </c>
      <c r="BL84" s="280">
        <v>10.329308255559129</v>
      </c>
      <c r="BM84" s="280">
        <v>7.4122676392174629</v>
      </c>
      <c r="BN84" s="280">
        <v>6.0090208229542244</v>
      </c>
      <c r="BO84" s="280">
        <v>4.7560667479381209</v>
      </c>
      <c r="BP84" s="280">
        <v>3.0919097152070951</v>
      </c>
      <c r="BQ84" s="280">
        <v>2.41207025324894</v>
      </c>
      <c r="BR84" s="280">
        <v>1.9588439452768174</v>
      </c>
      <c r="BS84" s="280">
        <v>1.4871879387963971</v>
      </c>
      <c r="BT84" s="280">
        <v>0.84330763446910884</v>
      </c>
      <c r="BU84" s="282">
        <v>0.21509778263776425</v>
      </c>
      <c r="BV84" s="280">
        <v>8.1964630505155761E-2</v>
      </c>
      <c r="BW84" s="282">
        <v>7.007271496425789E-2</v>
      </c>
      <c r="BX84" s="281">
        <v>5.2234841652911097E-2</v>
      </c>
      <c r="BY84" s="180"/>
      <c r="BZ84" s="180"/>
      <c r="CA84" s="180"/>
      <c r="CB84" s="276" t="s">
        <v>663</v>
      </c>
      <c r="CC84" s="277" t="s">
        <v>663</v>
      </c>
      <c r="CD84" s="277" t="s">
        <v>663</v>
      </c>
      <c r="CE84" s="277" t="s">
        <v>663</v>
      </c>
      <c r="CF84" s="277" t="s">
        <v>663</v>
      </c>
      <c r="CG84" s="277" t="s">
        <v>663</v>
      </c>
      <c r="CH84" s="277" t="s">
        <v>663</v>
      </c>
      <c r="CI84" s="277" t="s">
        <v>663</v>
      </c>
      <c r="CJ84" s="277" t="s">
        <v>663</v>
      </c>
      <c r="CK84" s="277" t="s">
        <v>663</v>
      </c>
      <c r="CL84" s="277" t="s">
        <v>663</v>
      </c>
      <c r="CM84" s="277" t="s">
        <v>663</v>
      </c>
      <c r="CN84" s="277" t="s">
        <v>663</v>
      </c>
      <c r="CO84" s="278" t="s">
        <v>663</v>
      </c>
      <c r="CP84" s="279" t="s">
        <v>663</v>
      </c>
      <c r="CQ84" s="280" t="s">
        <v>663</v>
      </c>
      <c r="CR84" s="280" t="s">
        <v>663</v>
      </c>
      <c r="CS84" s="280" t="s">
        <v>663</v>
      </c>
      <c r="CT84" s="280" t="s">
        <v>663</v>
      </c>
      <c r="CU84" s="280" t="s">
        <v>663</v>
      </c>
      <c r="CV84" s="280" t="s">
        <v>663</v>
      </c>
      <c r="CW84" s="280" t="s">
        <v>663</v>
      </c>
      <c r="CX84" s="280" t="s">
        <v>663</v>
      </c>
      <c r="CY84" s="280" t="s">
        <v>663</v>
      </c>
      <c r="CZ84" s="280" t="s">
        <v>663</v>
      </c>
      <c r="DA84" s="280" t="s">
        <v>663</v>
      </c>
      <c r="DB84" s="280" t="s">
        <v>663</v>
      </c>
      <c r="DC84" s="281" t="s">
        <v>663</v>
      </c>
      <c r="DD84" s="279">
        <v>11.118766432951634</v>
      </c>
      <c r="DE84" s="280">
        <v>10.329308255559129</v>
      </c>
      <c r="DF84" s="280">
        <v>0.97851854451422471</v>
      </c>
      <c r="DG84" s="280">
        <v>6.0090208229542244</v>
      </c>
      <c r="DH84" s="280">
        <v>0.39140741780568994</v>
      </c>
      <c r="DI84" s="280">
        <v>3.0919097152070951</v>
      </c>
      <c r="DJ84" s="280">
        <v>0.12720741078684925</v>
      </c>
      <c r="DK84" s="280">
        <v>1.916441475014554</v>
      </c>
      <c r="DL84" s="280">
        <v>1.3140977124726838</v>
      </c>
      <c r="DM84" s="280">
        <v>0.12912409508183365</v>
      </c>
      <c r="DN84" s="282">
        <v>0.10082841633582691</v>
      </c>
      <c r="DO84" s="280">
        <v>8.1964630505155761E-2</v>
      </c>
      <c r="DP84" s="282">
        <v>7.007271496425789E-2</v>
      </c>
      <c r="DQ84" s="281">
        <v>5.2234841652911097E-2</v>
      </c>
    </row>
    <row r="85" spans="9:121" ht="15.75" customHeight="1" x14ac:dyDescent="0.25">
      <c r="I85" s="218" t="s">
        <v>636</v>
      </c>
      <c r="J85" s="219" t="s">
        <v>638</v>
      </c>
      <c r="K85" s="218">
        <v>25.5</v>
      </c>
      <c r="L85" s="219"/>
      <c r="M85" s="219" t="str">
        <f t="shared" si="15"/>
        <v>Medium Oil</v>
      </c>
      <c r="N85" s="285">
        <f t="shared" si="30"/>
        <v>9.2296903712167389</v>
      </c>
      <c r="O85" s="286">
        <f t="shared" si="30"/>
        <v>0.31949461271981699</v>
      </c>
      <c r="P85" s="287">
        <f t="shared" si="29"/>
        <v>3.3457788623559429E-2</v>
      </c>
      <c r="Q85" s="288">
        <f t="shared" si="17"/>
        <v>0</v>
      </c>
      <c r="R85" s="289">
        <f t="shared" si="31"/>
        <v>0.16765718815173636</v>
      </c>
      <c r="S85" s="289">
        <f t="shared" si="31"/>
        <v>0.15183742456808058</v>
      </c>
      <c r="T85" s="289">
        <f t="shared" si="31"/>
        <v>0</v>
      </c>
      <c r="U85" s="289">
        <f t="shared" si="31"/>
        <v>0</v>
      </c>
      <c r="V85" s="289">
        <f t="shared" si="31"/>
        <v>0</v>
      </c>
      <c r="W85" s="290">
        <f t="shared" si="32"/>
        <v>0.52475748096186048</v>
      </c>
      <c r="X85" s="290">
        <f t="shared" si="32"/>
        <v>0.47524251903813935</v>
      </c>
      <c r="Y85" s="290">
        <f t="shared" si="32"/>
        <v>0</v>
      </c>
      <c r="Z85" s="290">
        <f t="shared" si="20"/>
        <v>0</v>
      </c>
      <c r="AA85" s="291" t="str">
        <f t="shared" si="21"/>
        <v>-</v>
      </c>
      <c r="AB85" s="270">
        <v>122.68330472394234</v>
      </c>
      <c r="AC85" s="271">
        <f t="shared" si="22"/>
        <v>13.292244895509874</v>
      </c>
      <c r="AD85" s="272">
        <f t="shared" si="23"/>
        <v>118.57859264684895</v>
      </c>
      <c r="AE85" s="292">
        <f t="shared" si="24"/>
        <v>12.847515775463318</v>
      </c>
      <c r="AF85" s="272">
        <f t="shared" si="25"/>
        <v>4.1047120770933931</v>
      </c>
      <c r="AG85" s="274">
        <f t="shared" si="26"/>
        <v>12.847515775463322</v>
      </c>
      <c r="AH85" s="275">
        <f t="shared" si="27"/>
        <v>9.5491849839365557</v>
      </c>
      <c r="AI85" s="276">
        <v>1</v>
      </c>
      <c r="AJ85" s="277">
        <v>0.92128772622171617</v>
      </c>
      <c r="AK85" s="277">
        <v>0.9604039951992509</v>
      </c>
      <c r="AL85" s="277">
        <v>0.80851590417488839</v>
      </c>
      <c r="AM85" s="277">
        <v>0.72519782745784112</v>
      </c>
      <c r="AN85" s="277">
        <v>0.60022071238227004</v>
      </c>
      <c r="AO85" s="277">
        <v>0.50962183933765992</v>
      </c>
      <c r="AP85" s="277">
        <v>0.44922259064125319</v>
      </c>
      <c r="AQ85" s="277">
        <v>0.41175912176136004</v>
      </c>
      <c r="AR85" s="277">
        <v>0.35556391844152041</v>
      </c>
      <c r="AS85" s="277">
        <v>0.31083660502993715</v>
      </c>
      <c r="AT85" s="277">
        <v>0.28101839608888168</v>
      </c>
      <c r="AU85" s="277">
        <v>0.26649070702550215</v>
      </c>
      <c r="AV85" s="278">
        <v>0.2446991734304329</v>
      </c>
      <c r="AW85" s="279">
        <f t="shared" si="33"/>
        <v>9.5491849839365557</v>
      </c>
      <c r="AX85" s="280">
        <f t="shared" si="33"/>
        <v>8.7975469211214641</v>
      </c>
      <c r="AY85" s="280">
        <f t="shared" si="33"/>
        <v>9.1710754094693634</v>
      </c>
      <c r="AZ85" s="280">
        <f t="shared" si="33"/>
        <v>7.7206679314207314</v>
      </c>
      <c r="BA85" s="280">
        <f t="shared" si="33"/>
        <v>6.9250482043438293</v>
      </c>
      <c r="BB85" s="280">
        <f t="shared" si="33"/>
        <v>5.7316186137284753</v>
      </c>
      <c r="BC85" s="280">
        <f t="shared" si="33"/>
        <v>4.86647321568931</v>
      </c>
      <c r="BD85" s="280">
        <f t="shared" si="33"/>
        <v>4.2897096169965332</v>
      </c>
      <c r="BE85" s="280">
        <f t="shared" si="33"/>
        <v>3.9319640225224832</v>
      </c>
      <c r="BF85" s="280">
        <f t="shared" si="33"/>
        <v>3.3953456308114087</v>
      </c>
      <c r="BG85" s="280">
        <f t="shared" si="33"/>
        <v>2.9682362412096941</v>
      </c>
      <c r="BH85" s="280">
        <f t="shared" si="33"/>
        <v>2.6834966481418845</v>
      </c>
      <c r="BI85" s="280">
        <f t="shared" si="33"/>
        <v>2.5447690578865609</v>
      </c>
      <c r="BJ85" s="281">
        <f t="shared" si="33"/>
        <v>2.3366776725035767</v>
      </c>
      <c r="BK85" s="279">
        <v>9.5491849839365557</v>
      </c>
      <c r="BL85" s="280">
        <v>8.7975469211214641</v>
      </c>
      <c r="BM85" s="280">
        <v>9.1710754094693634</v>
      </c>
      <c r="BN85" s="280">
        <v>7.7206679314207314</v>
      </c>
      <c r="BO85" s="282">
        <v>6.9250482043438293</v>
      </c>
      <c r="BP85" s="280">
        <v>5.7316186137284753</v>
      </c>
      <c r="BQ85" s="282">
        <v>4.86647321568931</v>
      </c>
      <c r="BR85" s="280">
        <v>4.2897096169965332</v>
      </c>
      <c r="BS85" s="282">
        <v>3.9319640225224832</v>
      </c>
      <c r="BT85" s="280">
        <v>3.3953456308114087</v>
      </c>
      <c r="BU85" s="282">
        <v>2.9682362412096941</v>
      </c>
      <c r="BV85" s="280">
        <v>2.6834966481418845</v>
      </c>
      <c r="BW85" s="282">
        <v>2.5447690578865609</v>
      </c>
      <c r="BX85" s="281">
        <v>2.3366776725035767</v>
      </c>
      <c r="BY85" s="180"/>
      <c r="BZ85" s="180"/>
      <c r="CA85" s="180"/>
      <c r="CB85" s="276" t="s">
        <v>663</v>
      </c>
      <c r="CC85" s="277" t="s">
        <v>663</v>
      </c>
      <c r="CD85" s="277" t="s">
        <v>663</v>
      </c>
      <c r="CE85" s="277" t="s">
        <v>663</v>
      </c>
      <c r="CF85" s="277" t="s">
        <v>663</v>
      </c>
      <c r="CG85" s="277" t="s">
        <v>663</v>
      </c>
      <c r="CH85" s="277" t="s">
        <v>663</v>
      </c>
      <c r="CI85" s="277" t="s">
        <v>663</v>
      </c>
      <c r="CJ85" s="277" t="s">
        <v>663</v>
      </c>
      <c r="CK85" s="277" t="s">
        <v>663</v>
      </c>
      <c r="CL85" s="277" t="s">
        <v>663</v>
      </c>
      <c r="CM85" s="277" t="s">
        <v>663</v>
      </c>
      <c r="CN85" s="277" t="s">
        <v>663</v>
      </c>
      <c r="CO85" s="278" t="s">
        <v>663</v>
      </c>
      <c r="CP85" s="279" t="s">
        <v>663</v>
      </c>
      <c r="CQ85" s="280" t="s">
        <v>663</v>
      </c>
      <c r="CR85" s="280" t="s">
        <v>663</v>
      </c>
      <c r="CS85" s="280" t="s">
        <v>663</v>
      </c>
      <c r="CT85" s="280" t="s">
        <v>663</v>
      </c>
      <c r="CU85" s="280" t="s">
        <v>663</v>
      </c>
      <c r="CV85" s="280" t="s">
        <v>663</v>
      </c>
      <c r="CW85" s="280" t="s">
        <v>663</v>
      </c>
      <c r="CX85" s="280" t="s">
        <v>663</v>
      </c>
      <c r="CY85" s="280" t="s">
        <v>663</v>
      </c>
      <c r="CZ85" s="280" t="s">
        <v>663</v>
      </c>
      <c r="DA85" s="280" t="s">
        <v>663</v>
      </c>
      <c r="DB85" s="280" t="s">
        <v>663</v>
      </c>
      <c r="DC85" s="281" t="s">
        <v>663</v>
      </c>
      <c r="DD85" s="279">
        <v>9.5491849839365557</v>
      </c>
      <c r="DE85" s="280">
        <v>8.7975469211214641</v>
      </c>
      <c r="DF85" s="280">
        <v>9.1710754094693634</v>
      </c>
      <c r="DG85" s="280">
        <v>7.7206679314207314</v>
      </c>
      <c r="DH85" s="282">
        <v>6.9250482043438293</v>
      </c>
      <c r="DI85" s="280">
        <v>5.7316186137284753</v>
      </c>
      <c r="DJ85" s="282">
        <v>4.86647321568931</v>
      </c>
      <c r="DK85" s="280">
        <v>4.2897096169965332</v>
      </c>
      <c r="DL85" s="282">
        <v>3.9319640225224832</v>
      </c>
      <c r="DM85" s="280">
        <v>3.3953456308114087</v>
      </c>
      <c r="DN85" s="282">
        <v>2.9682362412096941</v>
      </c>
      <c r="DO85" s="280">
        <v>2.6834966481418845</v>
      </c>
      <c r="DP85" s="282">
        <v>2.5447690578865614</v>
      </c>
      <c r="DQ85" s="281">
        <v>2.3366776725035767</v>
      </c>
    </row>
    <row r="86" spans="9:121" ht="15.75" customHeight="1" x14ac:dyDescent="0.25">
      <c r="I86" s="218" t="s">
        <v>636</v>
      </c>
      <c r="J86" s="219" t="s">
        <v>639</v>
      </c>
      <c r="K86" s="218">
        <v>21</v>
      </c>
      <c r="L86" s="219"/>
      <c r="M86" s="219" t="str">
        <f t="shared" si="15"/>
        <v>Medium Oil</v>
      </c>
      <c r="N86" s="285">
        <f t="shared" si="30"/>
        <v>8.7564836170076354</v>
      </c>
      <c r="O86" s="286">
        <f t="shared" si="30"/>
        <v>0.43874352621703561</v>
      </c>
      <c r="P86" s="287">
        <f t="shared" si="29"/>
        <v>4.771426734578444E-2</v>
      </c>
      <c r="Q86" s="288">
        <f t="shared" si="17"/>
        <v>0.23786180586758954</v>
      </c>
      <c r="R86" s="289">
        <f t="shared" si="31"/>
        <v>0</v>
      </c>
      <c r="S86" s="289">
        <f t="shared" si="31"/>
        <v>5.7140945681870784E-3</v>
      </c>
      <c r="T86" s="289">
        <f t="shared" si="31"/>
        <v>0.4330294316488485</v>
      </c>
      <c r="U86" s="289">
        <f t="shared" si="31"/>
        <v>0.19516762578125896</v>
      </c>
      <c r="V86" s="289">
        <f t="shared" si="31"/>
        <v>0</v>
      </c>
      <c r="W86" s="290">
        <f t="shared" si="32"/>
        <v>0</v>
      </c>
      <c r="X86" s="290">
        <f t="shared" si="32"/>
        <v>1.302376952990175E-2</v>
      </c>
      <c r="Y86" s="290">
        <f t="shared" si="32"/>
        <v>0.98697623047009819</v>
      </c>
      <c r="Z86" s="290">
        <f t="shared" si="20"/>
        <v>0</v>
      </c>
      <c r="AA86" s="291">
        <f t="shared" si="21"/>
        <v>0.4507029118970462</v>
      </c>
      <c r="AB86" s="270">
        <v>91.97045401930994</v>
      </c>
      <c r="AC86" s="271">
        <f t="shared" si="22"/>
        <v>10.225363791944485</v>
      </c>
      <c r="AD86" s="272">
        <f t="shared" si="23"/>
        <v>87.582151188319415</v>
      </c>
      <c r="AE86" s="292">
        <f t="shared" si="24"/>
        <v>10.001977394008872</v>
      </c>
      <c r="AF86" s="272">
        <f t="shared" si="25"/>
        <v>4.3883028309905292</v>
      </c>
      <c r="AG86" s="274">
        <f t="shared" si="26"/>
        <v>10.001977394008872</v>
      </c>
      <c r="AH86" s="275">
        <f t="shared" si="27"/>
        <v>9.1952271432246704</v>
      </c>
      <c r="AI86" s="297">
        <v>1</v>
      </c>
      <c r="AJ86" s="298">
        <v>0.94704049844236715</v>
      </c>
      <c r="AK86" s="298">
        <v>0.80588711457796713</v>
      </c>
      <c r="AL86" s="298">
        <v>0.71178485866836716</v>
      </c>
      <c r="AM86" s="298">
        <v>0.59777107300839705</v>
      </c>
      <c r="AN86" s="298">
        <v>0.42675039451844166</v>
      </c>
      <c r="AO86" s="298">
        <v>0.34542971848145088</v>
      </c>
      <c r="AP86" s="298">
        <v>0.29121593445679034</v>
      </c>
      <c r="AQ86" s="298">
        <v>0.26192426881219244</v>
      </c>
      <c r="AR86" s="298">
        <v>0.21798677034529557</v>
      </c>
      <c r="AS86" s="298">
        <v>0.18906141405221516</v>
      </c>
      <c r="AT86" s="298">
        <v>0.16977784319016154</v>
      </c>
      <c r="AU86" s="298">
        <v>0.15044194242074826</v>
      </c>
      <c r="AV86" s="299">
        <v>0.12143809126662836</v>
      </c>
      <c r="AW86" s="300">
        <f t="shared" si="33"/>
        <v>9.1952271432246704</v>
      </c>
      <c r="AX86" s="301">
        <f t="shared" si="33"/>
        <v>8.7082524970102764</v>
      </c>
      <c r="AY86" s="301">
        <f t="shared" si="33"/>
        <v>7.4103150703423335</v>
      </c>
      <c r="AZ86" s="301">
        <f t="shared" si="33"/>
        <v>6.5450234525637052</v>
      </c>
      <c r="BA86" s="301">
        <f t="shared" si="33"/>
        <v>5.4966407959613486</v>
      </c>
      <c r="BB86" s="301">
        <f t="shared" si="33"/>
        <v>3.9240668110578114</v>
      </c>
      <c r="BC86" s="301">
        <f t="shared" si="33"/>
        <v>3.1763047234570938</v>
      </c>
      <c r="BD86" s="301">
        <f t="shared" si="33"/>
        <v>2.677796665056615</v>
      </c>
      <c r="BE86" s="301">
        <f t="shared" si="33"/>
        <v>2.4084531460511469</v>
      </c>
      <c r="BF86" s="301">
        <f t="shared" si="33"/>
        <v>2.0044378675429444</v>
      </c>
      <c r="BG86" s="301">
        <f t="shared" si="33"/>
        <v>1.7384626462293669</v>
      </c>
      <c r="BH86" s="301">
        <f t="shared" si="33"/>
        <v>1.5611458320203151</v>
      </c>
      <c r="BI86" s="301">
        <f t="shared" si="33"/>
        <v>1.3833478324267074</v>
      </c>
      <c r="BJ86" s="302">
        <f t="shared" si="33"/>
        <v>1.1166508330362959</v>
      </c>
      <c r="BK86" s="279">
        <v>9.1952271432246704</v>
      </c>
      <c r="BL86" s="280">
        <v>8.7082524970102764</v>
      </c>
      <c r="BM86" s="282">
        <v>7.4103150703423335</v>
      </c>
      <c r="BN86" s="280">
        <v>6.5450234525637052</v>
      </c>
      <c r="BO86" s="282">
        <v>5.4966407959613486</v>
      </c>
      <c r="BP86" s="280">
        <v>3.9240668110578114</v>
      </c>
      <c r="BQ86" s="282">
        <v>3.1763047234570938</v>
      </c>
      <c r="BR86" s="280">
        <v>2.677796665056615</v>
      </c>
      <c r="BS86" s="282">
        <v>2.4084531460511469</v>
      </c>
      <c r="BT86" s="280">
        <v>2.0044378675429444</v>
      </c>
      <c r="BU86" s="282">
        <v>1.7384626462293669</v>
      </c>
      <c r="BV86" s="280">
        <v>1.5611458320203151</v>
      </c>
      <c r="BW86" s="282">
        <v>1.3833478324267074</v>
      </c>
      <c r="BX86" s="281">
        <v>1.1166508330362959</v>
      </c>
      <c r="BY86" s="180"/>
      <c r="BZ86" s="180"/>
      <c r="CA86" s="180"/>
      <c r="CB86" s="297" t="s">
        <v>663</v>
      </c>
      <c r="CC86" s="298" t="s">
        <v>663</v>
      </c>
      <c r="CD86" s="298" t="s">
        <v>663</v>
      </c>
      <c r="CE86" s="298" t="s">
        <v>663</v>
      </c>
      <c r="CF86" s="298" t="s">
        <v>663</v>
      </c>
      <c r="CG86" s="298" t="s">
        <v>663</v>
      </c>
      <c r="CH86" s="298" t="s">
        <v>663</v>
      </c>
      <c r="CI86" s="298" t="s">
        <v>663</v>
      </c>
      <c r="CJ86" s="298" t="s">
        <v>663</v>
      </c>
      <c r="CK86" s="298" t="s">
        <v>663</v>
      </c>
      <c r="CL86" s="298" t="s">
        <v>663</v>
      </c>
      <c r="CM86" s="298" t="s">
        <v>663</v>
      </c>
      <c r="CN86" s="298" t="s">
        <v>663</v>
      </c>
      <c r="CO86" s="299" t="s">
        <v>663</v>
      </c>
      <c r="CP86" s="300" t="s">
        <v>663</v>
      </c>
      <c r="CQ86" s="301" t="s">
        <v>663</v>
      </c>
      <c r="CR86" s="301" t="s">
        <v>663</v>
      </c>
      <c r="CS86" s="301" t="s">
        <v>663</v>
      </c>
      <c r="CT86" s="301" t="s">
        <v>663</v>
      </c>
      <c r="CU86" s="301" t="s">
        <v>663</v>
      </c>
      <c r="CV86" s="301" t="s">
        <v>663</v>
      </c>
      <c r="CW86" s="301" t="s">
        <v>663</v>
      </c>
      <c r="CX86" s="301" t="s">
        <v>663</v>
      </c>
      <c r="CY86" s="301" t="s">
        <v>663</v>
      </c>
      <c r="CZ86" s="301" t="s">
        <v>663</v>
      </c>
      <c r="DA86" s="301" t="s">
        <v>663</v>
      </c>
      <c r="DB86" s="301" t="s">
        <v>663</v>
      </c>
      <c r="DC86" s="302" t="s">
        <v>663</v>
      </c>
      <c r="DD86" s="279">
        <v>9.1952271432246704</v>
      </c>
      <c r="DE86" s="280">
        <v>8.7082524970102764</v>
      </c>
      <c r="DF86" s="282">
        <v>7.4103150703423335</v>
      </c>
      <c r="DG86" s="280">
        <v>6.5450234525637052</v>
      </c>
      <c r="DH86" s="282">
        <v>5.4966407959613477</v>
      </c>
      <c r="DI86" s="280">
        <v>3.9240668110578114</v>
      </c>
      <c r="DJ86" s="282">
        <v>3.1763047234570934</v>
      </c>
      <c r="DK86" s="280">
        <v>2.677796665056615</v>
      </c>
      <c r="DL86" s="282">
        <v>2.4084531460511469</v>
      </c>
      <c r="DM86" s="280">
        <v>2.0044378675429444</v>
      </c>
      <c r="DN86" s="282">
        <v>1.7384626462293669</v>
      </c>
      <c r="DO86" s="280">
        <v>1.5611458320203151</v>
      </c>
      <c r="DP86" s="282">
        <v>1.3833478324267074</v>
      </c>
      <c r="DQ86" s="281">
        <v>1.1166508330362959</v>
      </c>
    </row>
    <row r="87" spans="9:121" ht="15.75" customHeight="1" x14ac:dyDescent="0.25">
      <c r="I87" s="216" t="s">
        <v>640</v>
      </c>
      <c r="J87" s="242" t="s">
        <v>641</v>
      </c>
      <c r="K87" s="218" t="s">
        <v>314</v>
      </c>
      <c r="L87" s="219" t="s">
        <v>7</v>
      </c>
      <c r="M87" s="219" t="s">
        <v>642</v>
      </c>
      <c r="N87" s="285">
        <f t="shared" si="30"/>
        <v>0</v>
      </c>
      <c r="O87" s="286">
        <f t="shared" si="30"/>
        <v>1.0840525806313783</v>
      </c>
      <c r="P87" s="287">
        <f t="shared" si="29"/>
        <v>1</v>
      </c>
      <c r="Q87" s="288">
        <f t="shared" si="17"/>
        <v>1.0840525806313783</v>
      </c>
      <c r="R87" s="289">
        <f t="shared" si="31"/>
        <v>0</v>
      </c>
      <c r="S87" s="289">
        <f t="shared" si="31"/>
        <v>0</v>
      </c>
      <c r="T87" s="289">
        <f t="shared" si="31"/>
        <v>0</v>
      </c>
      <c r="U87" s="289">
        <f t="shared" si="31"/>
        <v>0</v>
      </c>
      <c r="V87" s="289">
        <f t="shared" si="31"/>
        <v>1.0840525806313783</v>
      </c>
      <c r="W87" s="290">
        <f t="shared" si="32"/>
        <v>0</v>
      </c>
      <c r="X87" s="290">
        <f t="shared" si="32"/>
        <v>0</v>
      </c>
      <c r="Y87" s="290">
        <f t="shared" si="32"/>
        <v>0</v>
      </c>
      <c r="Z87" s="290">
        <f t="shared" si="20"/>
        <v>1</v>
      </c>
      <c r="AA87" s="291" t="str">
        <f t="shared" si="21"/>
        <v>-</v>
      </c>
      <c r="AB87" s="303">
        <v>18.26524302843664</v>
      </c>
      <c r="AC87" s="271">
        <f t="shared" si="22"/>
        <v>16.849037910871928</v>
      </c>
      <c r="AD87" s="272">
        <f t="shared" si="23"/>
        <v>0</v>
      </c>
      <c r="AE87" s="292" t="str">
        <f t="shared" si="24"/>
        <v>-</v>
      </c>
      <c r="AF87" s="272">
        <f t="shared" si="25"/>
        <v>18.26524302843664</v>
      </c>
      <c r="AG87" s="274">
        <f t="shared" si="26"/>
        <v>16.849037910871928</v>
      </c>
      <c r="AH87" s="275">
        <f t="shared" si="27"/>
        <v>1.0840525806313783</v>
      </c>
      <c r="AI87" s="297">
        <v>1</v>
      </c>
      <c r="AJ87" s="298">
        <v>1.0390480978716272</v>
      </c>
      <c r="AK87" s="298">
        <v>1.3359189829778064</v>
      </c>
      <c r="AL87" s="298">
        <v>1.1300246594364241</v>
      </c>
      <c r="AM87" s="298">
        <v>0.99020804903157833</v>
      </c>
      <c r="AN87" s="298">
        <v>0.78048313342430964</v>
      </c>
      <c r="AO87" s="298">
        <v>0.63396298690416331</v>
      </c>
      <c r="AP87" s="298">
        <v>0.53628288922406575</v>
      </c>
      <c r="AQ87" s="298">
        <v>0.47116282410400068</v>
      </c>
      <c r="AR87" s="298">
        <v>0.37348272642390301</v>
      </c>
      <c r="AS87" s="298">
        <v>0.30453206923795167</v>
      </c>
      <c r="AT87" s="298">
        <v>0.25856496444731747</v>
      </c>
      <c r="AU87" s="298">
        <v>0.2279202279202279</v>
      </c>
      <c r="AV87" s="299">
        <v>0.18195312312959355</v>
      </c>
      <c r="AW87" s="300">
        <f t="shared" si="33"/>
        <v>1.0840525806313783</v>
      </c>
      <c r="AX87" s="301">
        <f t="shared" si="33"/>
        <v>1.1263827718978625</v>
      </c>
      <c r="AY87" s="301">
        <f t="shared" si="33"/>
        <v>1.4482064210115375</v>
      </c>
      <c r="AZ87" s="301">
        <f t="shared" si="33"/>
        <v>1.2250061482391499</v>
      </c>
      <c r="BA87" s="301">
        <f t="shared" si="33"/>
        <v>1.073437590914645</v>
      </c>
      <c r="BB87" s="301">
        <f t="shared" si="33"/>
        <v>0.84608475492788726</v>
      </c>
      <c r="BC87" s="301">
        <f t="shared" si="33"/>
        <v>0.68724921197823496</v>
      </c>
      <c r="BD87" s="301">
        <f t="shared" si="33"/>
        <v>0.5813588500118001</v>
      </c>
      <c r="BE87" s="301">
        <f t="shared" si="33"/>
        <v>0.51076527536751015</v>
      </c>
      <c r="BF87" s="301">
        <f t="shared" si="33"/>
        <v>0.40487491340107512</v>
      </c>
      <c r="BG87" s="301">
        <f t="shared" si="33"/>
        <v>0.3301287755424151</v>
      </c>
      <c r="BH87" s="301">
        <f t="shared" si="33"/>
        <v>0.28029801696997508</v>
      </c>
      <c r="BI87" s="301">
        <f t="shared" si="33"/>
        <v>0.24707751125501498</v>
      </c>
      <c r="BJ87" s="302">
        <f t="shared" si="33"/>
        <v>0.19724675268257483</v>
      </c>
      <c r="BK87" s="304">
        <v>1.0840525806313783</v>
      </c>
      <c r="BL87" s="305">
        <v>1.1263827718978625</v>
      </c>
      <c r="BM87" s="305">
        <v>1.4482064210115375</v>
      </c>
      <c r="BN87" s="305">
        <v>1.2250061482391499</v>
      </c>
      <c r="BO87" s="306">
        <v>1.073437590914645</v>
      </c>
      <c r="BP87" s="305">
        <v>0.84608475492788726</v>
      </c>
      <c r="BQ87" s="306">
        <v>0.68724921197823496</v>
      </c>
      <c r="BR87" s="305">
        <v>0.5813588500118001</v>
      </c>
      <c r="BS87" s="306">
        <v>0.51076527536751015</v>
      </c>
      <c r="BT87" s="305">
        <v>0.40487491340107512</v>
      </c>
      <c r="BU87" s="306">
        <v>0.3301287755424151</v>
      </c>
      <c r="BV87" s="305">
        <v>0.28029801696997508</v>
      </c>
      <c r="BW87" s="306">
        <v>0.24707751125501498</v>
      </c>
      <c r="BX87" s="307">
        <v>0.19724675268257483</v>
      </c>
      <c r="BY87" s="180"/>
      <c r="BZ87" s="180"/>
      <c r="CA87" s="180"/>
      <c r="CB87" s="297" t="s">
        <v>663</v>
      </c>
      <c r="CC87" s="298" t="s">
        <v>663</v>
      </c>
      <c r="CD87" s="298" t="s">
        <v>663</v>
      </c>
      <c r="CE87" s="298" t="s">
        <v>663</v>
      </c>
      <c r="CF87" s="298" t="s">
        <v>663</v>
      </c>
      <c r="CG87" s="298" t="s">
        <v>663</v>
      </c>
      <c r="CH87" s="298" t="s">
        <v>663</v>
      </c>
      <c r="CI87" s="298" t="s">
        <v>663</v>
      </c>
      <c r="CJ87" s="298" t="s">
        <v>663</v>
      </c>
      <c r="CK87" s="298" t="s">
        <v>663</v>
      </c>
      <c r="CL87" s="298" t="s">
        <v>663</v>
      </c>
      <c r="CM87" s="298" t="s">
        <v>663</v>
      </c>
      <c r="CN87" s="298" t="s">
        <v>663</v>
      </c>
      <c r="CO87" s="299" t="s">
        <v>663</v>
      </c>
      <c r="CP87" s="300" t="s">
        <v>663</v>
      </c>
      <c r="CQ87" s="301" t="s">
        <v>663</v>
      </c>
      <c r="CR87" s="301" t="s">
        <v>663</v>
      </c>
      <c r="CS87" s="301" t="s">
        <v>663</v>
      </c>
      <c r="CT87" s="301" t="s">
        <v>663</v>
      </c>
      <c r="CU87" s="301" t="s">
        <v>663</v>
      </c>
      <c r="CV87" s="301" t="s">
        <v>663</v>
      </c>
      <c r="CW87" s="301" t="s">
        <v>663</v>
      </c>
      <c r="CX87" s="301" t="s">
        <v>663</v>
      </c>
      <c r="CY87" s="301" t="s">
        <v>663</v>
      </c>
      <c r="CZ87" s="301" t="s">
        <v>663</v>
      </c>
      <c r="DA87" s="301" t="s">
        <v>663</v>
      </c>
      <c r="DB87" s="301" t="s">
        <v>663</v>
      </c>
      <c r="DC87" s="302" t="s">
        <v>663</v>
      </c>
      <c r="DD87" s="304">
        <v>1.0840525806313783</v>
      </c>
      <c r="DE87" s="305">
        <v>1.1263827718978625</v>
      </c>
      <c r="DF87" s="305">
        <v>1.4482064210115375</v>
      </c>
      <c r="DG87" s="305">
        <v>1.2250061482391499</v>
      </c>
      <c r="DH87" s="306">
        <v>1.0734375909146447</v>
      </c>
      <c r="DI87" s="305">
        <v>0.84608475492788726</v>
      </c>
      <c r="DJ87" s="306">
        <v>0.68724921197823496</v>
      </c>
      <c r="DK87" s="305">
        <v>0.5813588500118001</v>
      </c>
      <c r="DL87" s="306">
        <v>0.51076527536751015</v>
      </c>
      <c r="DM87" s="305">
        <v>0.40487491340107512</v>
      </c>
      <c r="DN87" s="306">
        <v>0.3301287755424151</v>
      </c>
      <c r="DO87" s="305">
        <v>0.28029801696997508</v>
      </c>
      <c r="DP87" s="306">
        <v>0.24707751125501498</v>
      </c>
      <c r="DQ87" s="307">
        <v>0.19724675268257483</v>
      </c>
    </row>
    <row r="88" spans="9:121" ht="15.75" customHeight="1" x14ac:dyDescent="0.25">
      <c r="I88" s="216" t="s">
        <v>640</v>
      </c>
      <c r="J88" s="242" t="s">
        <v>643</v>
      </c>
      <c r="K88" s="218" t="s">
        <v>314</v>
      </c>
      <c r="L88" s="219" t="s">
        <v>7</v>
      </c>
      <c r="M88" s="219" t="s">
        <v>642</v>
      </c>
      <c r="N88" s="293">
        <f t="shared" si="30"/>
        <v>1.3579511620070052E-2</v>
      </c>
      <c r="O88" s="286">
        <f t="shared" si="30"/>
        <v>2.2925734862295029</v>
      </c>
      <c r="P88" s="287">
        <f t="shared" si="29"/>
        <v>0.99411161721154995</v>
      </c>
      <c r="Q88" s="288">
        <f t="shared" si="17"/>
        <v>2.2440339691202391</v>
      </c>
      <c r="R88" s="289">
        <f t="shared" si="31"/>
        <v>4.2906187128613207E-3</v>
      </c>
      <c r="S88" s="289">
        <f t="shared" si="31"/>
        <v>4.4248898396402753E-2</v>
      </c>
      <c r="T88" s="289">
        <f t="shared" si="31"/>
        <v>0</v>
      </c>
      <c r="U88" s="289">
        <f t="shared" si="31"/>
        <v>0</v>
      </c>
      <c r="V88" s="289">
        <f t="shared" si="31"/>
        <v>2.2440339691202391</v>
      </c>
      <c r="W88" s="290">
        <f t="shared" si="32"/>
        <v>1.8715294138369877E-3</v>
      </c>
      <c r="X88" s="290">
        <f t="shared" si="32"/>
        <v>1.9300972754935336E-2</v>
      </c>
      <c r="Y88" s="290">
        <f t="shared" si="32"/>
        <v>0</v>
      </c>
      <c r="Z88" s="290">
        <f t="shared" si="20"/>
        <v>0.9788274978312278</v>
      </c>
      <c r="AA88" s="291" t="str">
        <f t="shared" si="21"/>
        <v>-</v>
      </c>
      <c r="AB88" s="303">
        <v>24.410274168000001</v>
      </c>
      <c r="AC88" s="271">
        <f t="shared" si="22"/>
        <v>10.81242399385189</v>
      </c>
      <c r="AD88" s="308">
        <f t="shared" si="23"/>
        <v>0.14373703827219958</v>
      </c>
      <c r="AE88" s="292">
        <f t="shared" si="24"/>
        <v>10.5848459277255</v>
      </c>
      <c r="AF88" s="272">
        <f t="shared" si="25"/>
        <v>24.266537129727801</v>
      </c>
      <c r="AG88" s="274">
        <f t="shared" si="26"/>
        <v>10.584845927725498</v>
      </c>
      <c r="AH88" s="275">
        <f t="shared" si="27"/>
        <v>2.3061529978495727</v>
      </c>
      <c r="AI88" s="297">
        <v>1</v>
      </c>
      <c r="AJ88" s="298">
        <v>0.96350436681900098</v>
      </c>
      <c r="AK88" s="298">
        <v>0.95578856498458908</v>
      </c>
      <c r="AL88" s="298">
        <v>0.79066894578459357</v>
      </c>
      <c r="AM88" s="298">
        <v>0.64750687806795737</v>
      </c>
      <c r="AN88" s="298">
        <v>0.47856950639927948</v>
      </c>
      <c r="AO88" s="298">
        <v>0.35727009383312897</v>
      </c>
      <c r="AP88" s="298">
        <v>0.30204772781862993</v>
      </c>
      <c r="AQ88" s="298">
        <v>0.24685456067578454</v>
      </c>
      <c r="AR88" s="298">
        <v>0.19152999861049871</v>
      </c>
      <c r="AS88" s="298">
        <v>0.14718421228689244</v>
      </c>
      <c r="AT88" s="298">
        <v>0.12494927152282567</v>
      </c>
      <c r="AU88" s="298">
        <v>0.10271433075875916</v>
      </c>
      <c r="AV88" s="299">
        <v>6.9361919612657696E-2</v>
      </c>
      <c r="AW88" s="300">
        <f t="shared" si="33"/>
        <v>2.3061529978495727</v>
      </c>
      <c r="AX88" s="301">
        <f t="shared" si="33"/>
        <v>2.2219884839807933</v>
      </c>
      <c r="AY88" s="301">
        <f t="shared" si="33"/>
        <v>2.2041946644495511</v>
      </c>
      <c r="AZ88" s="301">
        <f t="shared" si="33"/>
        <v>1.8234035596277018</v>
      </c>
      <c r="BA88" s="301">
        <f t="shared" si="33"/>
        <v>1.4932499279846376</v>
      </c>
      <c r="BB88" s="301">
        <f t="shared" si="33"/>
        <v>1.1036545018620887</v>
      </c>
      <c r="BC88" s="301">
        <f t="shared" si="33"/>
        <v>0.82391949793526853</v>
      </c>
      <c r="BD88" s="301">
        <f t="shared" si="33"/>
        <v>0.69656827300258517</v>
      </c>
      <c r="BE88" s="301">
        <f t="shared" si="33"/>
        <v>0.56928438513529978</v>
      </c>
      <c r="BF88" s="301">
        <f t="shared" si="33"/>
        <v>0.44169748047372609</v>
      </c>
      <c r="BG88" s="301">
        <f t="shared" si="33"/>
        <v>0.33942931240154489</v>
      </c>
      <c r="BH88" s="301">
        <f t="shared" si="33"/>
        <v>0.28815213710148468</v>
      </c>
      <c r="BI88" s="301">
        <f t="shared" si="33"/>
        <v>0.236874961801425</v>
      </c>
      <c r="BJ88" s="302">
        <f t="shared" si="33"/>
        <v>0.15995919885133161</v>
      </c>
      <c r="BK88" s="279">
        <v>2.3061529978495727</v>
      </c>
      <c r="BL88" s="280">
        <v>2.2219884839807933</v>
      </c>
      <c r="BM88" s="280">
        <v>2.2041946644495511</v>
      </c>
      <c r="BN88" s="280">
        <v>1.8234035596277018</v>
      </c>
      <c r="BO88" s="280">
        <v>1.4932499279846376</v>
      </c>
      <c r="BP88" s="280">
        <v>1.1036545018620887</v>
      </c>
      <c r="BQ88" s="280">
        <v>0.82391949793526853</v>
      </c>
      <c r="BR88" s="280">
        <v>0.69656827300258517</v>
      </c>
      <c r="BS88" s="280">
        <v>0.56928438513529978</v>
      </c>
      <c r="BT88" s="280">
        <v>0.44169748047372609</v>
      </c>
      <c r="BU88" s="280">
        <v>0.33942931240154489</v>
      </c>
      <c r="BV88" s="280">
        <v>0.28815213710148468</v>
      </c>
      <c r="BW88" s="280">
        <v>0.236874961801425</v>
      </c>
      <c r="BX88" s="284">
        <v>0.15995919885133161</v>
      </c>
      <c r="BY88" s="180"/>
      <c r="BZ88" s="180"/>
      <c r="CA88" s="180"/>
      <c r="CB88" s="297" t="s">
        <v>663</v>
      </c>
      <c r="CC88" s="298" t="s">
        <v>663</v>
      </c>
      <c r="CD88" s="298" t="s">
        <v>663</v>
      </c>
      <c r="CE88" s="298" t="s">
        <v>663</v>
      </c>
      <c r="CF88" s="298" t="s">
        <v>663</v>
      </c>
      <c r="CG88" s="298" t="s">
        <v>663</v>
      </c>
      <c r="CH88" s="298" t="s">
        <v>663</v>
      </c>
      <c r="CI88" s="298" t="s">
        <v>663</v>
      </c>
      <c r="CJ88" s="298" t="s">
        <v>663</v>
      </c>
      <c r="CK88" s="298" t="s">
        <v>663</v>
      </c>
      <c r="CL88" s="298" t="s">
        <v>663</v>
      </c>
      <c r="CM88" s="298" t="s">
        <v>663</v>
      </c>
      <c r="CN88" s="298" t="s">
        <v>663</v>
      </c>
      <c r="CO88" s="299" t="s">
        <v>663</v>
      </c>
      <c r="CP88" s="300" t="s">
        <v>663</v>
      </c>
      <c r="CQ88" s="301" t="s">
        <v>663</v>
      </c>
      <c r="CR88" s="301" t="s">
        <v>663</v>
      </c>
      <c r="CS88" s="301" t="s">
        <v>663</v>
      </c>
      <c r="CT88" s="301" t="s">
        <v>663</v>
      </c>
      <c r="CU88" s="301" t="s">
        <v>663</v>
      </c>
      <c r="CV88" s="301" t="s">
        <v>663</v>
      </c>
      <c r="CW88" s="301" t="s">
        <v>663</v>
      </c>
      <c r="CX88" s="301" t="s">
        <v>663</v>
      </c>
      <c r="CY88" s="301" t="s">
        <v>663</v>
      </c>
      <c r="CZ88" s="301" t="s">
        <v>663</v>
      </c>
      <c r="DA88" s="301" t="s">
        <v>663</v>
      </c>
      <c r="DB88" s="301" t="s">
        <v>663</v>
      </c>
      <c r="DC88" s="302" t="s">
        <v>663</v>
      </c>
      <c r="DD88" s="279">
        <v>2.2925734862295029</v>
      </c>
      <c r="DE88" s="280">
        <v>2.2089045652355868</v>
      </c>
      <c r="DF88" s="280">
        <v>2.1912155225250132</v>
      </c>
      <c r="DG88" s="280">
        <v>1.8126666614907914</v>
      </c>
      <c r="DH88" s="280">
        <v>1.4844571008098386</v>
      </c>
      <c r="DI88" s="280">
        <v>1.0971557616889285</v>
      </c>
      <c r="DJ88" s="280">
        <v>0.81906794454455811</v>
      </c>
      <c r="DK88" s="280">
        <v>0.69246661237285645</v>
      </c>
      <c r="DL88" s="280">
        <v>0.56593222076013572</v>
      </c>
      <c r="DM88" s="280">
        <v>0.4390965966320029</v>
      </c>
      <c r="DN88" s="280">
        <v>0.33743062268050422</v>
      </c>
      <c r="DO88" s="280">
        <v>0.28645538701692119</v>
      </c>
      <c r="DP88" s="280">
        <v>0.23548015135333875</v>
      </c>
      <c r="DQ88" s="284" t="s">
        <v>663</v>
      </c>
    </row>
    <row r="89" spans="9:121" ht="15.75" customHeight="1" x14ac:dyDescent="0.25">
      <c r="I89" s="216" t="s">
        <v>640</v>
      </c>
      <c r="J89" s="242" t="s">
        <v>644</v>
      </c>
      <c r="K89" s="218" t="s">
        <v>314</v>
      </c>
      <c r="L89" s="219" t="s">
        <v>7</v>
      </c>
      <c r="M89" s="219" t="s">
        <v>642</v>
      </c>
      <c r="N89" s="293">
        <f t="shared" si="30"/>
        <v>6.1343436802343387E-2</v>
      </c>
      <c r="O89" s="286">
        <f t="shared" si="30"/>
        <v>10.354312893772342</v>
      </c>
      <c r="P89" s="287">
        <f t="shared" si="29"/>
        <v>0.99411045882703797</v>
      </c>
      <c r="Q89" s="288">
        <f t="shared" si="17"/>
        <v>10.137571027545471</v>
      </c>
      <c r="R89" s="289">
        <f t="shared" si="31"/>
        <v>1.8616237427097122E-2</v>
      </c>
      <c r="S89" s="289">
        <f t="shared" si="31"/>
        <v>0.19812562879977277</v>
      </c>
      <c r="T89" s="289">
        <f t="shared" si="31"/>
        <v>0</v>
      </c>
      <c r="U89" s="289">
        <f t="shared" si="31"/>
        <v>0</v>
      </c>
      <c r="V89" s="289">
        <f t="shared" si="31"/>
        <v>10.137571027545471</v>
      </c>
      <c r="W89" s="290">
        <f t="shared" si="32"/>
        <v>1.79792108062467E-3</v>
      </c>
      <c r="X89" s="290">
        <f t="shared" si="32"/>
        <v>1.913459935317741E-2</v>
      </c>
      <c r="Y89" s="290">
        <f t="shared" si="32"/>
        <v>0</v>
      </c>
      <c r="Z89" s="290">
        <f t="shared" si="20"/>
        <v>0.97906747956619788</v>
      </c>
      <c r="AA89" s="291" t="str">
        <f t="shared" si="21"/>
        <v>-</v>
      </c>
      <c r="AB89" s="303">
        <v>115.07700679200001</v>
      </c>
      <c r="AC89" s="271">
        <f t="shared" si="22"/>
        <v>11.283260311111825</v>
      </c>
      <c r="AD89" s="308">
        <f t="shared" si="23"/>
        <v>0.67775076956272806</v>
      </c>
      <c r="AE89" s="292">
        <f t="shared" si="24"/>
        <v>11.048464267604212</v>
      </c>
      <c r="AF89" s="272">
        <f t="shared" si="25"/>
        <v>114.39925602243729</v>
      </c>
      <c r="AG89" s="274">
        <f t="shared" si="26"/>
        <v>11.048464267604212</v>
      </c>
      <c r="AH89" s="275">
        <f t="shared" si="27"/>
        <v>10.415656330574684</v>
      </c>
      <c r="AI89" s="297">
        <v>1</v>
      </c>
      <c r="AJ89" s="298">
        <v>0.97993311036789299</v>
      </c>
      <c r="AK89" s="298">
        <v>0.95317725752508342</v>
      </c>
      <c r="AL89" s="298">
        <v>0.81270903010033435</v>
      </c>
      <c r="AM89" s="298">
        <v>0.69565217391304335</v>
      </c>
      <c r="AN89" s="298">
        <v>0.55183946488294311</v>
      </c>
      <c r="AO89" s="298">
        <v>0.45150501672240795</v>
      </c>
      <c r="AP89" s="298">
        <v>0.38795986622073569</v>
      </c>
      <c r="AQ89" s="298">
        <v>0.334448160535117</v>
      </c>
      <c r="AR89" s="298">
        <v>0.27090301003344475</v>
      </c>
      <c r="AS89" s="298">
        <v>0.20735785953177308</v>
      </c>
      <c r="AT89" s="298">
        <v>0.16499442586398799</v>
      </c>
      <c r="AU89" s="298">
        <v>0.12263099219620927</v>
      </c>
      <c r="AV89" s="299">
        <v>5.9085841694537997E-2</v>
      </c>
      <c r="AW89" s="300">
        <f t="shared" si="33"/>
        <v>10.415656330574684</v>
      </c>
      <c r="AX89" s="301">
        <f t="shared" si="33"/>
        <v>10.206646504543086</v>
      </c>
      <c r="AY89" s="301">
        <f t="shared" si="33"/>
        <v>9.9279667365009505</v>
      </c>
      <c r="AZ89" s="301">
        <f t="shared" si="33"/>
        <v>8.4648979542797598</v>
      </c>
      <c r="BA89" s="301">
        <f t="shared" si="33"/>
        <v>7.2456739690954315</v>
      </c>
      <c r="BB89" s="301">
        <f t="shared" si="33"/>
        <v>5.7477702158689725</v>
      </c>
      <c r="BC89" s="301">
        <f t="shared" si="33"/>
        <v>4.7027210857109774</v>
      </c>
      <c r="BD89" s="301">
        <f t="shared" si="33"/>
        <v>4.0408566366109131</v>
      </c>
      <c r="BE89" s="301">
        <f t="shared" si="33"/>
        <v>3.4834971005266495</v>
      </c>
      <c r="BF89" s="301">
        <f t="shared" si="33"/>
        <v>2.8216326514265861</v>
      </c>
      <c r="BG89" s="301">
        <f t="shared" si="33"/>
        <v>2.1597682023265286</v>
      </c>
      <c r="BH89" s="301">
        <f t="shared" si="33"/>
        <v>1.718525236259782</v>
      </c>
      <c r="BI89" s="301">
        <f t="shared" si="33"/>
        <v>1.2772822701931017</v>
      </c>
      <c r="BJ89" s="302">
        <f t="shared" si="33"/>
        <v>0.61541782109304832</v>
      </c>
      <c r="BK89" s="300">
        <v>10.415656330574684</v>
      </c>
      <c r="BL89" s="301">
        <v>10.206646504543086</v>
      </c>
      <c r="BM89" s="301">
        <v>9.9279667365009505</v>
      </c>
      <c r="BN89" s="301">
        <v>8.4648979542797598</v>
      </c>
      <c r="BO89" s="301">
        <v>7.2456739690954315</v>
      </c>
      <c r="BP89" s="301">
        <v>5.7477702158689725</v>
      </c>
      <c r="BQ89" s="301">
        <v>4.7027210857109774</v>
      </c>
      <c r="BR89" s="301">
        <v>4.0408566366109131</v>
      </c>
      <c r="BS89" s="301">
        <v>3.4834971005266495</v>
      </c>
      <c r="BT89" s="301">
        <v>2.8216326514265861</v>
      </c>
      <c r="BU89" s="309">
        <v>2.1597682023265286</v>
      </c>
      <c r="BV89" s="309">
        <v>1.718525236259782</v>
      </c>
      <c r="BW89" s="309">
        <v>1.2772822701931017</v>
      </c>
      <c r="BX89" s="310">
        <v>0.61541782109304832</v>
      </c>
      <c r="BY89" s="180"/>
      <c r="BZ89" s="180"/>
      <c r="CA89" s="180"/>
      <c r="CB89" s="297" t="s">
        <v>663</v>
      </c>
      <c r="CC89" s="298" t="s">
        <v>663</v>
      </c>
      <c r="CD89" s="298" t="s">
        <v>663</v>
      </c>
      <c r="CE89" s="298" t="s">
        <v>663</v>
      </c>
      <c r="CF89" s="298" t="s">
        <v>663</v>
      </c>
      <c r="CG89" s="298" t="s">
        <v>663</v>
      </c>
      <c r="CH89" s="298" t="s">
        <v>663</v>
      </c>
      <c r="CI89" s="298" t="s">
        <v>663</v>
      </c>
      <c r="CJ89" s="298" t="s">
        <v>663</v>
      </c>
      <c r="CK89" s="298" t="s">
        <v>663</v>
      </c>
      <c r="CL89" s="298" t="s">
        <v>663</v>
      </c>
      <c r="CM89" s="298" t="s">
        <v>663</v>
      </c>
      <c r="CN89" s="298" t="s">
        <v>663</v>
      </c>
      <c r="CO89" s="299" t="s">
        <v>663</v>
      </c>
      <c r="CP89" s="300" t="s">
        <v>663</v>
      </c>
      <c r="CQ89" s="301" t="s">
        <v>663</v>
      </c>
      <c r="CR89" s="301" t="s">
        <v>663</v>
      </c>
      <c r="CS89" s="301" t="s">
        <v>663</v>
      </c>
      <c r="CT89" s="301" t="s">
        <v>663</v>
      </c>
      <c r="CU89" s="301" t="s">
        <v>663</v>
      </c>
      <c r="CV89" s="301" t="s">
        <v>663</v>
      </c>
      <c r="CW89" s="301" t="s">
        <v>663</v>
      </c>
      <c r="CX89" s="301" t="s">
        <v>663</v>
      </c>
      <c r="CY89" s="301" t="s">
        <v>663</v>
      </c>
      <c r="CZ89" s="301" t="s">
        <v>663</v>
      </c>
      <c r="DA89" s="301" t="s">
        <v>663</v>
      </c>
      <c r="DB89" s="301" t="s">
        <v>663</v>
      </c>
      <c r="DC89" s="302" t="s">
        <v>663</v>
      </c>
      <c r="DD89" s="300">
        <v>10.354312893772342</v>
      </c>
      <c r="DE89" s="301">
        <v>10.146534039716709</v>
      </c>
      <c r="DF89" s="301">
        <v>9.8694955676425309</v>
      </c>
      <c r="DG89" s="301">
        <v>8.4150435892531057</v>
      </c>
      <c r="DH89" s="301">
        <v>7.2030002739285841</v>
      </c>
      <c r="DI89" s="301">
        <v>5.7139184865298871</v>
      </c>
      <c r="DJ89" s="301">
        <v>4.6750242162517255</v>
      </c>
      <c r="DK89" s="301">
        <v>4.0170578450755565</v>
      </c>
      <c r="DL89" s="301">
        <v>3.4629809009272039</v>
      </c>
      <c r="DM89" s="301">
        <v>2.8050145297510349</v>
      </c>
      <c r="DN89" s="309" t="s">
        <v>663</v>
      </c>
      <c r="DO89" s="309" t="s">
        <v>663</v>
      </c>
      <c r="DP89" s="309" t="s">
        <v>663</v>
      </c>
      <c r="DQ89" s="310" t="s">
        <v>663</v>
      </c>
    </row>
    <row r="90" spans="9:121" ht="15.75" customHeight="1" x14ac:dyDescent="0.25">
      <c r="J90" s="196"/>
      <c r="K90" s="136"/>
      <c r="L90" s="177"/>
      <c r="M90" s="177"/>
      <c r="N90" s="245"/>
      <c r="O90" s="246"/>
      <c r="P90" s="311"/>
      <c r="Q90" s="311"/>
      <c r="R90" s="312"/>
      <c r="S90" s="312"/>
      <c r="T90" s="312"/>
      <c r="U90" s="312"/>
      <c r="V90" s="312"/>
      <c r="W90" s="313"/>
      <c r="X90" s="313"/>
      <c r="Y90" s="313"/>
      <c r="Z90" s="313"/>
      <c r="AA90" s="314"/>
      <c r="AB90" s="240"/>
      <c r="AC90" s="147"/>
      <c r="AH90" s="180"/>
      <c r="AI90" s="180"/>
      <c r="AJ90" s="180"/>
      <c r="AK90" s="180"/>
      <c r="AL90" s="180"/>
      <c r="AM90" s="180"/>
      <c r="AN90" s="180"/>
      <c r="AO90" s="180"/>
      <c r="AP90" s="180"/>
      <c r="AQ90" s="180"/>
      <c r="AR90" s="180"/>
      <c r="AS90" s="180"/>
      <c r="AT90" s="180"/>
      <c r="AU90" s="180"/>
      <c r="AV90" s="180"/>
      <c r="AW90" s="180"/>
      <c r="AX90" s="180"/>
      <c r="AY90" s="180"/>
      <c r="AZ90" s="180"/>
      <c r="BA90" s="180"/>
      <c r="BB90" s="180"/>
      <c r="BC90" s="180"/>
      <c r="BD90" s="180"/>
      <c r="BE90" s="180"/>
      <c r="BF90" s="180"/>
      <c r="BG90" s="180"/>
      <c r="BH90" s="180"/>
      <c r="BI90" s="180"/>
      <c r="BJ90" s="180"/>
      <c r="BK90" s="180"/>
      <c r="BL90" s="180"/>
      <c r="BM90" s="180"/>
      <c r="BN90" s="180"/>
      <c r="BO90" s="180"/>
      <c r="BP90" s="180"/>
      <c r="BQ90" s="180"/>
      <c r="BR90" s="180"/>
      <c r="BS90" s="180"/>
      <c r="BT90" s="180"/>
      <c r="BU90" s="180"/>
      <c r="BV90" s="180"/>
      <c r="BW90" s="180"/>
      <c r="BX90" s="180"/>
      <c r="BY90" s="180"/>
      <c r="BZ90" s="180"/>
      <c r="CA90" s="180"/>
      <c r="CB90" s="180"/>
      <c r="CC90" s="177"/>
      <c r="CD90" s="180"/>
      <c r="CE90" s="180"/>
      <c r="CF90" s="180"/>
      <c r="CG90" s="180"/>
      <c r="CH90" s="180"/>
      <c r="CI90" s="180"/>
      <c r="CJ90" s="180"/>
      <c r="CK90" s="180"/>
      <c r="CL90" s="180"/>
      <c r="CM90" s="180"/>
      <c r="CN90" s="180"/>
      <c r="CO90" s="180"/>
      <c r="CP90" s="180"/>
      <c r="CQ90" s="180"/>
      <c r="CR90" s="180"/>
      <c r="CS90" s="180"/>
      <c r="CT90" s="180"/>
      <c r="CU90" s="180"/>
      <c r="CV90" s="315"/>
      <c r="CW90" s="315"/>
      <c r="CX90" s="315"/>
      <c r="CY90" s="315"/>
      <c r="CZ90" s="315"/>
      <c r="DA90" s="315"/>
      <c r="DB90" s="315"/>
    </row>
    <row r="91" spans="9:121" ht="15.75" customHeight="1" x14ac:dyDescent="0.25">
      <c r="J91" s="177"/>
      <c r="K91" s="136"/>
      <c r="L91" s="177"/>
      <c r="N91" s="245"/>
      <c r="O91" s="246"/>
      <c r="P91" s="311"/>
      <c r="Q91" s="311"/>
      <c r="R91" s="312"/>
      <c r="S91" s="312"/>
      <c r="T91" s="312"/>
      <c r="U91" s="312"/>
      <c r="V91" s="312"/>
      <c r="W91" s="313"/>
      <c r="X91" s="313"/>
      <c r="Y91" s="313"/>
      <c r="Z91" s="313"/>
      <c r="AA91" s="314"/>
      <c r="AB91" s="240"/>
      <c r="AC91" s="88"/>
      <c r="AF91" s="12" t="s">
        <v>664</v>
      </c>
      <c r="AG91" s="316">
        <f>+SUM(AF67:AF86)/SUM(O67:O86)</f>
        <v>5.3157502484075962</v>
      </c>
      <c r="CV91" s="1"/>
      <c r="CW91" s="1"/>
      <c r="CX91" s="1"/>
      <c r="CY91" s="1"/>
      <c r="CZ91" s="1"/>
      <c r="DA91" s="1"/>
      <c r="DB91" s="1"/>
    </row>
    <row r="92" spans="9:121" ht="15.75" customHeight="1" x14ac:dyDescent="0.25">
      <c r="J92" s="196"/>
      <c r="K92" s="136"/>
      <c r="L92" s="177"/>
      <c r="M92" s="177"/>
      <c r="N92" s="245"/>
      <c r="O92" s="246"/>
      <c r="P92" s="311"/>
      <c r="Q92" s="311"/>
      <c r="R92" s="312"/>
      <c r="S92" s="312"/>
      <c r="T92" s="312"/>
      <c r="U92" s="312"/>
      <c r="V92" s="312"/>
      <c r="W92" s="313"/>
      <c r="X92" s="313"/>
      <c r="Y92" s="313"/>
      <c r="Z92" s="313"/>
      <c r="AA92" s="314"/>
      <c r="AB92" s="240"/>
      <c r="AC92" s="88"/>
      <c r="AF92" s="12" t="s">
        <v>665</v>
      </c>
      <c r="AG92" s="317">
        <f>+SUM(AF67:AF86)/(SUM(T67:T86,V67:V86)-SUM(U67:U86))</f>
        <v>6.3532002292489826</v>
      </c>
      <c r="AH92" s="318">
        <f>+IF((T67+V67-U67)=0,"-",AF67/(T67+V67-U67))</f>
        <v>3.0484936597423249</v>
      </c>
      <c r="AW92" s="88">
        <f t="shared" ref="AW92:BJ92" si="34">0.05*BK78</f>
        <v>0.45976135716123356</v>
      </c>
      <c r="AX92" s="88">
        <f t="shared" si="34"/>
        <v>0.35887383114809163</v>
      </c>
      <c r="AY92" s="88">
        <f t="shared" si="34"/>
        <v>0.15821478661537516</v>
      </c>
      <c r="AZ92" s="88">
        <f t="shared" si="34"/>
        <v>9.9788867633869835E-2</v>
      </c>
      <c r="BA92" s="88">
        <f t="shared" si="34"/>
        <v>7.9246601656003113E-2</v>
      </c>
      <c r="BB92" s="88">
        <f t="shared" si="34"/>
        <v>4.8433202689203016E-2</v>
      </c>
      <c r="BC92" s="88">
        <f t="shared" si="34"/>
        <v>1.7807392237011568E-2</v>
      </c>
      <c r="BD92" s="88">
        <f t="shared" si="34"/>
        <v>1.3469739604707842E-2</v>
      </c>
      <c r="BE92" s="88">
        <f t="shared" si="34"/>
        <v>1.0699240411137064E-2</v>
      </c>
      <c r="BF92" s="88">
        <f t="shared" si="34"/>
        <v>6.5434916207808948E-3</v>
      </c>
      <c r="BG92" s="88">
        <f t="shared" si="34"/>
        <v>2.3877428304250412E-3</v>
      </c>
      <c r="BH92" s="88">
        <f t="shared" si="34"/>
        <v>0</v>
      </c>
      <c r="BI92" s="88">
        <f t="shared" si="34"/>
        <v>0</v>
      </c>
      <c r="BJ92" s="88">
        <f t="shared" si="34"/>
        <v>0</v>
      </c>
      <c r="CV92" s="1"/>
      <c r="CW92" s="1"/>
      <c r="CX92" s="1"/>
      <c r="CY92" s="1"/>
      <c r="CZ92" s="1"/>
      <c r="DA92" s="1"/>
      <c r="DB92" s="1"/>
    </row>
    <row r="93" spans="9:121" ht="15.75" customHeight="1" x14ac:dyDescent="0.25">
      <c r="N93" s="319"/>
      <c r="P93" s="239"/>
      <c r="AB93" s="319"/>
      <c r="CV93" s="1"/>
      <c r="CW93" s="1"/>
      <c r="CX93" s="1"/>
      <c r="CY93" s="1"/>
      <c r="CZ93" s="1"/>
      <c r="DA93" s="1"/>
      <c r="DB93" s="1"/>
    </row>
    <row r="94" spans="9:121" ht="15.75" customHeight="1" x14ac:dyDescent="0.25">
      <c r="CV94" s="1"/>
      <c r="CW94" s="1"/>
      <c r="CX94" s="1"/>
      <c r="CY94" s="1"/>
      <c r="CZ94" s="1"/>
      <c r="DA94" s="1"/>
      <c r="DB94" s="1"/>
    </row>
    <row r="95" spans="9:121" ht="15.75" customHeight="1" x14ac:dyDescent="0.25">
      <c r="AV95" s="240"/>
      <c r="AW95" s="240"/>
      <c r="CV95" s="1"/>
      <c r="CW95" s="1"/>
      <c r="CX95" s="1"/>
      <c r="CY95" s="1"/>
      <c r="CZ95" s="1"/>
      <c r="DA95" s="1"/>
      <c r="DB95" s="1"/>
    </row>
    <row r="96" spans="9:121" ht="15.75" customHeight="1" x14ac:dyDescent="0.25">
      <c r="R96" s="729" t="s">
        <v>646</v>
      </c>
      <c r="S96" s="712"/>
      <c r="T96" s="712"/>
      <c r="U96" s="712"/>
      <c r="V96" s="712"/>
      <c r="W96" s="734" t="s">
        <v>647</v>
      </c>
      <c r="X96" s="712"/>
      <c r="Y96" s="712"/>
      <c r="Z96" s="712"/>
      <c r="AA96" s="248" t="s">
        <v>648</v>
      </c>
      <c r="BY96" t="s">
        <v>754</v>
      </c>
      <c r="CV96" s="1"/>
      <c r="CW96" s="1"/>
      <c r="CX96" s="1"/>
      <c r="CY96" s="1"/>
      <c r="CZ96" s="1"/>
      <c r="DA96" s="1"/>
      <c r="DB96" s="1"/>
    </row>
    <row r="97" spans="7:106" ht="15.75" customHeight="1" x14ac:dyDescent="0.25">
      <c r="N97" s="320" t="s">
        <v>56</v>
      </c>
      <c r="O97" s="320" t="s">
        <v>56</v>
      </c>
      <c r="P97" s="249" t="s">
        <v>650</v>
      </c>
      <c r="Q97" s="249" t="s">
        <v>56</v>
      </c>
      <c r="R97" s="250" t="s">
        <v>56</v>
      </c>
      <c r="S97" s="250" t="s">
        <v>56</v>
      </c>
      <c r="T97" s="250" t="s">
        <v>56</v>
      </c>
      <c r="U97" s="250" t="s">
        <v>56</v>
      </c>
      <c r="V97" s="250" t="s">
        <v>56</v>
      </c>
      <c r="W97" s="251" t="s">
        <v>650</v>
      </c>
      <c r="X97" s="251" t="s">
        <v>650</v>
      </c>
      <c r="Y97" s="251" t="s">
        <v>650</v>
      </c>
      <c r="Z97" s="251" t="s">
        <v>650</v>
      </c>
      <c r="AA97" s="144" t="s">
        <v>650</v>
      </c>
      <c r="AB97" s="252" t="s">
        <v>56</v>
      </c>
      <c r="AC97" s="252" t="s">
        <v>651</v>
      </c>
      <c r="AD97" s="249" t="s">
        <v>56</v>
      </c>
      <c r="AE97" s="249" t="s">
        <v>651</v>
      </c>
      <c r="AF97" s="249" t="s">
        <v>56</v>
      </c>
      <c r="AG97" s="249" t="s">
        <v>651</v>
      </c>
      <c r="AH97" s="14" t="s">
        <v>56</v>
      </c>
      <c r="AI97" s="735" t="s">
        <v>666</v>
      </c>
      <c r="AJ97" s="732"/>
      <c r="AK97" s="732"/>
      <c r="AL97" s="732"/>
      <c r="AM97" s="732"/>
      <c r="AN97" s="732"/>
      <c r="AO97" s="732"/>
      <c r="AP97" s="732"/>
      <c r="AQ97" s="732"/>
      <c r="AR97" s="732"/>
      <c r="AS97" s="732"/>
      <c r="AT97" s="732"/>
      <c r="AU97" s="732"/>
      <c r="AV97" s="733"/>
      <c r="AW97" s="735" t="s">
        <v>667</v>
      </c>
      <c r="AX97" s="732"/>
      <c r="AY97" s="732"/>
      <c r="AZ97" s="732"/>
      <c r="BA97" s="732"/>
      <c r="BB97" s="732"/>
      <c r="BC97" s="732"/>
      <c r="BD97" s="732"/>
      <c r="BE97" s="732"/>
      <c r="BF97" s="732"/>
      <c r="BG97" s="732"/>
      <c r="BH97" s="732"/>
      <c r="BI97" s="732"/>
      <c r="BJ97" s="733"/>
      <c r="BK97" s="735" t="s">
        <v>668</v>
      </c>
      <c r="BL97" s="732"/>
      <c r="BM97" s="732"/>
      <c r="BN97" s="732"/>
      <c r="BO97" s="732"/>
      <c r="BP97" s="732"/>
      <c r="BQ97" s="732"/>
      <c r="BR97" s="732"/>
      <c r="BS97" s="732"/>
      <c r="BT97" s="732"/>
      <c r="BU97" s="732"/>
      <c r="BV97" s="732"/>
      <c r="BW97" s="732"/>
      <c r="BX97" s="733"/>
      <c r="BY97" s="720" t="s">
        <v>666</v>
      </c>
      <c r="BZ97" s="721"/>
      <c r="CA97" s="721"/>
      <c r="CB97" s="721"/>
      <c r="CC97" s="721"/>
      <c r="CD97" s="721"/>
      <c r="CE97" s="721"/>
      <c r="CF97" s="721"/>
      <c r="CG97" s="721"/>
      <c r="CH97" s="721"/>
      <c r="CI97" s="721"/>
      <c r="CJ97" s="721"/>
      <c r="CK97" s="721"/>
      <c r="CL97" s="722"/>
      <c r="CM97" s="87"/>
      <c r="CN97" s="87"/>
      <c r="CO97" s="87"/>
      <c r="CP97" s="87"/>
      <c r="CQ97" s="87"/>
      <c r="CR97" s="87"/>
      <c r="CS97" s="87"/>
      <c r="CT97" s="87"/>
      <c r="CU97" s="87"/>
      <c r="CV97" s="177"/>
      <c r="CW97" s="177"/>
      <c r="CX97" s="177"/>
      <c r="CY97" s="177"/>
      <c r="CZ97" s="177"/>
      <c r="DA97" s="177"/>
      <c r="DB97" s="177"/>
    </row>
    <row r="98" spans="7:106" ht="32.25" customHeight="1" x14ac:dyDescent="0.25">
      <c r="J98" s="321" t="s">
        <v>579</v>
      </c>
      <c r="K98" s="321" t="s">
        <v>669</v>
      </c>
      <c r="L98" s="321" t="s">
        <v>670</v>
      </c>
      <c r="M98" s="321" t="str">
        <f>+M66</f>
        <v>Type of Oil producing</v>
      </c>
      <c r="N98" s="321" t="s">
        <v>671</v>
      </c>
      <c r="O98" s="321" t="s">
        <v>672</v>
      </c>
      <c r="P98" s="322" t="s">
        <v>655</v>
      </c>
      <c r="Q98" s="322" t="s">
        <v>584</v>
      </c>
      <c r="R98" s="323" t="s">
        <v>588</v>
      </c>
      <c r="S98" s="323" t="s">
        <v>589</v>
      </c>
      <c r="T98" s="323" t="s">
        <v>590</v>
      </c>
      <c r="U98" s="323" t="s">
        <v>591</v>
      </c>
      <c r="V98" s="323" t="s">
        <v>592</v>
      </c>
      <c r="W98" s="324" t="s">
        <v>588</v>
      </c>
      <c r="X98" s="324" t="s">
        <v>589</v>
      </c>
      <c r="Y98" s="324" t="s">
        <v>590</v>
      </c>
      <c r="Z98" s="324" t="s">
        <v>592</v>
      </c>
      <c r="AA98" s="325" t="s">
        <v>591</v>
      </c>
      <c r="AB98" s="260" t="s">
        <v>656</v>
      </c>
      <c r="AC98" s="260" t="s">
        <v>657</v>
      </c>
      <c r="AD98" s="257" t="s">
        <v>658</v>
      </c>
      <c r="AE98" s="257" t="s">
        <v>659</v>
      </c>
      <c r="AF98" s="257" t="s">
        <v>660</v>
      </c>
      <c r="AG98" s="257" t="s">
        <v>661</v>
      </c>
      <c r="AH98" s="261" t="s">
        <v>662</v>
      </c>
      <c r="AI98" s="262">
        <v>2019</v>
      </c>
      <c r="AJ98" s="263">
        <v>2020</v>
      </c>
      <c r="AK98" s="263">
        <v>2023</v>
      </c>
      <c r="AL98" s="263">
        <v>2025</v>
      </c>
      <c r="AM98" s="263">
        <v>2027</v>
      </c>
      <c r="AN98" s="263">
        <v>2030</v>
      </c>
      <c r="AO98" s="263">
        <v>2033</v>
      </c>
      <c r="AP98" s="263">
        <v>2035</v>
      </c>
      <c r="AQ98" s="263">
        <v>2037</v>
      </c>
      <c r="AR98" s="263">
        <v>2040</v>
      </c>
      <c r="AS98" s="263">
        <v>2043</v>
      </c>
      <c r="AT98" s="263">
        <v>2045</v>
      </c>
      <c r="AU98" s="263">
        <v>2047</v>
      </c>
      <c r="AV98" s="264">
        <v>2050</v>
      </c>
      <c r="AW98" s="262">
        <v>2019</v>
      </c>
      <c r="AX98" s="263">
        <v>2020</v>
      </c>
      <c r="AY98" s="263">
        <v>2023</v>
      </c>
      <c r="AZ98" s="263">
        <v>2025</v>
      </c>
      <c r="BA98" s="263">
        <v>2027</v>
      </c>
      <c r="BB98" s="263">
        <v>2030</v>
      </c>
      <c r="BC98" s="263">
        <v>2033</v>
      </c>
      <c r="BD98" s="263">
        <v>2035</v>
      </c>
      <c r="BE98" s="263">
        <v>2037</v>
      </c>
      <c r="BF98" s="263">
        <v>2040</v>
      </c>
      <c r="BG98" s="263">
        <v>2043</v>
      </c>
      <c r="BH98" s="263">
        <v>2045</v>
      </c>
      <c r="BI98" s="263">
        <v>2047</v>
      </c>
      <c r="BJ98" s="264">
        <v>2050</v>
      </c>
      <c r="BK98" s="262">
        <v>2019</v>
      </c>
      <c r="BL98" s="263">
        <v>2020</v>
      </c>
      <c r="BM98" s="263">
        <v>2023</v>
      </c>
      <c r="BN98" s="263">
        <v>2025</v>
      </c>
      <c r="BO98" s="263">
        <v>2027</v>
      </c>
      <c r="BP98" s="263">
        <v>2030</v>
      </c>
      <c r="BQ98" s="263">
        <v>2033</v>
      </c>
      <c r="BR98" s="263">
        <v>2035</v>
      </c>
      <c r="BS98" s="263">
        <v>2037</v>
      </c>
      <c r="BT98" s="263">
        <v>2040</v>
      </c>
      <c r="BU98" s="263">
        <v>2043</v>
      </c>
      <c r="BV98" s="263">
        <v>2045</v>
      </c>
      <c r="BW98" s="263">
        <v>2047</v>
      </c>
      <c r="BX98" s="264">
        <v>2050</v>
      </c>
      <c r="BY98" s="420">
        <v>2019</v>
      </c>
      <c r="BZ98" s="421">
        <v>2020</v>
      </c>
      <c r="CA98" s="421">
        <v>2023</v>
      </c>
      <c r="CB98" s="421">
        <v>2025</v>
      </c>
      <c r="CC98" s="421">
        <v>2027</v>
      </c>
      <c r="CD98" s="421">
        <v>2030</v>
      </c>
      <c r="CE98" s="421">
        <v>2033</v>
      </c>
      <c r="CF98" s="421">
        <v>2035</v>
      </c>
      <c r="CG98" s="421">
        <v>2037</v>
      </c>
      <c r="CH98" s="421">
        <v>2040</v>
      </c>
      <c r="CI98" s="421">
        <v>2043</v>
      </c>
      <c r="CJ98" s="421">
        <v>2045</v>
      </c>
      <c r="CK98" s="421">
        <v>2047</v>
      </c>
      <c r="CL98" s="422">
        <v>2050</v>
      </c>
      <c r="CV98" s="326"/>
      <c r="CW98" s="326"/>
      <c r="CX98" s="326"/>
      <c r="CY98" s="326"/>
      <c r="CZ98" s="326"/>
      <c r="DA98" s="326"/>
      <c r="DB98" s="326"/>
    </row>
    <row r="99" spans="7:106" ht="15.75" customHeight="1" x14ac:dyDescent="0.25">
      <c r="G99">
        <v>0.4</v>
      </c>
      <c r="H99" t="e">
        <f>O99/N99</f>
        <v>#DIV/0!</v>
      </c>
      <c r="J99" s="327" t="s">
        <v>600</v>
      </c>
      <c r="K99" s="327" t="s">
        <v>642</v>
      </c>
      <c r="L99" s="328" t="s">
        <v>6</v>
      </c>
      <c r="M99" s="329" t="s">
        <v>319</v>
      </c>
      <c r="N99" s="330">
        <f>+SUMIFS(N$67:N$89,$I$67:$I$89,$J99,$M$67:$M$89,$K99)</f>
        <v>0</v>
      </c>
      <c r="O99" s="330">
        <f t="shared" ref="O99" si="35">+SUMIFS(O$67:O$89,$I$67:$I$89,$J99,$M$67:$M$89,$K99)</f>
        <v>68.585731940983607</v>
      </c>
      <c r="P99" s="331">
        <f t="shared" ref="P99:P105" si="36">+O99/(N99+O99)</f>
        <v>1</v>
      </c>
      <c r="Q99" s="332">
        <f t="shared" ref="Q99:V105" si="37">+SUMIFS(Q$67:Q$89,$I$67:$I$89,$J99,$M$67:$M$89,$K99)</f>
        <v>66.042848806832495</v>
      </c>
      <c r="R99" s="333">
        <f t="shared" si="37"/>
        <v>2.4500442407782339</v>
      </c>
      <c r="S99" s="334">
        <f t="shared" si="37"/>
        <v>9.2838893372876957E-2</v>
      </c>
      <c r="T99" s="333">
        <f t="shared" si="37"/>
        <v>5.6186813035864835</v>
      </c>
      <c r="U99" s="333">
        <f t="shared" si="37"/>
        <v>0</v>
      </c>
      <c r="V99" s="333">
        <f t="shared" si="37"/>
        <v>60.424167503246018</v>
      </c>
      <c r="W99" s="268">
        <f t="shared" ref="W99:Y112" si="38">+IF($O99=0,"-",R99/$O99)</f>
        <v>3.5722360488715625E-2</v>
      </c>
      <c r="X99" s="335">
        <f t="shared" si="38"/>
        <v>1.3536181760480828E-3</v>
      </c>
      <c r="Y99" s="268">
        <f t="shared" si="38"/>
        <v>8.1922014165004831E-2</v>
      </c>
      <c r="Z99" s="268">
        <f t="shared" ref="Z99:Z112" si="39">+IF($O99=0,"-",V99/$O99)</f>
        <v>0.88100200717023158</v>
      </c>
      <c r="AA99" s="269">
        <f t="shared" ref="AA99:AA101" si="40">+IF($T99=0,"-",U99/$T99)</f>
        <v>0</v>
      </c>
      <c r="AB99" s="336">
        <f t="shared" ref="AB99:AB105" si="41">+SUMIFS(AB$67:AB$89,$I$67:$I$89,$J99,$M$67:$M$89,$K99)</f>
        <v>266.73883552000007</v>
      </c>
      <c r="AC99" s="337">
        <f t="shared" ref="AC99:AC105" si="42">+IF((N99+O99)=0,"-",AB99/(N99+O99))</f>
        <v>3.8891301145480592</v>
      </c>
      <c r="AD99" s="272">
        <f t="shared" ref="AD99:AD112" si="43">+AB99*(100%-P99)</f>
        <v>0</v>
      </c>
      <c r="AE99" s="273" t="str">
        <f t="shared" ref="AE99:AE112" si="44">+IF(N99=0,"-",AD99/N99)</f>
        <v>-</v>
      </c>
      <c r="AF99" s="272">
        <f t="shared" ref="AF99:AF112" si="45">+AB99*(P99)</f>
        <v>266.73883552000007</v>
      </c>
      <c r="AG99" s="338">
        <f t="shared" ref="AG99:AG105" si="46">+AF99/O99</f>
        <v>3.8891301145480592</v>
      </c>
      <c r="AH99" s="330">
        <f t="shared" ref="AH99:AH105" si="47">+SUMIFS(AH$67:AH$89,$I$67:$I$89,$J99,$M$67:$M$89,$K99)</f>
        <v>68.585731940983607</v>
      </c>
      <c r="AI99" s="330">
        <f t="shared" ref="AI99:AV100" si="48">+SUMIFS(BK$67:BK$89,$I$67:$I$89,$J99,$M$67:$M$89,$K99)</f>
        <v>68.585731940983607</v>
      </c>
      <c r="AJ99" s="330">
        <f t="shared" si="48"/>
        <v>55.42289382660443</v>
      </c>
      <c r="AK99" s="330">
        <f t="shared" si="48"/>
        <v>48.301053084017497</v>
      </c>
      <c r="AL99" s="330">
        <f t="shared" si="48"/>
        <v>38.921861734744084</v>
      </c>
      <c r="AM99" s="330">
        <f t="shared" si="48"/>
        <v>31.12573621980787</v>
      </c>
      <c r="AN99" s="330">
        <f t="shared" si="48"/>
        <v>20.101904077407454</v>
      </c>
      <c r="AO99" s="330">
        <f t="shared" si="48"/>
        <v>8.0077874319897546</v>
      </c>
      <c r="AP99" s="330">
        <f t="shared" si="48"/>
        <v>2.86729599242289</v>
      </c>
      <c r="AQ99" s="330">
        <f t="shared" si="48"/>
        <v>2.3371052350566992</v>
      </c>
      <c r="AR99" s="330">
        <f t="shared" si="48"/>
        <v>1.5418190990073675</v>
      </c>
      <c r="AS99" s="330">
        <f t="shared" si="48"/>
        <v>0.74653296295810601</v>
      </c>
      <c r="AT99" s="330">
        <f t="shared" si="48"/>
        <v>0.21634220559186546</v>
      </c>
      <c r="AU99" s="330">
        <f t="shared" si="48"/>
        <v>0</v>
      </c>
      <c r="AV99" s="330">
        <f t="shared" si="48"/>
        <v>0</v>
      </c>
      <c r="AW99" s="339">
        <f t="shared" ref="AW99:BJ112" si="49">+AI99*(100%-$P99)</f>
        <v>0</v>
      </c>
      <c r="AX99" s="339">
        <f t="shared" si="49"/>
        <v>0</v>
      </c>
      <c r="AY99" s="339">
        <f t="shared" si="49"/>
        <v>0</v>
      </c>
      <c r="AZ99" s="339">
        <f t="shared" si="49"/>
        <v>0</v>
      </c>
      <c r="BA99" s="339">
        <f t="shared" si="49"/>
        <v>0</v>
      </c>
      <c r="BB99" s="339">
        <f t="shared" si="49"/>
        <v>0</v>
      </c>
      <c r="BC99" s="339">
        <f t="shared" si="49"/>
        <v>0</v>
      </c>
      <c r="BD99" s="339">
        <f t="shared" si="49"/>
        <v>0</v>
      </c>
      <c r="BE99" s="339">
        <f t="shared" si="49"/>
        <v>0</v>
      </c>
      <c r="BF99" s="339">
        <f t="shared" si="49"/>
        <v>0</v>
      </c>
      <c r="BG99" s="339">
        <f t="shared" si="49"/>
        <v>0</v>
      </c>
      <c r="BH99" s="339">
        <f t="shared" si="49"/>
        <v>0</v>
      </c>
      <c r="BI99" s="339">
        <f t="shared" si="49"/>
        <v>0</v>
      </c>
      <c r="BJ99" s="339">
        <f t="shared" si="49"/>
        <v>0</v>
      </c>
      <c r="BK99" s="339">
        <f t="shared" ref="BK99:BX112" si="50">+AI99*($P99)</f>
        <v>68.585731940983607</v>
      </c>
      <c r="BL99" s="339">
        <f t="shared" si="50"/>
        <v>55.42289382660443</v>
      </c>
      <c r="BM99" s="339">
        <f t="shared" si="50"/>
        <v>48.301053084017497</v>
      </c>
      <c r="BN99" s="339">
        <f t="shared" si="50"/>
        <v>38.921861734744084</v>
      </c>
      <c r="BO99" s="339">
        <f t="shared" si="50"/>
        <v>31.12573621980787</v>
      </c>
      <c r="BP99" s="339">
        <f t="shared" si="50"/>
        <v>20.101904077407454</v>
      </c>
      <c r="BQ99" s="339">
        <f t="shared" si="50"/>
        <v>8.0077874319897546</v>
      </c>
      <c r="BR99" s="339">
        <f t="shared" si="50"/>
        <v>2.86729599242289</v>
      </c>
      <c r="BS99" s="339">
        <f t="shared" si="50"/>
        <v>2.3371052350566992</v>
      </c>
      <c r="BT99" s="339">
        <f t="shared" si="50"/>
        <v>1.5418190990073675</v>
      </c>
      <c r="BU99" s="339">
        <f t="shared" si="50"/>
        <v>0.74653296295810601</v>
      </c>
      <c r="BV99" s="339">
        <f t="shared" si="50"/>
        <v>0.21634220559186546</v>
      </c>
      <c r="BW99" s="339">
        <f t="shared" si="50"/>
        <v>0</v>
      </c>
      <c r="BX99" s="339">
        <f t="shared" si="50"/>
        <v>0</v>
      </c>
      <c r="BY99" s="593">
        <f>BK99</f>
        <v>68.585731940983607</v>
      </c>
      <c r="BZ99" s="423">
        <v>46.821961089206532</v>
      </c>
      <c r="CA99" s="423">
        <v>40.80534003047606</v>
      </c>
      <c r="CB99" s="423">
        <v>32.881680652858037</v>
      </c>
      <c r="CC99" s="423">
        <v>26.295415297444752</v>
      </c>
      <c r="CD99" s="423">
        <v>16.982342594307632</v>
      </c>
      <c r="CE99" s="423">
        <v>6.7650800177323163</v>
      </c>
      <c r="CF99" s="423">
        <v>2.4223278886967416</v>
      </c>
      <c r="CG99" s="423">
        <v>1.9744160368016987</v>
      </c>
      <c r="CH99" s="423">
        <v>1.302548258959096</v>
      </c>
      <c r="CI99" s="423">
        <v>0.63068048111655262</v>
      </c>
      <c r="CJ99" s="423">
        <v>0.18276862922146783</v>
      </c>
      <c r="CK99" s="423">
        <v>0</v>
      </c>
      <c r="CL99" s="423">
        <v>0</v>
      </c>
      <c r="CN99" s="319"/>
      <c r="CV99" s="177"/>
      <c r="CW99" s="177"/>
      <c r="CX99" s="177"/>
      <c r="CY99" s="177"/>
      <c r="CZ99" s="177"/>
      <c r="DA99" s="177"/>
      <c r="DB99" s="177"/>
    </row>
    <row r="100" spans="7:106" ht="15.75" customHeight="1" x14ac:dyDescent="0.25">
      <c r="G100">
        <v>0.9</v>
      </c>
      <c r="H100" s="115">
        <f t="shared" ref="H100:H105" si="51">O100/N100</f>
        <v>2.5014922978465615</v>
      </c>
      <c r="J100" s="327" t="s">
        <v>605</v>
      </c>
      <c r="K100" s="327" t="s">
        <v>292</v>
      </c>
      <c r="L100" s="328" t="s">
        <v>12</v>
      </c>
      <c r="M100" s="340" t="s">
        <v>326</v>
      </c>
      <c r="N100" s="330">
        <f>+SUMIFS(N$67:N$89,$I$67:$I$89,$J100,$M$67:$M$89,$K100)</f>
        <v>107.6091233110016</v>
      </c>
      <c r="O100" s="330">
        <f>+SUMIFS(O$67:O$89,$I$67:$I$89,$J100,$M$67:$M$89,$K100)</f>
        <v>269.18339314049138</v>
      </c>
      <c r="P100" s="331">
        <f t="shared" si="36"/>
        <v>0.7144074825996316</v>
      </c>
      <c r="Q100" s="332">
        <f t="shared" si="37"/>
        <v>221.53658720841196</v>
      </c>
      <c r="R100" s="333">
        <f t="shared" si="37"/>
        <v>28.837995441575647</v>
      </c>
      <c r="S100" s="333">
        <f t="shared" si="37"/>
        <v>3.2629701010505454</v>
      </c>
      <c r="T100" s="333">
        <f t="shared" si="37"/>
        <v>82.744783788999428</v>
      </c>
      <c r="U100" s="333">
        <f t="shared" si="37"/>
        <v>15.545840389453234</v>
      </c>
      <c r="V100" s="333">
        <f t="shared" si="37"/>
        <v>154.33764380886575</v>
      </c>
      <c r="W100" s="268">
        <f t="shared" si="38"/>
        <v>0.10713140623249595</v>
      </c>
      <c r="X100" s="268">
        <f t="shared" si="38"/>
        <v>1.2121736274226792E-2</v>
      </c>
      <c r="Y100" s="268">
        <f t="shared" si="38"/>
        <v>0.30739185959296356</v>
      </c>
      <c r="Z100" s="268">
        <f t="shared" si="39"/>
        <v>0.57335499790031375</v>
      </c>
      <c r="AA100" s="269">
        <f t="shared" si="40"/>
        <v>0.18787698363071906</v>
      </c>
      <c r="AB100" s="336">
        <f>+SUMIFS(AB$67:AB$89,$I$67:$I$89,$J100,$M$67:$M$89,$K100)</f>
        <v>2159.2322362664527</v>
      </c>
      <c r="AC100" s="337">
        <f t="shared" si="42"/>
        <v>5.7305603004045462</v>
      </c>
      <c r="AD100" s="272">
        <f>+AB100*(100%-P100)</f>
        <v>616.66057000736328</v>
      </c>
      <c r="AE100" s="341">
        <f t="shared" si="44"/>
        <v>5.7305603004045471</v>
      </c>
      <c r="AF100" s="272">
        <f t="shared" si="45"/>
        <v>1542.5716662590894</v>
      </c>
      <c r="AG100" s="341">
        <f t="shared" si="46"/>
        <v>5.7305603004045462</v>
      </c>
      <c r="AH100" s="330">
        <f t="shared" si="47"/>
        <v>376.79251645149293</v>
      </c>
      <c r="AI100" s="330">
        <f>+SUMIFS(BK$67:BK$89,$I$67:$I$89,$J100,$M$67:$M$89,$K100)</f>
        <v>376.79251645149293</v>
      </c>
      <c r="AJ100" s="330">
        <f t="shared" si="48"/>
        <v>369.59874879475456</v>
      </c>
      <c r="AK100" s="330">
        <f t="shared" si="48"/>
        <v>295.71175125095385</v>
      </c>
      <c r="AL100" s="330">
        <f t="shared" si="48"/>
        <v>221.21840706405601</v>
      </c>
      <c r="AM100" s="330">
        <f t="shared" si="48"/>
        <v>171.31169310730004</v>
      </c>
      <c r="AN100" s="330">
        <f t="shared" si="48"/>
        <v>111.95261234678644</v>
      </c>
      <c r="AO100" s="330">
        <f t="shared" si="48"/>
        <v>72.379931845519636</v>
      </c>
      <c r="AP100" s="330">
        <f t="shared" si="48"/>
        <v>52.2350632561674</v>
      </c>
      <c r="AQ100" s="330">
        <f t="shared" si="48"/>
        <v>39.077990841053399</v>
      </c>
      <c r="AR100" s="330">
        <f t="shared" si="48"/>
        <v>23.3968962245543</v>
      </c>
      <c r="AS100" s="330">
        <f t="shared" si="48"/>
        <v>17.354491524384926</v>
      </c>
      <c r="AT100" s="330">
        <f t="shared" si="48"/>
        <v>13.326221724272058</v>
      </c>
      <c r="AU100" s="330">
        <f t="shared" si="48"/>
        <v>10.029486407153993</v>
      </c>
      <c r="AV100" s="330">
        <f t="shared" si="48"/>
        <v>6.6898601086639449</v>
      </c>
      <c r="AW100" s="339">
        <f t="shared" si="49"/>
        <v>107.6091233110016</v>
      </c>
      <c r="AX100" s="339">
        <f t="shared" si="49"/>
        <v>105.55463709632033</v>
      </c>
      <c r="AY100" s="339">
        <f t="shared" si="49"/>
        <v>84.453063464631455</v>
      </c>
      <c r="AZ100" s="339">
        <f t="shared" si="49"/>
        <v>63.178321768723194</v>
      </c>
      <c r="BA100" s="339">
        <f t="shared" si="49"/>
        <v>48.925337694633157</v>
      </c>
      <c r="BB100" s="339">
        <f t="shared" si="49"/>
        <v>31.972828389666304</v>
      </c>
      <c r="BC100" s="339">
        <f t="shared" si="49"/>
        <v>20.671166945029047</v>
      </c>
      <c r="BD100" s="339">
        <f t="shared" si="49"/>
        <v>14.917943211896333</v>
      </c>
      <c r="BE100" s="339">
        <f t="shared" si="49"/>
        <v>11.160381779244979</v>
      </c>
      <c r="BF100" s="339">
        <f t="shared" si="49"/>
        <v>6.681978492125638</v>
      </c>
      <c r="BG100" s="339">
        <f t="shared" si="49"/>
        <v>4.9563129226524474</v>
      </c>
      <c r="BH100" s="339">
        <f t="shared" si="49"/>
        <v>3.8058692096703348</v>
      </c>
      <c r="BI100" s="339">
        <f t="shared" si="49"/>
        <v>2.8643462712518848</v>
      </c>
      <c r="BJ100" s="339">
        <f t="shared" si="49"/>
        <v>1.9105739894896381</v>
      </c>
      <c r="BK100" s="339">
        <f t="shared" si="50"/>
        <v>269.18339314049132</v>
      </c>
      <c r="BL100" s="339">
        <f t="shared" si="50"/>
        <v>264.04411169843422</v>
      </c>
      <c r="BM100" s="339">
        <f t="shared" si="50"/>
        <v>211.25868778632241</v>
      </c>
      <c r="BN100" s="339">
        <f t="shared" si="50"/>
        <v>158.0400852953328</v>
      </c>
      <c r="BO100" s="339">
        <f t="shared" si="50"/>
        <v>122.38635541266689</v>
      </c>
      <c r="BP100" s="339">
        <f t="shared" si="50"/>
        <v>79.979783957120134</v>
      </c>
      <c r="BQ100" s="339">
        <f t="shared" si="50"/>
        <v>51.708764900490593</v>
      </c>
      <c r="BR100" s="339">
        <f t="shared" si="50"/>
        <v>37.317120044271071</v>
      </c>
      <c r="BS100" s="339">
        <f t="shared" si="50"/>
        <v>27.91760906180842</v>
      </c>
      <c r="BT100" s="339">
        <f t="shared" si="50"/>
        <v>16.714917732428663</v>
      </c>
      <c r="BU100" s="339">
        <f t="shared" si="50"/>
        <v>12.398178601732479</v>
      </c>
      <c r="BV100" s="339">
        <f t="shared" si="50"/>
        <v>9.520352514601722</v>
      </c>
      <c r="BW100" s="339">
        <f t="shared" si="50"/>
        <v>7.1651401359021074</v>
      </c>
      <c r="BX100" s="339">
        <f t="shared" si="50"/>
        <v>4.7792861191743068</v>
      </c>
      <c r="BY100" s="423">
        <v>376.79251645149293</v>
      </c>
      <c r="BZ100" s="423">
        <v>378.40150011499037</v>
      </c>
      <c r="CA100" s="423">
        <v>302.75473236823876</v>
      </c>
      <c r="CB100" s="423">
        <v>226.48717659099231</v>
      </c>
      <c r="CC100" s="423">
        <v>175.39183200817482</v>
      </c>
      <c r="CD100" s="423">
        <v>114.61899314313158</v>
      </c>
      <c r="CE100" s="423">
        <v>74.103808191663717</v>
      </c>
      <c r="CF100" s="423">
        <v>53.479148290384252</v>
      </c>
      <c r="CG100" s="423">
        <v>40.00871324363186</v>
      </c>
      <c r="CH100" s="423">
        <v>23.954141236345418</v>
      </c>
      <c r="CI100" s="423">
        <v>17.767824290462919</v>
      </c>
      <c r="CJ100" s="423">
        <v>13.643612993207967</v>
      </c>
      <c r="CK100" s="423">
        <v>10.268359171198142</v>
      </c>
      <c r="CL100" s="423">
        <v>6.8491928312334061</v>
      </c>
      <c r="CV100" s="177"/>
      <c r="CW100" s="177"/>
      <c r="CX100" s="177"/>
      <c r="CY100" s="177"/>
      <c r="CZ100" s="177"/>
      <c r="DA100" s="177"/>
      <c r="DB100" s="177"/>
    </row>
    <row r="101" spans="7:106" ht="15.75" customHeight="1" x14ac:dyDescent="0.25">
      <c r="G101">
        <v>0.5</v>
      </c>
      <c r="H101" s="115">
        <f t="shared" si="51"/>
        <v>2.8304809933914145E-3</v>
      </c>
      <c r="J101" s="327" t="s">
        <v>605</v>
      </c>
      <c r="K101" s="327" t="s">
        <v>296</v>
      </c>
      <c r="L101" s="328" t="s">
        <v>16</v>
      </c>
      <c r="M101" s="342" t="s">
        <v>330</v>
      </c>
      <c r="N101" s="330">
        <f>+SUMIFS(N$67:N$89,$I$67:$I$89,$J101,$M$67:$M$89,$K101)</f>
        <v>724.65339318846713</v>
      </c>
      <c r="O101" s="330">
        <f t="shared" ref="O101" si="52">+SUMIFS(O$67:O$89,$I$67:$I$89,$J101,$M$67:$M$89,$K101)</f>
        <v>2.0511176562165518</v>
      </c>
      <c r="P101" s="331">
        <f t="shared" si="36"/>
        <v>2.8224919834781799E-3</v>
      </c>
      <c r="Q101" s="332">
        <f t="shared" si="37"/>
        <v>0.23786180586758954</v>
      </c>
      <c r="R101" s="333">
        <f t="shared" si="37"/>
        <v>0.32681390346528633</v>
      </c>
      <c r="S101" s="333">
        <f t="shared" si="37"/>
        <v>1.2912743211024171</v>
      </c>
      <c r="T101" s="334">
        <f t="shared" si="37"/>
        <v>0.4330294316488485</v>
      </c>
      <c r="U101" s="334">
        <f t="shared" si="37"/>
        <v>0.19516762578125896</v>
      </c>
      <c r="V101" s="333">
        <f t="shared" si="37"/>
        <v>0</v>
      </c>
      <c r="W101" s="268">
        <f t="shared" si="38"/>
        <v>0.15933454742334008</v>
      </c>
      <c r="X101" s="268">
        <f t="shared" si="38"/>
        <v>0.629546685042083</v>
      </c>
      <c r="Y101" s="268">
        <f t="shared" si="38"/>
        <v>0.21111876753457692</v>
      </c>
      <c r="Z101" s="268">
        <f t="shared" si="39"/>
        <v>0</v>
      </c>
      <c r="AA101" s="269">
        <f t="shared" si="40"/>
        <v>0.4507029118970462</v>
      </c>
      <c r="AB101" s="336">
        <f t="shared" si="41"/>
        <v>6496.7121983715815</v>
      </c>
      <c r="AC101" s="337">
        <f t="shared" si="42"/>
        <v>8.9399640451111821</v>
      </c>
      <c r="AD101" s="272">
        <f t="shared" si="43"/>
        <v>6478.3752802727131</v>
      </c>
      <c r="AE101" s="341">
        <f t="shared" si="44"/>
        <v>8.9399640451111821</v>
      </c>
      <c r="AF101" s="272">
        <f t="shared" si="45"/>
        <v>18.33691809886869</v>
      </c>
      <c r="AG101" s="341">
        <f t="shared" si="46"/>
        <v>8.9399640451111804</v>
      </c>
      <c r="AH101" s="330">
        <f t="shared" si="47"/>
        <v>726.70451084468357</v>
      </c>
      <c r="AI101" s="330">
        <f t="shared" ref="AI101:AV105" si="53">+SUMIFS(BK$67:BK$89,$I$67:$I$89,$J101,$M$67:$M$89,$K101)</f>
        <v>726.70451084468357</v>
      </c>
      <c r="AJ101" s="330">
        <f t="shared" si="53"/>
        <v>687.86225103060212</v>
      </c>
      <c r="AK101" s="330">
        <f t="shared" si="53"/>
        <v>587.55750824736049</v>
      </c>
      <c r="AL101" s="330">
        <f t="shared" si="53"/>
        <v>494.42471335568871</v>
      </c>
      <c r="AM101" s="330">
        <f t="shared" si="53"/>
        <v>420.57125502833946</v>
      </c>
      <c r="AN101" s="330">
        <f t="shared" si="53"/>
        <v>309.7910675373156</v>
      </c>
      <c r="AO101" s="330">
        <f t="shared" si="53"/>
        <v>257.83201320744161</v>
      </c>
      <c r="AP101" s="330">
        <f t="shared" si="53"/>
        <v>218.66172919585773</v>
      </c>
      <c r="AQ101" s="330">
        <f t="shared" si="53"/>
        <v>182.14935775491111</v>
      </c>
      <c r="AR101" s="330">
        <f t="shared" si="53"/>
        <v>127.3982825137665</v>
      </c>
      <c r="AS101" s="330">
        <f t="shared" si="53"/>
        <v>81.49849118140061</v>
      </c>
      <c r="AT101" s="330">
        <f t="shared" si="53"/>
        <v>70.347634082399537</v>
      </c>
      <c r="AU101" s="330">
        <f t="shared" si="53"/>
        <v>64.244040865995586</v>
      </c>
      <c r="AV101" s="330">
        <f t="shared" si="53"/>
        <v>55.088651041389411</v>
      </c>
      <c r="AW101" s="339">
        <f t="shared" si="49"/>
        <v>724.65339318846702</v>
      </c>
      <c r="AX101" s="339">
        <f t="shared" si="49"/>
        <v>685.92076534133105</v>
      </c>
      <c r="AY101" s="339">
        <f t="shared" si="49"/>
        <v>585.89913189049992</v>
      </c>
      <c r="AZ101" s="339">
        <f t="shared" si="49"/>
        <v>493.02920356580881</v>
      </c>
      <c r="BA101" s="339">
        <f t="shared" si="49"/>
        <v>419.38419603254061</v>
      </c>
      <c r="BB101" s="339">
        <f t="shared" si="49"/>
        <v>308.91668473263837</v>
      </c>
      <c r="BC101" s="339">
        <f t="shared" si="49"/>
        <v>257.10428441707955</v>
      </c>
      <c r="BD101" s="339">
        <f t="shared" si="49"/>
        <v>218.04455821810896</v>
      </c>
      <c r="BE101" s="339">
        <f t="shared" si="49"/>
        <v>181.63524265285218</v>
      </c>
      <c r="BF101" s="339">
        <f t="shared" si="49"/>
        <v>127.03870188266251</v>
      </c>
      <c r="BG101" s="339">
        <f t="shared" si="49"/>
        <v>81.268462343375546</v>
      </c>
      <c r="BH101" s="339">
        <f t="shared" si="49"/>
        <v>70.149078449145307</v>
      </c>
      <c r="BI101" s="339">
        <f t="shared" si="49"/>
        <v>64.062712575665074</v>
      </c>
      <c r="BJ101" s="339">
        <f t="shared" si="49"/>
        <v>54.933163765444462</v>
      </c>
      <c r="BK101" s="339">
        <f t="shared" si="50"/>
        <v>2.0511176562165514</v>
      </c>
      <c r="BL101" s="339">
        <f t="shared" si="50"/>
        <v>1.9414856892711299</v>
      </c>
      <c r="BM101" s="339">
        <f t="shared" si="50"/>
        <v>1.6583763568605896</v>
      </c>
      <c r="BN101" s="339">
        <f t="shared" si="50"/>
        <v>1.3955097898799282</v>
      </c>
      <c r="BO101" s="339">
        <f t="shared" si="50"/>
        <v>1.1870589957988453</v>
      </c>
      <c r="BP101" s="339">
        <f t="shared" si="50"/>
        <v>0.87438280467722063</v>
      </c>
      <c r="BQ101" s="339">
        <f t="shared" si="50"/>
        <v>0.72772879036204408</v>
      </c>
      <c r="BR101" s="339">
        <f t="shared" si="50"/>
        <v>0.61717097774878515</v>
      </c>
      <c r="BS101" s="339">
        <f t="shared" si="50"/>
        <v>0.51411510205893562</v>
      </c>
      <c r="BT101" s="339">
        <f t="shared" si="50"/>
        <v>0.35958063110399435</v>
      </c>
      <c r="BU101" s="339">
        <f t="shared" si="50"/>
        <v>0.23002883802507035</v>
      </c>
      <c r="BV101" s="339">
        <f t="shared" si="50"/>
        <v>0.19855563325422906</v>
      </c>
      <c r="BW101" s="339">
        <f t="shared" si="50"/>
        <v>0.18132829033051712</v>
      </c>
      <c r="BX101" s="339">
        <f t="shared" si="50"/>
        <v>0.15548727594494849</v>
      </c>
      <c r="BY101" s="423">
        <v>726.70451084468357</v>
      </c>
      <c r="BZ101" s="423">
        <v>824.03801295843766</v>
      </c>
      <c r="CA101" s="423">
        <v>703.87598806236235</v>
      </c>
      <c r="CB101" s="423">
        <v>592.30573816303377</v>
      </c>
      <c r="CC101" s="423">
        <v>503.83154589707362</v>
      </c>
      <c r="CD101" s="423">
        <v>371.12025749813336</v>
      </c>
      <c r="CE101" s="423">
        <v>308.87489395181478</v>
      </c>
      <c r="CF101" s="423">
        <v>261.95008748720295</v>
      </c>
      <c r="CG101" s="423">
        <v>218.20937927779215</v>
      </c>
      <c r="CH101" s="423">
        <v>152.61925977137443</v>
      </c>
      <c r="CI101" s="423">
        <v>97.632708629688054</v>
      </c>
      <c r="CJ101" s="423">
        <v>84.274321666488433</v>
      </c>
      <c r="CK101" s="423">
        <v>76.962403010658093</v>
      </c>
      <c r="CL101" s="423">
        <v>65.994525026912299</v>
      </c>
      <c r="CV101" s="177"/>
      <c r="CW101" s="177"/>
      <c r="CX101" s="177"/>
      <c r="CY101" s="177"/>
      <c r="CZ101" s="177"/>
      <c r="DA101" s="177"/>
      <c r="DB101" s="177"/>
    </row>
    <row r="102" spans="7:106" ht="15.75" customHeight="1" x14ac:dyDescent="0.25">
      <c r="G102">
        <v>0.9</v>
      </c>
      <c r="H102" s="115">
        <f t="shared" si="51"/>
        <v>0.29269011009024648</v>
      </c>
      <c r="J102" s="327" t="s">
        <v>624</v>
      </c>
      <c r="K102" s="327" t="s">
        <v>292</v>
      </c>
      <c r="L102" s="328" t="s">
        <v>20</v>
      </c>
      <c r="M102" s="342" t="s">
        <v>334</v>
      </c>
      <c r="N102" s="330">
        <f t="shared" ref="N102:O105" si="54">+SUMIFS(N$67:N$89,$I$67:$I$89,$J102,$M$67:$M$89,$K102)</f>
        <v>4.3593517548323124</v>
      </c>
      <c r="O102" s="330">
        <f t="shared" si="54"/>
        <v>1.2759391450439788</v>
      </c>
      <c r="P102" s="331">
        <f t="shared" si="36"/>
        <v>0.2264193930205074</v>
      </c>
      <c r="Q102" s="332">
        <f t="shared" si="37"/>
        <v>0</v>
      </c>
      <c r="R102" s="333">
        <f t="shared" si="37"/>
        <v>0</v>
      </c>
      <c r="S102" s="333">
        <f t="shared" si="37"/>
        <v>1.2759391450439788</v>
      </c>
      <c r="T102" s="333">
        <f t="shared" si="37"/>
        <v>0</v>
      </c>
      <c r="U102" s="333">
        <f t="shared" si="37"/>
        <v>0</v>
      </c>
      <c r="V102" s="333">
        <f t="shared" si="37"/>
        <v>0</v>
      </c>
      <c r="W102" s="268">
        <f t="shared" si="38"/>
        <v>0</v>
      </c>
      <c r="X102" s="268">
        <f t="shared" si="38"/>
        <v>1</v>
      </c>
      <c r="Y102" s="268">
        <f t="shared" si="38"/>
        <v>0</v>
      </c>
      <c r="Z102" s="268">
        <f t="shared" si="39"/>
        <v>0</v>
      </c>
      <c r="AA102" s="269">
        <f>+IF($T102=0,0,U102/$T102)</f>
        <v>0</v>
      </c>
      <c r="AB102" s="336">
        <f t="shared" si="41"/>
        <v>44.660401360000002</v>
      </c>
      <c r="AC102" s="337">
        <f t="shared" si="42"/>
        <v>7.9251279398869023</v>
      </c>
      <c r="AD102" s="272">
        <f t="shared" si="43"/>
        <v>34.54842039201656</v>
      </c>
      <c r="AE102" s="341">
        <f t="shared" si="44"/>
        <v>7.9251279398869032</v>
      </c>
      <c r="AF102" s="272">
        <f t="shared" si="45"/>
        <v>10.111980967983444</v>
      </c>
      <c r="AG102" s="341">
        <f t="shared" si="46"/>
        <v>7.9251279398869032</v>
      </c>
      <c r="AH102" s="330">
        <f t="shared" si="47"/>
        <v>5.6352908998762912</v>
      </c>
      <c r="AI102" s="330">
        <f t="shared" si="53"/>
        <v>5.6352908998762912</v>
      </c>
      <c r="AJ102" s="330">
        <f t="shared" si="53"/>
        <v>5.3251450871105153</v>
      </c>
      <c r="AK102" s="330">
        <f t="shared" si="53"/>
        <v>4.6229281525464918</v>
      </c>
      <c r="AL102" s="330">
        <f t="shared" si="53"/>
        <v>4.1547835295038089</v>
      </c>
      <c r="AM102" s="330">
        <f t="shared" si="53"/>
        <v>3.4993810572440527</v>
      </c>
      <c r="AN102" s="330">
        <f t="shared" si="53"/>
        <v>2.5162773488544192</v>
      </c>
      <c r="AO102" s="330">
        <f t="shared" si="53"/>
        <v>2.0247254946596041</v>
      </c>
      <c r="AP102" s="330">
        <f t="shared" si="53"/>
        <v>1.6970242585297266</v>
      </c>
      <c r="AQ102" s="330">
        <f t="shared" si="53"/>
        <v>1.4629519470083854</v>
      </c>
      <c r="AR102" s="330">
        <f t="shared" si="53"/>
        <v>1.1118434797263739</v>
      </c>
      <c r="AS102" s="330">
        <f t="shared" si="53"/>
        <v>0.99480732396570282</v>
      </c>
      <c r="AT102" s="330">
        <f t="shared" si="53"/>
        <v>0.9167832201252627</v>
      </c>
      <c r="AU102" s="330">
        <f t="shared" si="53"/>
        <v>0.83875911628481048</v>
      </c>
      <c r="AV102" s="330">
        <f t="shared" si="53"/>
        <v>0.72172296052414664</v>
      </c>
      <c r="AW102" s="339">
        <f t="shared" si="49"/>
        <v>4.3593517548323124</v>
      </c>
      <c r="AX102" s="339">
        <f t="shared" si="49"/>
        <v>4.1194289687408157</v>
      </c>
      <c r="AY102" s="339">
        <f t="shared" si="49"/>
        <v>3.5762075662694994</v>
      </c>
      <c r="AZ102" s="339">
        <f t="shared" si="49"/>
        <v>3.214059964621955</v>
      </c>
      <c r="BA102" s="339">
        <f t="shared" si="49"/>
        <v>2.7070533223153928</v>
      </c>
      <c r="BB102" s="339">
        <f t="shared" si="49"/>
        <v>1.9465433588555501</v>
      </c>
      <c r="BC102" s="339">
        <f t="shared" si="49"/>
        <v>1.56628837712563</v>
      </c>
      <c r="BD102" s="339">
        <f t="shared" si="49"/>
        <v>1.3127850559723493</v>
      </c>
      <c r="BE102" s="339">
        <f t="shared" si="49"/>
        <v>1.1317112551485773</v>
      </c>
      <c r="BF102" s="339">
        <f t="shared" si="49"/>
        <v>0.86010055391291951</v>
      </c>
      <c r="BG102" s="339">
        <f t="shared" si="49"/>
        <v>0.76956365350103317</v>
      </c>
      <c r="BH102" s="339">
        <f t="shared" si="49"/>
        <v>0.70920571989311454</v>
      </c>
      <c r="BI102" s="339">
        <f t="shared" si="49"/>
        <v>0.64884778628518647</v>
      </c>
      <c r="BJ102" s="339">
        <f t="shared" si="49"/>
        <v>0.55831088587330568</v>
      </c>
      <c r="BK102" s="339">
        <f t="shared" si="50"/>
        <v>1.2759391450439788</v>
      </c>
      <c r="BL102" s="339">
        <f t="shared" si="50"/>
        <v>1.2057161183696998</v>
      </c>
      <c r="BM102" s="339">
        <f t="shared" si="50"/>
        <v>1.0467205862769924</v>
      </c>
      <c r="BN102" s="339">
        <f t="shared" si="50"/>
        <v>0.94072356488185382</v>
      </c>
      <c r="BO102" s="339">
        <f t="shared" si="50"/>
        <v>0.79232773492865982</v>
      </c>
      <c r="BP102" s="339">
        <f t="shared" si="50"/>
        <v>0.56973398999886915</v>
      </c>
      <c r="BQ102" s="339">
        <f t="shared" si="50"/>
        <v>0.45843711753397415</v>
      </c>
      <c r="BR102" s="339">
        <f t="shared" si="50"/>
        <v>0.38423920255737731</v>
      </c>
      <c r="BS102" s="339">
        <f t="shared" si="50"/>
        <v>0.33124069185980815</v>
      </c>
      <c r="BT102" s="339">
        <f t="shared" si="50"/>
        <v>0.25174292581345442</v>
      </c>
      <c r="BU102" s="339">
        <f t="shared" si="50"/>
        <v>0.2252436704646697</v>
      </c>
      <c r="BV102" s="339">
        <f t="shared" si="50"/>
        <v>0.20757750023214822</v>
      </c>
      <c r="BW102" s="339">
        <f t="shared" si="50"/>
        <v>0.18991132999962398</v>
      </c>
      <c r="BX102" s="339">
        <f t="shared" si="50"/>
        <v>0.1634120746508409</v>
      </c>
      <c r="BY102" s="423">
        <v>5.6352908998762912</v>
      </c>
      <c r="BZ102" s="423">
        <v>5.221212860486296</v>
      </c>
      <c r="CA102" s="423">
        <v>4.5327012744881037</v>
      </c>
      <c r="CB102" s="423">
        <v>4.0736935504893079</v>
      </c>
      <c r="CC102" s="423">
        <v>3.431082736890994</v>
      </c>
      <c r="CD102" s="423">
        <v>2.4671665164935241</v>
      </c>
      <c r="CE102" s="423">
        <v>1.9852084062947908</v>
      </c>
      <c r="CF102" s="423">
        <v>1.6639029994956347</v>
      </c>
      <c r="CG102" s="423">
        <v>1.434399137496237</v>
      </c>
      <c r="CH102" s="423">
        <v>1.0901433444971411</v>
      </c>
      <c r="CI102" s="423">
        <v>0.97539141349744196</v>
      </c>
      <c r="CJ102" s="423">
        <v>0.89889012616431629</v>
      </c>
      <c r="CK102" s="423">
        <v>0.82238883883117875</v>
      </c>
      <c r="CL102" s="423">
        <v>0.70763690783148658</v>
      </c>
      <c r="CV102" s="177"/>
      <c r="CW102" s="177"/>
      <c r="CX102" s="177"/>
      <c r="CY102" s="177"/>
      <c r="CZ102" s="177"/>
      <c r="DA102" s="177"/>
      <c r="DB102" s="177"/>
    </row>
    <row r="103" spans="7:106" ht="15.75" customHeight="1" x14ac:dyDescent="0.25">
      <c r="G103">
        <v>0.5</v>
      </c>
      <c r="H103" s="115">
        <f t="shared" si="51"/>
        <v>2.9872409488629195E-2</v>
      </c>
      <c r="J103" s="327" t="s">
        <v>627</v>
      </c>
      <c r="K103" s="327" t="s">
        <v>295</v>
      </c>
      <c r="L103" s="328" t="s">
        <v>24</v>
      </c>
      <c r="M103" s="342" t="s">
        <v>335</v>
      </c>
      <c r="N103" s="330">
        <f t="shared" si="54"/>
        <v>160.64590837999947</v>
      </c>
      <c r="O103" s="330">
        <f t="shared" si="54"/>
        <v>4.7988803578001527</v>
      </c>
      <c r="P103" s="331">
        <f t="shared" si="36"/>
        <v>2.9005932398423979E-2</v>
      </c>
      <c r="Q103" s="332">
        <f t="shared" si="37"/>
        <v>2.2768748695271519</v>
      </c>
      <c r="R103" s="333">
        <f t="shared" si="37"/>
        <v>1.7521170575840492</v>
      </c>
      <c r="S103" s="333">
        <f t="shared" si="37"/>
        <v>0.7698884306889513</v>
      </c>
      <c r="T103" s="333">
        <f t="shared" si="37"/>
        <v>1.3766222989813104</v>
      </c>
      <c r="U103" s="333">
        <f t="shared" si="37"/>
        <v>0</v>
      </c>
      <c r="V103" s="333">
        <f t="shared" si="37"/>
        <v>0.90025257054584151</v>
      </c>
      <c r="W103" s="268">
        <f t="shared" si="38"/>
        <v>0.36510955200959305</v>
      </c>
      <c r="X103" s="268">
        <f t="shared" si="38"/>
        <v>0.16043084496523574</v>
      </c>
      <c r="Y103" s="268">
        <f t="shared" si="38"/>
        <v>0.28686322565715427</v>
      </c>
      <c r="Z103" s="268">
        <f t="shared" si="39"/>
        <v>0.18759637736801693</v>
      </c>
      <c r="AA103" s="269">
        <f t="shared" ref="AA103:AA104" si="55">+IF($T103=0,"-",U103/$T103)</f>
        <v>0</v>
      </c>
      <c r="AB103" s="336">
        <f t="shared" si="41"/>
        <v>1058.6607668001971</v>
      </c>
      <c r="AC103" s="337">
        <f t="shared" si="42"/>
        <v>6.3988764764176702</v>
      </c>
      <c r="AD103" s="272">
        <f t="shared" si="43"/>
        <v>1027.9533241655267</v>
      </c>
      <c r="AE103" s="341">
        <f t="shared" si="44"/>
        <v>6.3988764764176693</v>
      </c>
      <c r="AF103" s="272">
        <f t="shared" si="45"/>
        <v>30.707442634670208</v>
      </c>
      <c r="AG103" s="341">
        <f t="shared" si="46"/>
        <v>6.3988764764176702</v>
      </c>
      <c r="AH103" s="330">
        <f t="shared" si="47"/>
        <v>165.44478873779963</v>
      </c>
      <c r="AI103" s="330">
        <f t="shared" si="53"/>
        <v>165.44478873779963</v>
      </c>
      <c r="AJ103" s="330">
        <f t="shared" si="53"/>
        <v>153.89107121101256</v>
      </c>
      <c r="AK103" s="330">
        <f t="shared" si="53"/>
        <v>117.34515536171116</v>
      </c>
      <c r="AL103" s="330">
        <f t="shared" si="53"/>
        <v>91.230677358831571</v>
      </c>
      <c r="AM103" s="330">
        <f t="shared" si="53"/>
        <v>73.19355276753096</v>
      </c>
      <c r="AN103" s="330">
        <f t="shared" si="53"/>
        <v>46.137865880580037</v>
      </c>
      <c r="AO103" s="330">
        <f t="shared" si="53"/>
        <v>34.93812928869707</v>
      </c>
      <c r="AP103" s="330">
        <f t="shared" si="53"/>
        <v>27.471638227441758</v>
      </c>
      <c r="AQ103" s="330">
        <f t="shared" si="53"/>
        <v>23.215461459279428</v>
      </c>
      <c r="AR103" s="330">
        <f t="shared" si="53"/>
        <v>16.831196307035714</v>
      </c>
      <c r="AS103" s="330">
        <f t="shared" si="53"/>
        <v>12.14520015893914</v>
      </c>
      <c r="AT103" s="330">
        <f t="shared" si="53"/>
        <v>9.7568222406346106</v>
      </c>
      <c r="AU103" s="330">
        <f t="shared" si="53"/>
        <v>7.7567559465187346</v>
      </c>
      <c r="AV103" s="330">
        <f t="shared" si="53"/>
        <v>5.7455960840757854</v>
      </c>
      <c r="AW103" s="339">
        <f t="shared" si="49"/>
        <v>160.64590837999947</v>
      </c>
      <c r="AX103" s="339">
        <f t="shared" si="49"/>
        <v>149.42731720274489</v>
      </c>
      <c r="AY103" s="339">
        <f t="shared" si="49"/>
        <v>113.94144971800681</v>
      </c>
      <c r="AZ103" s="339">
        <f t="shared" si="49"/>
        <v>88.584446498698867</v>
      </c>
      <c r="BA103" s="339">
        <f t="shared" si="49"/>
        <v>71.070505523955475</v>
      </c>
      <c r="BB103" s="339">
        <f t="shared" si="49"/>
        <v>44.799594061840381</v>
      </c>
      <c r="BC103" s="339">
        <f t="shared" si="49"/>
        <v>33.924716272421726</v>
      </c>
      <c r="BD103" s="339">
        <f t="shared" si="49"/>
        <v>26.674797746142623</v>
      </c>
      <c r="BE103" s="339">
        <f t="shared" si="49"/>
        <v>22.542075353593351</v>
      </c>
      <c r="BF103" s="339">
        <f t="shared" si="49"/>
        <v>16.342991764769234</v>
      </c>
      <c r="BG103" s="339">
        <f t="shared" si="49"/>
        <v>11.792917304163623</v>
      </c>
      <c r="BH103" s="339">
        <f t="shared" si="49"/>
        <v>9.4738165142993243</v>
      </c>
      <c r="BI103" s="339">
        <f t="shared" si="49"/>
        <v>7.5317640079029387</v>
      </c>
      <c r="BJ103" s="339">
        <f t="shared" si="49"/>
        <v>5.578939712472434</v>
      </c>
      <c r="BK103" s="339">
        <f t="shared" si="50"/>
        <v>4.7988803578001527</v>
      </c>
      <c r="BL103" s="339">
        <f t="shared" si="50"/>
        <v>4.4637540082676805</v>
      </c>
      <c r="BM103" s="339">
        <f t="shared" si="50"/>
        <v>3.4037056437043534</v>
      </c>
      <c r="BN103" s="339">
        <f t="shared" si="50"/>
        <v>2.6462308601326976</v>
      </c>
      <c r="BO103" s="339">
        <f t="shared" si="50"/>
        <v>2.1230472435754812</v>
      </c>
      <c r="BP103" s="339">
        <f t="shared" si="50"/>
        <v>1.3382718187396567</v>
      </c>
      <c r="BQ103" s="339">
        <f t="shared" si="50"/>
        <v>1.0134130162753441</v>
      </c>
      <c r="BR103" s="339">
        <f t="shared" si="50"/>
        <v>0.79684048129913565</v>
      </c>
      <c r="BS103" s="339">
        <f t="shared" si="50"/>
        <v>0.67338610568607637</v>
      </c>
      <c r="BT103" s="339">
        <f t="shared" si="50"/>
        <v>0.48820454226648125</v>
      </c>
      <c r="BU103" s="339">
        <f t="shared" si="50"/>
        <v>0.35228285477551685</v>
      </c>
      <c r="BV103" s="339">
        <f t="shared" si="50"/>
        <v>0.28300572633528709</v>
      </c>
      <c r="BW103" s="339">
        <f t="shared" si="50"/>
        <v>0.22499193861579561</v>
      </c>
      <c r="BX103" s="339">
        <f t="shared" si="50"/>
        <v>0.16665637160335178</v>
      </c>
      <c r="BY103" s="423">
        <v>165.44478873779963</v>
      </c>
      <c r="BZ103" s="423">
        <v>174.59190756118457</v>
      </c>
      <c r="CA103" s="423">
        <v>133.12997535492246</v>
      </c>
      <c r="CB103" s="423">
        <v>103.50267798407233</v>
      </c>
      <c r="CC103" s="423">
        <v>83.03926860929522</v>
      </c>
      <c r="CD103" s="423">
        <v>52.344154547129563</v>
      </c>
      <c r="CE103" s="423">
        <v>39.637872367324192</v>
      </c>
      <c r="CF103" s="423">
        <v>31.167017580787284</v>
      </c>
      <c r="CG103" s="423">
        <v>26.338316246632928</v>
      </c>
      <c r="CH103" s="423">
        <v>19.095264245401154</v>
      </c>
      <c r="CI103" s="423">
        <v>13.778925877733739</v>
      </c>
      <c r="CJ103" s="423">
        <v>11.069272527137278</v>
      </c>
      <c r="CK103" s="423">
        <v>8.800164990289284</v>
      </c>
      <c r="CL103" s="423">
        <v>6.5184716208738598</v>
      </c>
      <c r="CV103" s="177"/>
      <c r="CW103" s="177"/>
      <c r="CX103" s="177"/>
      <c r="CY103" s="177"/>
      <c r="CZ103" s="177"/>
      <c r="DA103" s="177"/>
      <c r="DB103" s="177"/>
    </row>
    <row r="104" spans="7:106" ht="15.75" customHeight="1" x14ac:dyDescent="0.25">
      <c r="G104">
        <v>0.5</v>
      </c>
      <c r="H104" s="115">
        <f t="shared" si="51"/>
        <v>5.1717141342264447E-2</v>
      </c>
      <c r="J104" s="327" t="s">
        <v>636</v>
      </c>
      <c r="K104" s="327" t="s">
        <v>295</v>
      </c>
      <c r="L104" s="328" t="s">
        <v>28</v>
      </c>
      <c r="M104" s="340" t="s">
        <v>336</v>
      </c>
      <c r="N104" s="330">
        <f t="shared" si="54"/>
        <v>28.394686542809108</v>
      </c>
      <c r="O104" s="330">
        <f t="shared" si="54"/>
        <v>1.4684920173037528</v>
      </c>
      <c r="P104" s="331">
        <f t="shared" si="36"/>
        <v>4.9174002504380532E-2</v>
      </c>
      <c r="Q104" s="332">
        <f t="shared" si="37"/>
        <v>0.61987830491387741</v>
      </c>
      <c r="R104" s="333">
        <f t="shared" si="37"/>
        <v>0.20575788232194489</v>
      </c>
      <c r="S104" s="333">
        <f t="shared" si="37"/>
        <v>0.24158707246769739</v>
      </c>
      <c r="T104" s="333">
        <f t="shared" si="37"/>
        <v>1.0198649246869729</v>
      </c>
      <c r="U104" s="333">
        <f t="shared" si="37"/>
        <v>0.40126875760023273</v>
      </c>
      <c r="V104" s="333">
        <f t="shared" si="37"/>
        <v>1.2821378271373829E-3</v>
      </c>
      <c r="W104" s="268">
        <f t="shared" si="38"/>
        <v>0.14011508397555322</v>
      </c>
      <c r="X104" s="268">
        <f t="shared" si="38"/>
        <v>0.16451371176757706</v>
      </c>
      <c r="Y104" s="268">
        <f t="shared" si="38"/>
        <v>0.69449810599550377</v>
      </c>
      <c r="Z104" s="268">
        <f t="shared" si="39"/>
        <v>8.7309826136574556E-4</v>
      </c>
      <c r="AA104" s="269">
        <f t="shared" si="55"/>
        <v>0.39345284643786937</v>
      </c>
      <c r="AB104" s="336">
        <f t="shared" si="41"/>
        <v>283.33235609852005</v>
      </c>
      <c r="AC104" s="337">
        <f t="shared" si="42"/>
        <v>9.4876824825658908</v>
      </c>
      <c r="AD104" s="272">
        <f t="shared" si="43"/>
        <v>269.39977011015941</v>
      </c>
      <c r="AE104" s="341">
        <f t="shared" si="44"/>
        <v>9.4876824825658908</v>
      </c>
      <c r="AF104" s="272">
        <f t="shared" si="45"/>
        <v>13.932585988360662</v>
      </c>
      <c r="AG104" s="341">
        <f t="shared" si="46"/>
        <v>9.4876824825658908</v>
      </c>
      <c r="AH104" s="330">
        <f t="shared" si="47"/>
        <v>29.863178560112861</v>
      </c>
      <c r="AI104" s="330">
        <f t="shared" si="53"/>
        <v>29.863178560112861</v>
      </c>
      <c r="AJ104" s="330">
        <f t="shared" si="53"/>
        <v>27.835107673690871</v>
      </c>
      <c r="AK104" s="330">
        <f t="shared" si="53"/>
        <v>23.993658119029163</v>
      </c>
      <c r="AL104" s="330">
        <f t="shared" si="53"/>
        <v>20.274712206938659</v>
      </c>
      <c r="AM104" s="330">
        <f t="shared" si="53"/>
        <v>17.1777557482433</v>
      </c>
      <c r="AN104" s="330">
        <f t="shared" si="53"/>
        <v>12.747595139993381</v>
      </c>
      <c r="AO104" s="330">
        <f t="shared" si="53"/>
        <v>10.454848192395344</v>
      </c>
      <c r="AP104" s="330">
        <f t="shared" si="53"/>
        <v>8.9263502273299657</v>
      </c>
      <c r="AQ104" s="330">
        <f t="shared" si="53"/>
        <v>7.8276051073700268</v>
      </c>
      <c r="AR104" s="330">
        <f t="shared" si="53"/>
        <v>6.2430911328234622</v>
      </c>
      <c r="AS104" s="330">
        <f t="shared" si="53"/>
        <v>4.9217966700768256</v>
      </c>
      <c r="AT104" s="330">
        <f t="shared" si="53"/>
        <v>4.3266071106673554</v>
      </c>
      <c r="AU104" s="330">
        <f t="shared" si="53"/>
        <v>3.9981896052775259</v>
      </c>
      <c r="AV104" s="330">
        <f t="shared" si="53"/>
        <v>3.5055633471927838</v>
      </c>
      <c r="AW104" s="339">
        <f t="shared" si="49"/>
        <v>28.394686542809108</v>
      </c>
      <c r="AX104" s="339">
        <f t="shared" si="49"/>
        <v>26.466344019235095</v>
      </c>
      <c r="AY104" s="339">
        <f t="shared" si="49"/>
        <v>22.813793914594772</v>
      </c>
      <c r="AZ104" s="339">
        <f t="shared" si="49"/>
        <v>19.277723458099064</v>
      </c>
      <c r="BA104" s="339">
        <f t="shared" si="49"/>
        <v>16.333056744059547</v>
      </c>
      <c r="BB104" s="339">
        <f t="shared" si="49"/>
        <v>12.120744864654517</v>
      </c>
      <c r="BC104" s="339">
        <f t="shared" si="49"/>
        <v>9.9407414611995772</v>
      </c>
      <c r="BD104" s="339">
        <f t="shared" si="49"/>
        <v>8.4874058588962651</v>
      </c>
      <c r="BE104" s="339">
        <f t="shared" si="49"/>
        <v>7.4426904342169111</v>
      </c>
      <c r="BF104" s="339">
        <f t="shared" si="49"/>
        <v>5.9360933538229252</v>
      </c>
      <c r="BG104" s="339">
        <f t="shared" si="49"/>
        <v>4.6797722282964163</v>
      </c>
      <c r="BH104" s="339">
        <f t="shared" si="49"/>
        <v>4.1138505217719281</v>
      </c>
      <c r="BI104" s="339">
        <f t="shared" si="49"/>
        <v>3.8015826196146207</v>
      </c>
      <c r="BJ104" s="339">
        <f t="shared" si="49"/>
        <v>3.3331807663786615</v>
      </c>
      <c r="BK104" s="339">
        <f t="shared" si="50"/>
        <v>1.4684920173037528</v>
      </c>
      <c r="BL104" s="339">
        <f t="shared" si="50"/>
        <v>1.3687636544557766</v>
      </c>
      <c r="BM104" s="339">
        <f t="shared" si="50"/>
        <v>1.1798642044343903</v>
      </c>
      <c r="BN104" s="339">
        <f t="shared" si="50"/>
        <v>0.99698874883959621</v>
      </c>
      <c r="BO104" s="339">
        <f t="shared" si="50"/>
        <v>0.8446990041837531</v>
      </c>
      <c r="BP104" s="339">
        <f t="shared" si="50"/>
        <v>0.62685027533886362</v>
      </c>
      <c r="BQ104" s="339">
        <f t="shared" si="50"/>
        <v>0.51410673119576689</v>
      </c>
      <c r="BR104" s="339">
        <f t="shared" si="50"/>
        <v>0.43894436843370144</v>
      </c>
      <c r="BS104" s="339">
        <f t="shared" si="50"/>
        <v>0.38491467315311556</v>
      </c>
      <c r="BT104" s="339">
        <f t="shared" si="50"/>
        <v>0.30699777900053682</v>
      </c>
      <c r="BU104" s="339">
        <f t="shared" si="50"/>
        <v>0.24202444178040958</v>
      </c>
      <c r="BV104" s="339">
        <f t="shared" si="50"/>
        <v>0.21275658889542715</v>
      </c>
      <c r="BW104" s="339">
        <f t="shared" si="50"/>
        <v>0.19660698566290527</v>
      </c>
      <c r="BX104" s="339">
        <f t="shared" si="50"/>
        <v>0.17238258081412255</v>
      </c>
      <c r="BY104" s="423">
        <v>29.863178560112861</v>
      </c>
      <c r="BZ104" s="423">
        <v>33.948760380755033</v>
      </c>
      <c r="CA104" s="423">
        <v>29.263581793526811</v>
      </c>
      <c r="CB104" s="423">
        <v>24.727813327364881</v>
      </c>
      <c r="CC104" s="423">
        <v>20.950646953215937</v>
      </c>
      <c r="CD104" s="423">
        <v>15.547453881328172</v>
      </c>
      <c r="CE104" s="423">
        <v>12.751132140806146</v>
      </c>
      <c r="CF104" s="423">
        <v>10.88691764712477</v>
      </c>
      <c r="CG104" s="423">
        <v>9.5468461361997363</v>
      </c>
      <c r="CH104" s="423">
        <v>7.6143123780248976</v>
      </c>
      <c r="CI104" s="423">
        <v>6.0028111891647153</v>
      </c>
      <c r="CJ104" s="423">
        <v>5.2768952713823145</v>
      </c>
      <c r="CK104" s="423">
        <v>4.8763447390823158</v>
      </c>
      <c r="CL104" s="423">
        <v>4.2755189406323213</v>
      </c>
      <c r="CV104" s="177"/>
      <c r="CW104" s="177"/>
      <c r="CX104" s="177"/>
      <c r="CY104" s="177"/>
      <c r="CZ104" s="177"/>
      <c r="DA104" s="177"/>
      <c r="DB104" s="177"/>
    </row>
    <row r="105" spans="7:106" ht="15.75" customHeight="1" x14ac:dyDescent="0.25">
      <c r="G105">
        <v>0.4</v>
      </c>
      <c r="H105" s="115">
        <f t="shared" si="51"/>
        <v>183.26746677424629</v>
      </c>
      <c r="J105" s="327" t="s">
        <v>640</v>
      </c>
      <c r="K105" s="327" t="s">
        <v>642</v>
      </c>
      <c r="L105" s="328" t="s">
        <v>31</v>
      </c>
      <c r="M105" s="340" t="s">
        <v>337</v>
      </c>
      <c r="N105" s="330">
        <f t="shared" si="54"/>
        <v>7.4922948422413441E-2</v>
      </c>
      <c r="O105" s="330">
        <f t="shared" si="54"/>
        <v>13.730938960633223</v>
      </c>
      <c r="P105" s="331">
        <f t="shared" si="36"/>
        <v>0.99457310605335914</v>
      </c>
      <c r="Q105" s="332">
        <f t="shared" si="37"/>
        <v>13.465657577297089</v>
      </c>
      <c r="R105" s="333">
        <f t="shared" si="37"/>
        <v>2.2906856139958444E-2</v>
      </c>
      <c r="S105" s="333">
        <f t="shared" si="37"/>
        <v>0.24237452719617553</v>
      </c>
      <c r="T105" s="333">
        <f t="shared" si="37"/>
        <v>0</v>
      </c>
      <c r="U105" s="333">
        <f t="shared" si="37"/>
        <v>0</v>
      </c>
      <c r="V105" s="333">
        <f t="shared" si="37"/>
        <v>13.465657577297089</v>
      </c>
      <c r="W105" s="268">
        <f t="shared" si="38"/>
        <v>1.6682658196670085E-3</v>
      </c>
      <c r="X105" s="268">
        <f t="shared" si="38"/>
        <v>1.7651708152739327E-2</v>
      </c>
      <c r="Y105" s="268">
        <f t="shared" si="38"/>
        <v>0</v>
      </c>
      <c r="Z105" s="268">
        <f t="shared" si="39"/>
        <v>0.98068002602759363</v>
      </c>
      <c r="AA105" s="269">
        <f>+IF($T105=0,0,U105/$T105)</f>
        <v>0</v>
      </c>
      <c r="AB105" s="336">
        <f t="shared" si="41"/>
        <v>157.75252398843665</v>
      </c>
      <c r="AC105" s="337">
        <f t="shared" si="42"/>
        <v>11.426488619661082</v>
      </c>
      <c r="AD105" s="272">
        <f t="shared" si="43"/>
        <v>0.85610621750016469</v>
      </c>
      <c r="AE105" s="341">
        <f t="shared" si="44"/>
        <v>11.426488619661127</v>
      </c>
      <c r="AF105" s="272">
        <f t="shared" si="45"/>
        <v>156.89641777093649</v>
      </c>
      <c r="AG105" s="341">
        <f t="shared" si="46"/>
        <v>11.426488619661082</v>
      </c>
      <c r="AH105" s="330">
        <f t="shared" si="47"/>
        <v>13.805861909055636</v>
      </c>
      <c r="AI105" s="330">
        <f t="shared" si="53"/>
        <v>13.805861909055636</v>
      </c>
      <c r="AJ105" s="330">
        <f t="shared" si="53"/>
        <v>13.555017760421741</v>
      </c>
      <c r="AK105" s="330">
        <f t="shared" si="53"/>
        <v>13.580367821962039</v>
      </c>
      <c r="AL105" s="330">
        <f t="shared" si="53"/>
        <v>11.513307662146612</v>
      </c>
      <c r="AM105" s="330">
        <f t="shared" si="53"/>
        <v>9.8123614879947141</v>
      </c>
      <c r="AN105" s="330">
        <f t="shared" si="53"/>
        <v>7.6975094726589486</v>
      </c>
      <c r="AO105" s="330">
        <f t="shared" si="53"/>
        <v>6.213889795624481</v>
      </c>
      <c r="AP105" s="330">
        <f t="shared" si="53"/>
        <v>5.3187837596252985</v>
      </c>
      <c r="AQ105" s="330">
        <f t="shared" si="53"/>
        <v>4.5635467610294596</v>
      </c>
      <c r="AR105" s="330">
        <f t="shared" si="53"/>
        <v>3.6682050453013875</v>
      </c>
      <c r="AS105" s="330">
        <f t="shared" si="53"/>
        <v>2.8293262902704885</v>
      </c>
      <c r="AT105" s="330">
        <f t="shared" si="53"/>
        <v>2.286975390331242</v>
      </c>
      <c r="AU105" s="330">
        <f t="shared" si="53"/>
        <v>1.7612347432495417</v>
      </c>
      <c r="AV105" s="330">
        <f t="shared" si="53"/>
        <v>0.97262377262695476</v>
      </c>
      <c r="AW105" s="339">
        <f t="shared" si="49"/>
        <v>7.4922948422413732E-2</v>
      </c>
      <c r="AX105" s="339">
        <f t="shared" si="49"/>
        <v>7.3561643830642162E-2</v>
      </c>
      <c r="AY105" s="339">
        <f t="shared" si="49"/>
        <v>7.3699215926162173E-2</v>
      </c>
      <c r="AZ105" s="339">
        <f t="shared" si="49"/>
        <v>6.2481499657517342E-2</v>
      </c>
      <c r="BA105" s="339">
        <f t="shared" si="49"/>
        <v>5.3250645161450463E-2</v>
      </c>
      <c r="BB105" s="339">
        <f t="shared" si="49"/>
        <v>4.1773567561383562E-2</v>
      </c>
      <c r="BC105" s="339">
        <f t="shared" si="49"/>
        <v>3.372212091696794E-2</v>
      </c>
      <c r="BD105" s="339">
        <f t="shared" si="49"/>
        <v>2.8864475388602272E-2</v>
      </c>
      <c r="BE105" s="339">
        <f t="shared" si="49"/>
        <v>2.47658842926433E-2</v>
      </c>
      <c r="BF105" s="339">
        <f t="shared" si="49"/>
        <v>1.990695975538358E-2</v>
      </c>
      <c r="BG105" s="339">
        <f t="shared" si="49"/>
        <v>1.5354453717740768E-2</v>
      </c>
      <c r="BH105" s="339">
        <f t="shared" si="49"/>
        <v>1.2411172901905246E-2</v>
      </c>
      <c r="BI105" s="339">
        <f t="shared" si="49"/>
        <v>9.5580341667545164E-3</v>
      </c>
      <c r="BJ105" s="339">
        <f t="shared" si="49"/>
        <v>5.2783260640282218E-3</v>
      </c>
      <c r="BK105" s="339">
        <f t="shared" si="50"/>
        <v>13.730938960633223</v>
      </c>
      <c r="BL105" s="339">
        <f t="shared" si="50"/>
        <v>13.481456116591099</v>
      </c>
      <c r="BM105" s="339">
        <f t="shared" si="50"/>
        <v>13.506668606035877</v>
      </c>
      <c r="BN105" s="339">
        <f t="shared" si="50"/>
        <v>11.450826162489095</v>
      </c>
      <c r="BO105" s="339">
        <f t="shared" si="50"/>
        <v>9.7591108428332642</v>
      </c>
      <c r="BP105" s="339">
        <f t="shared" si="50"/>
        <v>7.6557359050975649</v>
      </c>
      <c r="BQ105" s="339">
        <f t="shared" si="50"/>
        <v>6.1801676747075129</v>
      </c>
      <c r="BR105" s="339">
        <f t="shared" si="50"/>
        <v>5.2899192842366958</v>
      </c>
      <c r="BS105" s="339">
        <f t="shared" si="50"/>
        <v>4.5387808767368165</v>
      </c>
      <c r="BT105" s="339">
        <f t="shared" si="50"/>
        <v>3.6482980855460041</v>
      </c>
      <c r="BU105" s="339">
        <f t="shared" si="50"/>
        <v>2.813971836552748</v>
      </c>
      <c r="BV105" s="339">
        <f t="shared" si="50"/>
        <v>2.2745642174293366</v>
      </c>
      <c r="BW105" s="339">
        <f t="shared" si="50"/>
        <v>1.7516767090827872</v>
      </c>
      <c r="BX105" s="339">
        <f t="shared" si="50"/>
        <v>0.96734544656292654</v>
      </c>
      <c r="BY105" s="423">
        <v>13.805861909055636</v>
      </c>
      <c r="BZ105" s="423">
        <v>16.6018089802037</v>
      </c>
      <c r="CA105" s="423">
        <v>16.632857030952643</v>
      </c>
      <c r="CB105" s="423">
        <v>14.101179202831721</v>
      </c>
      <c r="CC105" s="423">
        <v>12.017907607915014</v>
      </c>
      <c r="CD105" s="423">
        <v>9.4276956435663362</v>
      </c>
      <c r="CE105" s="423">
        <v>7.6105995015520316</v>
      </c>
      <c r="CF105" s="423">
        <v>6.5142985088616747</v>
      </c>
      <c r="CG105" s="423">
        <v>5.5893052254090989</v>
      </c>
      <c r="CH105" s="423">
        <v>4.4927155787377089</v>
      </c>
      <c r="CI105" s="423">
        <v>3.4652801968942284</v>
      </c>
      <c r="CJ105" s="423">
        <v>2.8010238897337132</v>
      </c>
      <c r="CK105" s="423">
        <v>2.1571113585776116</v>
      </c>
      <c r="CL105" s="423">
        <v>1.1912425618434146</v>
      </c>
      <c r="CV105" s="177"/>
      <c r="CW105" s="177"/>
      <c r="CX105" s="177"/>
      <c r="CY105" s="177"/>
      <c r="CZ105" s="177"/>
      <c r="DA105" s="177"/>
      <c r="DB105" s="177"/>
    </row>
    <row r="106" spans="7:106" ht="15.75" customHeight="1" x14ac:dyDescent="0.25">
      <c r="J106" s="327" t="s">
        <v>605</v>
      </c>
      <c r="K106" s="327" t="s">
        <v>295</v>
      </c>
      <c r="L106" s="328" t="s">
        <v>673</v>
      </c>
      <c r="M106" s="327"/>
      <c r="N106" s="330">
        <f t="shared" ref="N106:V112" si="56">+SUMIFS(N$67:N$86,$I$67:$I$86,$J106,$M$67:$M$86,$K106)</f>
        <v>0</v>
      </c>
      <c r="O106" s="330">
        <f t="shared" si="56"/>
        <v>0</v>
      </c>
      <c r="P106" s="332">
        <f t="shared" si="56"/>
        <v>0</v>
      </c>
      <c r="Q106" s="332">
        <f t="shared" si="56"/>
        <v>0</v>
      </c>
      <c r="R106" s="333">
        <f t="shared" si="56"/>
        <v>0</v>
      </c>
      <c r="S106" s="333">
        <f t="shared" si="56"/>
        <v>0</v>
      </c>
      <c r="T106" s="333">
        <f t="shared" si="56"/>
        <v>0</v>
      </c>
      <c r="U106" s="333">
        <f t="shared" si="56"/>
        <v>0</v>
      </c>
      <c r="V106" s="333">
        <f t="shared" si="56"/>
        <v>0</v>
      </c>
      <c r="W106" s="268" t="str">
        <f t="shared" si="38"/>
        <v>-</v>
      </c>
      <c r="X106" s="268" t="str">
        <f t="shared" si="38"/>
        <v>-</v>
      </c>
      <c r="Y106" s="268" t="str">
        <f t="shared" si="38"/>
        <v>-</v>
      </c>
      <c r="Z106" s="268" t="str">
        <f t="shared" si="39"/>
        <v>-</v>
      </c>
      <c r="AA106" s="269" t="str">
        <f t="shared" ref="AA106:AA112" si="57">+IF($T106=0,"-",U106/$T106)</f>
        <v>-</v>
      </c>
      <c r="AB106" s="336">
        <f t="shared" ref="AB106:AC112" si="58">+SUMIFS(AB$67:AB$86,$I$67:$I$86,$J106,$M$67:$M$86,$K106)</f>
        <v>0</v>
      </c>
      <c r="AC106" s="336">
        <f t="shared" si="58"/>
        <v>0</v>
      </c>
      <c r="AD106" s="341">
        <f t="shared" si="43"/>
        <v>0</v>
      </c>
      <c r="AE106" s="343" t="str">
        <f t="shared" si="44"/>
        <v>-</v>
      </c>
      <c r="AF106" s="341">
        <f t="shared" si="45"/>
        <v>0</v>
      </c>
      <c r="AG106" s="343" t="str">
        <f t="shared" ref="AG106:AG112" si="59">+IF(P106=0,"-",AF106/P106)</f>
        <v>-</v>
      </c>
      <c r="AH106" s="330">
        <f t="shared" ref="AH106:AH112" si="60">+SUMIFS(AH$67:AH$86,$I$67:$I$86,$J106,$M$67:$M$86,$K106)</f>
        <v>0</v>
      </c>
      <c r="AI106" s="330">
        <f t="shared" ref="AI106:AV112" si="61">+SUMIFS(BK$67:BK$86,$I$67:$I$86,$J106,$M$67:$M$86,$K106)</f>
        <v>0</v>
      </c>
      <c r="AJ106" s="330">
        <f t="shared" si="61"/>
        <v>0</v>
      </c>
      <c r="AK106" s="330">
        <f t="shared" si="61"/>
        <v>0</v>
      </c>
      <c r="AL106" s="330">
        <f t="shared" si="61"/>
        <v>0</v>
      </c>
      <c r="AM106" s="330">
        <f t="shared" si="61"/>
        <v>0</v>
      </c>
      <c r="AN106" s="330">
        <f t="shared" si="61"/>
        <v>0</v>
      </c>
      <c r="AO106" s="330">
        <f t="shared" si="61"/>
        <v>0</v>
      </c>
      <c r="AP106" s="330">
        <f t="shared" si="61"/>
        <v>0</v>
      </c>
      <c r="AQ106" s="330">
        <f t="shared" si="61"/>
        <v>0</v>
      </c>
      <c r="AR106" s="330">
        <f t="shared" si="61"/>
        <v>0</v>
      </c>
      <c r="AS106" s="330">
        <f t="shared" si="61"/>
        <v>0</v>
      </c>
      <c r="AT106" s="330">
        <f t="shared" si="61"/>
        <v>0</v>
      </c>
      <c r="AU106" s="330">
        <f t="shared" si="61"/>
        <v>0</v>
      </c>
      <c r="AV106" s="330">
        <f t="shared" si="61"/>
        <v>0</v>
      </c>
      <c r="AW106" s="339">
        <f t="shared" si="49"/>
        <v>0</v>
      </c>
      <c r="AX106" s="339">
        <f t="shared" si="49"/>
        <v>0</v>
      </c>
      <c r="AY106" s="339">
        <f t="shared" si="49"/>
        <v>0</v>
      </c>
      <c r="AZ106" s="339">
        <f t="shared" si="49"/>
        <v>0</v>
      </c>
      <c r="BA106" s="339">
        <f t="shared" si="49"/>
        <v>0</v>
      </c>
      <c r="BB106" s="339">
        <f t="shared" si="49"/>
        <v>0</v>
      </c>
      <c r="BC106" s="339">
        <f t="shared" si="49"/>
        <v>0</v>
      </c>
      <c r="BD106" s="339">
        <f t="shared" si="49"/>
        <v>0</v>
      </c>
      <c r="BE106" s="339">
        <f t="shared" si="49"/>
        <v>0</v>
      </c>
      <c r="BF106" s="339">
        <f t="shared" si="49"/>
        <v>0</v>
      </c>
      <c r="BG106" s="339">
        <f t="shared" si="49"/>
        <v>0</v>
      </c>
      <c r="BH106" s="339">
        <f t="shared" si="49"/>
        <v>0</v>
      </c>
      <c r="BI106" s="339">
        <f t="shared" si="49"/>
        <v>0</v>
      </c>
      <c r="BJ106" s="339">
        <f t="shared" si="49"/>
        <v>0</v>
      </c>
      <c r="BK106" s="339">
        <f t="shared" si="50"/>
        <v>0</v>
      </c>
      <c r="BL106" s="339">
        <f t="shared" si="50"/>
        <v>0</v>
      </c>
      <c r="BM106" s="339">
        <f t="shared" si="50"/>
        <v>0</v>
      </c>
      <c r="BN106" s="339">
        <f t="shared" si="50"/>
        <v>0</v>
      </c>
      <c r="BO106" s="339">
        <f t="shared" si="50"/>
        <v>0</v>
      </c>
      <c r="BP106" s="339">
        <f t="shared" si="50"/>
        <v>0</v>
      </c>
      <c r="BQ106" s="339">
        <f t="shared" si="50"/>
        <v>0</v>
      </c>
      <c r="BR106" s="339">
        <f t="shared" si="50"/>
        <v>0</v>
      </c>
      <c r="BS106" s="339">
        <f t="shared" si="50"/>
        <v>0</v>
      </c>
      <c r="BT106" s="339">
        <f t="shared" si="50"/>
        <v>0</v>
      </c>
      <c r="BU106" s="339">
        <f t="shared" si="50"/>
        <v>0</v>
      </c>
      <c r="BV106" s="339">
        <f t="shared" si="50"/>
        <v>0</v>
      </c>
      <c r="BW106" s="339">
        <f t="shared" si="50"/>
        <v>0</v>
      </c>
      <c r="BX106" s="339">
        <f t="shared" si="50"/>
        <v>0</v>
      </c>
      <c r="CV106" s="177"/>
      <c r="CW106" s="177"/>
      <c r="CX106" s="177"/>
      <c r="CY106" s="177"/>
      <c r="CZ106" s="177"/>
      <c r="DA106" s="177"/>
      <c r="DB106" s="177"/>
    </row>
    <row r="107" spans="7:106" ht="15.75" customHeight="1" x14ac:dyDescent="0.25">
      <c r="J107" s="327" t="s">
        <v>624</v>
      </c>
      <c r="K107" s="327" t="s">
        <v>295</v>
      </c>
      <c r="L107" s="328" t="s">
        <v>673</v>
      </c>
      <c r="M107" s="327"/>
      <c r="N107" s="330">
        <f t="shared" si="56"/>
        <v>0</v>
      </c>
      <c r="O107" s="330">
        <f t="shared" si="56"/>
        <v>0</v>
      </c>
      <c r="P107" s="332">
        <f t="shared" si="56"/>
        <v>0</v>
      </c>
      <c r="Q107" s="332">
        <f t="shared" si="56"/>
        <v>0</v>
      </c>
      <c r="R107" s="333">
        <f t="shared" si="56"/>
        <v>0</v>
      </c>
      <c r="S107" s="333">
        <f t="shared" si="56"/>
        <v>0</v>
      </c>
      <c r="T107" s="333">
        <f t="shared" si="56"/>
        <v>0</v>
      </c>
      <c r="U107" s="333">
        <f t="shared" si="56"/>
        <v>0</v>
      </c>
      <c r="V107" s="333">
        <f t="shared" si="56"/>
        <v>0</v>
      </c>
      <c r="W107" s="268" t="str">
        <f t="shared" si="38"/>
        <v>-</v>
      </c>
      <c r="X107" s="268" t="str">
        <f t="shared" si="38"/>
        <v>-</v>
      </c>
      <c r="Y107" s="268" t="str">
        <f t="shared" si="38"/>
        <v>-</v>
      </c>
      <c r="Z107" s="268" t="str">
        <f t="shared" si="39"/>
        <v>-</v>
      </c>
      <c r="AA107" s="269" t="str">
        <f t="shared" si="57"/>
        <v>-</v>
      </c>
      <c r="AB107" s="336">
        <f t="shared" si="58"/>
        <v>0</v>
      </c>
      <c r="AC107" s="336">
        <f t="shared" si="58"/>
        <v>0</v>
      </c>
      <c r="AD107" s="341">
        <f t="shared" si="43"/>
        <v>0</v>
      </c>
      <c r="AE107" s="343" t="str">
        <f t="shared" si="44"/>
        <v>-</v>
      </c>
      <c r="AF107" s="341">
        <f t="shared" si="45"/>
        <v>0</v>
      </c>
      <c r="AG107" s="343" t="str">
        <f t="shared" si="59"/>
        <v>-</v>
      </c>
      <c r="AH107" s="330">
        <f t="shared" si="60"/>
        <v>0</v>
      </c>
      <c r="AI107" s="330">
        <f t="shared" si="61"/>
        <v>0</v>
      </c>
      <c r="AJ107" s="330">
        <f t="shared" si="61"/>
        <v>0</v>
      </c>
      <c r="AK107" s="330">
        <f t="shared" si="61"/>
        <v>0</v>
      </c>
      <c r="AL107" s="330">
        <f t="shared" si="61"/>
        <v>0</v>
      </c>
      <c r="AM107" s="330">
        <f t="shared" si="61"/>
        <v>0</v>
      </c>
      <c r="AN107" s="330">
        <f t="shared" si="61"/>
        <v>0</v>
      </c>
      <c r="AO107" s="330">
        <f t="shared" si="61"/>
        <v>0</v>
      </c>
      <c r="AP107" s="330">
        <f t="shared" si="61"/>
        <v>0</v>
      </c>
      <c r="AQ107" s="330">
        <f t="shared" si="61"/>
        <v>0</v>
      </c>
      <c r="AR107" s="330">
        <f t="shared" si="61"/>
        <v>0</v>
      </c>
      <c r="AS107" s="330">
        <f t="shared" si="61"/>
        <v>0</v>
      </c>
      <c r="AT107" s="330">
        <f t="shared" si="61"/>
        <v>0</v>
      </c>
      <c r="AU107" s="330">
        <f t="shared" si="61"/>
        <v>0</v>
      </c>
      <c r="AV107" s="330">
        <f t="shared" si="61"/>
        <v>0</v>
      </c>
      <c r="AW107" s="339">
        <f t="shared" si="49"/>
        <v>0</v>
      </c>
      <c r="AX107" s="339">
        <f t="shared" si="49"/>
        <v>0</v>
      </c>
      <c r="AY107" s="339">
        <f t="shared" si="49"/>
        <v>0</v>
      </c>
      <c r="AZ107" s="339">
        <f t="shared" si="49"/>
        <v>0</v>
      </c>
      <c r="BA107" s="339">
        <f t="shared" si="49"/>
        <v>0</v>
      </c>
      <c r="BB107" s="339">
        <f t="shared" si="49"/>
        <v>0</v>
      </c>
      <c r="BC107" s="339">
        <f t="shared" si="49"/>
        <v>0</v>
      </c>
      <c r="BD107" s="339">
        <f t="shared" si="49"/>
        <v>0</v>
      </c>
      <c r="BE107" s="339">
        <f t="shared" si="49"/>
        <v>0</v>
      </c>
      <c r="BF107" s="339">
        <f t="shared" si="49"/>
        <v>0</v>
      </c>
      <c r="BG107" s="339">
        <f t="shared" si="49"/>
        <v>0</v>
      </c>
      <c r="BH107" s="339">
        <f t="shared" si="49"/>
        <v>0</v>
      </c>
      <c r="BI107" s="339">
        <f t="shared" si="49"/>
        <v>0</v>
      </c>
      <c r="BJ107" s="339">
        <f t="shared" si="49"/>
        <v>0</v>
      </c>
      <c r="BK107" s="339">
        <f t="shared" si="50"/>
        <v>0</v>
      </c>
      <c r="BL107" s="339">
        <f t="shared" si="50"/>
        <v>0</v>
      </c>
      <c r="BM107" s="339">
        <f t="shared" si="50"/>
        <v>0</v>
      </c>
      <c r="BN107" s="339">
        <f t="shared" si="50"/>
        <v>0</v>
      </c>
      <c r="BO107" s="339">
        <f t="shared" si="50"/>
        <v>0</v>
      </c>
      <c r="BP107" s="339">
        <f t="shared" si="50"/>
        <v>0</v>
      </c>
      <c r="BQ107" s="339">
        <f t="shared" si="50"/>
        <v>0</v>
      </c>
      <c r="BR107" s="339">
        <f t="shared" si="50"/>
        <v>0</v>
      </c>
      <c r="BS107" s="339">
        <f t="shared" si="50"/>
        <v>0</v>
      </c>
      <c r="BT107" s="339">
        <f t="shared" si="50"/>
        <v>0</v>
      </c>
      <c r="BU107" s="339">
        <f t="shared" si="50"/>
        <v>0</v>
      </c>
      <c r="BV107" s="339">
        <f t="shared" si="50"/>
        <v>0</v>
      </c>
      <c r="BW107" s="339">
        <f t="shared" si="50"/>
        <v>0</v>
      </c>
      <c r="BX107" s="339">
        <f t="shared" si="50"/>
        <v>0</v>
      </c>
      <c r="CV107" s="1"/>
      <c r="CW107" s="1"/>
      <c r="CX107" s="1"/>
      <c r="CY107" s="1"/>
      <c r="CZ107" s="1"/>
      <c r="DA107" s="1"/>
      <c r="DB107" s="1"/>
    </row>
    <row r="108" spans="7:106" ht="15.75" customHeight="1" x14ac:dyDescent="0.25">
      <c r="J108" s="327" t="s">
        <v>624</v>
      </c>
      <c r="K108" s="327" t="s">
        <v>296</v>
      </c>
      <c r="L108" s="328" t="s">
        <v>673</v>
      </c>
      <c r="M108" s="327"/>
      <c r="N108" s="330">
        <f t="shared" si="56"/>
        <v>0</v>
      </c>
      <c r="O108" s="330">
        <f t="shared" si="56"/>
        <v>0</v>
      </c>
      <c r="P108" s="332">
        <f t="shared" si="56"/>
        <v>0</v>
      </c>
      <c r="Q108" s="332">
        <f t="shared" si="56"/>
        <v>0</v>
      </c>
      <c r="R108" s="333">
        <f t="shared" si="56"/>
        <v>0</v>
      </c>
      <c r="S108" s="333">
        <f t="shared" si="56"/>
        <v>0</v>
      </c>
      <c r="T108" s="333">
        <f t="shared" si="56"/>
        <v>0</v>
      </c>
      <c r="U108" s="333">
        <f t="shared" si="56"/>
        <v>0</v>
      </c>
      <c r="V108" s="333">
        <f t="shared" si="56"/>
        <v>0</v>
      </c>
      <c r="W108" s="268" t="str">
        <f t="shared" si="38"/>
        <v>-</v>
      </c>
      <c r="X108" s="268" t="str">
        <f t="shared" si="38"/>
        <v>-</v>
      </c>
      <c r="Y108" s="268" t="str">
        <f t="shared" si="38"/>
        <v>-</v>
      </c>
      <c r="Z108" s="268" t="str">
        <f t="shared" si="39"/>
        <v>-</v>
      </c>
      <c r="AA108" s="269" t="str">
        <f t="shared" si="57"/>
        <v>-</v>
      </c>
      <c r="AB108" s="336">
        <f t="shared" si="58"/>
        <v>0</v>
      </c>
      <c r="AC108" s="336">
        <f t="shared" si="58"/>
        <v>0</v>
      </c>
      <c r="AD108" s="341">
        <f t="shared" si="43"/>
        <v>0</v>
      </c>
      <c r="AE108" s="343" t="str">
        <f t="shared" si="44"/>
        <v>-</v>
      </c>
      <c r="AF108" s="341">
        <f t="shared" si="45"/>
        <v>0</v>
      </c>
      <c r="AG108" s="343" t="str">
        <f t="shared" si="59"/>
        <v>-</v>
      </c>
      <c r="AH108" s="330">
        <f t="shared" si="60"/>
        <v>0</v>
      </c>
      <c r="AI108" s="330">
        <f t="shared" si="61"/>
        <v>0</v>
      </c>
      <c r="AJ108" s="330">
        <f t="shared" si="61"/>
        <v>0</v>
      </c>
      <c r="AK108" s="330">
        <f t="shared" si="61"/>
        <v>0</v>
      </c>
      <c r="AL108" s="330">
        <f t="shared" si="61"/>
        <v>0</v>
      </c>
      <c r="AM108" s="330">
        <f t="shared" si="61"/>
        <v>0</v>
      </c>
      <c r="AN108" s="330">
        <f t="shared" si="61"/>
        <v>0</v>
      </c>
      <c r="AO108" s="330">
        <f t="shared" si="61"/>
        <v>0</v>
      </c>
      <c r="AP108" s="330">
        <f t="shared" si="61"/>
        <v>0</v>
      </c>
      <c r="AQ108" s="330">
        <f t="shared" si="61"/>
        <v>0</v>
      </c>
      <c r="AR108" s="330">
        <f t="shared" si="61"/>
        <v>0</v>
      </c>
      <c r="AS108" s="330">
        <f t="shared" si="61"/>
        <v>0</v>
      </c>
      <c r="AT108" s="330">
        <f t="shared" si="61"/>
        <v>0</v>
      </c>
      <c r="AU108" s="330">
        <f t="shared" si="61"/>
        <v>0</v>
      </c>
      <c r="AV108" s="330">
        <f t="shared" si="61"/>
        <v>0</v>
      </c>
      <c r="AW108" s="339">
        <f t="shared" si="49"/>
        <v>0</v>
      </c>
      <c r="AX108" s="339">
        <f t="shared" si="49"/>
        <v>0</v>
      </c>
      <c r="AY108" s="339">
        <f t="shared" si="49"/>
        <v>0</v>
      </c>
      <c r="AZ108" s="339">
        <f t="shared" si="49"/>
        <v>0</v>
      </c>
      <c r="BA108" s="339">
        <f t="shared" si="49"/>
        <v>0</v>
      </c>
      <c r="BB108" s="339">
        <f t="shared" si="49"/>
        <v>0</v>
      </c>
      <c r="BC108" s="339">
        <f t="shared" si="49"/>
        <v>0</v>
      </c>
      <c r="BD108" s="339">
        <f t="shared" si="49"/>
        <v>0</v>
      </c>
      <c r="BE108" s="339">
        <f t="shared" si="49"/>
        <v>0</v>
      </c>
      <c r="BF108" s="339">
        <f t="shared" si="49"/>
        <v>0</v>
      </c>
      <c r="BG108" s="339">
        <f t="shared" si="49"/>
        <v>0</v>
      </c>
      <c r="BH108" s="339">
        <f t="shared" si="49"/>
        <v>0</v>
      </c>
      <c r="BI108" s="339">
        <f t="shared" si="49"/>
        <v>0</v>
      </c>
      <c r="BJ108" s="339">
        <f t="shared" si="49"/>
        <v>0</v>
      </c>
      <c r="BK108" s="339">
        <f t="shared" si="50"/>
        <v>0</v>
      </c>
      <c r="BL108" s="339">
        <f t="shared" si="50"/>
        <v>0</v>
      </c>
      <c r="BM108" s="339">
        <f t="shared" si="50"/>
        <v>0</v>
      </c>
      <c r="BN108" s="339">
        <f t="shared" si="50"/>
        <v>0</v>
      </c>
      <c r="BO108" s="339">
        <f t="shared" si="50"/>
        <v>0</v>
      </c>
      <c r="BP108" s="339">
        <f t="shared" si="50"/>
        <v>0</v>
      </c>
      <c r="BQ108" s="339">
        <f t="shared" si="50"/>
        <v>0</v>
      </c>
      <c r="BR108" s="339">
        <f t="shared" si="50"/>
        <v>0</v>
      </c>
      <c r="BS108" s="339">
        <f t="shared" si="50"/>
        <v>0</v>
      </c>
      <c r="BT108" s="339">
        <f t="shared" si="50"/>
        <v>0</v>
      </c>
      <c r="BU108" s="339">
        <f t="shared" si="50"/>
        <v>0</v>
      </c>
      <c r="BV108" s="339">
        <f t="shared" si="50"/>
        <v>0</v>
      </c>
      <c r="BW108" s="339">
        <f t="shared" si="50"/>
        <v>0</v>
      </c>
      <c r="BX108" s="339">
        <f t="shared" si="50"/>
        <v>0</v>
      </c>
      <c r="CV108" s="1"/>
      <c r="CW108" s="1"/>
      <c r="CX108" s="1"/>
      <c r="CY108" s="1"/>
      <c r="CZ108" s="1"/>
      <c r="DA108" s="1"/>
      <c r="DB108" s="1"/>
    </row>
    <row r="109" spans="7:106" ht="15.75" customHeight="1" x14ac:dyDescent="0.25">
      <c r="G109">
        <v>1</v>
      </c>
      <c r="H109" t="s">
        <v>56</v>
      </c>
      <c r="J109" s="327" t="s">
        <v>627</v>
      </c>
      <c r="K109" s="327" t="s">
        <v>292</v>
      </c>
      <c r="L109" s="328" t="s">
        <v>673</v>
      </c>
      <c r="M109" s="327"/>
      <c r="N109" s="330">
        <f t="shared" si="56"/>
        <v>0</v>
      </c>
      <c r="O109" s="330">
        <f t="shared" si="56"/>
        <v>0</v>
      </c>
      <c r="P109" s="332">
        <f t="shared" si="56"/>
        <v>0</v>
      </c>
      <c r="Q109" s="332">
        <f t="shared" si="56"/>
        <v>0</v>
      </c>
      <c r="R109" s="333">
        <f t="shared" si="56"/>
        <v>0</v>
      </c>
      <c r="S109" s="333">
        <f t="shared" si="56"/>
        <v>0</v>
      </c>
      <c r="T109" s="333">
        <f t="shared" si="56"/>
        <v>0</v>
      </c>
      <c r="U109" s="333">
        <f t="shared" si="56"/>
        <v>0</v>
      </c>
      <c r="V109" s="333">
        <f t="shared" si="56"/>
        <v>0</v>
      </c>
      <c r="W109" s="268" t="str">
        <f t="shared" si="38"/>
        <v>-</v>
      </c>
      <c r="X109" s="268" t="str">
        <f t="shared" si="38"/>
        <v>-</v>
      </c>
      <c r="Y109" s="268" t="str">
        <f t="shared" si="38"/>
        <v>-</v>
      </c>
      <c r="Z109" s="268" t="str">
        <f t="shared" si="39"/>
        <v>-</v>
      </c>
      <c r="AA109" s="269" t="str">
        <f t="shared" si="57"/>
        <v>-</v>
      </c>
      <c r="AB109" s="336">
        <f t="shared" si="58"/>
        <v>0</v>
      </c>
      <c r="AC109" s="336">
        <f t="shared" si="58"/>
        <v>0</v>
      </c>
      <c r="AD109" s="341">
        <f t="shared" si="43"/>
        <v>0</v>
      </c>
      <c r="AE109" s="343" t="str">
        <f t="shared" si="44"/>
        <v>-</v>
      </c>
      <c r="AF109" s="341">
        <f t="shared" si="45"/>
        <v>0</v>
      </c>
      <c r="AG109" s="343" t="str">
        <f t="shared" si="59"/>
        <v>-</v>
      </c>
      <c r="AH109" s="330">
        <f t="shared" si="60"/>
        <v>0</v>
      </c>
      <c r="AI109" s="330">
        <f t="shared" si="61"/>
        <v>0</v>
      </c>
      <c r="AJ109" s="330">
        <f t="shared" si="61"/>
        <v>0</v>
      </c>
      <c r="AK109" s="330">
        <f t="shared" si="61"/>
        <v>0</v>
      </c>
      <c r="AL109" s="330">
        <f t="shared" si="61"/>
        <v>0</v>
      </c>
      <c r="AM109" s="330">
        <f t="shared" si="61"/>
        <v>0</v>
      </c>
      <c r="AN109" s="330">
        <f t="shared" si="61"/>
        <v>0</v>
      </c>
      <c r="AO109" s="330">
        <f t="shared" si="61"/>
        <v>0</v>
      </c>
      <c r="AP109" s="330">
        <f t="shared" si="61"/>
        <v>0</v>
      </c>
      <c r="AQ109" s="330">
        <f t="shared" si="61"/>
        <v>0</v>
      </c>
      <c r="AR109" s="330">
        <f t="shared" si="61"/>
        <v>0</v>
      </c>
      <c r="AS109" s="330">
        <f t="shared" si="61"/>
        <v>0</v>
      </c>
      <c r="AT109" s="330">
        <f t="shared" si="61"/>
        <v>0</v>
      </c>
      <c r="AU109" s="330">
        <f t="shared" si="61"/>
        <v>0</v>
      </c>
      <c r="AV109" s="330">
        <f t="shared" si="61"/>
        <v>0</v>
      </c>
      <c r="AW109" s="339">
        <f t="shared" si="49"/>
        <v>0</v>
      </c>
      <c r="AX109" s="339">
        <f t="shared" si="49"/>
        <v>0</v>
      </c>
      <c r="AY109" s="339">
        <f t="shared" si="49"/>
        <v>0</v>
      </c>
      <c r="AZ109" s="339">
        <f t="shared" si="49"/>
        <v>0</v>
      </c>
      <c r="BA109" s="339">
        <f t="shared" si="49"/>
        <v>0</v>
      </c>
      <c r="BB109" s="339">
        <f t="shared" si="49"/>
        <v>0</v>
      </c>
      <c r="BC109" s="339">
        <f t="shared" si="49"/>
        <v>0</v>
      </c>
      <c r="BD109" s="339">
        <f t="shared" si="49"/>
        <v>0</v>
      </c>
      <c r="BE109" s="339">
        <f t="shared" si="49"/>
        <v>0</v>
      </c>
      <c r="BF109" s="339">
        <f t="shared" si="49"/>
        <v>0</v>
      </c>
      <c r="BG109" s="339">
        <f t="shared" si="49"/>
        <v>0</v>
      </c>
      <c r="BH109" s="339">
        <f t="shared" si="49"/>
        <v>0</v>
      </c>
      <c r="BI109" s="339">
        <f t="shared" si="49"/>
        <v>0</v>
      </c>
      <c r="BJ109" s="339">
        <f t="shared" si="49"/>
        <v>0</v>
      </c>
      <c r="BK109" s="339">
        <f t="shared" si="50"/>
        <v>0</v>
      </c>
      <c r="BL109" s="339">
        <f t="shared" si="50"/>
        <v>0</v>
      </c>
      <c r="BM109" s="339">
        <f t="shared" si="50"/>
        <v>0</v>
      </c>
      <c r="BN109" s="339">
        <f t="shared" si="50"/>
        <v>0</v>
      </c>
      <c r="BO109" s="339">
        <f t="shared" si="50"/>
        <v>0</v>
      </c>
      <c r="BP109" s="339">
        <f t="shared" si="50"/>
        <v>0</v>
      </c>
      <c r="BQ109" s="339">
        <f t="shared" si="50"/>
        <v>0</v>
      </c>
      <c r="BR109" s="339">
        <f t="shared" si="50"/>
        <v>0</v>
      </c>
      <c r="BS109" s="339">
        <f t="shared" si="50"/>
        <v>0</v>
      </c>
      <c r="BT109" s="339">
        <f t="shared" si="50"/>
        <v>0</v>
      </c>
      <c r="BU109" s="339">
        <f t="shared" si="50"/>
        <v>0</v>
      </c>
      <c r="BV109" s="339">
        <f t="shared" si="50"/>
        <v>0</v>
      </c>
      <c r="BW109" s="339">
        <f t="shared" si="50"/>
        <v>0</v>
      </c>
      <c r="BX109" s="339">
        <f t="shared" si="50"/>
        <v>0</v>
      </c>
      <c r="CV109" s="1"/>
      <c r="CW109" s="1"/>
      <c r="CX109" s="1"/>
      <c r="CY109" s="1"/>
      <c r="CZ109" s="1"/>
      <c r="DA109" s="1"/>
      <c r="DB109" s="1"/>
    </row>
    <row r="110" spans="7:106" ht="15.75" customHeight="1" x14ac:dyDescent="0.25">
      <c r="G110">
        <f>0.202</f>
        <v>0.20200000000000001</v>
      </c>
      <c r="H110" t="s">
        <v>1107</v>
      </c>
      <c r="J110" s="327" t="s">
        <v>627</v>
      </c>
      <c r="K110" s="327" t="s">
        <v>296</v>
      </c>
      <c r="L110" s="328" t="s">
        <v>673</v>
      </c>
      <c r="M110" s="327"/>
      <c r="N110" s="330">
        <f t="shared" si="56"/>
        <v>3.2805677744000978</v>
      </c>
      <c r="O110" s="330">
        <f t="shared" si="56"/>
        <v>8.7791106651863626E-2</v>
      </c>
      <c r="P110" s="332">
        <f t="shared" si="56"/>
        <v>2.6063465845553212E-2</v>
      </c>
      <c r="Q110" s="332">
        <f t="shared" si="56"/>
        <v>0</v>
      </c>
      <c r="R110" s="333">
        <f t="shared" si="56"/>
        <v>3.6990181091585597E-2</v>
      </c>
      <c r="S110" s="333">
        <f t="shared" si="56"/>
        <v>5.0800925560278022E-2</v>
      </c>
      <c r="T110" s="333">
        <f t="shared" si="56"/>
        <v>0</v>
      </c>
      <c r="U110" s="333">
        <f t="shared" si="56"/>
        <v>0</v>
      </c>
      <c r="V110" s="333">
        <f t="shared" si="56"/>
        <v>0</v>
      </c>
      <c r="W110" s="268">
        <f t="shared" si="38"/>
        <v>0.42134314627414909</v>
      </c>
      <c r="X110" s="268">
        <f t="shared" si="38"/>
        <v>0.57865685372585085</v>
      </c>
      <c r="Y110" s="268">
        <f t="shared" si="38"/>
        <v>0</v>
      </c>
      <c r="Z110" s="268">
        <f t="shared" si="39"/>
        <v>0</v>
      </c>
      <c r="AA110" s="269" t="str">
        <f t="shared" si="57"/>
        <v>-</v>
      </c>
      <c r="AB110" s="336">
        <f t="shared" si="58"/>
        <v>34.198855287999997</v>
      </c>
      <c r="AC110" s="336">
        <f t="shared" si="58"/>
        <v>10.42467573902014</v>
      </c>
      <c r="AD110" s="341">
        <f t="shared" si="43"/>
        <v>33.307514591244193</v>
      </c>
      <c r="AE110" s="341">
        <f t="shared" si="44"/>
        <v>10.152972558945223</v>
      </c>
      <c r="AF110" s="341">
        <f t="shared" si="45"/>
        <v>0.89134069675580474</v>
      </c>
      <c r="AG110" s="341">
        <f t="shared" si="59"/>
        <v>34.198855287999997</v>
      </c>
      <c r="AH110" s="330">
        <f t="shared" si="60"/>
        <v>3.3683588810519614</v>
      </c>
      <c r="AI110" s="330">
        <f t="shared" si="61"/>
        <v>3.3683588810519614</v>
      </c>
      <c r="AJ110" s="330">
        <f t="shared" si="61"/>
        <v>3.0751987685605915</v>
      </c>
      <c r="AK110" s="330">
        <f t="shared" si="61"/>
        <v>3.4930679115729726</v>
      </c>
      <c r="AL110" s="330">
        <f t="shared" si="61"/>
        <v>2.7288246831254654</v>
      </c>
      <c r="AM110" s="330">
        <f t="shared" si="61"/>
        <v>0</v>
      </c>
      <c r="AN110" s="330">
        <f t="shared" si="61"/>
        <v>0</v>
      </c>
      <c r="AO110" s="330">
        <f t="shared" si="61"/>
        <v>1.6467059785204439</v>
      </c>
      <c r="AP110" s="330">
        <f t="shared" si="61"/>
        <v>0.98038529706751343</v>
      </c>
      <c r="AQ110" s="330">
        <f t="shared" si="61"/>
        <v>0.82911070247183327</v>
      </c>
      <c r="AR110" s="330">
        <f t="shared" si="61"/>
        <v>0.60219881057831304</v>
      </c>
      <c r="AS110" s="330">
        <f t="shared" si="61"/>
        <v>0.4903086312459346</v>
      </c>
      <c r="AT110" s="330">
        <f t="shared" si="61"/>
        <v>0.41571517835768235</v>
      </c>
      <c r="AU110" s="330">
        <f t="shared" si="61"/>
        <v>0.34112172546943498</v>
      </c>
      <c r="AV110" s="330">
        <f t="shared" si="61"/>
        <v>0.22923154613705787</v>
      </c>
      <c r="AW110" s="339">
        <f t="shared" si="49"/>
        <v>3.2805677744000978</v>
      </c>
      <c r="AX110" s="339">
        <f t="shared" si="49"/>
        <v>2.9950484304879255</v>
      </c>
      <c r="AY110" s="339">
        <f t="shared" si="49"/>
        <v>3.4020264553634925</v>
      </c>
      <c r="AZ110" s="339">
        <f t="shared" si="49"/>
        <v>2.6577020541983223</v>
      </c>
      <c r="BA110" s="339">
        <f t="shared" si="49"/>
        <v>0</v>
      </c>
      <c r="BB110" s="339">
        <f t="shared" si="49"/>
        <v>0</v>
      </c>
      <c r="BC110" s="339">
        <f t="shared" si="49"/>
        <v>1.603787113491608</v>
      </c>
      <c r="BD110" s="339">
        <f t="shared" si="49"/>
        <v>0.95483305836191179</v>
      </c>
      <c r="BE110" s="339">
        <f t="shared" si="49"/>
        <v>0.80750120399577607</v>
      </c>
      <c r="BF110" s="339">
        <f t="shared" si="49"/>
        <v>0.58650342244657239</v>
      </c>
      <c r="BG110" s="339">
        <f t="shared" si="49"/>
        <v>0.47752948898167624</v>
      </c>
      <c r="BH110" s="339">
        <f t="shared" si="49"/>
        <v>0.40488020000507885</v>
      </c>
      <c r="BI110" s="339">
        <f t="shared" si="49"/>
        <v>0.33223091102848618</v>
      </c>
      <c r="BJ110" s="339">
        <f t="shared" si="49"/>
        <v>0.22325697756359131</v>
      </c>
      <c r="BK110" s="339">
        <f t="shared" si="50"/>
        <v>8.7791106651863626E-2</v>
      </c>
      <c r="BL110" s="339">
        <f t="shared" si="50"/>
        <v>8.0150338072666277E-2</v>
      </c>
      <c r="BM110" s="339">
        <f t="shared" si="50"/>
        <v>9.1041456209480051E-2</v>
      </c>
      <c r="BN110" s="339">
        <f t="shared" si="50"/>
        <v>7.1122628927143133E-2</v>
      </c>
      <c r="BO110" s="339">
        <f t="shared" si="50"/>
        <v>0</v>
      </c>
      <c r="BP110" s="339">
        <f t="shared" si="50"/>
        <v>0</v>
      </c>
      <c r="BQ110" s="339">
        <f t="shared" si="50"/>
        <v>4.2918865028835872E-2</v>
      </c>
      <c r="BR110" s="339">
        <f t="shared" si="50"/>
        <v>2.5552238705601676E-2</v>
      </c>
      <c r="BS110" s="339">
        <f t="shared" si="50"/>
        <v>2.1609498476057257E-2</v>
      </c>
      <c r="BT110" s="339">
        <f t="shared" si="50"/>
        <v>1.569538813174063E-2</v>
      </c>
      <c r="BU110" s="339">
        <f t="shared" si="50"/>
        <v>1.277914226425836E-2</v>
      </c>
      <c r="BV110" s="339">
        <f t="shared" si="50"/>
        <v>1.0834978352603516E-2</v>
      </c>
      <c r="BW110" s="339">
        <f t="shared" si="50"/>
        <v>8.8908144409487969E-3</v>
      </c>
      <c r="BX110" s="339">
        <f t="shared" si="50"/>
        <v>5.9745685734665628E-3</v>
      </c>
      <c r="CV110" s="1"/>
      <c r="CW110" s="1"/>
      <c r="CX110" s="1"/>
      <c r="CY110" s="1"/>
      <c r="CZ110" s="1"/>
      <c r="DA110" s="1"/>
      <c r="DB110" s="1"/>
    </row>
    <row r="111" spans="7:106" ht="15.75" customHeight="1" x14ac:dyDescent="0.25">
      <c r="G111">
        <f>1-G110</f>
        <v>0.79800000000000004</v>
      </c>
      <c r="H111" t="s">
        <v>1108</v>
      </c>
      <c r="J111" s="327" t="s">
        <v>636</v>
      </c>
      <c r="K111" s="327" t="s">
        <v>292</v>
      </c>
      <c r="L111" s="328" t="s">
        <v>673</v>
      </c>
      <c r="M111" s="327"/>
      <c r="N111" s="330">
        <f t="shared" si="56"/>
        <v>0</v>
      </c>
      <c r="O111" s="330">
        <f t="shared" si="56"/>
        <v>0</v>
      </c>
      <c r="P111" s="332">
        <f t="shared" si="56"/>
        <v>0</v>
      </c>
      <c r="Q111" s="332">
        <f t="shared" si="56"/>
        <v>0</v>
      </c>
      <c r="R111" s="333">
        <f t="shared" si="56"/>
        <v>0</v>
      </c>
      <c r="S111" s="333">
        <f t="shared" si="56"/>
        <v>0</v>
      </c>
      <c r="T111" s="333">
        <f t="shared" si="56"/>
        <v>0</v>
      </c>
      <c r="U111" s="333">
        <f t="shared" si="56"/>
        <v>0</v>
      </c>
      <c r="V111" s="333">
        <f t="shared" si="56"/>
        <v>0</v>
      </c>
      <c r="W111" s="268" t="str">
        <f t="shared" si="38"/>
        <v>-</v>
      </c>
      <c r="X111" s="268" t="str">
        <f t="shared" si="38"/>
        <v>-</v>
      </c>
      <c r="Y111" s="268" t="str">
        <f t="shared" si="38"/>
        <v>-</v>
      </c>
      <c r="Z111" s="268" t="str">
        <f t="shared" si="39"/>
        <v>-</v>
      </c>
      <c r="AA111" s="269" t="str">
        <f t="shared" si="57"/>
        <v>-</v>
      </c>
      <c r="AB111" s="336">
        <f t="shared" si="58"/>
        <v>0</v>
      </c>
      <c r="AC111" s="336">
        <f t="shared" si="58"/>
        <v>0</v>
      </c>
      <c r="AD111" s="341">
        <f t="shared" si="43"/>
        <v>0</v>
      </c>
      <c r="AE111" s="343" t="str">
        <f t="shared" si="44"/>
        <v>-</v>
      </c>
      <c r="AF111" s="341">
        <f t="shared" si="45"/>
        <v>0</v>
      </c>
      <c r="AG111" s="343" t="str">
        <f t="shared" si="59"/>
        <v>-</v>
      </c>
      <c r="AH111" s="330">
        <f t="shared" si="60"/>
        <v>0</v>
      </c>
      <c r="AI111" s="330">
        <f t="shared" si="61"/>
        <v>0</v>
      </c>
      <c r="AJ111" s="330">
        <f t="shared" si="61"/>
        <v>0</v>
      </c>
      <c r="AK111" s="330">
        <f t="shared" si="61"/>
        <v>0</v>
      </c>
      <c r="AL111" s="330">
        <f t="shared" si="61"/>
        <v>0</v>
      </c>
      <c r="AM111" s="330">
        <f t="shared" si="61"/>
        <v>0</v>
      </c>
      <c r="AN111" s="330">
        <f t="shared" si="61"/>
        <v>0</v>
      </c>
      <c r="AO111" s="330">
        <f t="shared" si="61"/>
        <v>0</v>
      </c>
      <c r="AP111" s="330">
        <f t="shared" si="61"/>
        <v>0</v>
      </c>
      <c r="AQ111" s="330">
        <f t="shared" si="61"/>
        <v>0</v>
      </c>
      <c r="AR111" s="330">
        <f t="shared" si="61"/>
        <v>0</v>
      </c>
      <c r="AS111" s="330">
        <f t="shared" si="61"/>
        <v>0</v>
      </c>
      <c r="AT111" s="330">
        <f t="shared" si="61"/>
        <v>0</v>
      </c>
      <c r="AU111" s="330">
        <f t="shared" si="61"/>
        <v>0</v>
      </c>
      <c r="AV111" s="330">
        <f t="shared" si="61"/>
        <v>0</v>
      </c>
      <c r="AW111" s="339">
        <f t="shared" si="49"/>
        <v>0</v>
      </c>
      <c r="AX111" s="339">
        <f t="shared" si="49"/>
        <v>0</v>
      </c>
      <c r="AY111" s="339">
        <f t="shared" si="49"/>
        <v>0</v>
      </c>
      <c r="AZ111" s="339">
        <f t="shared" si="49"/>
        <v>0</v>
      </c>
      <c r="BA111" s="339">
        <f t="shared" si="49"/>
        <v>0</v>
      </c>
      <c r="BB111" s="339">
        <f t="shared" si="49"/>
        <v>0</v>
      </c>
      <c r="BC111" s="339">
        <f t="shared" si="49"/>
        <v>0</v>
      </c>
      <c r="BD111" s="339">
        <f t="shared" si="49"/>
        <v>0</v>
      </c>
      <c r="BE111" s="339">
        <f t="shared" si="49"/>
        <v>0</v>
      </c>
      <c r="BF111" s="339">
        <f t="shared" si="49"/>
        <v>0</v>
      </c>
      <c r="BG111" s="339">
        <f t="shared" si="49"/>
        <v>0</v>
      </c>
      <c r="BH111" s="339">
        <f t="shared" si="49"/>
        <v>0</v>
      </c>
      <c r="BI111" s="339">
        <f t="shared" si="49"/>
        <v>0</v>
      </c>
      <c r="BJ111" s="339">
        <f t="shared" si="49"/>
        <v>0</v>
      </c>
      <c r="BK111" s="339">
        <f t="shared" si="50"/>
        <v>0</v>
      </c>
      <c r="BL111" s="339">
        <f t="shared" si="50"/>
        <v>0</v>
      </c>
      <c r="BM111" s="339">
        <f t="shared" si="50"/>
        <v>0</v>
      </c>
      <c r="BN111" s="339">
        <f t="shared" si="50"/>
        <v>0</v>
      </c>
      <c r="BO111" s="339">
        <f t="shared" si="50"/>
        <v>0</v>
      </c>
      <c r="BP111" s="339">
        <f t="shared" si="50"/>
        <v>0</v>
      </c>
      <c r="BQ111" s="339">
        <f t="shared" si="50"/>
        <v>0</v>
      </c>
      <c r="BR111" s="339">
        <f t="shared" si="50"/>
        <v>0</v>
      </c>
      <c r="BS111" s="339">
        <f t="shared" si="50"/>
        <v>0</v>
      </c>
      <c r="BT111" s="339">
        <f t="shared" si="50"/>
        <v>0</v>
      </c>
      <c r="BU111" s="339">
        <f t="shared" si="50"/>
        <v>0</v>
      </c>
      <c r="BV111" s="339">
        <f t="shared" si="50"/>
        <v>0</v>
      </c>
      <c r="BW111" s="339">
        <f t="shared" si="50"/>
        <v>0</v>
      </c>
      <c r="BX111" s="339">
        <f t="shared" si="50"/>
        <v>0</v>
      </c>
      <c r="CV111" s="1"/>
      <c r="CW111" s="1"/>
      <c r="CX111" s="1"/>
      <c r="CY111" s="1"/>
      <c r="CZ111" s="1"/>
      <c r="DA111" s="1"/>
      <c r="DB111" s="1"/>
    </row>
    <row r="112" spans="7:106" ht="15.75" customHeight="1" x14ac:dyDescent="0.25">
      <c r="J112" s="327" t="s">
        <v>636</v>
      </c>
      <c r="K112" s="327" t="s">
        <v>296</v>
      </c>
      <c r="L112" s="328" t="s">
        <v>673</v>
      </c>
      <c r="M112" s="327"/>
      <c r="N112" s="330">
        <f t="shared" si="56"/>
        <v>0</v>
      </c>
      <c r="O112" s="330">
        <f t="shared" si="56"/>
        <v>0</v>
      </c>
      <c r="P112" s="332">
        <f t="shared" si="56"/>
        <v>0</v>
      </c>
      <c r="Q112" s="332">
        <f t="shared" si="56"/>
        <v>0</v>
      </c>
      <c r="R112" s="333">
        <f t="shared" si="56"/>
        <v>0</v>
      </c>
      <c r="S112" s="333">
        <f t="shared" si="56"/>
        <v>0</v>
      </c>
      <c r="T112" s="333">
        <f t="shared" si="56"/>
        <v>0</v>
      </c>
      <c r="U112" s="333">
        <f t="shared" si="56"/>
        <v>0</v>
      </c>
      <c r="V112" s="333">
        <f t="shared" si="56"/>
        <v>0</v>
      </c>
      <c r="W112" s="344" t="str">
        <f t="shared" si="38"/>
        <v>-</v>
      </c>
      <c r="X112" s="344" t="str">
        <f t="shared" si="38"/>
        <v>-</v>
      </c>
      <c r="Y112" s="344" t="str">
        <f t="shared" si="38"/>
        <v>-</v>
      </c>
      <c r="Z112" s="344" t="str">
        <f t="shared" si="39"/>
        <v>-</v>
      </c>
      <c r="AA112" s="345" t="str">
        <f t="shared" si="57"/>
        <v>-</v>
      </c>
      <c r="AB112" s="336">
        <f t="shared" si="58"/>
        <v>0</v>
      </c>
      <c r="AC112" s="336">
        <f t="shared" si="58"/>
        <v>0</v>
      </c>
      <c r="AD112" s="341">
        <f t="shared" si="43"/>
        <v>0</v>
      </c>
      <c r="AE112" s="343" t="str">
        <f t="shared" si="44"/>
        <v>-</v>
      </c>
      <c r="AF112" s="341">
        <f t="shared" si="45"/>
        <v>0</v>
      </c>
      <c r="AG112" s="343" t="str">
        <f t="shared" si="59"/>
        <v>-</v>
      </c>
      <c r="AH112" s="330">
        <f t="shared" si="60"/>
        <v>0</v>
      </c>
      <c r="AI112" s="330">
        <f t="shared" si="61"/>
        <v>0</v>
      </c>
      <c r="AJ112" s="330">
        <f t="shared" si="61"/>
        <v>0</v>
      </c>
      <c r="AK112" s="330">
        <f t="shared" si="61"/>
        <v>0</v>
      </c>
      <c r="AL112" s="330">
        <f t="shared" si="61"/>
        <v>0</v>
      </c>
      <c r="AM112" s="330">
        <f t="shared" si="61"/>
        <v>0</v>
      </c>
      <c r="AN112" s="330">
        <f t="shared" si="61"/>
        <v>0</v>
      </c>
      <c r="AO112" s="330">
        <f t="shared" si="61"/>
        <v>0</v>
      </c>
      <c r="AP112" s="330">
        <f t="shared" si="61"/>
        <v>0</v>
      </c>
      <c r="AQ112" s="330">
        <f t="shared" si="61"/>
        <v>0</v>
      </c>
      <c r="AR112" s="330">
        <f t="shared" si="61"/>
        <v>0</v>
      </c>
      <c r="AS112" s="330">
        <f t="shared" si="61"/>
        <v>0</v>
      </c>
      <c r="AT112" s="330">
        <f t="shared" si="61"/>
        <v>0</v>
      </c>
      <c r="AU112" s="330">
        <f t="shared" si="61"/>
        <v>0</v>
      </c>
      <c r="AV112" s="330">
        <f t="shared" si="61"/>
        <v>0</v>
      </c>
      <c r="AW112" s="339">
        <f t="shared" si="49"/>
        <v>0</v>
      </c>
      <c r="AX112" s="339">
        <f t="shared" si="49"/>
        <v>0</v>
      </c>
      <c r="AY112" s="339">
        <f t="shared" si="49"/>
        <v>0</v>
      </c>
      <c r="AZ112" s="339">
        <f t="shared" si="49"/>
        <v>0</v>
      </c>
      <c r="BA112" s="339">
        <f t="shared" si="49"/>
        <v>0</v>
      </c>
      <c r="BB112" s="339">
        <f t="shared" si="49"/>
        <v>0</v>
      </c>
      <c r="BC112" s="339">
        <f t="shared" si="49"/>
        <v>0</v>
      </c>
      <c r="BD112" s="339">
        <f t="shared" si="49"/>
        <v>0</v>
      </c>
      <c r="BE112" s="339">
        <f t="shared" si="49"/>
        <v>0</v>
      </c>
      <c r="BF112" s="339">
        <f t="shared" si="49"/>
        <v>0</v>
      </c>
      <c r="BG112" s="339">
        <f t="shared" si="49"/>
        <v>0</v>
      </c>
      <c r="BH112" s="339">
        <f t="shared" si="49"/>
        <v>0</v>
      </c>
      <c r="BI112" s="339">
        <f t="shared" si="49"/>
        <v>0</v>
      </c>
      <c r="BJ112" s="339">
        <f t="shared" si="49"/>
        <v>0</v>
      </c>
      <c r="BK112" s="339">
        <f t="shared" si="50"/>
        <v>0</v>
      </c>
      <c r="BL112" s="339">
        <f t="shared" si="50"/>
        <v>0</v>
      </c>
      <c r="BM112" s="339">
        <f t="shared" si="50"/>
        <v>0</v>
      </c>
      <c r="BN112" s="339">
        <f t="shared" si="50"/>
        <v>0</v>
      </c>
      <c r="BO112" s="339">
        <f t="shared" si="50"/>
        <v>0</v>
      </c>
      <c r="BP112" s="339">
        <f t="shared" si="50"/>
        <v>0</v>
      </c>
      <c r="BQ112" s="339">
        <f t="shared" si="50"/>
        <v>0</v>
      </c>
      <c r="BR112" s="339">
        <f t="shared" si="50"/>
        <v>0</v>
      </c>
      <c r="BS112" s="339">
        <f t="shared" si="50"/>
        <v>0</v>
      </c>
      <c r="BT112" s="339">
        <f t="shared" si="50"/>
        <v>0</v>
      </c>
      <c r="BU112" s="339">
        <f t="shared" si="50"/>
        <v>0</v>
      </c>
      <c r="BV112" s="339">
        <f t="shared" si="50"/>
        <v>0</v>
      </c>
      <c r="BW112" s="339">
        <f t="shared" si="50"/>
        <v>0</v>
      </c>
      <c r="BX112" s="339">
        <f t="shared" si="50"/>
        <v>0</v>
      </c>
      <c r="CV112" s="1"/>
      <c r="CW112" s="1"/>
      <c r="CX112" s="1"/>
      <c r="CY112" s="1"/>
      <c r="CZ112" s="1"/>
      <c r="DA112" s="1"/>
      <c r="DB112" s="1"/>
    </row>
    <row r="113" spans="7:106" ht="15.75" customHeight="1" x14ac:dyDescent="0.25">
      <c r="G113">
        <f>G110/G111</f>
        <v>0.25313283208020049</v>
      </c>
      <c r="CV113" s="1"/>
      <c r="CW113" s="1"/>
      <c r="CX113" s="1"/>
      <c r="CY113" s="1"/>
      <c r="CZ113" s="1"/>
      <c r="DA113" s="1"/>
      <c r="DB113" s="1"/>
    </row>
    <row r="114" spans="7:106" ht="15.75" customHeight="1" x14ac:dyDescent="0.25">
      <c r="AH114" s="319">
        <f>SUM(AH99:AH112)</f>
        <v>1390.2002382250566</v>
      </c>
      <c r="CV114" s="1"/>
      <c r="CW114" s="1"/>
      <c r="CX114" s="1"/>
      <c r="CY114" s="1"/>
      <c r="CZ114" s="1"/>
      <c r="DA114" s="1"/>
      <c r="DB114" s="1"/>
    </row>
    <row r="115" spans="7:106" ht="15.75" customHeight="1" thickBot="1" x14ac:dyDescent="0.3">
      <c r="N115" s="240"/>
      <c r="CV115" s="1"/>
      <c r="CW115" s="1"/>
      <c r="CX115" s="1"/>
      <c r="CY115" s="1"/>
      <c r="CZ115" s="1"/>
      <c r="DA115" s="1"/>
      <c r="DB115" s="1"/>
    </row>
    <row r="116" spans="7:106" ht="15.75" customHeight="1" thickBot="1" x14ac:dyDescent="0.35">
      <c r="J116" s="724" t="s">
        <v>674</v>
      </c>
      <c r="K116" s="725"/>
      <c r="L116" s="725"/>
      <c r="M116" s="725"/>
      <c r="N116" s="725"/>
      <c r="O116" s="725"/>
      <c r="P116" s="725"/>
      <c r="Q116" s="725"/>
      <c r="R116" s="725"/>
      <c r="S116" s="725"/>
      <c r="T116" s="725"/>
      <c r="U116" s="725"/>
      <c r="V116" s="725"/>
      <c r="W116" s="725"/>
      <c r="X116" s="725"/>
      <c r="Y116" s="725"/>
      <c r="Z116" s="725"/>
      <c r="AA116" s="725"/>
      <c r="AB116" s="725"/>
      <c r="AC116" s="725"/>
      <c r="AD116" s="725"/>
      <c r="AE116" s="725"/>
      <c r="AF116" s="725"/>
      <c r="AG116" s="726"/>
      <c r="CV116" s="1"/>
      <c r="CW116" s="1"/>
      <c r="CX116" s="1"/>
      <c r="CY116" s="1"/>
      <c r="CZ116" s="1"/>
      <c r="DA116" s="1"/>
      <c r="DB116" s="1"/>
    </row>
    <row r="117" spans="7:106" ht="15.75" customHeight="1" x14ac:dyDescent="0.25">
      <c r="R117" s="240"/>
      <c r="AB117" s="240"/>
      <c r="AF117" s="240">
        <f>+SUM(AF99:AF104)</f>
        <v>1882.3994294689726</v>
      </c>
      <c r="AI117" s="240"/>
      <c r="AJ117" s="240"/>
      <c r="AK117" s="240"/>
      <c r="AL117" s="240"/>
      <c r="AM117" s="240"/>
      <c r="AN117" s="240"/>
      <c r="AO117" s="240"/>
      <c r="AP117" s="240"/>
      <c r="AQ117" s="240"/>
      <c r="AR117" s="240"/>
      <c r="AS117" s="240"/>
      <c r="AT117" s="240"/>
      <c r="AU117" s="240"/>
      <c r="AV117" s="346" t="s">
        <v>56</v>
      </c>
      <c r="AW117" s="347">
        <f t="shared" ref="AW117:BX117" si="62">+SUM(AW99:AW104)</f>
        <v>1025.6624631771094</v>
      </c>
      <c r="AX117" s="347">
        <f t="shared" si="62"/>
        <v>971.48849262837223</v>
      </c>
      <c r="AY117" s="347">
        <f t="shared" si="62"/>
        <v>810.68364655400239</v>
      </c>
      <c r="AZ117" s="347">
        <f t="shared" si="62"/>
        <v>667.28375525595186</v>
      </c>
      <c r="BA117" s="347">
        <f t="shared" si="62"/>
        <v>558.42014931750418</v>
      </c>
      <c r="BB117" s="347">
        <f t="shared" si="62"/>
        <v>399.75639540765508</v>
      </c>
      <c r="BC117" s="347">
        <f t="shared" si="62"/>
        <v>323.20719747285551</v>
      </c>
      <c r="BD117" s="347">
        <f t="shared" si="62"/>
        <v>269.43749009101651</v>
      </c>
      <c r="BE117" s="347">
        <f t="shared" si="62"/>
        <v>223.91210147505601</v>
      </c>
      <c r="BF117" s="347">
        <f t="shared" si="62"/>
        <v>156.85986604729322</v>
      </c>
      <c r="BG117" s="347">
        <f t="shared" si="62"/>
        <v>103.46702845198907</v>
      </c>
      <c r="BH117" s="347">
        <f t="shared" si="62"/>
        <v>88.251820414780013</v>
      </c>
      <c r="BI117" s="347">
        <f t="shared" si="62"/>
        <v>78.909253260719709</v>
      </c>
      <c r="BJ117" s="347">
        <f t="shared" si="62"/>
        <v>66.314169119658501</v>
      </c>
      <c r="BK117" s="348">
        <f t="shared" si="62"/>
        <v>347.36355425783938</v>
      </c>
      <c r="BL117" s="347">
        <f t="shared" si="62"/>
        <v>328.44672499540297</v>
      </c>
      <c r="BM117" s="347">
        <f t="shared" si="62"/>
        <v>266.84840766161625</v>
      </c>
      <c r="BN117" s="347">
        <f t="shared" si="62"/>
        <v>202.94139999381096</v>
      </c>
      <c r="BO117" s="347">
        <f t="shared" si="62"/>
        <v>158.45922461096148</v>
      </c>
      <c r="BP117" s="347">
        <f t="shared" si="62"/>
        <v>103.4909269232822</v>
      </c>
      <c r="BQ117" s="347">
        <f t="shared" si="62"/>
        <v>62.430237987847477</v>
      </c>
      <c r="BR117" s="347">
        <f t="shared" si="62"/>
        <v>42.421611066732957</v>
      </c>
      <c r="BS117" s="347">
        <f t="shared" si="62"/>
        <v>32.158370869623056</v>
      </c>
      <c r="BT117" s="347">
        <f t="shared" si="62"/>
        <v>19.663262709620493</v>
      </c>
      <c r="BU117" s="347">
        <f t="shared" si="62"/>
        <v>14.194291369736252</v>
      </c>
      <c r="BV117" s="347">
        <f t="shared" si="62"/>
        <v>10.638590168910678</v>
      </c>
      <c r="BW117" s="347">
        <f t="shared" si="62"/>
        <v>7.9579786805109487</v>
      </c>
      <c r="BX117" s="349">
        <f t="shared" si="62"/>
        <v>5.4372244221875707</v>
      </c>
      <c r="CV117" s="1"/>
      <c r="CW117" s="1"/>
      <c r="CX117" s="1"/>
      <c r="CY117" s="1"/>
      <c r="CZ117" s="1"/>
      <c r="DA117" s="1"/>
      <c r="DB117" s="1"/>
    </row>
    <row r="118" spans="7:106" ht="15.75" customHeight="1" x14ac:dyDescent="0.25">
      <c r="AB118" s="12" t="s">
        <v>675</v>
      </c>
      <c r="AC118" s="12" t="s">
        <v>676</v>
      </c>
      <c r="AF118" s="12">
        <f>+AF117*(1000/D8)/1000</f>
        <v>309.24027761278944</v>
      </c>
      <c r="AV118" s="350" t="s">
        <v>323</v>
      </c>
      <c r="AW118" s="351">
        <f t="shared" ref="AW118:BJ118" si="63">+AW117*1000/($D$8*365)</f>
        <v>461.63196063013703</v>
      </c>
      <c r="AX118" s="351">
        <f t="shared" si="63"/>
        <v>437.24924493430632</v>
      </c>
      <c r="AY118" s="351">
        <f t="shared" si="63"/>
        <v>364.87391773144236</v>
      </c>
      <c r="AZ118" s="351">
        <f t="shared" si="63"/>
        <v>300.33224310584319</v>
      </c>
      <c r="BA118" s="351">
        <f t="shared" si="63"/>
        <v>251.33472037798418</v>
      </c>
      <c r="BB118" s="351">
        <f t="shared" si="63"/>
        <v>179.92305969240297</v>
      </c>
      <c r="BC118" s="351">
        <f t="shared" si="63"/>
        <v>145.46966240432852</v>
      </c>
      <c r="BD118" s="351">
        <f t="shared" si="63"/>
        <v>121.26889818380845</v>
      </c>
      <c r="BE118" s="351">
        <f t="shared" si="63"/>
        <v>100.77875141550874</v>
      </c>
      <c r="BF118" s="351">
        <f t="shared" si="63"/>
        <v>70.599763672046109</v>
      </c>
      <c r="BG118" s="351">
        <f t="shared" si="63"/>
        <v>46.568621666149575</v>
      </c>
      <c r="BH118" s="351">
        <f t="shared" si="63"/>
        <v>39.72053414244796</v>
      </c>
      <c r="BI118" s="351">
        <f t="shared" si="63"/>
        <v>35.51561512914207</v>
      </c>
      <c r="BJ118" s="351">
        <f t="shared" si="63"/>
        <v>29.846797564804991</v>
      </c>
      <c r="BK118" s="352">
        <f t="shared" ref="BK118:BX118" si="64">+BK117*1000/($D$7*365)</f>
        <v>942.67153424657533</v>
      </c>
      <c r="BL118" s="351">
        <f t="shared" si="64"/>
        <v>891.33524336251526</v>
      </c>
      <c r="BM118" s="351">
        <f t="shared" si="64"/>
        <v>724.17038223564396</v>
      </c>
      <c r="BN118" s="351">
        <f t="shared" si="64"/>
        <v>550.74022173411777</v>
      </c>
      <c r="BO118" s="351">
        <f t="shared" si="64"/>
        <v>430.02496533836239</v>
      </c>
      <c r="BP118" s="351">
        <f t="shared" si="64"/>
        <v>280.85258130147929</v>
      </c>
      <c r="BQ118" s="351">
        <f t="shared" si="64"/>
        <v>169.42251858610132</v>
      </c>
      <c r="BR118" s="351">
        <f t="shared" si="64"/>
        <v>115.12331878031547</v>
      </c>
      <c r="BS118" s="351">
        <f t="shared" si="64"/>
        <v>87.271046242335572</v>
      </c>
      <c r="BT118" s="351">
        <f t="shared" si="64"/>
        <v>53.361954066754535</v>
      </c>
      <c r="BU118" s="351">
        <f t="shared" si="64"/>
        <v>38.520317572292406</v>
      </c>
      <c r="BV118" s="351">
        <f t="shared" si="64"/>
        <v>28.870893315720476</v>
      </c>
      <c r="BW118" s="351">
        <f t="shared" si="64"/>
        <v>21.596278251720161</v>
      </c>
      <c r="BX118" s="353">
        <f t="shared" si="64"/>
        <v>14.755482045482417</v>
      </c>
      <c r="CV118" s="1"/>
      <c r="CW118" s="1"/>
      <c r="CX118" s="1"/>
      <c r="CY118" s="1"/>
      <c r="CZ118" s="1"/>
      <c r="DA118" s="1"/>
      <c r="DB118" s="1"/>
    </row>
    <row r="119" spans="7:106" ht="15.75" customHeight="1" x14ac:dyDescent="0.25">
      <c r="AB119" s="12" t="s">
        <v>677</v>
      </c>
      <c r="AC119" s="12" t="s">
        <v>678</v>
      </c>
      <c r="CV119" s="1"/>
      <c r="CW119" s="1"/>
      <c r="CX119" s="1"/>
      <c r="CY119" s="1"/>
      <c r="CZ119" s="1"/>
      <c r="DA119" s="1"/>
      <c r="DB119" s="1"/>
    </row>
    <row r="120" spans="7:106" ht="15.75" customHeight="1" x14ac:dyDescent="0.25">
      <c r="J120" s="321" t="str">
        <f t="shared" ref="J120:M126" si="65">J98</f>
        <v>Basin</v>
      </c>
      <c r="K120" s="321" t="str">
        <f t="shared" si="65"/>
        <v>Type Fluid</v>
      </c>
      <c r="L120" s="321" t="str">
        <f t="shared" si="65"/>
        <v>CAM</v>
      </c>
      <c r="M120" s="321" t="str">
        <f t="shared" si="65"/>
        <v>Type of Oil producing</v>
      </c>
      <c r="N120" s="354" t="s">
        <v>679</v>
      </c>
      <c r="Y120" s="355" t="s">
        <v>655</v>
      </c>
      <c r="Z120" s="355" t="s">
        <v>584</v>
      </c>
      <c r="AA120" s="356" t="s">
        <v>680</v>
      </c>
      <c r="AB120" s="356" t="s">
        <v>681</v>
      </c>
      <c r="AC120" s="356" t="s">
        <v>682</v>
      </c>
      <c r="CV120" s="1"/>
      <c r="CW120" s="1"/>
      <c r="CX120" s="1"/>
      <c r="CY120" s="1"/>
      <c r="CZ120" s="1"/>
      <c r="DA120" s="1"/>
      <c r="DB120" s="1"/>
    </row>
    <row r="121" spans="7:106" ht="15.75" customHeight="1" x14ac:dyDescent="0.25">
      <c r="I121">
        <v>1.1801000000000001E-2</v>
      </c>
      <c r="J121" s="327" t="str">
        <f t="shared" si="65"/>
        <v>Guajira</v>
      </c>
      <c r="K121" s="327" t="str">
        <f t="shared" si="65"/>
        <v>Doesn't Apply</v>
      </c>
      <c r="L121" s="328" t="str">
        <f t="shared" si="65"/>
        <v>CAM1</v>
      </c>
      <c r="M121" s="329" t="str">
        <f t="shared" si="65"/>
        <v>GU - Gas</v>
      </c>
      <c r="N121" s="670">
        <v>1.0582000000000001E-2</v>
      </c>
      <c r="O121" s="357" t="s">
        <v>683</v>
      </c>
      <c r="S121" s="12">
        <v>11.07</v>
      </c>
      <c r="U121" s="12">
        <f>+S121*N121</f>
        <v>0.11714274000000001</v>
      </c>
      <c r="X121" s="329" t="s">
        <v>319</v>
      </c>
      <c r="Y121" s="180">
        <f t="array" ref="Y121:Y127">+P99:P105</f>
        <v>1</v>
      </c>
      <c r="Z121" s="358">
        <f t="array" ref="Z121:Z127">+Q99:Q105</f>
        <v>66.042848806832495</v>
      </c>
      <c r="AA121" s="12" t="s">
        <v>684</v>
      </c>
      <c r="AB121" s="12" t="s">
        <v>684</v>
      </c>
      <c r="AC121" s="12" t="s">
        <v>685</v>
      </c>
      <c r="AD121">
        <f>T133</f>
        <v>10.582000000000001</v>
      </c>
      <c r="CV121" s="1"/>
      <c r="CW121" s="1"/>
      <c r="CX121" s="1"/>
      <c r="CY121" s="1"/>
      <c r="CZ121" s="1"/>
      <c r="DA121" s="1"/>
      <c r="DB121" s="1"/>
    </row>
    <row r="122" spans="7:106" ht="15.75" customHeight="1" x14ac:dyDescent="0.25">
      <c r="I122">
        <v>1.2846209936603386E-2</v>
      </c>
      <c r="J122" s="327" t="str">
        <f t="shared" si="65"/>
        <v>Llanos Orientales</v>
      </c>
      <c r="K122" s="327" t="str">
        <f t="shared" si="65"/>
        <v>Light Oil</v>
      </c>
      <c r="L122" s="328" t="str">
        <f t="shared" si="65"/>
        <v>CAM2</v>
      </c>
      <c r="M122" s="340" t="str">
        <f t="shared" si="65"/>
        <v>LLO - Ligth</v>
      </c>
      <c r="N122" s="670">
        <v>1.0582000000000001E-2</v>
      </c>
      <c r="O122" s="357" t="s">
        <v>683</v>
      </c>
      <c r="S122" s="12">
        <v>363.69</v>
      </c>
      <c r="U122" s="12">
        <f t="shared" ref="U122:U127" si="66">+S122*N122</f>
        <v>3.8485675800000005</v>
      </c>
      <c r="X122" s="340" t="s">
        <v>326</v>
      </c>
      <c r="Y122" s="180">
        <v>0.7144074825996316</v>
      </c>
      <c r="Z122" s="358">
        <v>221.53658720841196</v>
      </c>
      <c r="AA122" s="12" t="s">
        <v>684</v>
      </c>
      <c r="AB122" s="12" t="s">
        <v>684</v>
      </c>
      <c r="AC122" s="12" t="s">
        <v>685</v>
      </c>
      <c r="AD122">
        <f>T133+T134</f>
        <v>11.801</v>
      </c>
      <c r="CV122" s="1"/>
      <c r="CW122" s="1"/>
      <c r="CX122" s="1"/>
      <c r="CY122" s="1"/>
      <c r="CZ122" s="1"/>
      <c r="DA122" s="1"/>
      <c r="DB122" s="1"/>
    </row>
    <row r="123" spans="7:106" ht="15.75" customHeight="1" x14ac:dyDescent="0.25">
      <c r="I123">
        <v>1.4996950954107781E-2</v>
      </c>
      <c r="J123" s="327" t="str">
        <f t="shared" si="65"/>
        <v>Llanos Orientales</v>
      </c>
      <c r="K123" s="327" t="str">
        <f t="shared" si="65"/>
        <v>Heavy Oil</v>
      </c>
      <c r="L123" s="328" t="str">
        <f t="shared" si="65"/>
        <v>CAM3</v>
      </c>
      <c r="M123" s="342" t="str">
        <f t="shared" si="65"/>
        <v>LLO - Heavy</v>
      </c>
      <c r="N123" s="670">
        <v>1.0582000000000001E-2</v>
      </c>
      <c r="O123" s="357" t="s">
        <v>683</v>
      </c>
      <c r="S123" s="12">
        <v>726.7</v>
      </c>
      <c r="U123" s="12">
        <f t="shared" si="66"/>
        <v>7.689939400000001</v>
      </c>
      <c r="X123" s="342" t="s">
        <v>330</v>
      </c>
      <c r="Y123" s="180">
        <v>2.8224919834781799E-3</v>
      </c>
      <c r="Z123" s="358">
        <v>0.23786180586758954</v>
      </c>
      <c r="AA123" s="12" t="s">
        <v>684</v>
      </c>
      <c r="AB123" s="12" t="s">
        <v>685</v>
      </c>
      <c r="AC123" s="12" t="s">
        <v>684</v>
      </c>
      <c r="AD123">
        <f>T133+T135</f>
        <v>14.998000000000001</v>
      </c>
      <c r="CV123" s="1"/>
      <c r="CW123" s="1"/>
      <c r="CX123" s="1"/>
      <c r="CY123" s="1"/>
      <c r="CZ123" s="1"/>
      <c r="DA123" s="1"/>
      <c r="DB123" s="1"/>
    </row>
    <row r="124" spans="7:106" ht="15.75" customHeight="1" x14ac:dyDescent="0.25">
      <c r="I124">
        <v>1.4998000000000001E-2</v>
      </c>
      <c r="J124" s="327" t="str">
        <f t="shared" si="65"/>
        <v>Putumayo</v>
      </c>
      <c r="K124" s="327" t="str">
        <f t="shared" si="65"/>
        <v>Light Oil</v>
      </c>
      <c r="L124" s="328" t="str">
        <f t="shared" si="65"/>
        <v>CAM4</v>
      </c>
      <c r="M124" s="342" t="str">
        <f t="shared" si="65"/>
        <v>PU - Ligth</v>
      </c>
      <c r="N124" s="670">
        <v>1.0582000000000001E-2</v>
      </c>
      <c r="O124" s="357" t="s">
        <v>683</v>
      </c>
      <c r="P124" s="1"/>
      <c r="S124" s="12">
        <v>5.64</v>
      </c>
      <c r="U124" s="12">
        <f t="shared" si="66"/>
        <v>5.9682480000000003E-2</v>
      </c>
      <c r="X124" s="342" t="s">
        <v>334</v>
      </c>
      <c r="Y124" s="180">
        <v>0.2264193930205074</v>
      </c>
      <c r="Z124" s="358">
        <v>0</v>
      </c>
      <c r="AA124" s="12" t="s">
        <v>684</v>
      </c>
      <c r="AB124" s="12" t="s">
        <v>685</v>
      </c>
      <c r="AC124" s="12" t="s">
        <v>684</v>
      </c>
      <c r="AD124">
        <f>T133</f>
        <v>10.582000000000001</v>
      </c>
      <c r="CV124" s="1"/>
      <c r="CW124" s="1"/>
      <c r="CX124" s="1"/>
      <c r="CY124" s="1"/>
      <c r="CZ124" s="1"/>
      <c r="DA124" s="1"/>
      <c r="DB124" s="1"/>
    </row>
    <row r="125" spans="7:106" ht="15.75" customHeight="1" x14ac:dyDescent="0.25">
      <c r="I125">
        <v>1.4953321356456762E-2</v>
      </c>
      <c r="J125" s="327" t="str">
        <f t="shared" si="65"/>
        <v>VMM</v>
      </c>
      <c r="K125" s="327" t="str">
        <f t="shared" si="65"/>
        <v>Medium Oil</v>
      </c>
      <c r="L125" s="328" t="str">
        <f t="shared" si="65"/>
        <v>CAM5</v>
      </c>
      <c r="M125" s="342" t="str">
        <f t="shared" si="65"/>
        <v>VMM - Medium</v>
      </c>
      <c r="N125" s="670">
        <v>1.0582000000000001E-2</v>
      </c>
      <c r="O125" s="357" t="s">
        <v>683</v>
      </c>
      <c r="P125" s="1"/>
      <c r="S125" s="12">
        <v>165.44</v>
      </c>
      <c r="U125" s="12">
        <f t="shared" si="66"/>
        <v>1.7506860800000001</v>
      </c>
      <c r="X125" s="342" t="s">
        <v>335</v>
      </c>
      <c r="Y125" s="180">
        <v>2.9005932398423979E-2</v>
      </c>
      <c r="Z125" s="358">
        <v>2.2768748695271519</v>
      </c>
      <c r="AA125" s="12" t="s">
        <v>684</v>
      </c>
      <c r="AB125" s="12" t="s">
        <v>685</v>
      </c>
      <c r="AC125" s="12" t="s">
        <v>684</v>
      </c>
      <c r="AD125">
        <f>+T133+T134</f>
        <v>11.801</v>
      </c>
      <c r="CV125" s="1"/>
      <c r="CW125" s="1"/>
      <c r="CX125" s="1"/>
      <c r="CY125" s="1"/>
      <c r="CZ125" s="1"/>
      <c r="DA125" s="1"/>
      <c r="DB125" s="1"/>
    </row>
    <row r="126" spans="7:106" ht="15.75" customHeight="1" x14ac:dyDescent="0.25">
      <c r="I126">
        <v>1.4929698064361454E-2</v>
      </c>
      <c r="J126" s="327" t="str">
        <f t="shared" si="65"/>
        <v>VSM</v>
      </c>
      <c r="K126" s="327" t="str">
        <f t="shared" si="65"/>
        <v>Medium Oil</v>
      </c>
      <c r="L126" s="328" t="str">
        <f t="shared" si="65"/>
        <v>CAM6</v>
      </c>
      <c r="M126" s="340" t="str">
        <f t="shared" si="65"/>
        <v>VSM - Medium</v>
      </c>
      <c r="N126" s="670">
        <v>1.0582000000000001E-2</v>
      </c>
      <c r="O126" s="357" t="s">
        <v>683</v>
      </c>
      <c r="P126" s="1"/>
      <c r="S126" s="12">
        <v>29.86</v>
      </c>
      <c r="U126" s="12">
        <f t="shared" si="66"/>
        <v>0.31597852000000004</v>
      </c>
      <c r="X126" s="340" t="s">
        <v>336</v>
      </c>
      <c r="Y126" s="180">
        <v>4.9174002504380532E-2</v>
      </c>
      <c r="Z126" s="358">
        <v>0.61987830491387741</v>
      </c>
      <c r="AA126" s="12" t="s">
        <v>684</v>
      </c>
      <c r="AB126" s="12" t="s">
        <v>685</v>
      </c>
      <c r="AC126" s="12" t="s">
        <v>684</v>
      </c>
      <c r="AD126">
        <f>T133+T134</f>
        <v>11.801</v>
      </c>
      <c r="CV126" s="1"/>
      <c r="CW126" s="1"/>
      <c r="CX126" s="1"/>
      <c r="CY126" s="1"/>
      <c r="CZ126" s="1"/>
      <c r="DA126" s="1"/>
      <c r="DB126" s="1"/>
    </row>
    <row r="127" spans="7:106" ht="15.75" customHeight="1" x14ac:dyDescent="0.25">
      <c r="I127">
        <v>1.1818689689570658E-2</v>
      </c>
      <c r="J127" s="327" t="s">
        <v>640</v>
      </c>
      <c r="K127" s="327" t="str">
        <f t="shared" ref="K127:M127" si="67">+K105</f>
        <v>Doesn't Apply</v>
      </c>
      <c r="L127" s="328" t="str">
        <f t="shared" si="67"/>
        <v>CAM7</v>
      </c>
      <c r="M127" s="340" t="str">
        <f t="shared" si="67"/>
        <v>VIM - GAS</v>
      </c>
      <c r="N127" s="670">
        <v>1.0582000000000001E-2</v>
      </c>
      <c r="O127" s="357" t="s">
        <v>683</v>
      </c>
      <c r="P127" s="1"/>
      <c r="S127" s="12">
        <v>11.13</v>
      </c>
      <c r="U127" s="12">
        <f t="shared" si="66"/>
        <v>0.11777766000000002</v>
      </c>
      <c r="X127" s="340" t="s">
        <v>337</v>
      </c>
      <c r="Y127" s="180">
        <v>0.99457310605335914</v>
      </c>
      <c r="Z127" s="358">
        <v>13.465657577297089</v>
      </c>
      <c r="AA127" s="12" t="s">
        <v>684</v>
      </c>
      <c r="AB127" s="12" t="s">
        <v>684</v>
      </c>
      <c r="AC127" s="12" t="s">
        <v>685</v>
      </c>
      <c r="AD127">
        <f>T133+T134</f>
        <v>11.801</v>
      </c>
      <c r="CV127" s="1"/>
      <c r="CW127" s="1"/>
      <c r="CX127" s="1"/>
      <c r="CY127" s="1"/>
      <c r="CZ127" s="1"/>
      <c r="DA127" s="1"/>
      <c r="DB127" s="1"/>
    </row>
    <row r="128" spans="7:106" ht="15.75" customHeight="1" x14ac:dyDescent="0.25">
      <c r="J128" s="327" t="str">
        <f t="shared" ref="J128:M134" si="68">J106</f>
        <v>Llanos Orientales</v>
      </c>
      <c r="K128" s="327" t="str">
        <f t="shared" si="68"/>
        <v>Medium Oil</v>
      </c>
      <c r="L128" s="328" t="str">
        <f t="shared" si="68"/>
        <v>P</v>
      </c>
      <c r="M128" s="327">
        <f t="shared" si="68"/>
        <v>0</v>
      </c>
      <c r="N128" s="359"/>
      <c r="O128" s="180"/>
      <c r="P128" s="1"/>
      <c r="U128" s="12">
        <f>+SUM(U121:U127)</f>
        <v>13.89977446</v>
      </c>
      <c r="V128" s="12" t="s">
        <v>56</v>
      </c>
      <c r="CV128" s="1"/>
      <c r="CW128" s="1"/>
      <c r="CX128" s="1"/>
      <c r="CY128" s="1"/>
      <c r="CZ128" s="1"/>
      <c r="DA128" s="1"/>
      <c r="DB128" s="1"/>
    </row>
    <row r="129" spans="1:121" ht="15.75" customHeight="1" x14ac:dyDescent="0.25">
      <c r="J129" s="327" t="str">
        <f t="shared" si="68"/>
        <v>Putumayo</v>
      </c>
      <c r="K129" s="327" t="str">
        <f t="shared" si="68"/>
        <v>Medium Oil</v>
      </c>
      <c r="L129" s="328" t="str">
        <f t="shared" si="68"/>
        <v>P</v>
      </c>
      <c r="M129" s="327">
        <f t="shared" si="68"/>
        <v>0</v>
      </c>
      <c r="N129" s="359"/>
      <c r="O129" s="180"/>
      <c r="P129" s="1"/>
      <c r="U129" s="12">
        <f>+U128/0.0036</f>
        <v>3861.048461111111</v>
      </c>
      <c r="V129" s="12" t="s">
        <v>313</v>
      </c>
      <c r="CV129" s="1"/>
      <c r="CW129" s="1"/>
      <c r="CX129" s="1"/>
      <c r="CY129" s="1"/>
      <c r="CZ129" s="1"/>
      <c r="DA129" s="1"/>
      <c r="DB129" s="1"/>
    </row>
    <row r="130" spans="1:121" ht="15.75" customHeight="1" x14ac:dyDescent="0.25">
      <c r="J130" s="327" t="str">
        <f t="shared" si="68"/>
        <v>Putumayo</v>
      </c>
      <c r="K130" s="327" t="str">
        <f t="shared" si="68"/>
        <v>Heavy Oil</v>
      </c>
      <c r="L130" s="328" t="str">
        <f t="shared" si="68"/>
        <v>P</v>
      </c>
      <c r="M130" s="327">
        <f t="shared" si="68"/>
        <v>0</v>
      </c>
      <c r="N130" s="359"/>
      <c r="O130" s="180"/>
      <c r="P130" s="1"/>
      <c r="CV130" s="1"/>
      <c r="CW130" s="1"/>
      <c r="CX130" s="1"/>
      <c r="CY130" s="1"/>
      <c r="CZ130" s="1"/>
      <c r="DA130" s="1"/>
      <c r="DB130" s="1"/>
    </row>
    <row r="131" spans="1:121" ht="15.75" customHeight="1" x14ac:dyDescent="0.25">
      <c r="J131" s="327" t="str">
        <f t="shared" si="68"/>
        <v>VMM</v>
      </c>
      <c r="K131" s="327" t="str">
        <f t="shared" si="68"/>
        <v>Light Oil</v>
      </c>
      <c r="L131" s="328" t="str">
        <f t="shared" si="68"/>
        <v>P</v>
      </c>
      <c r="M131" s="327">
        <f t="shared" si="68"/>
        <v>0</v>
      </c>
      <c r="N131" s="359"/>
      <c r="O131" s="180"/>
      <c r="P131" s="1"/>
      <c r="T131" s="12" t="s">
        <v>741</v>
      </c>
      <c r="CV131" s="1"/>
      <c r="CW131" s="1"/>
      <c r="CX131" s="1"/>
      <c r="CY131" s="1"/>
      <c r="CZ131" s="1"/>
      <c r="DA131" s="1"/>
      <c r="DB131" s="1"/>
    </row>
    <row r="132" spans="1:121" ht="15.75" customHeight="1" x14ac:dyDescent="0.25">
      <c r="J132" s="327" t="str">
        <f t="shared" si="68"/>
        <v>VMM</v>
      </c>
      <c r="K132" s="327" t="str">
        <f t="shared" si="68"/>
        <v>Heavy Oil</v>
      </c>
      <c r="L132" s="328" t="str">
        <f t="shared" si="68"/>
        <v>P</v>
      </c>
      <c r="M132" s="327">
        <f t="shared" si="68"/>
        <v>0</v>
      </c>
      <c r="N132" s="359"/>
      <c r="O132" s="180"/>
      <c r="P132" s="1"/>
      <c r="S132" s="12" t="s">
        <v>689</v>
      </c>
      <c r="T132" s="12">
        <v>16.216999999999999</v>
      </c>
      <c r="U132" s="12" t="s">
        <v>686</v>
      </c>
      <c r="CV132" s="1"/>
      <c r="CW132" s="1"/>
      <c r="CX132" s="1"/>
      <c r="CY132" s="1"/>
      <c r="CZ132" s="1"/>
      <c r="DA132" s="1"/>
      <c r="DB132" s="1"/>
    </row>
    <row r="133" spans="1:121" ht="15.75" customHeight="1" x14ac:dyDescent="0.25">
      <c r="J133" s="327" t="str">
        <f t="shared" si="68"/>
        <v>VSM</v>
      </c>
      <c r="K133" s="327" t="str">
        <f t="shared" si="68"/>
        <v>Light Oil</v>
      </c>
      <c r="L133" s="328" t="str">
        <f t="shared" si="68"/>
        <v>P</v>
      </c>
      <c r="M133" s="327">
        <f t="shared" si="68"/>
        <v>0</v>
      </c>
      <c r="N133" s="1"/>
      <c r="O133" s="1"/>
      <c r="P133" s="1"/>
      <c r="S133" s="12" t="s">
        <v>680</v>
      </c>
      <c r="T133" s="12">
        <v>10.582000000000001</v>
      </c>
      <c r="U133" s="12" t="s">
        <v>686</v>
      </c>
      <c r="CV133" s="1"/>
      <c r="CW133" s="1"/>
      <c r="CX133" s="1"/>
      <c r="CY133" s="1"/>
      <c r="CZ133" s="1"/>
      <c r="DA133" s="1"/>
      <c r="DB133" s="1"/>
    </row>
    <row r="134" spans="1:121" ht="15.75" customHeight="1" x14ac:dyDescent="0.25">
      <c r="J134" s="327" t="str">
        <f t="shared" si="68"/>
        <v>VSM</v>
      </c>
      <c r="K134" s="327" t="str">
        <f t="shared" si="68"/>
        <v>Heavy Oil</v>
      </c>
      <c r="L134" s="328" t="str">
        <f t="shared" si="68"/>
        <v>P</v>
      </c>
      <c r="M134" s="327">
        <f t="shared" si="68"/>
        <v>0</v>
      </c>
      <c r="N134" s="1"/>
      <c r="O134" s="1"/>
      <c r="P134" s="1"/>
      <c r="S134" s="12" t="s">
        <v>690</v>
      </c>
      <c r="T134" s="12">
        <v>1.2190000000000001</v>
      </c>
      <c r="U134" s="12" t="s">
        <v>686</v>
      </c>
      <c r="CV134" s="1"/>
      <c r="CW134" s="1"/>
      <c r="CX134" s="1"/>
      <c r="CY134" s="1"/>
      <c r="CZ134" s="1"/>
      <c r="DA134" s="1"/>
      <c r="DB134" s="1"/>
    </row>
    <row r="135" spans="1:12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77"/>
      <c r="M135" s="1"/>
      <c r="N135" s="1"/>
      <c r="O135" s="1"/>
      <c r="P135" s="1"/>
      <c r="Q135" s="1"/>
      <c r="R135" s="1"/>
      <c r="S135" s="12" t="s">
        <v>682</v>
      </c>
      <c r="T135" s="12">
        <v>4.4160000000000004</v>
      </c>
      <c r="U135" s="12" t="s">
        <v>686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</row>
    <row r="136" spans="1:12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77"/>
      <c r="M136" s="1"/>
      <c r="N136" s="1"/>
      <c r="O136" s="1"/>
      <c r="P136" s="1"/>
      <c r="Q136" s="1"/>
      <c r="R136" s="1"/>
      <c r="S136" s="12" t="s">
        <v>691</v>
      </c>
      <c r="T136" s="12">
        <v>16.216999999999999</v>
      </c>
      <c r="U136" s="12" t="s">
        <v>686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</row>
    <row r="137" spans="1:121" ht="15.75" customHeight="1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77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 spans="1:121" ht="15.75" customHeight="1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730" t="s">
        <v>687</v>
      </c>
      <c r="K138" s="725"/>
      <c r="L138" s="725"/>
      <c r="M138" s="725"/>
      <c r="N138" s="725"/>
      <c r="O138" s="725"/>
      <c r="P138" s="725"/>
      <c r="Q138" s="725"/>
      <c r="R138" s="725"/>
      <c r="S138" s="725"/>
      <c r="T138" s="725"/>
      <c r="U138" s="725"/>
      <c r="V138" s="725"/>
      <c r="W138" s="725"/>
      <c r="X138" s="725"/>
      <c r="Y138" s="725"/>
      <c r="Z138" s="725"/>
      <c r="AA138" s="725"/>
      <c r="AB138" s="725"/>
      <c r="AC138" s="725"/>
      <c r="AD138" s="725"/>
      <c r="AE138" s="725"/>
      <c r="AF138" s="725"/>
      <c r="AG138" s="726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</row>
    <row r="139" spans="1:12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77"/>
      <c r="M139" s="1"/>
      <c r="N139" s="1" t="s">
        <v>318</v>
      </c>
      <c r="O139" s="1" t="s">
        <v>318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</row>
    <row r="140" spans="1:12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321" t="str">
        <f t="shared" ref="J140:M147" si="69">J120</f>
        <v>Basin</v>
      </c>
      <c r="K140" s="321" t="str">
        <f t="shared" si="69"/>
        <v>Type Fluid</v>
      </c>
      <c r="L140" s="321" t="str">
        <f t="shared" si="69"/>
        <v>CAM</v>
      </c>
      <c r="M140" s="321" t="str">
        <f t="shared" si="69"/>
        <v>Type of Oil producing</v>
      </c>
      <c r="N140" s="214" t="s">
        <v>765</v>
      </c>
      <c r="O140" s="1" t="s">
        <v>766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</row>
    <row r="141" spans="1:12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327" t="str">
        <f t="shared" si="69"/>
        <v>Guajira</v>
      </c>
      <c r="K141" s="327" t="str">
        <f t="shared" si="69"/>
        <v>Doesn't Apply</v>
      </c>
      <c r="L141" s="328" t="str">
        <f t="shared" si="69"/>
        <v>CAM1</v>
      </c>
      <c r="M141" s="329" t="str">
        <f t="shared" si="69"/>
        <v>GU - Gas</v>
      </c>
      <c r="N141">
        <v>0.3</v>
      </c>
      <c r="O141" s="1">
        <v>0.4</v>
      </c>
      <c r="P141" s="1">
        <v>0.4</v>
      </c>
      <c r="Q141" s="1"/>
      <c r="R141" s="1"/>
      <c r="T141" s="360" t="s">
        <v>688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 spans="1:12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327" t="str">
        <f t="shared" si="69"/>
        <v>Llanos Orientales</v>
      </c>
      <c r="K142" s="327" t="str">
        <f t="shared" si="69"/>
        <v>Light Oil</v>
      </c>
      <c r="L142" s="328" t="str">
        <f t="shared" si="69"/>
        <v>CAM2</v>
      </c>
      <c r="M142" s="340" t="str">
        <f t="shared" si="69"/>
        <v>LLO - Ligth</v>
      </c>
      <c r="N142">
        <v>0.3</v>
      </c>
      <c r="O142" s="1">
        <v>0.43269346063820407</v>
      </c>
      <c r="P142" s="1">
        <v>0.9</v>
      </c>
      <c r="Q142" s="1"/>
      <c r="R142" s="1"/>
      <c r="S142" s="12" t="s">
        <v>689</v>
      </c>
      <c r="T142" s="12">
        <v>1.8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 spans="1:12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327" t="str">
        <f t="shared" si="69"/>
        <v>Llanos Orientales</v>
      </c>
      <c r="K143" s="327" t="str">
        <f t="shared" si="69"/>
        <v>Heavy Oil</v>
      </c>
      <c r="L143" s="328" t="str">
        <f t="shared" si="69"/>
        <v>CAM3</v>
      </c>
      <c r="M143" s="342" t="str">
        <f t="shared" si="69"/>
        <v>LLO - Heavy</v>
      </c>
      <c r="N143">
        <v>0.3</v>
      </c>
      <c r="O143" s="1">
        <v>0.49996718655326178</v>
      </c>
      <c r="P143" s="1">
        <v>0.5</v>
      </c>
      <c r="Q143" s="1"/>
      <c r="R143" s="1"/>
      <c r="S143" s="12" t="s">
        <v>680</v>
      </c>
      <c r="T143" s="12">
        <v>0.3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</row>
    <row r="144" spans="1:12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327" t="str">
        <f t="shared" si="69"/>
        <v>Putumayo</v>
      </c>
      <c r="K144" s="327" t="str">
        <f t="shared" si="69"/>
        <v>Light Oil</v>
      </c>
      <c r="L144" s="328" t="str">
        <f t="shared" si="69"/>
        <v>CAM4</v>
      </c>
      <c r="M144" s="342" t="str">
        <f t="shared" si="69"/>
        <v>PU - Ligth</v>
      </c>
      <c r="N144">
        <v>0.3</v>
      </c>
      <c r="O144" s="1">
        <v>0.5</v>
      </c>
      <c r="P144" s="1">
        <v>0.9</v>
      </c>
      <c r="Q144" s="1"/>
      <c r="R144" s="1"/>
      <c r="S144" s="12" t="s">
        <v>690</v>
      </c>
      <c r="T144" s="12">
        <v>0.4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</row>
    <row r="145" spans="1:12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327" t="str">
        <f t="shared" si="69"/>
        <v>VMM</v>
      </c>
      <c r="K145" s="327" t="str">
        <f t="shared" si="69"/>
        <v>Medium Oil</v>
      </c>
      <c r="L145" s="328" t="str">
        <f t="shared" si="69"/>
        <v>CAM5</v>
      </c>
      <c r="M145" s="342" t="str">
        <f t="shared" si="69"/>
        <v>VMM - Medium</v>
      </c>
      <c r="N145">
        <v>0.3</v>
      </c>
      <c r="O145" s="1">
        <v>0.49860248221635156</v>
      </c>
      <c r="P145" s="1">
        <v>0.9</v>
      </c>
      <c r="Q145" s="1"/>
      <c r="R145" s="1"/>
      <c r="S145" s="12" t="s">
        <v>682</v>
      </c>
      <c r="T145" s="12">
        <v>0.5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</row>
    <row r="146" spans="1:12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327" t="str">
        <f t="shared" si="69"/>
        <v>VSM</v>
      </c>
      <c r="K146" s="327" t="str">
        <f t="shared" si="69"/>
        <v>Medium Oil</v>
      </c>
      <c r="L146" s="328" t="str">
        <f t="shared" si="69"/>
        <v>CAM6</v>
      </c>
      <c r="M146" s="340" t="str">
        <f t="shared" si="69"/>
        <v>VSM - Medium</v>
      </c>
      <c r="N146">
        <v>0.3</v>
      </c>
      <c r="O146" s="1">
        <v>0.4978635616002956</v>
      </c>
      <c r="P146" s="1">
        <v>0.9</v>
      </c>
      <c r="Q146" s="1"/>
      <c r="R146" s="1"/>
      <c r="S146" s="12" t="s">
        <v>691</v>
      </c>
      <c r="T146" s="12">
        <v>0.7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</row>
    <row r="147" spans="1:12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327" t="str">
        <f t="shared" si="69"/>
        <v>VIM</v>
      </c>
      <c r="K147" s="327" t="str">
        <f t="shared" si="69"/>
        <v>Doesn't Apply</v>
      </c>
      <c r="L147" s="328" t="str">
        <f t="shared" si="69"/>
        <v>CAM7</v>
      </c>
      <c r="M147" s="340" t="str">
        <f t="shared" si="69"/>
        <v>VIM - GAS</v>
      </c>
      <c r="N147">
        <v>0.3</v>
      </c>
      <c r="O147" s="1">
        <v>0.40055332153802492</v>
      </c>
      <c r="P147" s="1">
        <v>0.4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</row>
    <row r="148" spans="1:12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77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</row>
    <row r="149" spans="1:12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77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</row>
    <row r="150" spans="1:12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  <row r="151" spans="1:121" ht="15.75" customHeight="1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 spans="1:121" ht="15.75" customHeight="1" thickBot="1" x14ac:dyDescent="0.35">
      <c r="J152" s="730" t="s">
        <v>692</v>
      </c>
      <c r="K152" s="725"/>
      <c r="L152" s="725"/>
      <c r="M152" s="725"/>
      <c r="N152" s="725"/>
      <c r="O152" s="725"/>
      <c r="P152" s="725"/>
      <c r="Q152" s="725"/>
      <c r="R152" s="725"/>
      <c r="S152" s="725"/>
      <c r="T152" s="725"/>
      <c r="U152" s="725"/>
      <c r="V152" s="725"/>
      <c r="W152" s="725"/>
      <c r="X152" s="725"/>
      <c r="Y152" s="725"/>
      <c r="Z152" s="725"/>
      <c r="AA152" s="725"/>
      <c r="AB152" s="725"/>
      <c r="AC152" s="725"/>
      <c r="AD152" s="725"/>
      <c r="AE152" s="725"/>
      <c r="AF152" s="725"/>
      <c r="AG152" s="726"/>
      <c r="CV152" s="1"/>
      <c r="CW152" s="1"/>
      <c r="CX152" s="1"/>
      <c r="CY152" s="1"/>
      <c r="CZ152" s="1"/>
      <c r="DA152" s="1"/>
      <c r="DB152" s="1"/>
    </row>
    <row r="153" spans="1:121" ht="15.75" customHeight="1" x14ac:dyDescent="0.25">
      <c r="CV153" s="1"/>
      <c r="CW153" s="1"/>
      <c r="CX153" s="1"/>
      <c r="CY153" s="1"/>
      <c r="CZ153" s="1"/>
      <c r="DA153" s="1"/>
      <c r="DB153" s="1"/>
    </row>
    <row r="154" spans="1:121" ht="15.75" customHeight="1" x14ac:dyDescent="0.3">
      <c r="J154" s="12" t="s">
        <v>693</v>
      </c>
      <c r="W154" s="361" t="s">
        <v>694</v>
      </c>
      <c r="X154" s="361"/>
      <c r="Y154" s="361"/>
      <c r="Z154" s="361"/>
      <c r="AA154" s="361"/>
      <c r="AB154" s="361"/>
      <c r="AC154" s="361"/>
      <c r="AF154" s="361" t="s">
        <v>695</v>
      </c>
      <c r="AG154" s="361"/>
      <c r="AH154" s="361"/>
      <c r="AI154" s="361"/>
      <c r="AJ154" s="361"/>
      <c r="AK154" s="361"/>
      <c r="AL154" s="361"/>
      <c r="AY154" s="361" t="s">
        <v>696</v>
      </c>
      <c r="AZ154" s="361"/>
      <c r="BA154" s="361"/>
      <c r="BB154" s="361"/>
      <c r="BC154" s="361"/>
      <c r="BD154" s="361"/>
      <c r="BE154" s="361"/>
      <c r="CV154" s="1"/>
      <c r="CW154" s="1"/>
      <c r="CX154" s="1"/>
      <c r="CY154" s="1"/>
      <c r="CZ154" s="1"/>
      <c r="DA154" s="1"/>
      <c r="DB154" s="1"/>
    </row>
    <row r="155" spans="1:121" ht="15.75" customHeight="1" x14ac:dyDescent="0.25">
      <c r="J155" s="321" t="str">
        <f t="shared" ref="J155:M162" si="70">J120</f>
        <v>Basin</v>
      </c>
      <c r="K155" s="321" t="str">
        <f t="shared" si="70"/>
        <v>Type Fluid</v>
      </c>
      <c r="L155" s="321" t="str">
        <f t="shared" si="70"/>
        <v>CAM</v>
      </c>
      <c r="M155" s="321" t="str">
        <f t="shared" si="70"/>
        <v>Type of Oil producing</v>
      </c>
      <c r="N155" s="727" t="s">
        <v>697</v>
      </c>
      <c r="O155" s="714"/>
      <c r="P155" s="727" t="s">
        <v>697</v>
      </c>
      <c r="Q155" s="714"/>
      <c r="R155" s="362" t="s">
        <v>698</v>
      </c>
      <c r="S155" s="362" t="s">
        <v>699</v>
      </c>
      <c r="W155" s="12" t="s">
        <v>700</v>
      </c>
      <c r="X155" s="12" t="s">
        <v>701</v>
      </c>
      <c r="Y155" s="12" t="s">
        <v>623</v>
      </c>
      <c r="Z155" s="12" t="s">
        <v>702</v>
      </c>
      <c r="AA155" s="12" t="s">
        <v>703</v>
      </c>
      <c r="AB155" s="12" t="s">
        <v>637</v>
      </c>
      <c r="AC155" s="12" t="s">
        <v>704</v>
      </c>
      <c r="AF155" s="12" t="s">
        <v>700</v>
      </c>
      <c r="AG155" s="12" t="s">
        <v>701</v>
      </c>
      <c r="AH155" s="12" t="s">
        <v>623</v>
      </c>
      <c r="AI155" s="12" t="s">
        <v>702</v>
      </c>
      <c r="AJ155" s="12" t="s">
        <v>703</v>
      </c>
      <c r="AK155" s="12" t="s">
        <v>637</v>
      </c>
      <c r="AL155" s="12" t="s">
        <v>704</v>
      </c>
      <c r="AO155" s="12" t="s">
        <v>700</v>
      </c>
      <c r="AP155" s="12" t="s">
        <v>701</v>
      </c>
      <c r="AQ155" s="12" t="s">
        <v>623</v>
      </c>
      <c r="AR155" s="12" t="s">
        <v>702</v>
      </c>
      <c r="AS155" s="12" t="s">
        <v>703</v>
      </c>
      <c r="AT155" s="12" t="s">
        <v>637</v>
      </c>
      <c r="AU155" s="12" t="s">
        <v>704</v>
      </c>
      <c r="AY155" s="12" t="s">
        <v>700</v>
      </c>
      <c r="AZ155" s="12" t="s">
        <v>701</v>
      </c>
      <c r="BA155" s="12" t="s">
        <v>623</v>
      </c>
      <c r="BB155" s="12" t="s">
        <v>702</v>
      </c>
      <c r="BC155" s="12" t="s">
        <v>703</v>
      </c>
      <c r="BD155" s="12" t="s">
        <v>637</v>
      </c>
      <c r="BE155" s="12" t="s">
        <v>704</v>
      </c>
      <c r="CV155" s="1"/>
      <c r="CW155" s="1"/>
      <c r="CX155" s="1"/>
      <c r="CY155" s="1"/>
      <c r="CZ155" s="1"/>
      <c r="DA155" s="1"/>
      <c r="DB155" s="1"/>
    </row>
    <row r="156" spans="1:121" ht="15.75" customHeight="1" x14ac:dyDescent="0.25">
      <c r="J156" s="327" t="str">
        <f t="shared" si="70"/>
        <v>Guajira</v>
      </c>
      <c r="K156" s="327" t="str">
        <f t="shared" si="70"/>
        <v>Doesn't Apply</v>
      </c>
      <c r="L156" s="328" t="str">
        <f t="shared" si="70"/>
        <v>CAM1</v>
      </c>
      <c r="M156" s="329" t="str">
        <f t="shared" si="70"/>
        <v>GU - Gas</v>
      </c>
      <c r="N156" s="363">
        <v>0</v>
      </c>
      <c r="O156" s="364" t="s">
        <v>705</v>
      </c>
      <c r="P156" s="365">
        <f>+N156*(365/1000)*$D$14/1000</f>
        <v>0</v>
      </c>
      <c r="Q156" s="12" t="s">
        <v>56</v>
      </c>
      <c r="R156" s="185">
        <f t="shared" ref="R156:R162" si="71">+AA99</f>
        <v>0</v>
      </c>
      <c r="S156" s="226">
        <v>0</v>
      </c>
      <c r="V156" s="12">
        <v>2019</v>
      </c>
      <c r="W156" s="240">
        <v>2253.928870417391</v>
      </c>
      <c r="X156" s="240">
        <v>3992.1013839447819</v>
      </c>
      <c r="Y156" s="240">
        <v>469.74801054894476</v>
      </c>
      <c r="Z156" s="240">
        <v>1938.6301241137664</v>
      </c>
      <c r="AA156" s="240">
        <v>7348.5205434398176</v>
      </c>
      <c r="AB156" s="240">
        <v>162.27952651346473</v>
      </c>
      <c r="AC156" s="240">
        <v>0</v>
      </c>
      <c r="AE156" s="12">
        <v>2019</v>
      </c>
      <c r="AF156" s="240">
        <v>347.22849429808105</v>
      </c>
      <c r="AG156" s="240">
        <v>651.23296939487716</v>
      </c>
      <c r="AH156" s="240">
        <v>0</v>
      </c>
      <c r="AI156" s="240">
        <v>0</v>
      </c>
      <c r="AJ156" s="240">
        <v>1470.6685125882132</v>
      </c>
      <c r="AK156" s="240">
        <v>0</v>
      </c>
      <c r="AL156" s="240">
        <v>0</v>
      </c>
      <c r="AN156" s="12">
        <v>2019</v>
      </c>
      <c r="AO156" s="147">
        <f t="shared" ref="AO156:AU163" si="72">+AF156/W156</f>
        <v>0.15405477025270101</v>
      </c>
      <c r="AP156" s="147">
        <f t="shared" si="72"/>
        <v>0.16313036838542497</v>
      </c>
      <c r="AQ156" s="147">
        <f t="shared" si="72"/>
        <v>0</v>
      </c>
      <c r="AR156" s="147">
        <f t="shared" si="72"/>
        <v>0</v>
      </c>
      <c r="AS156" s="147">
        <f t="shared" si="72"/>
        <v>0.20013123783141773</v>
      </c>
      <c r="AT156" s="147">
        <f t="shared" si="72"/>
        <v>0</v>
      </c>
      <c r="AU156" s="147"/>
      <c r="AX156" s="12">
        <v>2019</v>
      </c>
      <c r="AY156" s="240">
        <f t="shared" ref="AY156:BE163" si="73">+W156-AF156</f>
        <v>1906.70037611931</v>
      </c>
      <c r="AZ156" s="240">
        <f t="shared" si="73"/>
        <v>3340.8684145499046</v>
      </c>
      <c r="BA156" s="240">
        <f t="shared" si="73"/>
        <v>469.74801054894476</v>
      </c>
      <c r="BB156" s="240">
        <f t="shared" si="73"/>
        <v>1938.6301241137664</v>
      </c>
      <c r="BC156" s="240">
        <f t="shared" si="73"/>
        <v>5877.8520308516045</v>
      </c>
      <c r="BD156" s="240">
        <f t="shared" si="73"/>
        <v>162.27952651346473</v>
      </c>
      <c r="BE156" s="240">
        <f t="shared" si="73"/>
        <v>0</v>
      </c>
      <c r="CV156" s="1"/>
      <c r="CW156" s="1"/>
      <c r="CX156" s="1"/>
      <c r="CY156" s="1"/>
      <c r="CZ156" s="1"/>
      <c r="DA156" s="1"/>
      <c r="DB156" s="1"/>
    </row>
    <row r="157" spans="1:121" ht="15.75" customHeight="1" x14ac:dyDescent="0.25">
      <c r="J157" s="327" t="str">
        <f t="shared" si="70"/>
        <v>Llanos Orientales</v>
      </c>
      <c r="K157" s="327" t="str">
        <f t="shared" si="70"/>
        <v>Light Oil</v>
      </c>
      <c r="L157" s="328" t="str">
        <f t="shared" si="70"/>
        <v>CAM2</v>
      </c>
      <c r="M157" s="340" t="str">
        <f t="shared" si="70"/>
        <v>LLO - Ligth</v>
      </c>
      <c r="N157" s="363">
        <f>+Z164+AA164</f>
        <v>13800</v>
      </c>
      <c r="O157" s="364" t="s">
        <v>705</v>
      </c>
      <c r="P157" s="88">
        <f>+N157*(365/1000)*$D$14/1000</f>
        <v>20.431412075508355</v>
      </c>
      <c r="Q157" s="12" t="s">
        <v>56</v>
      </c>
      <c r="R157" s="185">
        <f>+AA100</f>
        <v>0.18787698363071906</v>
      </c>
      <c r="S157" s="226">
        <f t="shared" ref="S157:S158" si="74">+P157/R157</f>
        <v>108.74888280976049</v>
      </c>
      <c r="V157" s="12">
        <v>2020</v>
      </c>
      <c r="W157" s="240">
        <v>3027.9177591474381</v>
      </c>
      <c r="X157" s="240">
        <v>3316.6466078710505</v>
      </c>
      <c r="Y157" s="240">
        <v>347.53424063269131</v>
      </c>
      <c r="Z157" s="240">
        <v>7140.2739468576701</v>
      </c>
      <c r="AA157" s="240">
        <v>7420.2740498379508</v>
      </c>
      <c r="AB157" s="240">
        <v>176.72627372066282</v>
      </c>
      <c r="AC157" s="240">
        <v>1571.0794682741891</v>
      </c>
      <c r="AD157" s="240"/>
      <c r="AE157" s="12">
        <v>2020</v>
      </c>
      <c r="AF157" s="240">
        <v>350.95902255861745</v>
      </c>
      <c r="AG157" s="240">
        <v>453.64932302125374</v>
      </c>
      <c r="AH157" s="240">
        <v>0</v>
      </c>
      <c r="AI157" s="240">
        <v>586.84388285864247</v>
      </c>
      <c r="AJ157" s="240">
        <v>6570.3589924795442</v>
      </c>
      <c r="AK157" s="240">
        <v>0</v>
      </c>
      <c r="AL157" s="240">
        <v>0</v>
      </c>
      <c r="AN157" s="12">
        <v>2020</v>
      </c>
      <c r="AO157" s="147">
        <f t="shared" si="72"/>
        <v>0.1159077129814239</v>
      </c>
      <c r="AP157" s="147">
        <f t="shared" si="72"/>
        <v>0.13677951758401249</v>
      </c>
      <c r="AQ157" s="147">
        <f t="shared" si="72"/>
        <v>0</v>
      </c>
      <c r="AR157" s="147">
        <f t="shared" si="72"/>
        <v>8.2187866631770315E-2</v>
      </c>
      <c r="AS157" s="147">
        <f t="shared" si="72"/>
        <v>0.88546042212861831</v>
      </c>
      <c r="AT157" s="147">
        <f t="shared" si="72"/>
        <v>0</v>
      </c>
      <c r="AU157" s="147">
        <f t="shared" si="72"/>
        <v>0</v>
      </c>
      <c r="AX157" s="12">
        <v>2020</v>
      </c>
      <c r="AY157" s="240">
        <f t="shared" si="73"/>
        <v>2676.9587365888206</v>
      </c>
      <c r="AZ157" s="240">
        <f t="shared" si="73"/>
        <v>2862.9972848497969</v>
      </c>
      <c r="BA157" s="240">
        <f t="shared" si="73"/>
        <v>347.53424063269131</v>
      </c>
      <c r="BB157" s="240">
        <f t="shared" si="73"/>
        <v>6553.4300639990279</v>
      </c>
      <c r="BC157" s="240">
        <f t="shared" si="73"/>
        <v>849.91505735840656</v>
      </c>
      <c r="BD157" s="240">
        <f t="shared" si="73"/>
        <v>176.72627372066282</v>
      </c>
      <c r="BE157" s="240">
        <f t="shared" si="73"/>
        <v>1571.0794682741891</v>
      </c>
      <c r="CV157" s="1"/>
      <c r="CW157" s="1"/>
      <c r="CX157" s="1"/>
      <c r="CY157" s="1"/>
      <c r="CZ157" s="1"/>
      <c r="DA157" s="1"/>
      <c r="DB157" s="1"/>
    </row>
    <row r="158" spans="1:121" ht="15.75" customHeight="1" x14ac:dyDescent="0.25">
      <c r="J158" s="327" t="str">
        <f t="shared" si="70"/>
        <v>Llanos Orientales</v>
      </c>
      <c r="K158" s="327" t="str">
        <f t="shared" si="70"/>
        <v>Heavy Oil</v>
      </c>
      <c r="L158" s="328" t="str">
        <f t="shared" si="70"/>
        <v>CAM3</v>
      </c>
      <c r="M158" s="342" t="str">
        <f t="shared" si="70"/>
        <v>LLO - Heavy</v>
      </c>
      <c r="N158" s="363">
        <f>+Y164</f>
        <v>800</v>
      </c>
      <c r="O158" s="364" t="s">
        <v>705</v>
      </c>
      <c r="P158" s="88">
        <f t="shared" ref="P158:P162" si="75">+N158*(365/1000)*$D$14/1000</f>
        <v>1.1844296855367162</v>
      </c>
      <c r="Q158" s="12" t="s">
        <v>56</v>
      </c>
      <c r="R158" s="185">
        <f t="shared" si="71"/>
        <v>0.4507029118970462</v>
      </c>
      <c r="S158" s="226">
        <f t="shared" si="74"/>
        <v>2.6279610232633126</v>
      </c>
      <c r="V158" s="12">
        <v>2021</v>
      </c>
      <c r="W158" s="240">
        <v>3280.7944883974951</v>
      </c>
      <c r="X158" s="240">
        <v>3020.6328992252193</v>
      </c>
      <c r="Y158" s="240">
        <v>267.12599398671159</v>
      </c>
      <c r="Z158" s="240">
        <v>7049.5889960420182</v>
      </c>
      <c r="AA158" s="240">
        <v>7400.0000965440149</v>
      </c>
      <c r="AB158" s="240">
        <v>169.26612475518095</v>
      </c>
      <c r="AC158" s="240">
        <v>1874.0000212396833</v>
      </c>
      <c r="AD158" s="240"/>
      <c r="AE158" s="12">
        <v>2021</v>
      </c>
      <c r="AF158" s="240">
        <v>461.78091498490204</v>
      </c>
      <c r="AG158" s="240">
        <v>400.00002989759628</v>
      </c>
      <c r="AH158" s="240">
        <v>0</v>
      </c>
      <c r="AI158" s="240">
        <v>789.50138556750676</v>
      </c>
      <c r="AJ158" s="240">
        <v>7400.0000965440149</v>
      </c>
      <c r="AK158" s="240">
        <v>0</v>
      </c>
      <c r="AL158" s="240">
        <v>0</v>
      </c>
      <c r="AN158" s="12">
        <v>2021</v>
      </c>
      <c r="AO158" s="147">
        <f t="shared" si="72"/>
        <v>0.1407527708968016</v>
      </c>
      <c r="AP158" s="147">
        <f t="shared" si="72"/>
        <v>0.13242258931901152</v>
      </c>
      <c r="AQ158" s="147">
        <f t="shared" si="72"/>
        <v>0</v>
      </c>
      <c r="AR158" s="147">
        <f t="shared" si="72"/>
        <v>0.11199254112697508</v>
      </c>
      <c r="AS158" s="147">
        <f t="shared" si="72"/>
        <v>1</v>
      </c>
      <c r="AT158" s="147">
        <f t="shared" si="72"/>
        <v>0</v>
      </c>
      <c r="AU158" s="147">
        <f t="shared" si="72"/>
        <v>0</v>
      </c>
      <c r="AX158" s="12">
        <v>2021</v>
      </c>
      <c r="AY158" s="240">
        <f t="shared" si="73"/>
        <v>2819.0135734125929</v>
      </c>
      <c r="AZ158" s="240">
        <f t="shared" si="73"/>
        <v>2620.6328693276228</v>
      </c>
      <c r="BA158" s="240">
        <f t="shared" si="73"/>
        <v>267.12599398671159</v>
      </c>
      <c r="BB158" s="240">
        <f t="shared" si="73"/>
        <v>6260.0876104745112</v>
      </c>
      <c r="BC158" s="240">
        <f t="shared" si="73"/>
        <v>0</v>
      </c>
      <c r="BD158" s="240">
        <f t="shared" si="73"/>
        <v>169.26612475518095</v>
      </c>
      <c r="BE158" s="240">
        <f t="shared" si="73"/>
        <v>1874.0000212396833</v>
      </c>
      <c r="CV158" s="1"/>
      <c r="CW158" s="1"/>
      <c r="CX158" s="1"/>
      <c r="CY158" s="1"/>
      <c r="CZ158" s="1"/>
      <c r="DA158" s="1"/>
      <c r="DB158" s="1"/>
    </row>
    <row r="159" spans="1:121" ht="15.75" customHeight="1" x14ac:dyDescent="0.25">
      <c r="J159" s="327" t="str">
        <f t="shared" si="70"/>
        <v>Putumayo</v>
      </c>
      <c r="K159" s="327" t="str">
        <f t="shared" si="70"/>
        <v>Light Oil</v>
      </c>
      <c r="L159" s="328" t="str">
        <f t="shared" si="70"/>
        <v>CAM4</v>
      </c>
      <c r="M159" s="342" t="str">
        <f t="shared" si="70"/>
        <v>PU - Ligth</v>
      </c>
      <c r="N159" s="363">
        <f>+T102</f>
        <v>0</v>
      </c>
      <c r="O159" s="364" t="s">
        <v>705</v>
      </c>
      <c r="P159" s="365">
        <f t="shared" si="75"/>
        <v>0</v>
      </c>
      <c r="Q159" s="12" t="s">
        <v>56</v>
      </c>
      <c r="R159" s="185">
        <f t="shared" si="71"/>
        <v>0</v>
      </c>
      <c r="S159" s="226">
        <v>0</v>
      </c>
      <c r="V159" s="12">
        <v>2022</v>
      </c>
      <c r="W159" s="240">
        <v>2986.0297811673495</v>
      </c>
      <c r="X159" s="240">
        <v>4543.9452015278557</v>
      </c>
      <c r="Y159" s="240">
        <v>398.74520547945207</v>
      </c>
      <c r="Z159" s="240">
        <v>7989.0794520547943</v>
      </c>
      <c r="AA159" s="240">
        <v>7600.0000000000009</v>
      </c>
      <c r="AB159" s="240">
        <v>162.77808219178081</v>
      </c>
      <c r="AC159" s="240">
        <v>0</v>
      </c>
      <c r="AD159" s="240"/>
      <c r="AE159" s="12">
        <v>2022</v>
      </c>
      <c r="AF159" s="240">
        <v>362.8767123287671</v>
      </c>
      <c r="AG159" s="240">
        <v>1425.3524614333717</v>
      </c>
      <c r="AH159" s="240">
        <v>398.74520547945207</v>
      </c>
      <c r="AI159" s="240">
        <v>582.7534246575342</v>
      </c>
      <c r="AJ159" s="240">
        <v>2194.0107410722189</v>
      </c>
      <c r="AK159" s="240">
        <v>0</v>
      </c>
      <c r="AL159" s="240">
        <v>4.3052837573385521E-3</v>
      </c>
      <c r="AN159" s="12">
        <v>2022</v>
      </c>
      <c r="AO159" s="147">
        <f t="shared" si="72"/>
        <v>0.12152481352242414</v>
      </c>
      <c r="AP159" s="147">
        <f t="shared" si="72"/>
        <v>0.31368170130091166</v>
      </c>
      <c r="AQ159" s="147">
        <f t="shared" si="72"/>
        <v>1</v>
      </c>
      <c r="AR159" s="147">
        <f t="shared" si="72"/>
        <v>7.2943751298862075E-2</v>
      </c>
      <c r="AS159" s="147">
        <f t="shared" si="72"/>
        <v>0.28868562382529195</v>
      </c>
      <c r="AT159" s="147">
        <f t="shared" si="72"/>
        <v>0</v>
      </c>
      <c r="AU159" s="147"/>
      <c r="AX159" s="12">
        <v>2022</v>
      </c>
      <c r="AY159" s="240">
        <f t="shared" si="73"/>
        <v>2623.1530688385824</v>
      </c>
      <c r="AZ159" s="240">
        <f t="shared" si="73"/>
        <v>3118.5927400944838</v>
      </c>
      <c r="BA159" s="240">
        <f t="shared" si="73"/>
        <v>0</v>
      </c>
      <c r="BB159" s="240">
        <f t="shared" si="73"/>
        <v>7406.3260273972601</v>
      </c>
      <c r="BC159" s="240">
        <f t="shared" si="73"/>
        <v>5405.9892589277824</v>
      </c>
      <c r="BD159" s="240">
        <f t="shared" si="73"/>
        <v>162.77808219178081</v>
      </c>
      <c r="BE159" s="240">
        <f t="shared" si="73"/>
        <v>-4.3052837573385521E-3</v>
      </c>
      <c r="CV159" s="1"/>
      <c r="CW159" s="1"/>
      <c r="CX159" s="1"/>
      <c r="CY159" s="1"/>
      <c r="CZ159" s="1"/>
      <c r="DA159" s="1"/>
      <c r="DB159" s="1"/>
    </row>
    <row r="160" spans="1:121" ht="15.75" customHeight="1" x14ac:dyDescent="0.25">
      <c r="J160" s="327" t="str">
        <f t="shared" si="70"/>
        <v>VMM</v>
      </c>
      <c r="K160" s="327" t="str">
        <f t="shared" si="70"/>
        <v>Medium Oil</v>
      </c>
      <c r="L160" s="328" t="str">
        <f t="shared" si="70"/>
        <v>CAM5</v>
      </c>
      <c r="M160" s="342" t="str">
        <f t="shared" si="70"/>
        <v>VMM - Medium</v>
      </c>
      <c r="N160" s="363">
        <v>0</v>
      </c>
      <c r="O160" s="364" t="s">
        <v>705</v>
      </c>
      <c r="P160" s="365">
        <f t="shared" si="75"/>
        <v>0</v>
      </c>
      <c r="Q160" s="12" t="s">
        <v>56</v>
      </c>
      <c r="R160" s="185">
        <f t="shared" si="71"/>
        <v>0</v>
      </c>
      <c r="S160" s="226">
        <v>0</v>
      </c>
      <c r="V160" s="12">
        <v>2023</v>
      </c>
      <c r="W160" s="240">
        <v>3150</v>
      </c>
      <c r="X160" s="240">
        <v>4240.2564945621634</v>
      </c>
      <c r="Y160" s="240">
        <v>308.45753424657534</v>
      </c>
      <c r="Z160" s="240">
        <v>8100</v>
      </c>
      <c r="AA160" s="240">
        <v>7277.791780821919</v>
      </c>
      <c r="AB160" s="240">
        <v>151.73424657534247</v>
      </c>
      <c r="AC160" s="240">
        <v>0</v>
      </c>
      <c r="AD160" s="240"/>
      <c r="AE160" s="12">
        <v>2023</v>
      </c>
      <c r="AF160" s="240">
        <v>400</v>
      </c>
      <c r="AG160" s="240">
        <v>1500.0000000000002</v>
      </c>
      <c r="AH160" s="240">
        <v>308.45753424657534</v>
      </c>
      <c r="AI160" s="240">
        <v>0</v>
      </c>
      <c r="AJ160" s="240">
        <v>3079.8883113247662</v>
      </c>
      <c r="AK160" s="240">
        <v>0</v>
      </c>
      <c r="AL160" s="240">
        <v>1.3698630136986301E-2</v>
      </c>
      <c r="AN160" s="12">
        <v>2023</v>
      </c>
      <c r="AO160" s="147">
        <f t="shared" si="72"/>
        <v>0.12698412698412698</v>
      </c>
      <c r="AP160" s="147">
        <f t="shared" si="72"/>
        <v>0.3537521850207993</v>
      </c>
      <c r="AQ160" s="147">
        <f t="shared" si="72"/>
        <v>1</v>
      </c>
      <c r="AR160" s="147">
        <f t="shared" si="72"/>
        <v>0</v>
      </c>
      <c r="AS160" s="147">
        <f t="shared" si="72"/>
        <v>0.42318994608237315</v>
      </c>
      <c r="AT160" s="147">
        <f t="shared" si="72"/>
        <v>0</v>
      </c>
      <c r="AU160" s="147"/>
      <c r="AX160" s="12">
        <v>2023</v>
      </c>
      <c r="AY160" s="240">
        <f t="shared" si="73"/>
        <v>2750</v>
      </c>
      <c r="AZ160" s="240">
        <f t="shared" si="73"/>
        <v>2740.2564945621634</v>
      </c>
      <c r="BA160" s="240">
        <f t="shared" si="73"/>
        <v>0</v>
      </c>
      <c r="BB160" s="240">
        <f t="shared" si="73"/>
        <v>8100</v>
      </c>
      <c r="BC160" s="240">
        <f t="shared" si="73"/>
        <v>4197.9034694971524</v>
      </c>
      <c r="BD160" s="240">
        <f t="shared" si="73"/>
        <v>151.73424657534247</v>
      </c>
      <c r="BE160" s="240">
        <f t="shared" si="73"/>
        <v>-1.3698630136986301E-2</v>
      </c>
      <c r="CV160" s="1"/>
      <c r="CW160" s="1"/>
      <c r="CX160" s="1"/>
      <c r="CY160" s="1"/>
      <c r="CZ160" s="1"/>
      <c r="DA160" s="1"/>
      <c r="DB160" s="1"/>
    </row>
    <row r="161" spans="10:106" ht="15.75" customHeight="1" x14ac:dyDescent="0.25">
      <c r="J161" s="327" t="str">
        <f t="shared" si="70"/>
        <v>VSM</v>
      </c>
      <c r="K161" s="327" t="str">
        <f t="shared" si="70"/>
        <v>Medium Oil</v>
      </c>
      <c r="L161" s="328" t="str">
        <f t="shared" si="70"/>
        <v>CAM6</v>
      </c>
      <c r="M161" s="340" t="str">
        <f t="shared" si="70"/>
        <v>VSM - Medium</v>
      </c>
      <c r="N161" s="363">
        <f>+AB164</f>
        <v>176.72627372066282</v>
      </c>
      <c r="O161" s="364" t="s">
        <v>705</v>
      </c>
      <c r="P161" s="88">
        <f t="shared" si="75"/>
        <v>0.26164980601130039</v>
      </c>
      <c r="Q161" s="12" t="s">
        <v>56</v>
      </c>
      <c r="R161" s="185">
        <f t="shared" si="71"/>
        <v>0.39345284643786937</v>
      </c>
      <c r="S161" s="226">
        <f>+P161/R161</f>
        <v>0.66500931021379162</v>
      </c>
      <c r="V161" s="12">
        <v>2024</v>
      </c>
      <c r="W161" s="240">
        <v>3158.6301369863013</v>
      </c>
      <c r="X161" s="240">
        <v>4354.2101192686277</v>
      </c>
      <c r="Y161" s="240">
        <v>260.40547945205481</v>
      </c>
      <c r="Z161" s="240">
        <v>7666.2742499653305</v>
      </c>
      <c r="AA161" s="240">
        <v>5796.1835616438366</v>
      </c>
      <c r="AB161" s="240">
        <v>137.61095890410959</v>
      </c>
      <c r="AC161" s="240">
        <v>0</v>
      </c>
      <c r="AD161" s="240"/>
      <c r="AE161" s="12">
        <v>2024</v>
      </c>
      <c r="AF161" s="240">
        <v>401.09589041095893</v>
      </c>
      <c r="AG161" s="240">
        <v>1504.1095890410961</v>
      </c>
      <c r="AH161" s="240">
        <v>260.40547945205481</v>
      </c>
      <c r="AI161" s="240">
        <v>0</v>
      </c>
      <c r="AJ161" s="240">
        <v>3124.2158880286934</v>
      </c>
      <c r="AK161" s="240">
        <v>0</v>
      </c>
      <c r="AL161" s="240">
        <v>2.3091976516634052E-2</v>
      </c>
      <c r="AN161" s="12">
        <v>2024</v>
      </c>
      <c r="AO161" s="147">
        <f t="shared" si="72"/>
        <v>0.126984126984127</v>
      </c>
      <c r="AP161" s="147">
        <f t="shared" si="72"/>
        <v>0.3454379894036303</v>
      </c>
      <c r="AQ161" s="147">
        <f t="shared" si="72"/>
        <v>1</v>
      </c>
      <c r="AR161" s="147">
        <f t="shared" si="72"/>
        <v>0</v>
      </c>
      <c r="AS161" s="147">
        <f t="shared" si="72"/>
        <v>0.53901258557495457</v>
      </c>
      <c r="AT161" s="147">
        <f t="shared" si="72"/>
        <v>0</v>
      </c>
      <c r="AU161" s="147"/>
      <c r="AX161" s="12">
        <v>2024</v>
      </c>
      <c r="AY161" s="240">
        <f t="shared" si="73"/>
        <v>2757.5342465753424</v>
      </c>
      <c r="AZ161" s="240">
        <f t="shared" si="73"/>
        <v>2850.1005302275316</v>
      </c>
      <c r="BA161" s="240">
        <f t="shared" si="73"/>
        <v>0</v>
      </c>
      <c r="BB161" s="240">
        <f t="shared" si="73"/>
        <v>7666.2742499653305</v>
      </c>
      <c r="BC161" s="240">
        <f t="shared" si="73"/>
        <v>2671.9676736151432</v>
      </c>
      <c r="BD161" s="240">
        <f t="shared" si="73"/>
        <v>137.61095890410959</v>
      </c>
      <c r="BE161" s="240">
        <f t="shared" si="73"/>
        <v>-2.3091976516634052E-2</v>
      </c>
      <c r="CV161" s="1"/>
      <c r="CW161" s="1"/>
      <c r="CX161" s="1"/>
      <c r="CY161" s="1"/>
      <c r="CZ161" s="1"/>
      <c r="DA161" s="1"/>
      <c r="DB161" s="1"/>
    </row>
    <row r="162" spans="10:106" ht="15.75" customHeight="1" x14ac:dyDescent="0.25">
      <c r="J162" s="366" t="str">
        <f t="shared" si="70"/>
        <v>VIM</v>
      </c>
      <c r="K162" s="366" t="str">
        <f t="shared" si="70"/>
        <v>Doesn't Apply</v>
      </c>
      <c r="L162" s="367" t="str">
        <f t="shared" si="70"/>
        <v>CAM7</v>
      </c>
      <c r="M162" s="368" t="str">
        <f t="shared" si="70"/>
        <v>VIM - GAS</v>
      </c>
      <c r="N162" s="363">
        <v>0</v>
      </c>
      <c r="O162" s="364" t="s">
        <v>705</v>
      </c>
      <c r="P162" s="365">
        <f t="shared" si="75"/>
        <v>0</v>
      </c>
      <c r="Q162" s="12" t="s">
        <v>56</v>
      </c>
      <c r="R162" s="185">
        <f t="shared" si="71"/>
        <v>0</v>
      </c>
      <c r="S162" s="226">
        <v>0</v>
      </c>
      <c r="V162" s="12">
        <v>2025</v>
      </c>
      <c r="W162" s="240">
        <v>3105.1978345369666</v>
      </c>
      <c r="X162" s="240">
        <v>4343.2290522179519</v>
      </c>
      <c r="Y162" s="240">
        <v>0</v>
      </c>
      <c r="Z162" s="240">
        <v>6475.9477325608286</v>
      </c>
      <c r="AA162" s="240">
        <v>4784.0799448326134</v>
      </c>
      <c r="AB162" s="240">
        <v>122.13972602739726</v>
      </c>
      <c r="AC162" s="240">
        <v>0</v>
      </c>
      <c r="AD162" s="240"/>
      <c r="AE162" s="12">
        <v>2025</v>
      </c>
      <c r="AF162" s="240">
        <v>400</v>
      </c>
      <c r="AG162" s="240">
        <v>1500.0000000000002</v>
      </c>
      <c r="AH162" s="240">
        <v>0</v>
      </c>
      <c r="AI162" s="240">
        <v>0</v>
      </c>
      <c r="AJ162" s="240">
        <v>3158.6000000000008</v>
      </c>
      <c r="AK162" s="240">
        <v>0</v>
      </c>
      <c r="AL162" s="240">
        <v>3.2485322896281803E-2</v>
      </c>
      <c r="AN162" s="12">
        <v>2025</v>
      </c>
      <c r="AO162" s="147">
        <f t="shared" si="72"/>
        <v>0.12881626914429631</v>
      </c>
      <c r="AP162" s="147">
        <f t="shared" si="72"/>
        <v>0.34536516079758606</v>
      </c>
      <c r="AQ162" s="147"/>
      <c r="AR162" s="147">
        <f t="shared" si="72"/>
        <v>0</v>
      </c>
      <c r="AS162" s="147">
        <f t="shared" si="72"/>
        <v>0.6602314418703793</v>
      </c>
      <c r="AT162" s="147">
        <f t="shared" si="72"/>
        <v>0</v>
      </c>
      <c r="AU162" s="147"/>
      <c r="AX162" s="12">
        <v>2025</v>
      </c>
      <c r="AY162" s="240">
        <f t="shared" si="73"/>
        <v>2705.1978345369666</v>
      </c>
      <c r="AZ162" s="240">
        <f t="shared" si="73"/>
        <v>2843.2290522179519</v>
      </c>
      <c r="BA162" s="240">
        <f t="shared" si="73"/>
        <v>0</v>
      </c>
      <c r="BB162" s="240">
        <f t="shared" si="73"/>
        <v>6475.9477325608286</v>
      </c>
      <c r="BC162" s="240">
        <f t="shared" si="73"/>
        <v>1625.4799448326125</v>
      </c>
      <c r="BD162" s="240">
        <f t="shared" si="73"/>
        <v>122.13972602739726</v>
      </c>
      <c r="BE162" s="240">
        <f t="shared" si="73"/>
        <v>-3.2485322896281803E-2</v>
      </c>
      <c r="CV162" s="1"/>
      <c r="CW162" s="1"/>
      <c r="CX162" s="1"/>
      <c r="CY162" s="1"/>
      <c r="CZ162" s="1"/>
      <c r="DA162" s="1"/>
      <c r="DB162" s="1"/>
    </row>
    <row r="163" spans="10:106" ht="15.75" customHeight="1" x14ac:dyDescent="0.25">
      <c r="J163" s="1"/>
      <c r="K163" s="1"/>
      <c r="L163" s="177"/>
      <c r="M163" s="1"/>
      <c r="V163" s="12">
        <v>2026</v>
      </c>
      <c r="W163" s="240">
        <v>3150</v>
      </c>
      <c r="X163" s="240">
        <v>4428.3000021182488</v>
      </c>
      <c r="Y163" s="240">
        <v>0</v>
      </c>
      <c r="Z163" s="240">
        <v>5586.0490445797504</v>
      </c>
      <c r="AA163" s="240">
        <v>4306.4040682829564</v>
      </c>
      <c r="AB163" s="240">
        <v>109.89315068493151</v>
      </c>
      <c r="AC163" s="240">
        <v>0</v>
      </c>
      <c r="AD163" s="240"/>
      <c r="AE163" s="12">
        <v>2026</v>
      </c>
      <c r="AF163" s="240">
        <v>400</v>
      </c>
      <c r="AG163" s="240">
        <v>1500.0000000000002</v>
      </c>
      <c r="AH163" s="240">
        <v>0</v>
      </c>
      <c r="AI163" s="240">
        <v>0</v>
      </c>
      <c r="AJ163" s="240">
        <v>3158.6000000000008</v>
      </c>
      <c r="AK163" s="240">
        <v>0</v>
      </c>
      <c r="AL163" s="240">
        <v>4.187866927592955E-2</v>
      </c>
      <c r="AN163" s="12">
        <v>2026</v>
      </c>
      <c r="AO163" s="147">
        <f t="shared" si="72"/>
        <v>0.12698412698412698</v>
      </c>
      <c r="AP163" s="147">
        <f t="shared" si="72"/>
        <v>0.33873043815515769</v>
      </c>
      <c r="AQ163" s="147"/>
      <c r="AR163" s="147">
        <f t="shared" si="72"/>
        <v>0</v>
      </c>
      <c r="AS163" s="147">
        <f t="shared" si="72"/>
        <v>0.73346577560228654</v>
      </c>
      <c r="AT163" s="147">
        <f t="shared" si="72"/>
        <v>0</v>
      </c>
      <c r="AU163" s="147"/>
      <c r="AX163" s="12">
        <v>2026</v>
      </c>
      <c r="AY163" s="240">
        <f t="shared" si="73"/>
        <v>2750</v>
      </c>
      <c r="AZ163" s="240">
        <f t="shared" si="73"/>
        <v>2928.3000021182488</v>
      </c>
      <c r="BA163" s="240">
        <f t="shared" si="73"/>
        <v>0</v>
      </c>
      <c r="BB163" s="240">
        <f t="shared" si="73"/>
        <v>5586.0490445797504</v>
      </c>
      <c r="BC163" s="240">
        <f t="shared" si="73"/>
        <v>1147.8040682829555</v>
      </c>
      <c r="BD163" s="240">
        <f t="shared" si="73"/>
        <v>109.89315068493151</v>
      </c>
      <c r="BE163" s="240">
        <f t="shared" si="73"/>
        <v>-4.187866927592955E-2</v>
      </c>
      <c r="CV163" s="1"/>
      <c r="CW163" s="1"/>
      <c r="CX163" s="1"/>
      <c r="CY163" s="1"/>
      <c r="CZ163" s="1"/>
      <c r="DA163" s="1"/>
      <c r="DB163" s="1"/>
    </row>
    <row r="164" spans="10:106" ht="15.75" customHeight="1" x14ac:dyDescent="0.25">
      <c r="J164" s="1"/>
      <c r="K164" s="1"/>
      <c r="L164" s="177"/>
      <c r="M164" s="1"/>
      <c r="N164">
        <f>AA164</f>
        <v>6800</v>
      </c>
      <c r="O164" s="364" t="s">
        <v>705</v>
      </c>
      <c r="P164" s="88">
        <f>+N164*(365/1000)*$D$14/1000</f>
        <v>10.067652327062087</v>
      </c>
      <c r="Q164" s="12" t="s">
        <v>56</v>
      </c>
      <c r="R164" s="185">
        <f>R157</f>
        <v>0.18787698363071906</v>
      </c>
      <c r="S164" s="226">
        <f>+P164/R164</f>
        <v>53.586406022200812</v>
      </c>
      <c r="V164" s="369" t="s">
        <v>706</v>
      </c>
      <c r="Y164" s="370">
        <v>800</v>
      </c>
      <c r="Z164" s="370">
        <v>7000</v>
      </c>
      <c r="AA164" s="370">
        <v>6800</v>
      </c>
      <c r="AB164" s="371">
        <f>+MAX(AB156:AB163)</f>
        <v>176.72627372066282</v>
      </c>
      <c r="AC164" s="370">
        <v>2026</v>
      </c>
      <c r="AD164" s="240"/>
      <c r="AU164" s="147"/>
      <c r="CV164" s="1"/>
      <c r="CW164" s="1"/>
      <c r="CX164" s="1"/>
      <c r="CY164" s="1"/>
      <c r="CZ164" s="1"/>
      <c r="DA164" s="1"/>
      <c r="DB164" s="1"/>
    </row>
    <row r="165" spans="10:106" ht="15.75" customHeight="1" x14ac:dyDescent="0.25">
      <c r="J165" s="1"/>
      <c r="K165" s="1"/>
      <c r="L165" s="177"/>
      <c r="M165" s="1"/>
      <c r="CV165" s="1"/>
      <c r="CW165" s="1"/>
      <c r="CX165" s="1"/>
      <c r="CY165" s="1"/>
      <c r="CZ165" s="1"/>
      <c r="DA165" s="1"/>
      <c r="DB165" s="1"/>
    </row>
    <row r="166" spans="10:106" ht="15.75" customHeight="1" x14ac:dyDescent="0.25">
      <c r="J166" s="1"/>
      <c r="K166" s="1"/>
      <c r="L166" s="177"/>
      <c r="M166" s="1"/>
      <c r="S166" s="372"/>
      <c r="CV166" s="1"/>
      <c r="CW166" s="1"/>
      <c r="CX166" s="1"/>
      <c r="CY166" s="1"/>
      <c r="CZ166" s="1"/>
      <c r="DA166" s="1"/>
      <c r="DB166" s="1"/>
    </row>
    <row r="167" spans="10:106" ht="15.75" customHeight="1" x14ac:dyDescent="0.25">
      <c r="J167" s="1"/>
      <c r="K167" s="1"/>
      <c r="L167" s="177"/>
      <c r="M167" s="1"/>
      <c r="CV167" s="1"/>
      <c r="CW167" s="1"/>
      <c r="CX167" s="1"/>
      <c r="CY167" s="1"/>
      <c r="CZ167" s="1"/>
      <c r="DA167" s="1"/>
      <c r="DB167" s="1"/>
    </row>
    <row r="168" spans="10:106" ht="15" customHeight="1" thickBot="1" x14ac:dyDescent="0.3">
      <c r="J168" s="1"/>
      <c r="K168" s="1"/>
      <c r="L168" s="177"/>
      <c r="M168" s="1"/>
      <c r="T168" s="88"/>
      <c r="U168" s="88"/>
      <c r="V168" s="88"/>
      <c r="W168" s="88"/>
      <c r="X168" s="88"/>
      <c r="Y168" s="88"/>
      <c r="Z168" s="88"/>
      <c r="AA168" s="88"/>
      <c r="AB168" s="88"/>
      <c r="CV168" s="1"/>
      <c r="CW168" s="1"/>
      <c r="CX168" s="1"/>
      <c r="CY168" s="1"/>
      <c r="CZ168" s="1"/>
      <c r="DA168" s="1"/>
      <c r="DB168" s="1"/>
    </row>
    <row r="169" spans="10:106" ht="22.5" customHeight="1" thickBot="1" x14ac:dyDescent="0.35">
      <c r="J169" s="724" t="s">
        <v>707</v>
      </c>
      <c r="K169" s="725"/>
      <c r="L169" s="725"/>
      <c r="M169" s="725"/>
      <c r="N169" s="725"/>
      <c r="O169" s="725"/>
      <c r="P169" s="725"/>
      <c r="Q169" s="725"/>
      <c r="R169" s="725"/>
      <c r="S169" s="725"/>
      <c r="T169" s="725"/>
      <c r="U169" s="725"/>
      <c r="V169" s="725"/>
      <c r="W169" s="725"/>
      <c r="X169" s="725"/>
      <c r="Y169" s="725"/>
      <c r="Z169" s="725"/>
      <c r="AA169" s="725"/>
      <c r="AB169" s="725"/>
      <c r="AC169" s="725"/>
      <c r="AD169" s="725"/>
      <c r="AE169" s="725"/>
      <c r="AF169" s="725"/>
      <c r="AG169" s="726"/>
      <c r="CV169" s="1"/>
      <c r="CW169" s="1"/>
      <c r="CX169" s="1"/>
      <c r="CY169" s="1"/>
      <c r="CZ169" s="1"/>
      <c r="DA169" s="1"/>
      <c r="DB169" s="1"/>
    </row>
    <row r="170" spans="10:106" ht="15" customHeight="1" x14ac:dyDescent="0.25">
      <c r="T170" s="88"/>
      <c r="U170" s="88"/>
      <c r="V170" s="88"/>
      <c r="W170" s="88"/>
      <c r="X170" s="88"/>
      <c r="Y170" s="88"/>
      <c r="Z170" s="88"/>
      <c r="AA170" s="88"/>
      <c r="AB170" s="88"/>
      <c r="CV170" s="1"/>
      <c r="CW170" s="1"/>
      <c r="CX170" s="1"/>
      <c r="CY170" s="1"/>
      <c r="CZ170" s="1"/>
      <c r="DA170" s="1"/>
      <c r="DB170" s="1"/>
    </row>
    <row r="171" spans="10:106" ht="15" customHeight="1" x14ac:dyDescent="0.25">
      <c r="T171" s="88"/>
      <c r="U171" s="88"/>
      <c r="V171" s="88"/>
      <c r="W171" s="88"/>
      <c r="X171" s="88"/>
      <c r="Y171" s="88"/>
      <c r="Z171" s="88"/>
      <c r="AA171" s="88"/>
      <c r="AB171" s="88"/>
      <c r="CV171" s="1"/>
      <c r="CW171" s="1"/>
      <c r="CX171" s="1"/>
      <c r="CY171" s="1"/>
      <c r="CZ171" s="1"/>
      <c r="DA171" s="1"/>
      <c r="DB171" s="1"/>
    </row>
    <row r="172" spans="10:106" ht="15" customHeight="1" x14ac:dyDescent="0.25">
      <c r="T172" s="88"/>
      <c r="U172" s="88"/>
      <c r="V172" s="88"/>
      <c r="W172" s="88"/>
      <c r="X172" s="88"/>
      <c r="Y172" s="88"/>
      <c r="Z172" s="88"/>
      <c r="AA172" s="88"/>
      <c r="AB172" s="88"/>
      <c r="CV172" s="1"/>
      <c r="CW172" s="1"/>
      <c r="CX172" s="1"/>
      <c r="CY172" s="1"/>
      <c r="CZ172" s="1"/>
      <c r="DA172" s="1"/>
      <c r="DB172" s="1"/>
    </row>
    <row r="173" spans="10:106" ht="15" customHeight="1" x14ac:dyDescent="0.25">
      <c r="T173" s="88"/>
      <c r="U173" s="88"/>
      <c r="V173" s="88"/>
      <c r="W173" s="88"/>
      <c r="X173" s="88"/>
      <c r="Y173" s="88"/>
      <c r="Z173" s="88"/>
      <c r="AA173" s="88"/>
      <c r="AB173" s="88"/>
      <c r="CV173" s="1"/>
      <c r="CW173" s="1"/>
      <c r="CX173" s="1"/>
      <c r="CY173" s="1"/>
      <c r="CZ173" s="1"/>
      <c r="DA173" s="1"/>
      <c r="DB173" s="1"/>
    </row>
    <row r="174" spans="10:106" ht="15" customHeight="1" x14ac:dyDescent="0.25">
      <c r="J174" s="723" t="s">
        <v>708</v>
      </c>
      <c r="K174" s="714"/>
      <c r="L174" s="714"/>
      <c r="M174" s="714"/>
      <c r="N174" s="714"/>
      <c r="O174" s="714"/>
      <c r="T174" s="88"/>
      <c r="U174" s="88"/>
      <c r="V174" s="88"/>
      <c r="W174" s="88"/>
      <c r="X174" s="88"/>
      <c r="Y174" s="88"/>
      <c r="Z174" s="88"/>
      <c r="AA174" s="88"/>
      <c r="AB174" s="88"/>
      <c r="CV174" s="1"/>
      <c r="CW174" s="1"/>
      <c r="CX174" s="1"/>
      <c r="CY174" s="1"/>
      <c r="CZ174" s="1"/>
      <c r="DA174" s="1"/>
      <c r="DB174" s="1"/>
    </row>
    <row r="175" spans="10:106" ht="15.75" customHeight="1" x14ac:dyDescent="0.25">
      <c r="CV175" s="1"/>
      <c r="CW175" s="1"/>
      <c r="CX175" s="1"/>
      <c r="CY175" s="1"/>
      <c r="CZ175" s="1"/>
      <c r="DA175" s="1"/>
      <c r="DB175" s="1"/>
    </row>
    <row r="176" spans="10:106" ht="15.75" customHeight="1" x14ac:dyDescent="0.25">
      <c r="J176" s="12" t="s">
        <v>709</v>
      </c>
      <c r="K176" s="12">
        <v>4.9000000000000004</v>
      </c>
      <c r="L176" s="12" t="s">
        <v>710</v>
      </c>
      <c r="M176" s="12">
        <f>+K176/1000</f>
        <v>4.9000000000000007E-3</v>
      </c>
      <c r="N176" s="12" t="s">
        <v>711</v>
      </c>
      <c r="P176" s="12" t="s">
        <v>712</v>
      </c>
      <c r="Q176" s="12">
        <v>4.5999999999999996</v>
      </c>
      <c r="R176" s="88"/>
      <c r="CV176" s="1"/>
      <c r="CW176" s="1"/>
      <c r="CX176" s="1"/>
      <c r="CY176" s="1"/>
      <c r="CZ176" s="1"/>
      <c r="DA176" s="1"/>
      <c r="DB176" s="1"/>
    </row>
    <row r="177" spans="7:106" ht="15.75" customHeight="1" x14ac:dyDescent="0.25">
      <c r="J177" s="12" t="s">
        <v>713</v>
      </c>
      <c r="K177" s="12">
        <v>0.32500000000000001</v>
      </c>
      <c r="L177" s="12" t="s">
        <v>714</v>
      </c>
      <c r="P177" s="12" t="s">
        <v>715</v>
      </c>
      <c r="Q177" s="12">
        <v>3.9</v>
      </c>
      <c r="R177" s="88"/>
      <c r="CV177" s="1"/>
      <c r="CW177" s="1"/>
      <c r="CX177" s="1"/>
      <c r="CY177" s="1"/>
      <c r="CZ177" s="1"/>
      <c r="DA177" s="1"/>
      <c r="DB177" s="1"/>
    </row>
    <row r="178" spans="7:106" ht="15.75" customHeight="1" x14ac:dyDescent="0.25">
      <c r="K178" s="12">
        <f>+K177*1000000</f>
        <v>325000</v>
      </c>
      <c r="L178" s="12" t="s">
        <v>716</v>
      </c>
      <c r="P178" s="12" t="s">
        <v>717</v>
      </c>
      <c r="Q178" s="12">
        <v>1.1000000000000001</v>
      </c>
      <c r="T178" s="372"/>
      <c r="U178" s="372"/>
      <c r="V178" s="372"/>
      <c r="W178" s="372"/>
      <c r="X178" s="372"/>
      <c r="Y178" s="372"/>
      <c r="Z178" s="372"/>
      <c r="AA178" s="372"/>
      <c r="CV178" s="1"/>
      <c r="CW178" s="1"/>
      <c r="CX178" s="1"/>
      <c r="CY178" s="1"/>
      <c r="CZ178" s="1"/>
      <c r="DA178" s="1"/>
      <c r="DB178" s="1"/>
    </row>
    <row r="179" spans="7:106" ht="15.75" customHeight="1" x14ac:dyDescent="0.25">
      <c r="K179" s="12">
        <f>+K178/1000000</f>
        <v>0.32500000000000001</v>
      </c>
      <c r="L179" s="12" t="s">
        <v>718</v>
      </c>
      <c r="P179" s="12" t="s">
        <v>719</v>
      </c>
      <c r="Q179" s="12">
        <v>0.4</v>
      </c>
      <c r="T179" s="372"/>
      <c r="U179" s="372"/>
      <c r="V179" s="372"/>
      <c r="W179" s="372"/>
      <c r="X179" s="372"/>
      <c r="Y179" s="372"/>
      <c r="Z179" s="372"/>
      <c r="AA179" s="372"/>
      <c r="CV179" s="1"/>
      <c r="CW179" s="1"/>
      <c r="CX179" s="1"/>
      <c r="CY179" s="1"/>
      <c r="CZ179" s="1"/>
      <c r="DA179" s="1"/>
      <c r="DB179" s="1"/>
    </row>
    <row r="180" spans="7:106" ht="15.75" customHeight="1" x14ac:dyDescent="0.25">
      <c r="T180" s="372"/>
      <c r="U180" s="372"/>
      <c r="V180" s="372"/>
      <c r="W180" s="372"/>
      <c r="X180" s="372"/>
      <c r="Y180" s="372"/>
      <c r="Z180" s="372"/>
      <c r="AA180" s="372"/>
      <c r="CV180" s="1"/>
      <c r="CW180" s="1"/>
      <c r="CX180" s="1"/>
      <c r="CY180" s="1"/>
      <c r="CZ180" s="1"/>
      <c r="DA180" s="1"/>
      <c r="DB180" s="1"/>
    </row>
    <row r="181" spans="7:106" ht="15.75" customHeight="1" x14ac:dyDescent="0.25">
      <c r="N181" s="14" t="s">
        <v>7</v>
      </c>
      <c r="O181" s="14" t="s">
        <v>720</v>
      </c>
      <c r="U181" s="14" t="s">
        <v>721</v>
      </c>
      <c r="V181" s="12" t="s">
        <v>722</v>
      </c>
      <c r="Y181" s="372" t="s">
        <v>723</v>
      </c>
      <c r="Z181" s="372"/>
      <c r="AA181" s="372"/>
      <c r="CV181" s="1"/>
      <c r="CW181" s="1"/>
      <c r="CX181" s="1"/>
      <c r="CY181" s="1"/>
      <c r="CZ181" s="1"/>
      <c r="DA181" s="1"/>
      <c r="DB181" s="1"/>
    </row>
    <row r="182" spans="7:106" ht="15.75" customHeight="1" x14ac:dyDescent="0.25">
      <c r="J182" s="321" t="str">
        <f t="shared" ref="J182:M189" si="76">J155</f>
        <v>Basin</v>
      </c>
      <c r="K182" s="321" t="str">
        <f t="shared" si="76"/>
        <v>Type Fluid</v>
      </c>
      <c r="L182" s="321" t="str">
        <f t="shared" si="76"/>
        <v>CAM</v>
      </c>
      <c r="M182" s="321" t="str">
        <f t="shared" si="76"/>
        <v>Type of Oil producing</v>
      </c>
      <c r="N182" s="373" t="s">
        <v>724</v>
      </c>
      <c r="U182" s="320" t="s">
        <v>725</v>
      </c>
      <c r="V182" s="12" t="s">
        <v>60</v>
      </c>
      <c r="W182" s="12" t="s">
        <v>726</v>
      </c>
      <c r="X182" s="12" t="s">
        <v>289</v>
      </c>
      <c r="Y182" s="372" t="s">
        <v>727</v>
      </c>
      <c r="Z182" s="372"/>
      <c r="AA182" s="372"/>
      <c r="CV182" s="1"/>
      <c r="CW182" s="1"/>
      <c r="CX182" s="1"/>
      <c r="CY182" s="1"/>
      <c r="CZ182" s="1"/>
      <c r="DA182" s="1"/>
      <c r="DB182" s="1"/>
    </row>
    <row r="183" spans="7:106" ht="15.75" customHeight="1" x14ac:dyDescent="0.25">
      <c r="G183" s="12">
        <v>1.39</v>
      </c>
      <c r="H183" s="12" t="s">
        <v>728</v>
      </c>
      <c r="J183" s="327" t="str">
        <f t="shared" si="76"/>
        <v>Guajira</v>
      </c>
      <c r="K183" s="327" t="str">
        <f t="shared" si="76"/>
        <v>Doesn't Apply</v>
      </c>
      <c r="L183" s="328" t="str">
        <f t="shared" si="76"/>
        <v>CAM1</v>
      </c>
      <c r="M183" s="329" t="str">
        <f t="shared" si="76"/>
        <v>GU - Gas</v>
      </c>
      <c r="N183" s="374">
        <v>2.0999999999999999E-3</v>
      </c>
      <c r="O183" s="12" t="s">
        <v>7</v>
      </c>
      <c r="P183" s="12"/>
      <c r="R183" s="375"/>
      <c r="U183" s="376"/>
      <c r="X183" s="147">
        <v>1</v>
      </c>
      <c r="Y183" s="372"/>
      <c r="Z183" s="372"/>
      <c r="AA183" s="372"/>
      <c r="CV183" s="1"/>
      <c r="CW183" s="1"/>
      <c r="CX183" s="1"/>
      <c r="CY183" s="1"/>
      <c r="CZ183" s="1"/>
      <c r="DA183" s="1"/>
      <c r="DB183" s="1"/>
    </row>
    <row r="184" spans="7:106" ht="15.75" customHeight="1" x14ac:dyDescent="0.25">
      <c r="G184" s="12">
        <f>+G183*6.1/1000</f>
        <v>8.4789999999999987E-3</v>
      </c>
      <c r="J184" s="327" t="str">
        <f t="shared" si="76"/>
        <v>Llanos Orientales</v>
      </c>
      <c r="K184" s="327" t="str">
        <f t="shared" si="76"/>
        <v>Light Oil</v>
      </c>
      <c r="L184" s="328" t="str">
        <f t="shared" si="76"/>
        <v>CAM2</v>
      </c>
      <c r="M184" s="340" t="str">
        <f t="shared" si="76"/>
        <v>LLO - Ligth</v>
      </c>
      <c r="N184" s="374">
        <v>2.0999999999999999E-3</v>
      </c>
      <c r="O184" s="12" t="s">
        <v>7</v>
      </c>
      <c r="U184" s="377">
        <v>2.0999999999999999E-3</v>
      </c>
      <c r="V184" s="378">
        <v>0.6</v>
      </c>
      <c r="W184" s="378">
        <v>0.32</v>
      </c>
      <c r="X184" s="378">
        <f t="shared" ref="X184:X188" si="77">100%-V184-W184</f>
        <v>8.0000000000000016E-2</v>
      </c>
      <c r="Y184" s="376">
        <v>2.1099999999999999E-3</v>
      </c>
      <c r="Z184" s="372"/>
      <c r="AA184" s="372"/>
      <c r="CV184" s="1"/>
      <c r="CW184" s="1"/>
      <c r="CX184" s="1"/>
      <c r="CY184" s="1"/>
      <c r="CZ184" s="1"/>
      <c r="DA184" s="1"/>
      <c r="DB184" s="1"/>
    </row>
    <row r="185" spans="7:106" ht="15.75" customHeight="1" x14ac:dyDescent="0.25">
      <c r="G185" s="12">
        <f>+G184/1000</f>
        <v>8.4789999999999979E-6</v>
      </c>
      <c r="J185" s="327" t="str">
        <f t="shared" si="76"/>
        <v>Llanos Orientales</v>
      </c>
      <c r="K185" s="327" t="str">
        <f t="shared" si="76"/>
        <v>Heavy Oil</v>
      </c>
      <c r="L185" s="328" t="str">
        <f t="shared" si="76"/>
        <v>CAM3</v>
      </c>
      <c r="M185" s="342" t="str">
        <f t="shared" si="76"/>
        <v>LLO - Heavy</v>
      </c>
      <c r="N185" s="374">
        <v>2.0999999999999999E-3</v>
      </c>
      <c r="O185" s="12" t="s">
        <v>7</v>
      </c>
      <c r="U185" s="377">
        <v>2.0999999999999999E-3</v>
      </c>
      <c r="V185" s="378">
        <v>0.6</v>
      </c>
      <c r="W185" s="378">
        <v>0.32</v>
      </c>
      <c r="X185" s="378">
        <f t="shared" si="77"/>
        <v>8.0000000000000016E-2</v>
      </c>
      <c r="Y185" s="376">
        <v>2.1099999999999999E-3</v>
      </c>
      <c r="CV185" s="1"/>
      <c r="CW185" s="1"/>
      <c r="CX185" s="1"/>
      <c r="CY185" s="1"/>
      <c r="CZ185" s="1"/>
      <c r="DA185" s="1"/>
      <c r="DB185" s="1"/>
    </row>
    <row r="186" spans="7:106" ht="15.75" customHeight="1" x14ac:dyDescent="0.25">
      <c r="G186" s="671">
        <f>+G185/0.0036</f>
        <v>2.3552777777777773E-3</v>
      </c>
      <c r="H186" s="12" t="s">
        <v>729</v>
      </c>
      <c r="J186" s="327" t="str">
        <f t="shared" si="76"/>
        <v>Putumayo</v>
      </c>
      <c r="K186" s="327" t="str">
        <f t="shared" si="76"/>
        <v>Light Oil</v>
      </c>
      <c r="L186" s="328" t="str">
        <f t="shared" si="76"/>
        <v>CAM4</v>
      </c>
      <c r="M186" s="342" t="str">
        <f t="shared" si="76"/>
        <v>PU - Ligth</v>
      </c>
      <c r="N186" s="374">
        <v>2.0999999999999999E-3</v>
      </c>
      <c r="O186" s="12" t="s">
        <v>7</v>
      </c>
      <c r="U186" s="377">
        <v>2.0999999999999999E-3</v>
      </c>
      <c r="V186" s="378">
        <v>0.6</v>
      </c>
      <c r="W186" s="378">
        <v>0.32</v>
      </c>
      <c r="X186" s="378">
        <f t="shared" si="77"/>
        <v>8.0000000000000016E-2</v>
      </c>
      <c r="Y186" s="376">
        <v>2.1099999999999999E-3</v>
      </c>
      <c r="CV186" s="1"/>
      <c r="CW186" s="1"/>
      <c r="CX186" s="1"/>
      <c r="CY186" s="1"/>
      <c r="CZ186" s="1"/>
      <c r="DA186" s="1"/>
      <c r="DB186" s="1"/>
    </row>
    <row r="187" spans="7:106" ht="15.75" customHeight="1" x14ac:dyDescent="0.25">
      <c r="J187" s="327" t="str">
        <f t="shared" si="76"/>
        <v>VMM</v>
      </c>
      <c r="K187" s="327" t="str">
        <f t="shared" si="76"/>
        <v>Medium Oil</v>
      </c>
      <c r="L187" s="328" t="str">
        <f t="shared" si="76"/>
        <v>CAM5</v>
      </c>
      <c r="M187" s="342" t="str">
        <f t="shared" si="76"/>
        <v>VMM - Medium</v>
      </c>
      <c r="N187" s="374">
        <v>2.0999999999999999E-3</v>
      </c>
      <c r="O187" s="12" t="s">
        <v>7</v>
      </c>
      <c r="U187" s="377">
        <v>2.0999999999999999E-3</v>
      </c>
      <c r="V187" s="378">
        <v>0.6</v>
      </c>
      <c r="W187" s="378">
        <v>0.32</v>
      </c>
      <c r="X187" s="378">
        <f t="shared" si="77"/>
        <v>8.0000000000000016E-2</v>
      </c>
      <c r="Y187" s="376">
        <v>2.1099999999999999E-3</v>
      </c>
      <c r="CV187" s="1"/>
      <c r="CW187" s="1"/>
      <c r="CX187" s="1"/>
      <c r="CY187" s="1"/>
      <c r="CZ187" s="1"/>
      <c r="DA187" s="1"/>
      <c r="DB187" s="1"/>
    </row>
    <row r="188" spans="7:106" ht="15.75" customHeight="1" x14ac:dyDescent="0.25">
      <c r="J188" s="327" t="str">
        <f t="shared" si="76"/>
        <v>VSM</v>
      </c>
      <c r="K188" s="327" t="str">
        <f t="shared" si="76"/>
        <v>Medium Oil</v>
      </c>
      <c r="L188" s="328" t="str">
        <f t="shared" si="76"/>
        <v>CAM6</v>
      </c>
      <c r="M188" s="340" t="str">
        <f t="shared" si="76"/>
        <v>VSM - Medium</v>
      </c>
      <c r="N188" s="374">
        <v>2.0999999999999999E-3</v>
      </c>
      <c r="O188" s="12" t="s">
        <v>7</v>
      </c>
      <c r="U188" s="377">
        <v>2.0999999999999999E-3</v>
      </c>
      <c r="V188" s="378">
        <v>0.6</v>
      </c>
      <c r="W188" s="378">
        <v>0.32</v>
      </c>
      <c r="X188" s="378">
        <f t="shared" si="77"/>
        <v>8.0000000000000016E-2</v>
      </c>
      <c r="Y188" s="376">
        <v>2.1099999999999999E-3</v>
      </c>
      <c r="CV188" s="1"/>
      <c r="CW188" s="1"/>
      <c r="CX188" s="1"/>
      <c r="CY188" s="1"/>
      <c r="CZ188" s="1"/>
      <c r="DA188" s="1"/>
      <c r="DB188" s="1"/>
    </row>
    <row r="189" spans="7:106" ht="15.75" customHeight="1" x14ac:dyDescent="0.25">
      <c r="J189" s="327" t="str">
        <f t="shared" si="76"/>
        <v>VIM</v>
      </c>
      <c r="K189" s="327" t="str">
        <f t="shared" si="76"/>
        <v>Doesn't Apply</v>
      </c>
      <c r="L189" s="328" t="str">
        <f t="shared" si="76"/>
        <v>CAM7</v>
      </c>
      <c r="M189" s="340" t="str">
        <f t="shared" si="76"/>
        <v>VIM - GAS</v>
      </c>
      <c r="N189" s="374">
        <v>2.0999999999999999E-3</v>
      </c>
      <c r="O189" s="12" t="s">
        <v>7</v>
      </c>
      <c r="U189" s="376"/>
      <c r="V189" s="378"/>
      <c r="W189" s="378"/>
      <c r="X189" s="147">
        <v>0.08</v>
      </c>
      <c r="CV189" s="1"/>
      <c r="CW189" s="1"/>
      <c r="CX189" s="1"/>
      <c r="CY189" s="1"/>
      <c r="CZ189" s="1"/>
      <c r="DA189" s="1"/>
      <c r="DB189" s="1"/>
    </row>
    <row r="190" spans="7:106" ht="15.75" customHeight="1" x14ac:dyDescent="0.25">
      <c r="CV190" s="1"/>
      <c r="CW190" s="1"/>
      <c r="CX190" s="1"/>
      <c r="CY190" s="1"/>
      <c r="CZ190" s="1"/>
      <c r="DA190" s="1"/>
      <c r="DB190" s="1"/>
    </row>
    <row r="191" spans="7:106" ht="15.75" customHeight="1" x14ac:dyDescent="0.25">
      <c r="CV191" s="1"/>
      <c r="CW191" s="1"/>
      <c r="CX191" s="1"/>
      <c r="CY191" s="1"/>
      <c r="CZ191" s="1"/>
      <c r="DA191" s="1"/>
      <c r="DB191" s="1"/>
    </row>
    <row r="192" spans="7:106" ht="15.75" customHeight="1" x14ac:dyDescent="0.25">
      <c r="J192" s="321" t="str">
        <f t="shared" ref="J192:M199" si="78">J182</f>
        <v>Basin</v>
      </c>
      <c r="K192" s="321" t="str">
        <f t="shared" si="78"/>
        <v>Type Fluid</v>
      </c>
      <c r="L192" s="321" t="str">
        <f t="shared" si="78"/>
        <v>CAM</v>
      </c>
      <c r="M192" s="321" t="str">
        <f t="shared" si="78"/>
        <v>Type of Oil producing</v>
      </c>
      <c r="N192" s="379" t="s">
        <v>730</v>
      </c>
      <c r="CV192" s="1"/>
      <c r="CW192" s="1"/>
      <c r="CX192" s="1"/>
      <c r="CY192" s="1"/>
      <c r="CZ192" s="1"/>
      <c r="DA192" s="1"/>
      <c r="DB192" s="1"/>
    </row>
    <row r="193" spans="10:106" ht="15.75" customHeight="1" x14ac:dyDescent="0.25">
      <c r="J193" s="327" t="str">
        <f t="shared" si="78"/>
        <v>Guajira</v>
      </c>
      <c r="K193" s="327" t="str">
        <f t="shared" si="78"/>
        <v>Doesn't Apply</v>
      </c>
      <c r="L193" s="328" t="str">
        <f t="shared" si="78"/>
        <v>CAM1</v>
      </c>
      <c r="M193" s="329" t="str">
        <f t="shared" si="78"/>
        <v>GU - Gas</v>
      </c>
      <c r="N193" s="159">
        <f>Q248</f>
        <v>0.54679802955665024</v>
      </c>
      <c r="Q193" s="369"/>
      <c r="R193" s="12"/>
      <c r="S193" s="12"/>
      <c r="T193" s="12"/>
      <c r="U193" s="12"/>
      <c r="CV193" s="1"/>
      <c r="CW193" s="1"/>
      <c r="CX193" s="1"/>
      <c r="CY193" s="1"/>
      <c r="CZ193" s="1"/>
      <c r="DA193" s="1"/>
      <c r="DB193" s="1"/>
    </row>
    <row r="194" spans="10:106" ht="15.75" customHeight="1" x14ac:dyDescent="0.25">
      <c r="J194" s="327" t="str">
        <f t="shared" si="78"/>
        <v>Llanos Orientales</v>
      </c>
      <c r="K194" s="327" t="str">
        <f t="shared" si="78"/>
        <v>Light Oil</v>
      </c>
      <c r="L194" s="328" t="str">
        <f t="shared" si="78"/>
        <v>CAM2</v>
      </c>
      <c r="M194" s="340" t="str">
        <f t="shared" si="78"/>
        <v>LLO - Ligth</v>
      </c>
      <c r="N194" s="159">
        <f t="shared" ref="N194:N199" si="79">Q249</f>
        <v>0.54679802955665024</v>
      </c>
      <c r="Q194" s="369"/>
      <c r="R194" s="12"/>
      <c r="S194" s="12"/>
      <c r="T194" s="12"/>
      <c r="U194" s="12"/>
      <c r="CV194" s="1"/>
      <c r="CW194" s="1"/>
      <c r="CX194" s="1"/>
      <c r="CY194" s="1"/>
      <c r="CZ194" s="1"/>
      <c r="DA194" s="1"/>
      <c r="DB194" s="1"/>
    </row>
    <row r="195" spans="10:106" ht="15.75" customHeight="1" x14ac:dyDescent="0.25">
      <c r="J195" s="327" t="str">
        <f t="shared" si="78"/>
        <v>Llanos Orientales</v>
      </c>
      <c r="K195" s="327" t="str">
        <f t="shared" si="78"/>
        <v>Heavy Oil</v>
      </c>
      <c r="L195" s="328" t="str">
        <f t="shared" si="78"/>
        <v>CAM3</v>
      </c>
      <c r="M195" s="342" t="str">
        <f t="shared" si="78"/>
        <v>LLO - Heavy</v>
      </c>
      <c r="N195" s="159">
        <f t="shared" si="79"/>
        <v>1.2857142857142856</v>
      </c>
      <c r="CV195" s="1"/>
      <c r="CW195" s="1"/>
      <c r="CX195" s="1"/>
      <c r="CY195" s="1"/>
      <c r="CZ195" s="1"/>
      <c r="DA195" s="1"/>
      <c r="DB195" s="1"/>
    </row>
    <row r="196" spans="10:106" ht="15.75" customHeight="1" x14ac:dyDescent="0.25">
      <c r="J196" s="327" t="str">
        <f t="shared" si="78"/>
        <v>Putumayo</v>
      </c>
      <c r="K196" s="327" t="str">
        <f t="shared" si="78"/>
        <v>Light Oil</v>
      </c>
      <c r="L196" s="328" t="str">
        <f t="shared" si="78"/>
        <v>CAM4</v>
      </c>
      <c r="M196" s="342" t="str">
        <f t="shared" si="78"/>
        <v>PU - Ligth</v>
      </c>
      <c r="N196" s="159">
        <f t="shared" si="79"/>
        <v>0.54679802955665024</v>
      </c>
      <c r="CV196" s="1"/>
      <c r="CW196" s="1"/>
      <c r="CX196" s="1"/>
      <c r="CY196" s="1"/>
      <c r="CZ196" s="1"/>
      <c r="DA196" s="1"/>
      <c r="DB196" s="1"/>
    </row>
    <row r="197" spans="10:106" ht="15.75" customHeight="1" x14ac:dyDescent="0.25">
      <c r="J197" s="327" t="str">
        <f t="shared" si="78"/>
        <v>VMM</v>
      </c>
      <c r="K197" s="327" t="str">
        <f t="shared" si="78"/>
        <v>Medium Oil</v>
      </c>
      <c r="L197" s="328" t="str">
        <f t="shared" si="78"/>
        <v>CAM5</v>
      </c>
      <c r="M197" s="342" t="str">
        <f t="shared" si="78"/>
        <v>VMM - Medium</v>
      </c>
      <c r="N197" s="159">
        <f t="shared" si="79"/>
        <v>1.2857142857142856</v>
      </c>
      <c r="S197" s="12"/>
      <c r="T197" s="12"/>
      <c r="U197" s="12"/>
      <c r="CV197" s="1"/>
      <c r="CW197" s="1"/>
      <c r="CX197" s="1"/>
      <c r="CY197" s="1"/>
      <c r="CZ197" s="1"/>
      <c r="DA197" s="1"/>
      <c r="DB197" s="1"/>
    </row>
    <row r="198" spans="10:106" ht="15.75" customHeight="1" x14ac:dyDescent="0.25">
      <c r="J198" s="327" t="str">
        <f t="shared" si="78"/>
        <v>VSM</v>
      </c>
      <c r="K198" s="327" t="str">
        <f t="shared" si="78"/>
        <v>Medium Oil</v>
      </c>
      <c r="L198" s="328" t="str">
        <f t="shared" si="78"/>
        <v>CAM6</v>
      </c>
      <c r="M198" s="340" t="str">
        <f t="shared" si="78"/>
        <v>VSM - Medium</v>
      </c>
      <c r="N198" s="159">
        <f t="shared" si="79"/>
        <v>1.2857142857142856</v>
      </c>
      <c r="U198" s="12"/>
      <c r="CV198" s="1"/>
      <c r="CW198" s="1"/>
      <c r="CX198" s="1"/>
      <c r="CY198" s="1"/>
      <c r="CZ198" s="1"/>
      <c r="DA198" s="1"/>
      <c r="DB198" s="1"/>
    </row>
    <row r="199" spans="10:106" ht="15.75" customHeight="1" x14ac:dyDescent="0.25">
      <c r="J199" s="327" t="str">
        <f t="shared" si="78"/>
        <v>VIM</v>
      </c>
      <c r="K199" s="327" t="str">
        <f t="shared" si="78"/>
        <v>Doesn't Apply</v>
      </c>
      <c r="L199" s="328" t="str">
        <f t="shared" si="78"/>
        <v>CAM7</v>
      </c>
      <c r="M199" s="340" t="str">
        <f t="shared" si="78"/>
        <v>VIM - GAS</v>
      </c>
      <c r="N199" s="159">
        <f t="shared" si="79"/>
        <v>0.54679802955665024</v>
      </c>
      <c r="CV199" s="1"/>
      <c r="CW199" s="1"/>
      <c r="CX199" s="1"/>
      <c r="CY199" s="1"/>
      <c r="CZ199" s="1"/>
      <c r="DA199" s="1"/>
      <c r="DB199" s="1"/>
    </row>
    <row r="200" spans="10:106" ht="15.75" customHeight="1" x14ac:dyDescent="0.25">
      <c r="CV200" s="1"/>
      <c r="CW200" s="1"/>
      <c r="CX200" s="1"/>
      <c r="CY200" s="1"/>
      <c r="CZ200" s="1"/>
      <c r="DA200" s="1"/>
      <c r="DB200" s="1"/>
    </row>
    <row r="201" spans="10:106" ht="15.75" customHeight="1" x14ac:dyDescent="0.25">
      <c r="CV201" s="1"/>
      <c r="CW201" s="1"/>
      <c r="CX201" s="1"/>
      <c r="CY201" s="1"/>
      <c r="CZ201" s="1"/>
      <c r="DA201" s="1"/>
      <c r="DB201" s="1"/>
    </row>
    <row r="202" spans="10:106" ht="15.75" customHeight="1" thickBot="1" x14ac:dyDescent="0.3">
      <c r="CV202" s="1"/>
      <c r="CW202" s="1"/>
      <c r="CX202" s="1"/>
      <c r="CY202" s="1"/>
      <c r="CZ202" s="1"/>
      <c r="DA202" s="1"/>
      <c r="DB202" s="1"/>
    </row>
    <row r="203" spans="10:106" ht="15.75" customHeight="1" thickBot="1" x14ac:dyDescent="0.35">
      <c r="J203" s="724" t="s">
        <v>732</v>
      </c>
      <c r="K203" s="725"/>
      <c r="L203" s="725"/>
      <c r="M203" s="725"/>
      <c r="N203" s="725"/>
      <c r="O203" s="725"/>
      <c r="P203" s="725"/>
      <c r="Q203" s="725"/>
      <c r="R203" s="725"/>
      <c r="S203" s="725"/>
      <c r="T203" s="725"/>
      <c r="U203" s="725"/>
      <c r="V203" s="725"/>
      <c r="W203" s="725"/>
      <c r="X203" s="725"/>
      <c r="Y203" s="725"/>
      <c r="Z203" s="725"/>
      <c r="AA203" s="725"/>
      <c r="AB203" s="725"/>
      <c r="AC203" s="725"/>
      <c r="AD203" s="725"/>
      <c r="AE203" s="725"/>
      <c r="AF203" s="725"/>
      <c r="AG203" s="726"/>
      <c r="CV203" s="1"/>
      <c r="CW203" s="1"/>
      <c r="CX203" s="1"/>
      <c r="CY203" s="1"/>
      <c r="CZ203" s="1"/>
      <c r="DA203" s="1"/>
      <c r="DB203" s="1"/>
    </row>
    <row r="204" spans="10:106" ht="15.75" customHeight="1" x14ac:dyDescent="0.25">
      <c r="CV204" s="1"/>
      <c r="CW204" s="1"/>
      <c r="CX204" s="1"/>
      <c r="CY204" s="1"/>
      <c r="CZ204" s="1"/>
      <c r="DA204" s="1"/>
      <c r="DB204" s="1"/>
    </row>
    <row r="205" spans="10:106" ht="15.75" customHeight="1" x14ac:dyDescent="0.25">
      <c r="S205" s="239"/>
      <c r="CV205" s="1"/>
      <c r="CW205" s="1"/>
      <c r="CX205" s="1"/>
      <c r="CY205" s="1"/>
      <c r="CZ205" s="1"/>
      <c r="DA205" s="1"/>
      <c r="DB205" s="1"/>
    </row>
    <row r="206" spans="10:106" ht="15.75" customHeight="1" x14ac:dyDescent="0.25">
      <c r="O206" s="727" t="s">
        <v>733</v>
      </c>
      <c r="P206" s="714"/>
      <c r="Q206" s="714"/>
      <c r="R206" s="714"/>
      <c r="T206" s="713" t="s">
        <v>734</v>
      </c>
      <c r="U206" s="714"/>
      <c r="V206" s="714"/>
      <c r="W206" s="714"/>
      <c r="Z206" s="728" t="s">
        <v>735</v>
      </c>
      <c r="AA206" s="712"/>
      <c r="AB206" s="712"/>
      <c r="AC206" s="712"/>
      <c r="CV206" s="1"/>
      <c r="CW206" s="1"/>
      <c r="CX206" s="1"/>
      <c r="CY206" s="1"/>
      <c r="CZ206" s="1"/>
      <c r="DA206" s="1"/>
      <c r="DB206" s="1"/>
    </row>
    <row r="207" spans="10:106" ht="15.75" customHeight="1" x14ac:dyDescent="0.25">
      <c r="J207" s="321" t="str">
        <f t="shared" ref="J207:M214" si="80">J192</f>
        <v>Basin</v>
      </c>
      <c r="K207" s="321" t="str">
        <f t="shared" si="80"/>
        <v>Type Fluid</v>
      </c>
      <c r="L207" s="321" t="str">
        <f t="shared" si="80"/>
        <v>CAM</v>
      </c>
      <c r="M207" s="321" t="str">
        <f t="shared" si="80"/>
        <v>Type of Oil producing</v>
      </c>
      <c r="N207" s="320"/>
      <c r="O207" s="320" t="s">
        <v>22</v>
      </c>
      <c r="P207" s="320" t="s">
        <v>289</v>
      </c>
      <c r="Q207" s="320" t="s">
        <v>736</v>
      </c>
      <c r="R207" s="320" t="s">
        <v>737</v>
      </c>
      <c r="T207" s="320" t="s">
        <v>22</v>
      </c>
      <c r="U207" s="320" t="s">
        <v>289</v>
      </c>
      <c r="V207" s="320" t="s">
        <v>736</v>
      </c>
      <c r="W207" s="320" t="s">
        <v>737</v>
      </c>
      <c r="Z207" s="380" t="s">
        <v>22</v>
      </c>
      <c r="AA207" s="380" t="s">
        <v>289</v>
      </c>
      <c r="AB207" s="380" t="s">
        <v>736</v>
      </c>
      <c r="AC207" s="380" t="s">
        <v>737</v>
      </c>
      <c r="CV207" s="1"/>
      <c r="CW207" s="1"/>
      <c r="CX207" s="1"/>
      <c r="CY207" s="1"/>
      <c r="CZ207" s="1"/>
      <c r="DA207" s="1"/>
      <c r="DB207" s="1"/>
    </row>
    <row r="208" spans="10:106" ht="15.75" customHeight="1" x14ac:dyDescent="0.25">
      <c r="J208" s="327" t="str">
        <f t="shared" si="80"/>
        <v>Guajira</v>
      </c>
      <c r="K208" s="327" t="str">
        <f t="shared" si="80"/>
        <v>Doesn't Apply</v>
      </c>
      <c r="L208" s="328" t="str">
        <f t="shared" si="80"/>
        <v>CAM1</v>
      </c>
      <c r="M208" s="329" t="str">
        <f t="shared" si="80"/>
        <v>GU - Gas</v>
      </c>
      <c r="O208" s="160">
        <v>0</v>
      </c>
      <c r="P208" s="381"/>
      <c r="Q208" s="160">
        <v>0</v>
      </c>
      <c r="R208" s="160">
        <v>0</v>
      </c>
      <c r="T208" s="147">
        <v>0.34</v>
      </c>
      <c r="U208" s="147">
        <v>0.36</v>
      </c>
      <c r="V208" s="147">
        <v>0.36</v>
      </c>
      <c r="W208" s="147">
        <v>0.37</v>
      </c>
      <c r="Z208" s="382">
        <f t="shared" ref="Z208" si="81">+(O208*24*365/1000)*0.0036</f>
        <v>0</v>
      </c>
      <c r="AA208" s="223"/>
      <c r="AB208" s="382">
        <f t="shared" ref="AB208:AC208" si="82">+(Q208*24*365/1000)*0.0036</f>
        <v>0</v>
      </c>
      <c r="AC208" s="382">
        <f t="shared" si="82"/>
        <v>0</v>
      </c>
      <c r="AD208">
        <v>1</v>
      </c>
      <c r="AE208" s="226">
        <f>+SUM(Z208:AC214)</f>
        <v>13.06868980179426</v>
      </c>
      <c r="CV208" s="1"/>
      <c r="CW208" s="1"/>
      <c r="CX208" s="1"/>
      <c r="CY208" s="1"/>
      <c r="CZ208" s="1"/>
      <c r="DA208" s="1"/>
      <c r="DB208" s="1"/>
    </row>
    <row r="209" spans="10:106" ht="15.75" customHeight="1" x14ac:dyDescent="0.25">
      <c r="J209" s="327" t="str">
        <f t="shared" si="80"/>
        <v>Llanos Orientales</v>
      </c>
      <c r="K209" s="327" t="str">
        <f t="shared" si="80"/>
        <v>Light Oil</v>
      </c>
      <c r="L209" s="328" t="str">
        <f t="shared" si="80"/>
        <v>CAM2</v>
      </c>
      <c r="M209" s="340" t="str">
        <f t="shared" si="80"/>
        <v>LLO - Ligth</v>
      </c>
      <c r="O209" s="160">
        <v>19.999999999999996</v>
      </c>
      <c r="P209" s="160">
        <v>150.07647247502405</v>
      </c>
      <c r="Q209" s="383">
        <v>0</v>
      </c>
      <c r="R209" s="384">
        <f>22.8/2</f>
        <v>11.4</v>
      </c>
      <c r="S209" s="239"/>
      <c r="T209" s="147">
        <v>0.34</v>
      </c>
      <c r="U209" s="147">
        <v>0.36</v>
      </c>
      <c r="V209" s="147">
        <v>0.36</v>
      </c>
      <c r="W209" s="147">
        <v>0.37</v>
      </c>
      <c r="Z209" s="382">
        <f>+(O209*24*365/1000)*0.0036</f>
        <v>0.63071999999999984</v>
      </c>
      <c r="AA209" s="382">
        <f t="shared" ref="AA209:AC210" si="83">+(P209*24*365/1000)*0.0036</f>
        <v>4.7328116359723582</v>
      </c>
      <c r="AB209" s="382">
        <f>+(Q210*24*365/1000)*0.0036</f>
        <v>1.5220623656853185</v>
      </c>
      <c r="AC209" s="382">
        <f t="shared" si="83"/>
        <v>0.35951040000000006</v>
      </c>
      <c r="AD209">
        <v>2</v>
      </c>
      <c r="CV209" s="1"/>
      <c r="CW209" s="1"/>
      <c r="CX209" s="1"/>
      <c r="CY209" s="1"/>
      <c r="CZ209" s="1"/>
      <c r="DA209" s="1"/>
      <c r="DB209" s="1"/>
    </row>
    <row r="210" spans="10:106" ht="15.75" customHeight="1" x14ac:dyDescent="0.25">
      <c r="J210" s="327" t="str">
        <f t="shared" si="80"/>
        <v>Llanos Orientales</v>
      </c>
      <c r="K210" s="327" t="str">
        <f t="shared" si="80"/>
        <v>Heavy Oil</v>
      </c>
      <c r="L210" s="328" t="str">
        <f t="shared" si="80"/>
        <v>CAM3</v>
      </c>
      <c r="M210" s="342" t="str">
        <f t="shared" si="80"/>
        <v>LLO - Heavy</v>
      </c>
      <c r="O210" s="385">
        <v>0</v>
      </c>
      <c r="P210" s="381"/>
      <c r="Q210" s="160">
        <v>48.264281002198075</v>
      </c>
      <c r="R210" s="384">
        <f>22.8/2</f>
        <v>11.4</v>
      </c>
      <c r="T210" s="147">
        <v>0.34</v>
      </c>
      <c r="U210" s="147">
        <v>0.36</v>
      </c>
      <c r="V210" s="147">
        <v>0.36</v>
      </c>
      <c r="W210" s="147">
        <v>0.37</v>
      </c>
      <c r="Z210" s="382">
        <f>+(O210*24*365/1000)*0.0036</f>
        <v>0</v>
      </c>
      <c r="AA210" s="223"/>
      <c r="AB210" s="382">
        <f>+(Q211*24*365/1000)*0.0036</f>
        <v>0.66944714800759952</v>
      </c>
      <c r="AC210" s="382">
        <f t="shared" si="83"/>
        <v>0.35951040000000006</v>
      </c>
      <c r="AD210">
        <v>3</v>
      </c>
      <c r="CV210" s="1"/>
      <c r="CW210" s="1"/>
      <c r="CX210" s="1"/>
      <c r="CY210" s="1"/>
      <c r="CZ210" s="1"/>
      <c r="DA210" s="1"/>
      <c r="DB210" s="1"/>
    </row>
    <row r="211" spans="10:106" ht="15.75" customHeight="1" x14ac:dyDescent="0.25">
      <c r="J211" s="327" t="str">
        <f t="shared" si="80"/>
        <v>Putumayo</v>
      </c>
      <c r="K211" s="327" t="str">
        <f t="shared" si="80"/>
        <v>Light Oil</v>
      </c>
      <c r="L211" s="328" t="str">
        <f t="shared" si="80"/>
        <v>CAM4</v>
      </c>
      <c r="M211" s="342" t="str">
        <f t="shared" si="80"/>
        <v>PU - Ligth</v>
      </c>
      <c r="O211" s="160">
        <v>0</v>
      </c>
      <c r="P211" s="160">
        <v>0</v>
      </c>
      <c r="Q211" s="160">
        <v>21.228029807445445</v>
      </c>
      <c r="R211" s="160">
        <v>10.032150192554559</v>
      </c>
      <c r="T211" s="147">
        <v>0.34</v>
      </c>
      <c r="U211" s="147">
        <v>0.36</v>
      </c>
      <c r="V211" s="147">
        <v>0.36</v>
      </c>
      <c r="W211" s="147">
        <v>0.37</v>
      </c>
      <c r="Z211" s="382">
        <f t="shared" ref="Z211:AC214" si="84">+(O211*24*365/1000)*0.0036</f>
        <v>0</v>
      </c>
      <c r="AA211" s="382">
        <f t="shared" si="84"/>
        <v>0</v>
      </c>
      <c r="AB211" s="382">
        <f t="shared" si="84"/>
        <v>0.66944714800759952</v>
      </c>
      <c r="AC211" s="382">
        <f t="shared" si="84"/>
        <v>0.3163738884724005</v>
      </c>
      <c r="AD211">
        <v>4</v>
      </c>
      <c r="CV211" s="1"/>
      <c r="CW211" s="1"/>
      <c r="CX211" s="1"/>
      <c r="CY211" s="1"/>
      <c r="CZ211" s="1"/>
      <c r="DA211" s="1"/>
      <c r="DB211" s="1"/>
    </row>
    <row r="212" spans="10:106" ht="15.75" customHeight="1" x14ac:dyDescent="0.25">
      <c r="J212" s="327" t="str">
        <f t="shared" si="80"/>
        <v>VMM</v>
      </c>
      <c r="K212" s="327" t="str">
        <f t="shared" si="80"/>
        <v>Medium Oil</v>
      </c>
      <c r="L212" s="328" t="str">
        <f t="shared" si="80"/>
        <v>CAM5</v>
      </c>
      <c r="M212" s="342" t="str">
        <f t="shared" si="80"/>
        <v>VMM - Medium</v>
      </c>
      <c r="O212" s="160">
        <v>0</v>
      </c>
      <c r="P212" s="160">
        <v>19.445743599518565</v>
      </c>
      <c r="Q212" s="160">
        <v>41.381229673754405</v>
      </c>
      <c r="R212" s="160">
        <v>19.556346726727035</v>
      </c>
      <c r="T212" s="147">
        <v>0.34</v>
      </c>
      <c r="U212" s="147">
        <v>0.36</v>
      </c>
      <c r="V212" s="147">
        <v>0.36</v>
      </c>
      <c r="W212" s="147">
        <v>0.37</v>
      </c>
      <c r="Z212" s="382">
        <f t="shared" si="84"/>
        <v>0</v>
      </c>
      <c r="AA212" s="382">
        <f t="shared" si="84"/>
        <v>0.61324097015441748</v>
      </c>
      <c r="AB212" s="382">
        <f t="shared" si="84"/>
        <v>1.3049984589915189</v>
      </c>
      <c r="AC212" s="382">
        <f t="shared" si="84"/>
        <v>0.61672895037406383</v>
      </c>
      <c r="AD212">
        <v>5</v>
      </c>
      <c r="CV212" s="1"/>
      <c r="CW212" s="1"/>
      <c r="CX212" s="1"/>
      <c r="CY212" s="1"/>
      <c r="CZ212" s="1"/>
      <c r="DA212" s="1"/>
      <c r="DB212" s="1"/>
    </row>
    <row r="213" spans="10:106" ht="15.75" customHeight="1" x14ac:dyDescent="0.25">
      <c r="J213" s="327" t="str">
        <f t="shared" si="80"/>
        <v>VSM</v>
      </c>
      <c r="K213" s="327" t="str">
        <f t="shared" si="80"/>
        <v>Medium Oil</v>
      </c>
      <c r="L213" s="328" t="str">
        <f t="shared" si="80"/>
        <v>CAM6</v>
      </c>
      <c r="M213" s="340" t="str">
        <f t="shared" si="80"/>
        <v>VSM - Medium</v>
      </c>
      <c r="O213" s="160">
        <v>0</v>
      </c>
      <c r="P213" s="160">
        <v>2.2835888766070749</v>
      </c>
      <c r="Q213" s="160">
        <v>19.677300005487623</v>
      </c>
      <c r="R213" s="160">
        <v>9.2992911179053053</v>
      </c>
      <c r="T213" s="147">
        <v>0.34</v>
      </c>
      <c r="U213" s="147">
        <v>0.36</v>
      </c>
      <c r="V213" s="147">
        <v>0.36</v>
      </c>
      <c r="W213" s="147">
        <v>0.37</v>
      </c>
      <c r="Z213" s="382">
        <f t="shared" si="84"/>
        <v>0</v>
      </c>
      <c r="AA213" s="382">
        <f t="shared" si="84"/>
        <v>7.2015258812680727E-2</v>
      </c>
      <c r="AB213" s="382">
        <f t="shared" si="84"/>
        <v>0.62054333297305764</v>
      </c>
      <c r="AC213" s="382">
        <f t="shared" si="84"/>
        <v>0.29326244469426171</v>
      </c>
      <c r="AD213">
        <v>6</v>
      </c>
      <c r="CV213" s="1"/>
      <c r="CW213" s="1"/>
      <c r="CX213" s="1"/>
      <c r="CY213" s="1"/>
      <c r="CZ213" s="1"/>
      <c r="DA213" s="1"/>
      <c r="DB213" s="1"/>
    </row>
    <row r="214" spans="10:106" ht="15.75" customHeight="1" x14ac:dyDescent="0.25">
      <c r="J214" s="327" t="str">
        <f t="shared" si="80"/>
        <v>VIM</v>
      </c>
      <c r="K214" s="327" t="str">
        <f t="shared" si="80"/>
        <v>Doesn't Apply</v>
      </c>
      <c r="L214" s="328" t="str">
        <f t="shared" si="80"/>
        <v>CAM7</v>
      </c>
      <c r="M214" s="340" t="str">
        <f t="shared" si="80"/>
        <v>VIM - GAS</v>
      </c>
      <c r="O214" s="160">
        <v>0</v>
      </c>
      <c r="P214" s="160">
        <v>0.25423007512003598</v>
      </c>
      <c r="Q214" s="160">
        <v>0</v>
      </c>
      <c r="R214" s="160">
        <v>8.8787417554540831</v>
      </c>
      <c r="T214" s="147">
        <v>0.34</v>
      </c>
      <c r="U214" s="147">
        <v>0.36</v>
      </c>
      <c r="V214" s="147">
        <v>0.36</v>
      </c>
      <c r="W214" s="147">
        <v>0.37</v>
      </c>
      <c r="Z214" s="382">
        <f t="shared" si="84"/>
        <v>0</v>
      </c>
      <c r="AA214" s="382">
        <f t="shared" si="84"/>
        <v>8.0173996489854554E-3</v>
      </c>
      <c r="AB214" s="382">
        <f t="shared" si="84"/>
        <v>0</v>
      </c>
      <c r="AC214" s="382">
        <f t="shared" si="84"/>
        <v>0.27999999999999997</v>
      </c>
      <c r="AD214">
        <v>7</v>
      </c>
      <c r="CV214" s="1"/>
      <c r="CW214" s="1"/>
      <c r="CX214" s="1"/>
      <c r="CY214" s="1"/>
      <c r="CZ214" s="1"/>
      <c r="DA214" s="1"/>
      <c r="DB214" s="1"/>
    </row>
    <row r="215" spans="10:106" ht="15.75" customHeight="1" x14ac:dyDescent="0.25">
      <c r="O215" s="14"/>
      <c r="P215" s="14"/>
      <c r="Q215" s="14"/>
      <c r="R215" s="14"/>
      <c r="Z215" s="250"/>
      <c r="AA215" s="250"/>
      <c r="AB215" s="250"/>
      <c r="AC215" s="250"/>
      <c r="CV215" s="1"/>
      <c r="CW215" s="1"/>
      <c r="CX215" s="1"/>
      <c r="CY215" s="1"/>
      <c r="CZ215" s="1"/>
      <c r="DA215" s="1"/>
      <c r="DB215" s="1"/>
    </row>
    <row r="216" spans="10:106" ht="15.75" customHeight="1" x14ac:dyDescent="0.25">
      <c r="R216" s="239"/>
      <c r="Z216" s="250"/>
      <c r="AA216" s="250"/>
      <c r="AB216" s="250"/>
      <c r="AC216" s="250"/>
      <c r="CV216" s="1"/>
      <c r="CW216" s="1"/>
      <c r="CX216" s="1"/>
      <c r="CY216" s="1"/>
      <c r="CZ216" s="1"/>
      <c r="DA216" s="1"/>
      <c r="DB216" s="1"/>
    </row>
    <row r="217" spans="10:106" ht="15.75" customHeight="1" x14ac:dyDescent="0.25">
      <c r="Z217" s="250"/>
      <c r="AA217" s="250"/>
      <c r="AB217" s="250"/>
      <c r="AC217" s="250"/>
      <c r="CV217" s="1"/>
      <c r="CW217" s="1"/>
      <c r="CX217" s="1"/>
      <c r="CY217" s="1"/>
      <c r="CZ217" s="1"/>
      <c r="DA217" s="1"/>
      <c r="DB217" s="1"/>
    </row>
    <row r="218" spans="10:106" ht="15.75" customHeight="1" x14ac:dyDescent="0.25">
      <c r="O218" s="711" t="s">
        <v>738</v>
      </c>
      <c r="P218" s="712"/>
      <c r="Q218" s="712"/>
      <c r="T218" s="713" t="s">
        <v>734</v>
      </c>
      <c r="U218" s="714"/>
      <c r="V218" s="714"/>
      <c r="W218" s="714"/>
      <c r="Z218" s="729" t="s">
        <v>739</v>
      </c>
      <c r="AA218" s="712"/>
      <c r="AB218" s="712"/>
      <c r="AC218" s="250"/>
      <c r="CV218" s="1"/>
      <c r="CW218" s="1"/>
      <c r="CX218" s="1"/>
      <c r="CY218" s="1"/>
      <c r="CZ218" s="1"/>
      <c r="DA218" s="1"/>
      <c r="DB218" s="1"/>
    </row>
    <row r="219" spans="10:106" ht="24" customHeight="1" x14ac:dyDescent="0.25">
      <c r="J219" s="321" t="str">
        <f t="shared" ref="J219:M226" si="85">J207</f>
        <v>Basin</v>
      </c>
      <c r="K219" s="321" t="str">
        <f t="shared" si="85"/>
        <v>Type Fluid</v>
      </c>
      <c r="L219" s="321" t="str">
        <f t="shared" si="85"/>
        <v>CAM</v>
      </c>
      <c r="M219" s="321" t="str">
        <f t="shared" si="85"/>
        <v>Type of Oil producing</v>
      </c>
      <c r="O219" s="212" t="s">
        <v>604</v>
      </c>
      <c r="P219" s="212" t="s">
        <v>736</v>
      </c>
      <c r="Q219" s="212" t="s">
        <v>60</v>
      </c>
      <c r="T219" s="320" t="s">
        <v>22</v>
      </c>
      <c r="U219" s="320" t="s">
        <v>289</v>
      </c>
      <c r="V219" s="320" t="s">
        <v>736</v>
      </c>
      <c r="W219" s="320" t="s">
        <v>737</v>
      </c>
      <c r="Z219" s="386" t="s">
        <v>604</v>
      </c>
      <c r="AA219" s="386" t="s">
        <v>736</v>
      </c>
      <c r="AB219" s="386" t="s">
        <v>60</v>
      </c>
      <c r="AC219" s="250"/>
      <c r="CV219" s="1"/>
      <c r="CW219" s="1"/>
      <c r="CX219" s="1"/>
      <c r="CY219" s="1"/>
      <c r="CZ219" s="1"/>
      <c r="DA219" s="1"/>
      <c r="DB219" s="1"/>
    </row>
    <row r="220" spans="10:106" ht="15.75" customHeight="1" x14ac:dyDescent="0.25">
      <c r="J220" s="327" t="str">
        <f t="shared" si="85"/>
        <v>Guajira</v>
      </c>
      <c r="K220" s="327" t="str">
        <f t="shared" si="85"/>
        <v>Doesn't Apply</v>
      </c>
      <c r="L220" s="328" t="str">
        <f t="shared" si="85"/>
        <v>CAM1</v>
      </c>
      <c r="M220" s="329" t="str">
        <f t="shared" si="85"/>
        <v>GU - Gas</v>
      </c>
      <c r="O220" s="387"/>
      <c r="P220" s="209">
        <v>0</v>
      </c>
      <c r="Q220" s="209">
        <v>0</v>
      </c>
      <c r="T220" s="147">
        <v>0.34</v>
      </c>
      <c r="U220" s="147">
        <v>0.36</v>
      </c>
      <c r="V220" s="147">
        <v>0.36</v>
      </c>
      <c r="W220" s="147">
        <v>0.37</v>
      </c>
      <c r="Z220" s="223"/>
      <c r="AA220" s="388">
        <f>+(P220*24*0.365)*0.0036</f>
        <v>0</v>
      </c>
      <c r="AB220" s="388">
        <f t="shared" ref="AB220:AB222" si="86">+(Q220*24*0.365)*0.0036</f>
        <v>0</v>
      </c>
      <c r="AC220" s="250"/>
      <c r="AE220" s="88">
        <f>+SUM(Z220:AB227)</f>
        <v>1.74352704768</v>
      </c>
      <c r="CV220" s="1"/>
      <c r="CW220" s="1"/>
      <c r="CX220" s="1"/>
      <c r="CY220" s="1"/>
      <c r="CZ220" s="1"/>
      <c r="DA220" s="1"/>
      <c r="DB220" s="1"/>
    </row>
    <row r="221" spans="10:106" ht="15.75" customHeight="1" x14ac:dyDescent="0.25">
      <c r="J221" s="327" t="str">
        <f t="shared" si="85"/>
        <v>Llanos Orientales</v>
      </c>
      <c r="K221" s="327" t="str">
        <f t="shared" si="85"/>
        <v>Light Oil</v>
      </c>
      <c r="L221" s="328" t="str">
        <f t="shared" si="85"/>
        <v>CAM2</v>
      </c>
      <c r="M221" s="340" t="str">
        <f t="shared" si="85"/>
        <v>LLO - Ligth</v>
      </c>
      <c r="O221" s="209">
        <v>2.7140832000000001</v>
      </c>
      <c r="P221" s="389">
        <v>0</v>
      </c>
      <c r="Q221" s="390">
        <f>20.355624/2</f>
        <v>10.177811999999999</v>
      </c>
      <c r="R221" s="391"/>
      <c r="T221" s="147">
        <v>0.34</v>
      </c>
      <c r="U221" s="147">
        <v>0.36</v>
      </c>
      <c r="V221" s="147">
        <v>0.36</v>
      </c>
      <c r="W221" s="147">
        <v>0.37</v>
      </c>
      <c r="Z221" s="388">
        <f>+(O221*24*0.365)*0.0036</f>
        <v>8.5591327795199984E-2</v>
      </c>
      <c r="AA221" s="388">
        <f>+(P221*24*0.365)*0.0036</f>
        <v>0</v>
      </c>
      <c r="AB221" s="388">
        <f t="shared" si="86"/>
        <v>0.32096747923199992</v>
      </c>
      <c r="AC221" s="250"/>
      <c r="CV221" s="1"/>
      <c r="CW221" s="1"/>
      <c r="CX221" s="1"/>
      <c r="CY221" s="1"/>
      <c r="CZ221" s="1"/>
      <c r="DA221" s="1"/>
      <c r="DB221" s="1"/>
    </row>
    <row r="222" spans="10:106" ht="15.75" customHeight="1" x14ac:dyDescent="0.25">
      <c r="J222" s="327" t="str">
        <f t="shared" si="85"/>
        <v>Llanos Orientales</v>
      </c>
      <c r="K222" s="327" t="str">
        <f t="shared" si="85"/>
        <v>Heavy Oil</v>
      </c>
      <c r="L222" s="328" t="str">
        <f t="shared" si="85"/>
        <v>CAM3</v>
      </c>
      <c r="M222" s="342" t="str">
        <f t="shared" si="85"/>
        <v>LLO - Heavy</v>
      </c>
      <c r="O222" s="389">
        <v>0</v>
      </c>
      <c r="P222" s="209">
        <v>10.856332800000001</v>
      </c>
      <c r="Q222" s="390">
        <f>20.355624/2</f>
        <v>10.177811999999999</v>
      </c>
      <c r="T222" s="147">
        <v>0.34</v>
      </c>
      <c r="U222" s="147">
        <v>0.36</v>
      </c>
      <c r="V222" s="147">
        <v>0.36</v>
      </c>
      <c r="W222" s="147">
        <v>0.37</v>
      </c>
      <c r="Z222" s="388">
        <f>+(O222*24*0.365)*0.0036</f>
        <v>0</v>
      </c>
      <c r="AA222" s="388">
        <f>+(P222*24*0.365)*0.0036</f>
        <v>0.34236531118079994</v>
      </c>
      <c r="AB222" s="388">
        <f t="shared" si="86"/>
        <v>0.32096747923199992</v>
      </c>
      <c r="AC222" s="250"/>
      <c r="CV222" s="1"/>
      <c r="CW222" s="1"/>
      <c r="CX222" s="1"/>
      <c r="CY222" s="1"/>
      <c r="CZ222" s="1"/>
      <c r="DA222" s="1"/>
      <c r="DB222" s="1"/>
    </row>
    <row r="223" spans="10:106" ht="15.75" customHeight="1" x14ac:dyDescent="0.25">
      <c r="J223" s="327" t="str">
        <f t="shared" si="85"/>
        <v>Putumayo</v>
      </c>
      <c r="K223" s="327" t="str">
        <f t="shared" si="85"/>
        <v>Light Oil</v>
      </c>
      <c r="L223" s="328" t="str">
        <f t="shared" si="85"/>
        <v>CAM4</v>
      </c>
      <c r="M223" s="342" t="str">
        <f t="shared" si="85"/>
        <v>PU - Ligth</v>
      </c>
      <c r="O223" s="209">
        <v>0.35182560000000013</v>
      </c>
      <c r="P223" s="209">
        <v>1.4073024000000005</v>
      </c>
      <c r="Q223" s="209">
        <v>2.6386920000000007</v>
      </c>
      <c r="T223" s="147">
        <v>0.34</v>
      </c>
      <c r="U223" s="147">
        <v>0.36</v>
      </c>
      <c r="V223" s="147">
        <v>0.36</v>
      </c>
      <c r="W223" s="147">
        <v>0.37</v>
      </c>
      <c r="Z223" s="388">
        <f t="shared" ref="Z223:AB226" si="87">+(O223*24*0.365)*0.0036</f>
        <v>1.1095172121600003E-2</v>
      </c>
      <c r="AA223" s="388">
        <f t="shared" si="87"/>
        <v>4.4380688486400012E-2</v>
      </c>
      <c r="AB223" s="388">
        <f t="shared" si="87"/>
        <v>8.3213790912000027E-2</v>
      </c>
      <c r="AC223" s="250"/>
      <c r="CV223" s="1"/>
      <c r="CW223" s="1"/>
      <c r="CX223" s="1"/>
      <c r="CY223" s="1"/>
      <c r="CZ223" s="1"/>
      <c r="DA223" s="1"/>
      <c r="DB223" s="1"/>
    </row>
    <row r="224" spans="10:106" ht="15.75" customHeight="1" x14ac:dyDescent="0.25">
      <c r="J224" s="327" t="str">
        <f t="shared" si="85"/>
        <v>VMM</v>
      </c>
      <c r="K224" s="327" t="str">
        <f t="shared" si="85"/>
        <v>Medium Oil</v>
      </c>
      <c r="L224" s="328" t="str">
        <f t="shared" si="85"/>
        <v>CAM5</v>
      </c>
      <c r="M224" s="342" t="str">
        <f t="shared" si="85"/>
        <v>VMM - Medium</v>
      </c>
      <c r="O224" s="209">
        <v>0.90469440000000012</v>
      </c>
      <c r="P224" s="209">
        <v>3.6187776000000005</v>
      </c>
      <c r="Q224" s="209">
        <v>6.7852079999999999</v>
      </c>
      <c r="T224" s="147">
        <v>0.34</v>
      </c>
      <c r="U224" s="147">
        <v>0.36</v>
      </c>
      <c r="V224" s="147">
        <v>0.36</v>
      </c>
      <c r="W224" s="147">
        <v>0.37</v>
      </c>
      <c r="Z224" s="388">
        <f t="shared" si="87"/>
        <v>2.8530442598399999E-2</v>
      </c>
      <c r="AA224" s="388">
        <f t="shared" si="87"/>
        <v>0.1141217703936</v>
      </c>
      <c r="AB224" s="388">
        <f t="shared" si="87"/>
        <v>0.21397831948799997</v>
      </c>
      <c r="AC224" s="250"/>
      <c r="CV224" s="1"/>
      <c r="CW224" s="1"/>
      <c r="CX224" s="1"/>
      <c r="CY224" s="1"/>
      <c r="CZ224" s="1"/>
      <c r="DA224" s="1"/>
      <c r="DB224" s="1"/>
    </row>
    <row r="225" spans="10:106" ht="15.75" customHeight="1" x14ac:dyDescent="0.25">
      <c r="J225" s="327" t="str">
        <f t="shared" si="85"/>
        <v>VSM</v>
      </c>
      <c r="K225" s="327" t="str">
        <f t="shared" si="85"/>
        <v>Medium Oil</v>
      </c>
      <c r="L225" s="328" t="str">
        <f t="shared" si="85"/>
        <v>CAM6</v>
      </c>
      <c r="M225" s="340" t="str">
        <f t="shared" si="85"/>
        <v>VSM - Medium</v>
      </c>
      <c r="O225" s="209">
        <v>0.35182560000000013</v>
      </c>
      <c r="P225" s="209">
        <v>1.4073024000000005</v>
      </c>
      <c r="Q225" s="209">
        <v>2.6386920000000007</v>
      </c>
      <c r="T225" s="147">
        <v>0.34</v>
      </c>
      <c r="U225" s="147">
        <v>0.36</v>
      </c>
      <c r="V225" s="147">
        <v>0.36</v>
      </c>
      <c r="W225" s="147">
        <v>0.37</v>
      </c>
      <c r="Z225" s="388">
        <f t="shared" si="87"/>
        <v>1.1095172121600003E-2</v>
      </c>
      <c r="AA225" s="388">
        <f t="shared" si="87"/>
        <v>4.4380688486400012E-2</v>
      </c>
      <c r="AB225" s="388">
        <f t="shared" si="87"/>
        <v>8.3213790912000027E-2</v>
      </c>
      <c r="AC225" s="250"/>
      <c r="CV225" s="1"/>
      <c r="CW225" s="1"/>
      <c r="CX225" s="1"/>
      <c r="CY225" s="1"/>
      <c r="CZ225" s="1"/>
      <c r="DA225" s="1"/>
      <c r="DB225" s="1"/>
    </row>
    <row r="226" spans="10:106" ht="15.75" customHeight="1" x14ac:dyDescent="0.25">
      <c r="J226" s="327" t="str">
        <f t="shared" si="85"/>
        <v>VIM</v>
      </c>
      <c r="K226" s="327" t="str">
        <f t="shared" si="85"/>
        <v>Doesn't Apply</v>
      </c>
      <c r="L226" s="328" t="str">
        <f t="shared" si="85"/>
        <v>CAM7</v>
      </c>
      <c r="M226" s="340" t="str">
        <f t="shared" si="85"/>
        <v>VIM - GAS</v>
      </c>
      <c r="O226" s="209">
        <v>0.1005216</v>
      </c>
      <c r="P226" s="209">
        <v>0.40208640000000001</v>
      </c>
      <c r="Q226" s="209">
        <v>0.75391200000000003</v>
      </c>
      <c r="T226" s="147">
        <v>0.34</v>
      </c>
      <c r="U226" s="147">
        <v>0.36</v>
      </c>
      <c r="V226" s="147">
        <v>0.36</v>
      </c>
      <c r="W226" s="147">
        <v>0.37</v>
      </c>
      <c r="Z226" s="388">
        <f t="shared" si="87"/>
        <v>3.1700491776000001E-3</v>
      </c>
      <c r="AA226" s="388">
        <f t="shared" si="87"/>
        <v>1.26801967104E-2</v>
      </c>
      <c r="AB226" s="388">
        <f t="shared" si="87"/>
        <v>2.3775368831999998E-2</v>
      </c>
      <c r="AC226" s="377"/>
      <c r="CV226" s="1"/>
      <c r="CW226" s="1"/>
      <c r="CX226" s="1"/>
      <c r="CY226" s="1"/>
      <c r="CZ226" s="1"/>
      <c r="DA226" s="1"/>
      <c r="DB226" s="1"/>
    </row>
    <row r="227" spans="10:106" ht="15.75" customHeight="1" x14ac:dyDescent="0.25">
      <c r="CV227" s="1"/>
      <c r="CW227" s="1"/>
      <c r="CX227" s="1"/>
      <c r="CY227" s="1"/>
      <c r="CZ227" s="1"/>
      <c r="DA227" s="1"/>
      <c r="DB227" s="1"/>
    </row>
    <row r="228" spans="10:106" ht="15.75" customHeight="1" x14ac:dyDescent="0.25">
      <c r="CV228" s="1"/>
      <c r="CW228" s="1"/>
      <c r="CX228" s="1"/>
      <c r="CY228" s="1"/>
      <c r="CZ228" s="1"/>
      <c r="DA228" s="1"/>
      <c r="DB228" s="1"/>
    </row>
    <row r="229" spans="10:106" ht="15.75" customHeight="1" x14ac:dyDescent="0.25">
      <c r="O229" s="88"/>
      <c r="CV229" s="1"/>
      <c r="CW229" s="1"/>
      <c r="CX229" s="1"/>
      <c r="CY229" s="1"/>
      <c r="CZ229" s="1"/>
      <c r="DA229" s="1"/>
      <c r="DB229" s="1"/>
    </row>
    <row r="233" spans="10:106" ht="15" customHeight="1" x14ac:dyDescent="0.25">
      <c r="L233" s="424" t="s">
        <v>755</v>
      </c>
      <c r="M233" s="425"/>
      <c r="N233" s="425"/>
      <c r="O233" s="426"/>
    </row>
    <row r="234" spans="10:106" ht="15" customHeight="1" x14ac:dyDescent="0.25">
      <c r="L234" s="427"/>
      <c r="M234" s="428" t="s">
        <v>756</v>
      </c>
      <c r="N234" s="428" t="s">
        <v>757</v>
      </c>
      <c r="O234" s="429" t="s">
        <v>444</v>
      </c>
    </row>
    <row r="235" spans="10:106" ht="15" customHeight="1" x14ac:dyDescent="0.25">
      <c r="L235" s="427" t="s">
        <v>758</v>
      </c>
      <c r="M235" s="430">
        <v>19.54</v>
      </c>
      <c r="N235" s="431">
        <v>3208538.5878489329</v>
      </c>
      <c r="O235" s="432">
        <v>3.208538587848933</v>
      </c>
    </row>
    <row r="236" spans="10:106" ht="15" customHeight="1" x14ac:dyDescent="0.25">
      <c r="L236" s="427" t="s">
        <v>759</v>
      </c>
      <c r="M236" s="430">
        <v>8</v>
      </c>
      <c r="N236" s="431">
        <v>1313628.8998357963</v>
      </c>
      <c r="O236" s="432">
        <v>1.3136288998357963</v>
      </c>
    </row>
    <row r="237" spans="10:106" ht="15" customHeight="1" x14ac:dyDescent="0.25">
      <c r="L237" s="427" t="s">
        <v>760</v>
      </c>
      <c r="M237" s="430">
        <v>8.66</v>
      </c>
      <c r="N237" s="431">
        <v>1422003.2840722497</v>
      </c>
      <c r="O237" s="432">
        <v>1.4220032840722496</v>
      </c>
    </row>
    <row r="238" spans="10:106" ht="15" customHeight="1" x14ac:dyDescent="0.25">
      <c r="L238" s="427" t="s">
        <v>761</v>
      </c>
      <c r="M238" s="430">
        <v>3.33</v>
      </c>
      <c r="N238" s="431">
        <v>546798.0295566502</v>
      </c>
      <c r="O238" s="432">
        <v>0.54679802955665024</v>
      </c>
    </row>
    <row r="239" spans="10:106" ht="15" customHeight="1" x14ac:dyDescent="0.25">
      <c r="L239" s="427" t="s">
        <v>762</v>
      </c>
      <c r="M239" s="430">
        <v>4.8099999999999996</v>
      </c>
      <c r="N239" s="431">
        <v>789819.37602627254</v>
      </c>
      <c r="O239" s="432">
        <v>0.7898193760262725</v>
      </c>
    </row>
    <row r="240" spans="10:106" ht="15" customHeight="1" x14ac:dyDescent="0.25">
      <c r="L240" s="427" t="s">
        <v>763</v>
      </c>
      <c r="M240" s="430">
        <v>4.5</v>
      </c>
      <c r="N240" s="431">
        <v>738916.25615763548</v>
      </c>
      <c r="O240" s="432">
        <v>0.73891625615763545</v>
      </c>
    </row>
    <row r="241" spans="9:23" ht="15" customHeight="1" x14ac:dyDescent="0.25">
      <c r="L241" s="427" t="s">
        <v>719</v>
      </c>
      <c r="M241" s="433">
        <v>48.84</v>
      </c>
      <c r="N241" s="431">
        <v>8019704.4334975369</v>
      </c>
      <c r="O241" s="432">
        <v>8.0197044334975374</v>
      </c>
    </row>
    <row r="242" spans="9:23" ht="15" customHeight="1" x14ac:dyDescent="0.25">
      <c r="L242" s="427" t="s">
        <v>731</v>
      </c>
      <c r="M242" s="433">
        <v>0.82</v>
      </c>
      <c r="N242" s="431">
        <v>134646.96223316912</v>
      </c>
      <c r="O242" s="432">
        <v>0.13464696223316913</v>
      </c>
    </row>
    <row r="243" spans="9:23" ht="15" customHeight="1" x14ac:dyDescent="0.25">
      <c r="L243" s="434" t="s">
        <v>764</v>
      </c>
      <c r="M243" s="435">
        <v>59.560975609756106</v>
      </c>
      <c r="N243" s="436">
        <v>9780127.3579238262</v>
      </c>
      <c r="O243" s="437">
        <v>9.7801273579238259</v>
      </c>
    </row>
    <row r="247" spans="9:23" ht="46.15" customHeight="1" x14ac:dyDescent="0.25">
      <c r="K247" s="498"/>
      <c r="L247" s="498"/>
      <c r="M247" s="498" t="s">
        <v>791</v>
      </c>
      <c r="N247" s="498" t="s">
        <v>792</v>
      </c>
      <c r="O247" s="498" t="s">
        <v>793</v>
      </c>
      <c r="P247" s="498" t="s">
        <v>794</v>
      </c>
      <c r="Q247" s="498" t="s">
        <v>797</v>
      </c>
      <c r="R247" s="498"/>
      <c r="S247" s="498">
        <f t="shared" ref="S247:W255" si="88">L247</f>
        <v>0</v>
      </c>
      <c r="T247" s="498" t="str">
        <f t="shared" si="88"/>
        <v>Cost of dilution</v>
      </c>
      <c r="U247" s="498" t="str">
        <f t="shared" si="88"/>
        <v>Cost of transport</v>
      </c>
      <c r="V247" s="498" t="str">
        <f t="shared" si="88"/>
        <v>Electricity consumption for GAS</v>
      </c>
      <c r="W247" s="498" t="str">
        <f t="shared" si="88"/>
        <v>Electricity consumption for OIL</v>
      </c>
    </row>
    <row r="248" spans="9:23" ht="15" customHeight="1" x14ac:dyDescent="0.25">
      <c r="I248">
        <v>4.0000000000000001E-3</v>
      </c>
      <c r="J248">
        <v>4.0000000000000001E-3</v>
      </c>
      <c r="K248" s="499" t="s">
        <v>319</v>
      </c>
      <c r="L248" t="s">
        <v>6</v>
      </c>
      <c r="M248" s="89">
        <v>0</v>
      </c>
      <c r="N248" s="391">
        <v>0.54679802955665024</v>
      </c>
      <c r="O248" s="470">
        <f>$G$186</f>
        <v>2.3552777777777773E-3</v>
      </c>
      <c r="P248" s="375">
        <f>$G$186</f>
        <v>2.3552777777777773E-3</v>
      </c>
      <c r="Q248" s="375">
        <f>N248+M248</f>
        <v>0.54679802955665024</v>
      </c>
      <c r="S248" s="428" t="str">
        <f t="shared" si="88"/>
        <v>CAM1</v>
      </c>
      <c r="T248" s="428">
        <f t="shared" si="88"/>
        <v>0</v>
      </c>
      <c r="U248" s="736">
        <f t="shared" si="88"/>
        <v>0.54679802955665024</v>
      </c>
      <c r="V248" s="737">
        <f t="shared" si="88"/>
        <v>2.3552777777777773E-3</v>
      </c>
      <c r="W248" s="737">
        <f t="shared" si="88"/>
        <v>2.3552777777777773E-3</v>
      </c>
    </row>
    <row r="249" spans="9:23" ht="15" customHeight="1" x14ac:dyDescent="0.25">
      <c r="I249">
        <v>4.0000000000000001E-3</v>
      </c>
      <c r="J249">
        <v>4.0000000000000001E-3</v>
      </c>
      <c r="K249" s="500" t="s">
        <v>326</v>
      </c>
      <c r="L249" t="s">
        <v>12</v>
      </c>
      <c r="M249" s="89">
        <v>0</v>
      </c>
      <c r="N249" s="391">
        <v>0.54679802955665024</v>
      </c>
      <c r="O249" s="470">
        <f t="shared" ref="O249:P256" si="89">$G$186</f>
        <v>2.3552777777777773E-3</v>
      </c>
      <c r="P249" s="375">
        <f>$G$186</f>
        <v>2.3552777777777773E-3</v>
      </c>
      <c r="Q249" s="375">
        <f t="shared" ref="Q249:Q256" si="90">N249+M249</f>
        <v>0.54679802955665024</v>
      </c>
      <c r="S249" s="428" t="str">
        <f t="shared" si="88"/>
        <v>CAM2</v>
      </c>
      <c r="T249" s="428">
        <f t="shared" si="88"/>
        <v>0</v>
      </c>
      <c r="U249" s="736"/>
      <c r="V249" s="737"/>
      <c r="W249" s="737"/>
    </row>
    <row r="250" spans="9:23" ht="15" customHeight="1" x14ac:dyDescent="0.25">
      <c r="I250">
        <v>4.0000000000000001E-3</v>
      </c>
      <c r="J250">
        <v>4.0000000000000001E-3</v>
      </c>
      <c r="K250" s="500" t="s">
        <v>330</v>
      </c>
      <c r="L250" t="s">
        <v>16</v>
      </c>
      <c r="M250" s="433">
        <v>0.73891625615763545</v>
      </c>
      <c r="N250" s="391">
        <v>0.54679802955665024</v>
      </c>
      <c r="O250" s="470">
        <f t="shared" si="89"/>
        <v>2.3552777777777773E-3</v>
      </c>
      <c r="P250" s="375">
        <f t="shared" si="89"/>
        <v>2.3552777777777773E-3</v>
      </c>
      <c r="Q250" s="375">
        <f t="shared" si="90"/>
        <v>1.2857142857142856</v>
      </c>
      <c r="S250" s="428" t="str">
        <f t="shared" si="88"/>
        <v>CAM3</v>
      </c>
      <c r="T250" s="430">
        <f t="shared" si="88"/>
        <v>0.73891625615763545</v>
      </c>
      <c r="U250" s="736"/>
      <c r="V250" s="737"/>
      <c r="W250" s="737"/>
    </row>
    <row r="251" spans="9:23" ht="15" customHeight="1" x14ac:dyDescent="0.25">
      <c r="I251">
        <v>4.0000000000000001E-3</v>
      </c>
      <c r="J251">
        <v>4.0000000000000001E-3</v>
      </c>
      <c r="K251" s="500" t="s">
        <v>334</v>
      </c>
      <c r="L251" t="s">
        <v>20</v>
      </c>
      <c r="M251" s="89">
        <v>0</v>
      </c>
      <c r="N251" s="391">
        <v>0.54679802955665024</v>
      </c>
      <c r="O251" s="470">
        <f t="shared" si="89"/>
        <v>2.3552777777777773E-3</v>
      </c>
      <c r="P251" s="375">
        <f t="shared" si="89"/>
        <v>2.3552777777777773E-3</v>
      </c>
      <c r="Q251" s="375">
        <f t="shared" si="90"/>
        <v>0.54679802955665024</v>
      </c>
      <c r="S251" s="428" t="str">
        <f t="shared" si="88"/>
        <v>CAM4</v>
      </c>
      <c r="T251" s="428">
        <f t="shared" si="88"/>
        <v>0</v>
      </c>
      <c r="U251" s="736"/>
      <c r="V251" s="737"/>
      <c r="W251" s="737"/>
    </row>
    <row r="252" spans="9:23" ht="15" customHeight="1" x14ac:dyDescent="0.25">
      <c r="I252">
        <v>4.0000000000000001E-3</v>
      </c>
      <c r="J252">
        <v>4.0000000000000001E-3</v>
      </c>
      <c r="K252" s="500" t="s">
        <v>335</v>
      </c>
      <c r="L252" t="s">
        <v>24</v>
      </c>
      <c r="M252" s="433">
        <v>0.73891625615763545</v>
      </c>
      <c r="N252" s="391">
        <v>0.54679802955665024</v>
      </c>
      <c r="O252" s="470">
        <f t="shared" si="89"/>
        <v>2.3552777777777773E-3</v>
      </c>
      <c r="P252" s="375">
        <f t="shared" si="89"/>
        <v>2.3552777777777773E-3</v>
      </c>
      <c r="Q252" s="375">
        <f t="shared" si="90"/>
        <v>1.2857142857142856</v>
      </c>
      <c r="S252" s="428" t="str">
        <f t="shared" si="88"/>
        <v>CAM5</v>
      </c>
      <c r="T252" s="430">
        <f t="shared" si="88"/>
        <v>0.73891625615763545</v>
      </c>
      <c r="U252" s="736"/>
      <c r="V252" s="737"/>
      <c r="W252" s="737"/>
    </row>
    <row r="253" spans="9:23" ht="15" customHeight="1" x14ac:dyDescent="0.25">
      <c r="I253">
        <v>4.0000000000000001E-3</v>
      </c>
      <c r="J253">
        <v>4.0000000000000001E-3</v>
      </c>
      <c r="K253" s="500" t="s">
        <v>336</v>
      </c>
      <c r="L253" t="s">
        <v>28</v>
      </c>
      <c r="M253" s="433">
        <v>0.73891625615763545</v>
      </c>
      <c r="N253" s="391">
        <v>0.54679802955665024</v>
      </c>
      <c r="O253" s="470">
        <f t="shared" si="89"/>
        <v>2.3552777777777773E-3</v>
      </c>
      <c r="P253" s="375">
        <f t="shared" si="89"/>
        <v>2.3552777777777773E-3</v>
      </c>
      <c r="Q253" s="375">
        <f t="shared" si="90"/>
        <v>1.2857142857142856</v>
      </c>
      <c r="S253" s="428" t="str">
        <f t="shared" si="88"/>
        <v>CAM6</v>
      </c>
      <c r="T253" s="430">
        <f t="shared" si="88"/>
        <v>0.73891625615763545</v>
      </c>
      <c r="U253" s="736"/>
      <c r="V253" s="737"/>
      <c r="W253" s="737"/>
    </row>
    <row r="254" spans="9:23" ht="15" customHeight="1" x14ac:dyDescent="0.25">
      <c r="I254">
        <v>4.0000000000000001E-3</v>
      </c>
      <c r="J254">
        <v>4.0000000000000001E-3</v>
      </c>
      <c r="K254" s="500" t="s">
        <v>337</v>
      </c>
      <c r="L254" t="s">
        <v>31</v>
      </c>
      <c r="M254" s="89">
        <v>0</v>
      </c>
      <c r="N254" s="391">
        <v>0.54679802955665024</v>
      </c>
      <c r="O254" s="470">
        <f t="shared" si="89"/>
        <v>2.3552777777777773E-3</v>
      </c>
      <c r="P254" s="375">
        <f t="shared" si="89"/>
        <v>2.3552777777777773E-3</v>
      </c>
      <c r="Q254" s="375">
        <f t="shared" si="90"/>
        <v>0.54679802955665024</v>
      </c>
      <c r="S254" s="428" t="str">
        <f t="shared" si="88"/>
        <v>CAM7</v>
      </c>
      <c r="T254" s="428">
        <f t="shared" si="88"/>
        <v>0</v>
      </c>
      <c r="U254" s="736"/>
      <c r="V254" s="737"/>
      <c r="W254" s="737"/>
    </row>
    <row r="255" spans="9:23" ht="15" customHeight="1" x14ac:dyDescent="0.25">
      <c r="I255">
        <v>4.0000000000000001E-3</v>
      </c>
      <c r="J255">
        <v>4.0000000000000001E-3</v>
      </c>
      <c r="L255" t="s">
        <v>795</v>
      </c>
      <c r="M255" s="433">
        <v>0.73891625615763545</v>
      </c>
      <c r="N255" s="391">
        <v>0.54679802955665024</v>
      </c>
      <c r="O255" s="470">
        <f t="shared" si="89"/>
        <v>2.3552777777777773E-3</v>
      </c>
      <c r="P255" s="375">
        <f t="shared" si="89"/>
        <v>2.3552777777777773E-3</v>
      </c>
      <c r="Q255" s="375">
        <f t="shared" si="90"/>
        <v>1.2857142857142856</v>
      </c>
      <c r="S255" s="428" t="str">
        <f t="shared" si="88"/>
        <v>CAM8-L*</v>
      </c>
      <c r="T255" s="430">
        <f t="shared" si="88"/>
        <v>0.73891625615763545</v>
      </c>
      <c r="U255" s="736"/>
      <c r="V255" s="737"/>
      <c r="W255" s="737"/>
    </row>
    <row r="256" spans="9:23" ht="15" customHeight="1" x14ac:dyDescent="0.25">
      <c r="I256">
        <v>4.0000000000000001E-3</v>
      </c>
      <c r="J256">
        <v>4.0000000000000001E-3</v>
      </c>
      <c r="L256" t="s">
        <v>796</v>
      </c>
      <c r="M256" s="433">
        <v>0.73891625615763545</v>
      </c>
      <c r="N256" s="391">
        <v>0.54679802955665024</v>
      </c>
      <c r="O256" s="470">
        <f t="shared" si="89"/>
        <v>2.3552777777777773E-3</v>
      </c>
      <c r="P256" s="375">
        <f t="shared" si="89"/>
        <v>2.3552777777777773E-3</v>
      </c>
      <c r="Q256" s="375">
        <f t="shared" si="90"/>
        <v>1.2857142857142856</v>
      </c>
      <c r="S256" s="428"/>
      <c r="T256" s="430"/>
      <c r="U256" s="501"/>
      <c r="V256" s="502"/>
      <c r="W256" s="502"/>
    </row>
    <row r="260" spans="15:20" ht="15" customHeight="1" x14ac:dyDescent="0.25">
      <c r="O260">
        <v>1.78</v>
      </c>
      <c r="P260">
        <v>1.71</v>
      </c>
      <c r="Q260">
        <v>1.49</v>
      </c>
      <c r="R260">
        <v>1.5</v>
      </c>
      <c r="S260">
        <f>AVERAGE(O260:R260)</f>
        <v>1.62</v>
      </c>
    </row>
    <row r="261" spans="15:20" ht="15" customHeight="1" x14ac:dyDescent="0.25">
      <c r="O261">
        <v>2.13</v>
      </c>
      <c r="P261">
        <v>2.02</v>
      </c>
      <c r="Q261">
        <v>1.99</v>
      </c>
      <c r="R261">
        <v>1.72</v>
      </c>
      <c r="S261">
        <f>AVERAGE(O261:R261)</f>
        <v>1.9650000000000001</v>
      </c>
    </row>
    <row r="264" spans="15:20" ht="15" customHeight="1" x14ac:dyDescent="0.25">
      <c r="S264">
        <v>1.9650000000000001</v>
      </c>
      <c r="T264" t="s">
        <v>966</v>
      </c>
    </row>
    <row r="265" spans="15:20" ht="15" customHeight="1" x14ac:dyDescent="0.25">
      <c r="S265">
        <f>(S264/1000000)*0.0036</f>
        <v>7.074000000000001E-9</v>
      </c>
      <c r="T265" t="s">
        <v>967</v>
      </c>
    </row>
    <row r="266" spans="15:20" ht="15" customHeight="1" x14ac:dyDescent="0.25">
      <c r="S266">
        <f>S265*1000*Fuels!F26</f>
        <v>4.3080660000000006E-5</v>
      </c>
    </row>
  </sheetData>
  <autoFilter ref="J98:AA98" xr:uid="{00000000-0009-0000-0000-00000B000000}">
    <sortState xmlns:xlrd2="http://schemas.microsoft.com/office/spreadsheetml/2017/richdata2" ref="J98:AA98">
      <sortCondition ref="L98"/>
    </sortState>
  </autoFilter>
  <mergeCells count="30">
    <mergeCell ref="U248:U255"/>
    <mergeCell ref="V248:V255"/>
    <mergeCell ref="W248:W255"/>
    <mergeCell ref="AB3:AF3"/>
    <mergeCell ref="AA33:AM33"/>
    <mergeCell ref="R64:V64"/>
    <mergeCell ref="W64:Z64"/>
    <mergeCell ref="AI65:AV65"/>
    <mergeCell ref="BK65:BX65"/>
    <mergeCell ref="R96:V96"/>
    <mergeCell ref="W96:Z96"/>
    <mergeCell ref="AI97:AV97"/>
    <mergeCell ref="AW97:BJ97"/>
    <mergeCell ref="BK97:BX97"/>
    <mergeCell ref="AW65:BJ65"/>
    <mergeCell ref="O218:Q218"/>
    <mergeCell ref="T218:W218"/>
    <mergeCell ref="Z218:AB218"/>
    <mergeCell ref="J116:AG116"/>
    <mergeCell ref="J138:AG138"/>
    <mergeCell ref="J152:AG152"/>
    <mergeCell ref="N155:O155"/>
    <mergeCell ref="P155:Q155"/>
    <mergeCell ref="J169:AG169"/>
    <mergeCell ref="BY97:CL97"/>
    <mergeCell ref="J174:O174"/>
    <mergeCell ref="J203:AG203"/>
    <mergeCell ref="O206:R206"/>
    <mergeCell ref="T206:W206"/>
    <mergeCell ref="Z206:AC206"/>
  </mergeCells>
  <conditionalFormatting sqref="I5:I27">
    <cfRule type="containsBlanks" dxfId="31" priority="4">
      <formula>LEN(TRIM(I5))=0</formula>
    </cfRule>
  </conditionalFormatting>
  <conditionalFormatting sqref="I35:I57">
    <cfRule type="containsBlanks" dxfId="30" priority="12">
      <formula>LEN(TRIM(I35))=0</formula>
    </cfRule>
  </conditionalFormatting>
  <conditionalFormatting sqref="I67:I89">
    <cfRule type="containsBlanks" dxfId="29" priority="20">
      <formula>LEN(TRIM(I67))=0</formula>
    </cfRule>
  </conditionalFormatting>
  <conditionalFormatting sqref="K248">
    <cfRule type="containsBlanks" dxfId="28" priority="1">
      <formula>LEN(TRIM(K248))=0</formula>
    </cfRule>
  </conditionalFormatting>
  <conditionalFormatting sqref="K5:L27">
    <cfRule type="containsText" dxfId="27" priority="5" operator="containsText" text="Oil and Gas">
      <formula>NOT(ISERROR(SEARCH(("Oil and Gas"),(K5))))</formula>
    </cfRule>
    <cfRule type="containsText" dxfId="26" priority="6" operator="containsText" text="Gas">
      <formula>NOT(ISERROR(SEARCH(("Gas"),(K5))))</formula>
    </cfRule>
    <cfRule type="containsText" dxfId="25" priority="7" operator="containsText" text="Oil">
      <formula>NOT(ISERROR(SEARCH(("Oil"),(K5))))</formula>
    </cfRule>
  </conditionalFormatting>
  <conditionalFormatting sqref="K35:L60">
    <cfRule type="containsText" dxfId="24" priority="13" operator="containsText" text="Oil and Gas">
      <formula>NOT(ISERROR(SEARCH(("Oil and Gas"),(K35))))</formula>
    </cfRule>
    <cfRule type="containsText" dxfId="23" priority="14" operator="containsText" text="Gas">
      <formula>NOT(ISERROR(SEARCH(("Gas"),(K35))))</formula>
    </cfRule>
    <cfRule type="containsText" dxfId="22" priority="15" operator="containsText" text="Oil">
      <formula>NOT(ISERROR(SEARCH(("Oil"),(K35))))</formula>
    </cfRule>
  </conditionalFormatting>
  <conditionalFormatting sqref="K67:L92">
    <cfRule type="containsText" dxfId="21" priority="21" operator="containsText" text="Oil and Gas">
      <formula>NOT(ISERROR(SEARCH(("Oil and Gas"),(K67))))</formula>
    </cfRule>
    <cfRule type="containsText" dxfId="20" priority="22" operator="containsText" text="Gas">
      <formula>NOT(ISERROR(SEARCH(("Gas"),(K67))))</formula>
    </cfRule>
    <cfRule type="containsText" dxfId="19" priority="23" operator="containsText" text="Oil">
      <formula>NOT(ISERROR(SEARCH(("Oil"),(K67))))</formula>
    </cfRule>
  </conditionalFormatting>
  <conditionalFormatting sqref="M99">
    <cfRule type="containsBlanks" dxfId="18" priority="31">
      <formula>LEN(TRIM(M99))=0</formula>
    </cfRule>
  </conditionalFormatting>
  <conditionalFormatting sqref="M121">
    <cfRule type="containsBlanks" dxfId="17" priority="38">
      <formula>LEN(TRIM(M121))=0</formula>
    </cfRule>
  </conditionalFormatting>
  <conditionalFormatting sqref="M141">
    <cfRule type="containsBlanks" dxfId="16" priority="53">
      <formula>LEN(TRIM(M141))=0</formula>
    </cfRule>
  </conditionalFormatting>
  <conditionalFormatting sqref="M156">
    <cfRule type="containsBlanks" dxfId="15" priority="39">
      <formula>LEN(TRIM(M156))=0</formula>
    </cfRule>
  </conditionalFormatting>
  <conditionalFormatting sqref="M183">
    <cfRule type="containsBlanks" dxfId="14" priority="40">
      <formula>LEN(TRIM(M183))=0</formula>
    </cfRule>
  </conditionalFormatting>
  <conditionalFormatting sqref="M193">
    <cfRule type="containsBlanks" dxfId="13" priority="54">
      <formula>LEN(TRIM(M193))=0</formula>
    </cfRule>
  </conditionalFormatting>
  <conditionalFormatting sqref="M208">
    <cfRule type="containsBlanks" dxfId="12" priority="55">
      <formula>LEN(TRIM(M208))=0</formula>
    </cfRule>
  </conditionalFormatting>
  <conditionalFormatting sqref="M220">
    <cfRule type="containsBlanks" dxfId="11" priority="56">
      <formula>LEN(TRIM(M220))=0</formula>
    </cfRule>
  </conditionalFormatting>
  <conditionalFormatting sqref="N67:N92">
    <cfRule type="cellIs" dxfId="10" priority="27" operator="equal">
      <formula>0</formula>
    </cfRule>
  </conditionalFormatting>
  <conditionalFormatting sqref="N99:AC112">
    <cfRule type="cellIs" dxfId="9" priority="32" operator="equal">
      <formula>0</formula>
    </cfRule>
  </conditionalFormatting>
  <conditionalFormatting sqref="Q5:Y27 P67:AA92">
    <cfRule type="cellIs" dxfId="8" priority="11" operator="equal">
      <formula>0</formula>
    </cfRule>
  </conditionalFormatting>
  <conditionalFormatting sqref="Q35:Y60">
    <cfRule type="cellIs" dxfId="7" priority="19" operator="equal">
      <formula>0</formula>
    </cfRule>
  </conditionalFormatting>
  <conditionalFormatting sqref="X121">
    <cfRule type="containsBlanks" dxfId="6" priority="49">
      <formula>LEN(TRIM(X121))=0</formula>
    </cfRule>
  </conditionalFormatting>
  <conditionalFormatting sqref="Z121:Z127">
    <cfRule type="cellIs" dxfId="5" priority="50" operator="equal">
      <formula>0</formula>
    </cfRule>
  </conditionalFormatting>
  <conditionalFormatting sqref="AA121:AC127">
    <cfRule type="containsText" dxfId="4" priority="51" operator="containsText" text="No">
      <formula>NOT(ISERROR(SEARCH(("No"),(AA121))))</formula>
    </cfRule>
    <cfRule type="containsText" dxfId="3" priority="52" operator="containsText" text="Sí">
      <formula>NOT(ISERROR(SEARCH(("Sí"),(AA121))))</formula>
    </cfRule>
  </conditionalFormatting>
  <conditionalFormatting sqref="AH99:BX112">
    <cfRule type="cellIs" dxfId="2" priority="36" operator="equal">
      <formula>0</formula>
    </cfRule>
  </conditionalFormatting>
  <conditionalFormatting sqref="BY99:CL105">
    <cfRule type="cellIs" dxfId="1" priority="3" operator="equal">
      <formula>0</formula>
    </cfRule>
  </conditionalFormatting>
  <pageMargins left="0.7" right="0.7" top="0.75" bottom="0.75" header="0" footer="0"/>
  <pageSetup paperSize="9" orientation="portrait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3EF8-B161-44B5-A258-0BCC0AAFC5E1}">
  <dimension ref="B1:BH1000"/>
  <sheetViews>
    <sheetView showGridLines="0" topLeftCell="AB3" zoomScale="75" zoomScaleNormal="75" workbookViewId="0">
      <selection activeCell="BH6" sqref="BH6:BM14"/>
    </sheetView>
  </sheetViews>
  <sheetFormatPr baseColWidth="10" defaultRowHeight="15" x14ac:dyDescent="0.25"/>
  <cols>
    <col min="2" max="2" width="4.28515625" customWidth="1"/>
    <col min="3" max="3" width="17.42578125" customWidth="1"/>
    <col min="4" max="6" width="10.7109375" customWidth="1"/>
    <col min="7" max="7" width="14.7109375" customWidth="1"/>
    <col min="8" max="8" width="10.7109375" customWidth="1"/>
    <col min="9" max="9" width="5.7109375" customWidth="1"/>
    <col min="11" max="11" width="5.28515625" customWidth="1"/>
    <col min="12" max="12" width="14.85546875" customWidth="1"/>
    <col min="13" max="13" width="13.7109375" customWidth="1"/>
    <col min="14" max="14" width="11.28515625" customWidth="1"/>
    <col min="15" max="15" width="10.85546875" customWidth="1"/>
    <col min="16" max="16" width="4.140625" customWidth="1"/>
    <col min="17" max="17" width="15.28515625" customWidth="1"/>
    <col min="18" max="18" width="19" customWidth="1"/>
    <col min="19" max="19" width="10.7109375" customWidth="1"/>
    <col min="20" max="20" width="5.85546875" customWidth="1"/>
    <col min="21" max="21" width="18.85546875" customWidth="1"/>
    <col min="22" max="22" width="20.28515625" customWidth="1"/>
    <col min="23" max="23" width="10.7109375" customWidth="1"/>
    <col min="24" max="24" width="6.28515625" customWidth="1"/>
    <col min="25" max="27" width="11.42578125" customWidth="1"/>
    <col min="28" max="28" width="6" customWidth="1"/>
    <col min="30" max="30" width="5.85546875" customWidth="1"/>
    <col min="31" max="31" width="12.5703125" customWidth="1"/>
    <col min="32" max="32" width="16" customWidth="1"/>
    <col min="33" max="33" width="10.140625" customWidth="1"/>
    <col min="34" max="34" width="7.85546875" customWidth="1"/>
    <col min="35" max="35" width="13" customWidth="1"/>
    <col min="36" max="36" width="10.7109375" customWidth="1"/>
    <col min="37" max="37" width="12.28515625" customWidth="1"/>
    <col min="39" max="39" width="6.140625" customWidth="1"/>
    <col min="40" max="40" width="17.5703125" customWidth="1"/>
    <col min="41" max="41" width="15.42578125" customWidth="1"/>
    <col min="42" max="42" width="21.7109375" customWidth="1"/>
    <col min="43" max="44" width="10.7109375" customWidth="1"/>
    <col min="45" max="45" width="13.5703125" customWidth="1"/>
    <col min="46" max="46" width="15.85546875" customWidth="1"/>
    <col min="47" max="47" width="11.85546875" customWidth="1"/>
    <col min="48" max="48" width="9" customWidth="1"/>
    <col min="49" max="49" width="16.28515625" customWidth="1"/>
    <col min="50" max="50" width="18.5703125" customWidth="1"/>
    <col min="51" max="51" width="15" customWidth="1"/>
    <col min="52" max="52" width="5.28515625" customWidth="1"/>
    <col min="54" max="54" width="11.42578125" customWidth="1"/>
    <col min="55" max="55" width="33.28515625" customWidth="1"/>
    <col min="56" max="56" width="17" customWidth="1"/>
    <col min="57" max="57" width="18.85546875" customWidth="1"/>
    <col min="58" max="58" width="16.7109375" customWidth="1"/>
    <col min="59" max="59" width="17.28515625" customWidth="1"/>
  </cols>
  <sheetData>
    <row r="1" spans="2:59" x14ac:dyDescent="0.25">
      <c r="B1" s="231"/>
      <c r="I1" s="392"/>
      <c r="K1" s="231"/>
      <c r="X1" s="1"/>
      <c r="Y1" s="1"/>
      <c r="Z1" s="1"/>
      <c r="AA1" s="1"/>
      <c r="AB1" s="392"/>
      <c r="AD1" s="231"/>
      <c r="AM1" s="231"/>
      <c r="AW1" s="1"/>
      <c r="AX1" s="1"/>
      <c r="AY1" s="1"/>
      <c r="AZ1" s="392"/>
      <c r="BB1" s="231"/>
    </row>
    <row r="2" spans="2:59" x14ac:dyDescent="0.25">
      <c r="B2" s="231"/>
      <c r="I2" s="392"/>
      <c r="K2" s="231"/>
      <c r="X2" s="1"/>
      <c r="Y2" s="1"/>
      <c r="Z2" s="1"/>
      <c r="AA2" s="1"/>
      <c r="AB2" s="392"/>
      <c r="AD2" s="231"/>
      <c r="AM2" s="231"/>
      <c r="AW2" s="1"/>
      <c r="AX2" s="1"/>
      <c r="AY2" s="1"/>
      <c r="AZ2" s="392"/>
      <c r="BB2" s="231"/>
    </row>
    <row r="3" spans="2:59" ht="21" x14ac:dyDescent="0.35">
      <c r="B3" s="231"/>
      <c r="C3" s="739" t="s">
        <v>742</v>
      </c>
      <c r="D3" s="714"/>
      <c r="E3" s="714"/>
      <c r="F3" s="714"/>
      <c r="G3" s="714"/>
      <c r="H3" s="714"/>
      <c r="I3" s="393"/>
      <c r="K3" s="231"/>
      <c r="L3" s="739" t="s">
        <v>745</v>
      </c>
      <c r="M3" s="714"/>
      <c r="N3" s="714"/>
      <c r="O3" s="714"/>
      <c r="P3" s="714"/>
      <c r="Q3" s="714"/>
      <c r="R3" s="714"/>
      <c r="S3" s="714"/>
      <c r="T3" s="714"/>
      <c r="U3" s="714"/>
      <c r="V3" s="714"/>
      <c r="W3" s="714"/>
      <c r="X3" s="401"/>
      <c r="Y3" s="401"/>
      <c r="Z3" s="401"/>
      <c r="AA3" s="401"/>
      <c r="AB3" s="393"/>
      <c r="AD3" s="231"/>
      <c r="AE3" s="739" t="s">
        <v>767</v>
      </c>
      <c r="AF3" s="714"/>
      <c r="AG3" s="714"/>
      <c r="AH3" s="714"/>
      <c r="AI3" s="714"/>
      <c r="AJ3" s="714"/>
      <c r="AK3" s="714"/>
      <c r="AL3" s="714"/>
      <c r="AM3" s="231"/>
      <c r="AN3" s="739" t="s">
        <v>774</v>
      </c>
      <c r="AO3" s="714"/>
      <c r="AP3" s="714"/>
      <c r="AQ3" s="714"/>
      <c r="AR3" s="714"/>
      <c r="AS3" s="714"/>
      <c r="AT3" s="714"/>
      <c r="AU3" s="714"/>
      <c r="AV3" s="714"/>
      <c r="AW3" s="401"/>
      <c r="AX3" s="401"/>
      <c r="AY3" s="401"/>
      <c r="AZ3" s="392"/>
      <c r="BB3" s="231"/>
      <c r="BC3" s="469" t="s">
        <v>778</v>
      </c>
    </row>
    <row r="4" spans="2:59" x14ac:dyDescent="0.25">
      <c r="B4" s="231"/>
      <c r="I4" s="392"/>
      <c r="K4" s="231"/>
      <c r="X4" s="1"/>
      <c r="Y4" s="1"/>
      <c r="Z4" s="1"/>
      <c r="AA4" s="1"/>
      <c r="AB4" s="392"/>
      <c r="AD4" s="231"/>
      <c r="AM4" s="231"/>
      <c r="AW4" s="1"/>
      <c r="AX4" s="1"/>
      <c r="AY4" s="1"/>
      <c r="AZ4" s="392"/>
      <c r="BB4" s="231"/>
    </row>
    <row r="5" spans="2:59" ht="15.75" x14ac:dyDescent="0.25">
      <c r="B5" s="394"/>
      <c r="C5" s="395"/>
      <c r="D5" s="395"/>
      <c r="E5" s="395"/>
      <c r="F5" s="395"/>
      <c r="G5" s="395"/>
      <c r="H5" s="395"/>
      <c r="I5" s="396"/>
      <c r="K5" s="394"/>
      <c r="L5" s="740" t="s">
        <v>746</v>
      </c>
      <c r="M5" s="714"/>
      <c r="N5" s="714"/>
      <c r="O5" s="714"/>
      <c r="P5" s="395"/>
      <c r="Q5" s="740" t="s">
        <v>747</v>
      </c>
      <c r="R5" s="714"/>
      <c r="S5" s="714"/>
      <c r="T5" s="395"/>
      <c r="U5" s="740" t="s">
        <v>748</v>
      </c>
      <c r="V5" s="714"/>
      <c r="W5" s="395"/>
      <c r="X5" s="403"/>
      <c r="Y5" s="741" t="s">
        <v>749</v>
      </c>
      <c r="Z5" s="712"/>
      <c r="AA5" s="712"/>
      <c r="AB5" s="396"/>
      <c r="AD5" s="394"/>
      <c r="AE5" s="740" t="s">
        <v>768</v>
      </c>
      <c r="AF5" s="714"/>
      <c r="AG5" s="714"/>
      <c r="AI5" s="395" t="s">
        <v>769</v>
      </c>
      <c r="AM5" s="394"/>
      <c r="AN5" s="740" t="s">
        <v>775</v>
      </c>
      <c r="AO5" s="714"/>
      <c r="AP5" s="714"/>
      <c r="AR5" s="395"/>
      <c r="AS5" s="465" t="s">
        <v>776</v>
      </c>
      <c r="AT5" s="395"/>
      <c r="AU5" s="402"/>
      <c r="AV5" s="402"/>
      <c r="AW5" s="447" t="s">
        <v>777</v>
      </c>
      <c r="AX5" s="403"/>
      <c r="AY5" s="403"/>
      <c r="AZ5" s="396"/>
      <c r="BB5" s="394"/>
      <c r="BC5" s="395" t="s">
        <v>779</v>
      </c>
      <c r="BD5" s="395"/>
      <c r="BE5" s="395"/>
      <c r="BF5" s="395"/>
      <c r="BG5" s="395"/>
    </row>
    <row r="6" spans="2:59" x14ac:dyDescent="0.25">
      <c r="B6" s="231"/>
      <c r="I6" s="392"/>
      <c r="K6" s="231"/>
      <c r="X6" s="1"/>
      <c r="Y6" s="1"/>
      <c r="Z6" s="1"/>
      <c r="AA6" s="1"/>
      <c r="AB6" s="392"/>
      <c r="AD6" s="231"/>
      <c r="AM6" s="231"/>
      <c r="AW6" s="1"/>
      <c r="AX6" s="1"/>
      <c r="AY6" s="1"/>
      <c r="AZ6" s="392"/>
      <c r="BB6" s="231"/>
    </row>
    <row r="7" spans="2:59" x14ac:dyDescent="0.25">
      <c r="B7" s="231"/>
      <c r="C7" s="202" t="s">
        <v>416</v>
      </c>
      <c r="I7" s="392"/>
      <c r="K7" s="231"/>
      <c r="L7" s="202" t="s">
        <v>416</v>
      </c>
      <c r="Q7" s="202" t="s">
        <v>416</v>
      </c>
      <c r="U7" s="202" t="s">
        <v>416</v>
      </c>
      <c r="X7" s="1"/>
      <c r="Y7" s="202" t="s">
        <v>416</v>
      </c>
      <c r="Z7" s="1"/>
      <c r="AA7" s="1"/>
      <c r="AB7" s="392"/>
      <c r="AD7" s="231"/>
      <c r="AE7" s="202" t="s">
        <v>416</v>
      </c>
      <c r="AI7" s="202" t="s">
        <v>416</v>
      </c>
      <c r="AM7" s="231"/>
      <c r="AN7" s="202" t="s">
        <v>416</v>
      </c>
      <c r="AQ7" s="275"/>
      <c r="AS7" s="202" t="s">
        <v>416</v>
      </c>
      <c r="AW7" s="202" t="s">
        <v>416</v>
      </c>
      <c r="AX7" s="202"/>
      <c r="AY7" s="1"/>
      <c r="AZ7" s="392"/>
      <c r="BB7" s="231"/>
      <c r="BC7" s="202" t="s">
        <v>416</v>
      </c>
    </row>
    <row r="8" spans="2:59" x14ac:dyDescent="0.25">
      <c r="B8" s="231"/>
      <c r="C8" s="186" t="s">
        <v>138</v>
      </c>
      <c r="D8" s="397" t="s">
        <v>418</v>
      </c>
      <c r="E8" s="397" t="s">
        <v>43</v>
      </c>
      <c r="F8" s="397" t="s">
        <v>743</v>
      </c>
      <c r="G8" s="397" t="s">
        <v>744</v>
      </c>
      <c r="H8" s="397" t="s">
        <v>447</v>
      </c>
      <c r="I8" s="398"/>
      <c r="K8" s="231"/>
      <c r="L8" s="186" t="s">
        <v>138</v>
      </c>
      <c r="M8" s="187" t="s">
        <v>488</v>
      </c>
      <c r="N8" s="187" t="s">
        <v>538</v>
      </c>
      <c r="O8" s="187" t="s">
        <v>484</v>
      </c>
      <c r="Q8" s="404" t="s">
        <v>138</v>
      </c>
      <c r="R8" s="397" t="s">
        <v>417</v>
      </c>
      <c r="S8" s="397" t="s">
        <v>750</v>
      </c>
      <c r="U8" s="186" t="s">
        <v>138</v>
      </c>
      <c r="V8" s="405" t="s">
        <v>418</v>
      </c>
      <c r="W8" s="405" t="s">
        <v>447</v>
      </c>
      <c r="X8" s="214"/>
      <c r="Y8" s="186" t="s">
        <v>138</v>
      </c>
      <c r="Z8" s="405" t="s">
        <v>744</v>
      </c>
      <c r="AA8" s="214"/>
      <c r="AB8" s="406"/>
      <c r="AD8" s="231"/>
      <c r="AE8" s="183" t="s">
        <v>138</v>
      </c>
      <c r="AF8" s="83" t="s">
        <v>417</v>
      </c>
      <c r="AG8" s="83" t="s">
        <v>447</v>
      </c>
      <c r="AH8" s="440"/>
      <c r="AI8" s="183" t="s">
        <v>138</v>
      </c>
      <c r="AJ8" s="83" t="s">
        <v>418</v>
      </c>
      <c r="AK8" s="198" t="s">
        <v>770</v>
      </c>
      <c r="AM8" s="231"/>
      <c r="AN8" s="183" t="s">
        <v>138</v>
      </c>
      <c r="AO8" s="198" t="s">
        <v>43</v>
      </c>
      <c r="AP8" s="466" t="s">
        <v>939</v>
      </c>
      <c r="AQ8" s="275"/>
      <c r="AS8" s="183" t="s">
        <v>138</v>
      </c>
      <c r="AT8" s="448" t="s">
        <v>417</v>
      </c>
      <c r="AU8" s="448" t="s">
        <v>447</v>
      </c>
      <c r="AW8" s="183" t="s">
        <v>138</v>
      </c>
      <c r="AX8" s="448" t="s">
        <v>418</v>
      </c>
      <c r="AY8" s="448" t="s">
        <v>770</v>
      </c>
      <c r="AZ8" s="467"/>
      <c r="BB8" s="231"/>
      <c r="BC8" s="183" t="s">
        <v>138</v>
      </c>
      <c r="BD8" s="448" t="s">
        <v>417</v>
      </c>
      <c r="BE8" s="448" t="s">
        <v>418</v>
      </c>
      <c r="BF8" s="198" t="s">
        <v>447</v>
      </c>
    </row>
    <row r="9" spans="2:59" x14ac:dyDescent="0.25">
      <c r="B9" s="231"/>
      <c r="C9" s="14" t="s">
        <v>246</v>
      </c>
      <c r="D9" s="14" t="s">
        <v>193</v>
      </c>
      <c r="E9" s="87" t="s">
        <v>484</v>
      </c>
      <c r="F9" s="275">
        <v>410.64947873869397</v>
      </c>
      <c r="G9" s="399">
        <v>9.9999999999999995E-7</v>
      </c>
      <c r="H9" s="185">
        <v>1</v>
      </c>
      <c r="I9" s="400"/>
      <c r="K9" s="231"/>
      <c r="L9" s="87" t="s">
        <v>253</v>
      </c>
      <c r="M9" s="87" t="s">
        <v>539</v>
      </c>
      <c r="N9" s="87">
        <v>2019</v>
      </c>
      <c r="O9" s="160" cm="1">
        <f t="array" ref="O9:O22">TRANSPOSE(DataCAM!BY99:CL99)</f>
        <v>68.585731940983607</v>
      </c>
      <c r="Q9" s="16" t="str">
        <f>+L9</f>
        <v>PROF-CAM1</v>
      </c>
      <c r="R9" s="16" t="s">
        <v>193</v>
      </c>
      <c r="S9" s="669">
        <f>100%-S10</f>
        <v>0.98952880617307648</v>
      </c>
      <c r="U9" s="12" t="str">
        <f>+Q9</f>
        <v>PROF-CAM1</v>
      </c>
      <c r="V9" s="12" t="s">
        <v>239</v>
      </c>
      <c r="W9" s="148">
        <f>100%-S10-(S9*DataCAM!P99*DataCAM!X99)</f>
        <v>0.98818936199531748</v>
      </c>
      <c r="X9" s="407"/>
      <c r="Y9" s="407" t="str">
        <f t="array" ref="Y9:Y15">+U9:U15</f>
        <v>PROF-CAM1</v>
      </c>
      <c r="Z9" s="408">
        <f>DataCAM!$O$237+DataCAM!$O$236</f>
        <v>2.735632183908046</v>
      </c>
      <c r="AA9" s="407"/>
      <c r="AB9" s="409"/>
      <c r="AD9" s="231"/>
      <c r="AE9" s="12" t="s">
        <v>260</v>
      </c>
      <c r="AF9" s="12" t="s">
        <v>239</v>
      </c>
      <c r="AG9" s="147">
        <v>1</v>
      </c>
      <c r="AH9" s="441"/>
      <c r="AI9" s="12" t="str">
        <f>+AE9</f>
        <v>SEP-CAM1</v>
      </c>
      <c r="AJ9" s="12" t="s">
        <v>64</v>
      </c>
      <c r="AK9" s="11">
        <f>(DataCAM!O99-DataCAM!S99)/(DataCAM!AH99-DataCAM!S99)</f>
        <v>1</v>
      </c>
      <c r="AM9" s="231"/>
      <c r="AN9" s="14" t="s">
        <v>267</v>
      </c>
      <c r="AO9" s="14" t="s">
        <v>484</v>
      </c>
      <c r="AP9" s="433">
        <f>DataCAM!S164</f>
        <v>53.586406022200812</v>
      </c>
      <c r="AQ9" s="275"/>
      <c r="AS9" t="s">
        <v>267</v>
      </c>
      <c r="AT9" s="11" t="s">
        <v>66</v>
      </c>
      <c r="AU9" s="147">
        <v>1</v>
      </c>
      <c r="AW9" s="468" t="str">
        <f>+AN9</f>
        <v>PLT-CAM2</v>
      </c>
      <c r="AX9" s="147" t="s">
        <v>233</v>
      </c>
      <c r="AY9" s="185">
        <f>100%-AY10</f>
        <v>0.81212301636928097</v>
      </c>
      <c r="AZ9" s="439"/>
      <c r="BB9" s="231"/>
      <c r="BC9" s="12" t="str">
        <f>PROCESS!D107</f>
        <v>COMPRA-ELC-CAM2</v>
      </c>
      <c r="BD9" s="12" t="s">
        <v>123</v>
      </c>
      <c r="BE9" s="12" t="s">
        <v>94</v>
      </c>
      <c r="BF9" s="178">
        <v>1</v>
      </c>
    </row>
    <row r="10" spans="2:59" x14ac:dyDescent="0.25">
      <c r="B10" s="231"/>
      <c r="C10" s="14" t="s">
        <v>247</v>
      </c>
      <c r="D10" s="14" t="s">
        <v>196</v>
      </c>
      <c r="E10" s="87" t="s">
        <v>484</v>
      </c>
      <c r="F10" s="275">
        <v>3324.1788379634741</v>
      </c>
      <c r="G10" s="399">
        <v>9.9999999999999995E-7</v>
      </c>
      <c r="H10" s="185">
        <v>1</v>
      </c>
      <c r="I10" s="400"/>
      <c r="K10" s="231"/>
      <c r="L10" s="87"/>
      <c r="M10" s="87" t="s">
        <v>539</v>
      </c>
      <c r="N10" s="87">
        <v>2020</v>
      </c>
      <c r="O10" s="160">
        <v>46.821961089206532</v>
      </c>
      <c r="Q10" s="16"/>
      <c r="R10" s="16" t="s">
        <v>93</v>
      </c>
      <c r="S10" s="669">
        <f>DataCAM!N121/(1+DataCAM!N121)</f>
        <v>1.0471193826923495E-2</v>
      </c>
      <c r="U10" s="12" t="str">
        <f>+Q11</f>
        <v>PROF-CAM2</v>
      </c>
      <c r="V10" s="12" t="s">
        <v>240</v>
      </c>
      <c r="W10" s="148">
        <f>100%-S12-(S11*DataCAM!P100*DataCAM!X100)</f>
        <v>0.98095962613978183</v>
      </c>
      <c r="X10" s="407"/>
      <c r="Y10" s="407" t="str">
        <v>PROF-CAM2</v>
      </c>
      <c r="Z10" s="408">
        <f>DataCAM!$O$237+DataCAM!$O$236</f>
        <v>2.735632183908046</v>
      </c>
      <c r="AA10" s="407"/>
      <c r="AB10" s="409"/>
      <c r="AD10" s="231"/>
      <c r="AE10" s="12" t="s">
        <v>261</v>
      </c>
      <c r="AF10" s="12" t="s">
        <v>240</v>
      </c>
      <c r="AG10" s="147">
        <v>1</v>
      </c>
      <c r="AH10" s="441"/>
      <c r="AI10" s="12" t="str">
        <f>+AE10</f>
        <v>SEP-CAM2</v>
      </c>
      <c r="AJ10" s="12" t="s">
        <v>66</v>
      </c>
      <c r="AK10" s="11">
        <f>(DataCAM!O100-DataCAM!S100)/(DataCAM!AH100-DataCAM!S100)</f>
        <v>0.71191268706212718</v>
      </c>
      <c r="AM10" s="231"/>
      <c r="AN10" s="14" t="s">
        <v>268</v>
      </c>
      <c r="AO10" s="14" t="s">
        <v>484</v>
      </c>
      <c r="AP10" s="275">
        <f>DataCAM!S158</f>
        <v>2.6279610232633126</v>
      </c>
      <c r="AS10" t="s">
        <v>268</v>
      </c>
      <c r="AT10" s="11" t="s">
        <v>67</v>
      </c>
      <c r="AU10" s="147">
        <v>1</v>
      </c>
      <c r="AW10" s="147"/>
      <c r="AX10" s="147" t="s">
        <v>857</v>
      </c>
      <c r="AY10" s="185">
        <f>DataCAM!R157</f>
        <v>0.18787698363071906</v>
      </c>
      <c r="AZ10" s="439"/>
      <c r="BB10" s="231"/>
      <c r="BC10" s="12" t="s">
        <v>183</v>
      </c>
      <c r="BD10" s="12" t="s">
        <v>123</v>
      </c>
      <c r="BE10" s="12" t="s">
        <v>95</v>
      </c>
      <c r="BF10" s="178">
        <v>1</v>
      </c>
    </row>
    <row r="11" spans="2:59" x14ac:dyDescent="0.25">
      <c r="B11" s="231"/>
      <c r="C11" s="14" t="s">
        <v>248</v>
      </c>
      <c r="D11" s="14" t="s">
        <v>199</v>
      </c>
      <c r="E11" s="87" t="s">
        <v>484</v>
      </c>
      <c r="F11" s="275">
        <v>10001.811219486148</v>
      </c>
      <c r="G11" s="399">
        <v>9.9999999999999995E-7</v>
      </c>
      <c r="H11" s="185">
        <v>1</v>
      </c>
      <c r="I11" s="400"/>
      <c r="K11" s="231"/>
      <c r="L11" s="87"/>
      <c r="M11" s="87" t="s">
        <v>539</v>
      </c>
      <c r="N11" s="87">
        <v>2023</v>
      </c>
      <c r="O11" s="160">
        <v>40.80534003047606</v>
      </c>
      <c r="Q11" s="16" t="str">
        <f>+L23</f>
        <v>PROF-CAM2</v>
      </c>
      <c r="R11" s="16" t="s">
        <v>196</v>
      </c>
      <c r="S11" s="669">
        <f>100%-S12</f>
        <v>0.98952880617307648</v>
      </c>
      <c r="U11" s="12" t="str">
        <f>+Q13</f>
        <v>PROF-CAM3</v>
      </c>
      <c r="V11" s="12" t="s">
        <v>241</v>
      </c>
      <c r="W11" s="148">
        <f>100%-S14-(S13*DataCAM!P101*DataCAM!X101)</f>
        <v>0.9877705218658589</v>
      </c>
      <c r="X11" s="407"/>
      <c r="Y11" s="407" t="str">
        <v>PROF-CAM3</v>
      </c>
      <c r="Z11" s="408">
        <f>DataCAM!$O$237+DataCAM!$O$236</f>
        <v>2.735632183908046</v>
      </c>
      <c r="AA11" s="407"/>
      <c r="AB11" s="409"/>
      <c r="AD11" s="231"/>
      <c r="AE11" s="12" t="s">
        <v>262</v>
      </c>
      <c r="AF11" s="12" t="s">
        <v>241</v>
      </c>
      <c r="AG11" s="147">
        <v>1</v>
      </c>
      <c r="AH11" s="441"/>
      <c r="AJ11" s="12" t="s">
        <v>78</v>
      </c>
      <c r="AK11" s="11">
        <f>100%-AK10</f>
        <v>0.28808731293787282</v>
      </c>
      <c r="AM11" s="231"/>
      <c r="AN11" s="14" t="s">
        <v>269</v>
      </c>
      <c r="AO11" s="14" t="s">
        <v>484</v>
      </c>
      <c r="AP11" s="275">
        <f>DataCAM!S161</f>
        <v>0.66500931021379162</v>
      </c>
      <c r="AS11" t="s">
        <v>269</v>
      </c>
      <c r="AT11" s="11" t="s">
        <v>74</v>
      </c>
      <c r="AU11" s="147">
        <v>1</v>
      </c>
      <c r="AW11" s="468" t="str">
        <f>+AN10</f>
        <v>PLT-CAM3</v>
      </c>
      <c r="AX11" s="147" t="s">
        <v>234</v>
      </c>
      <c r="AY11" s="185">
        <f>100%-AY12</f>
        <v>0.54929708810295375</v>
      </c>
      <c r="AZ11" s="439"/>
      <c r="BB11" s="231"/>
      <c r="BC11" s="12" t="s">
        <v>185</v>
      </c>
      <c r="BD11" s="12" t="s">
        <v>123</v>
      </c>
      <c r="BE11" s="11" t="s">
        <v>96</v>
      </c>
      <c r="BF11" s="178">
        <v>1</v>
      </c>
    </row>
    <row r="12" spans="2:59" x14ac:dyDescent="0.25">
      <c r="B12" s="231"/>
      <c r="C12" s="14" t="s">
        <v>249</v>
      </c>
      <c r="D12" s="14" t="s">
        <v>202</v>
      </c>
      <c r="E12" s="87" t="s">
        <v>484</v>
      </c>
      <c r="F12" s="275">
        <v>68.755531990652941</v>
      </c>
      <c r="G12" s="399">
        <v>9.9999999999999995E-7</v>
      </c>
      <c r="H12" s="185">
        <v>1</v>
      </c>
      <c r="I12" s="400"/>
      <c r="K12" s="231"/>
      <c r="L12" s="87"/>
      <c r="M12" s="87" t="s">
        <v>539</v>
      </c>
      <c r="N12" s="87">
        <v>2025</v>
      </c>
      <c r="O12" s="160">
        <v>32.881680652858037</v>
      </c>
      <c r="Q12" s="16"/>
      <c r="R12" s="16" t="s">
        <v>94</v>
      </c>
      <c r="S12" s="669">
        <f>DataCAM!N122/(1+DataCAM!N122)</f>
        <v>1.0471193826923495E-2</v>
      </c>
      <c r="U12" s="12" t="str">
        <f>+Q15</f>
        <v>PROF-CAM4</v>
      </c>
      <c r="V12" s="12" t="s">
        <v>242</v>
      </c>
      <c r="W12" s="148">
        <f>100%-S16-(S15*DataCAM!P102*DataCAM!X102)</f>
        <v>0.76548029450306121</v>
      </c>
      <c r="X12" s="407"/>
      <c r="Y12" s="407" t="str">
        <v>PROF-CAM4</v>
      </c>
      <c r="Z12" s="408">
        <f>DataCAM!$O$237+DataCAM!$O$236</f>
        <v>2.735632183908046</v>
      </c>
      <c r="AA12" s="407"/>
      <c r="AB12" s="409"/>
      <c r="AD12" s="231"/>
      <c r="AE12" s="12" t="s">
        <v>263</v>
      </c>
      <c r="AF12" s="12" t="s">
        <v>242</v>
      </c>
      <c r="AG12" s="147">
        <v>1</v>
      </c>
      <c r="AH12" s="441"/>
      <c r="AI12" s="12" t="str">
        <f>+AE11</f>
        <v>SEP-CAM3</v>
      </c>
      <c r="AJ12" s="12" t="s">
        <v>67</v>
      </c>
      <c r="AK12" s="11">
        <f>(DataCAM!O101-DataCAM!S101)/(DataCAM!AH101-DataCAM!S101)</f>
        <v>1.0474627382808092E-3</v>
      </c>
      <c r="AM12" s="231"/>
      <c r="AP12" s="275"/>
      <c r="AQ12" s="275"/>
      <c r="AW12" s="147"/>
      <c r="AX12" s="147" t="s">
        <v>858</v>
      </c>
      <c r="AY12" s="185">
        <f>DataCAM!R158</f>
        <v>0.4507029118970462</v>
      </c>
      <c r="AZ12" s="439"/>
      <c r="BB12" s="231"/>
      <c r="BC12" s="12" t="s">
        <v>187</v>
      </c>
      <c r="BD12" s="12" t="s">
        <v>123</v>
      </c>
      <c r="BE12" s="11" t="s">
        <v>97</v>
      </c>
      <c r="BF12" s="178">
        <v>1</v>
      </c>
    </row>
    <row r="13" spans="2:59" x14ac:dyDescent="0.25">
      <c r="B13" s="231"/>
      <c r="C13" s="14" t="s">
        <v>250</v>
      </c>
      <c r="D13" s="14" t="s">
        <v>205</v>
      </c>
      <c r="E13" s="87" t="s">
        <v>484</v>
      </c>
      <c r="F13" s="275">
        <v>1629.8282595411972</v>
      </c>
      <c r="G13" s="399">
        <v>9.9999999999999995E-7</v>
      </c>
      <c r="H13" s="185">
        <v>1</v>
      </c>
      <c r="I13" s="400"/>
      <c r="K13" s="231"/>
      <c r="L13" s="87"/>
      <c r="M13" s="87" t="s">
        <v>539</v>
      </c>
      <c r="N13" s="87">
        <v>2027</v>
      </c>
      <c r="O13" s="160">
        <v>26.295415297444752</v>
      </c>
      <c r="Q13" s="16" t="str">
        <f>+L37</f>
        <v>PROF-CAM3</v>
      </c>
      <c r="R13" s="16" t="s">
        <v>199</v>
      </c>
      <c r="S13" s="669">
        <f>100%-S14</f>
        <v>0.98952880617307648</v>
      </c>
      <c r="U13" s="12" t="str">
        <f>+Q17</f>
        <v>PROF-CAM5</v>
      </c>
      <c r="V13" s="12" t="s">
        <v>243</v>
      </c>
      <c r="W13" s="148">
        <f>100%-S18-(S17*DataCAM!P103*DataCAM!X103)</f>
        <v>0.98492408706697354</v>
      </c>
      <c r="X13" s="407"/>
      <c r="Y13" s="407" t="str">
        <v>PROF-CAM5</v>
      </c>
      <c r="Z13" s="408">
        <f>DataCAM!$O$237+DataCAM!$O$236</f>
        <v>2.735632183908046</v>
      </c>
      <c r="AA13" s="407"/>
      <c r="AB13" s="409"/>
      <c r="AD13" s="231"/>
      <c r="AE13" s="12" t="s">
        <v>264</v>
      </c>
      <c r="AF13" s="12" t="s">
        <v>243</v>
      </c>
      <c r="AG13" s="147">
        <v>1</v>
      </c>
      <c r="AH13" s="441"/>
      <c r="AJ13" s="12" t="s">
        <v>89</v>
      </c>
      <c r="AK13" s="11">
        <f>100%-AK12</f>
        <v>0.99895253726171918</v>
      </c>
      <c r="AM13" s="231"/>
      <c r="AP13" s="275"/>
      <c r="AQ13" s="275"/>
      <c r="AT13" s="11"/>
      <c r="AW13" s="468" t="str">
        <f>+AN11</f>
        <v>PLT-CAM6</v>
      </c>
      <c r="AX13" s="147" t="s">
        <v>237</v>
      </c>
      <c r="AY13" s="185">
        <f>100%-AY14</f>
        <v>0.60654715356213063</v>
      </c>
      <c r="AZ13" s="439"/>
      <c r="BB13" s="231"/>
      <c r="BC13" s="12" t="s">
        <v>189</v>
      </c>
      <c r="BD13" s="12" t="s">
        <v>123</v>
      </c>
      <c r="BE13" s="11" t="s">
        <v>98</v>
      </c>
      <c r="BF13" s="178">
        <v>1</v>
      </c>
    </row>
    <row r="14" spans="2:59" x14ac:dyDescent="0.25">
      <c r="B14" s="231"/>
      <c r="C14" s="14" t="s">
        <v>251</v>
      </c>
      <c r="D14" s="14" t="s">
        <v>208</v>
      </c>
      <c r="E14" s="87" t="s">
        <v>484</v>
      </c>
      <c r="F14" s="275">
        <v>436.19551729256705</v>
      </c>
      <c r="G14" s="399">
        <v>9.9999999999999995E-7</v>
      </c>
      <c r="H14" s="185">
        <v>1</v>
      </c>
      <c r="I14" s="400"/>
      <c r="K14" s="231"/>
      <c r="L14" s="87"/>
      <c r="M14" s="87" t="s">
        <v>539</v>
      </c>
      <c r="N14" s="87">
        <v>2030</v>
      </c>
      <c r="O14" s="160">
        <v>16.982342594307632</v>
      </c>
      <c r="Q14" s="16"/>
      <c r="R14" s="16" t="s">
        <v>95</v>
      </c>
      <c r="S14" s="669">
        <f>DataCAM!N123/(1+DataCAM!N123)</f>
        <v>1.0471193826923495E-2</v>
      </c>
      <c r="U14" s="12" t="str">
        <f>+Q19</f>
        <v>PROF-CAM6</v>
      </c>
      <c r="V14" s="12" t="s">
        <v>244</v>
      </c>
      <c r="W14" s="148">
        <f>100%-S20-(S19*DataCAM!P104*DataCAM!X104)</f>
        <v>0.98152371833808261</v>
      </c>
      <c r="X14" s="407"/>
      <c r="Y14" s="407" t="str">
        <v>PROF-CAM6</v>
      </c>
      <c r="Z14" s="408">
        <f>DataCAM!$O$237+DataCAM!$O$236</f>
        <v>2.735632183908046</v>
      </c>
      <c r="AA14" s="407"/>
      <c r="AB14" s="409"/>
      <c r="AD14" s="231"/>
      <c r="AE14" s="12" t="s">
        <v>265</v>
      </c>
      <c r="AF14" s="12" t="s">
        <v>244</v>
      </c>
      <c r="AG14" s="147">
        <v>1</v>
      </c>
      <c r="AH14" s="441"/>
      <c r="AI14" s="12" t="str">
        <f>+AE12</f>
        <v>SEP-CAM4</v>
      </c>
      <c r="AJ14" s="12" t="s">
        <v>68</v>
      </c>
      <c r="AK14" s="11">
        <f>(DataCAM!O102-DataCAM!S102)/(DataCAM!AH102-DataCAM!S102)</f>
        <v>0</v>
      </c>
      <c r="AM14" s="231"/>
      <c r="AP14" s="317"/>
      <c r="AQ14" s="317"/>
      <c r="AW14" s="147"/>
      <c r="AX14" s="147" t="s">
        <v>859</v>
      </c>
      <c r="AY14" s="180">
        <f>DataCAM!R161</f>
        <v>0.39345284643786937</v>
      </c>
      <c r="AZ14" s="439"/>
      <c r="BB14" s="231"/>
      <c r="BC14" s="12" t="s">
        <v>191</v>
      </c>
      <c r="BD14" s="12" t="s">
        <v>123</v>
      </c>
      <c r="BE14" s="11" t="s">
        <v>99</v>
      </c>
      <c r="BF14" s="178">
        <v>1</v>
      </c>
    </row>
    <row r="15" spans="2:59" x14ac:dyDescent="0.25">
      <c r="B15" s="231"/>
      <c r="C15" s="14" t="s">
        <v>252</v>
      </c>
      <c r="D15" s="14" t="s">
        <v>211</v>
      </c>
      <c r="E15" s="87" t="s">
        <v>484</v>
      </c>
      <c r="F15" s="275">
        <v>242.86299225711215</v>
      </c>
      <c r="G15" s="399">
        <v>9.9999999999999995E-7</v>
      </c>
      <c r="H15" s="185">
        <v>1</v>
      </c>
      <c r="I15" s="392"/>
      <c r="K15" s="231"/>
      <c r="L15" s="87"/>
      <c r="M15" s="87" t="s">
        <v>539</v>
      </c>
      <c r="N15" s="87">
        <v>2033</v>
      </c>
      <c r="O15" s="160">
        <v>6.7650800177323163</v>
      </c>
      <c r="Q15" s="16" t="str">
        <f>+L51</f>
        <v>PROF-CAM4</v>
      </c>
      <c r="R15" s="16" t="s">
        <v>202</v>
      </c>
      <c r="S15" s="669">
        <f>100%-S16</f>
        <v>0.98952880617307648</v>
      </c>
      <c r="U15" s="12" t="str">
        <f>+Q21</f>
        <v>PROF-CAM7</v>
      </c>
      <c r="V15" s="12" t="s">
        <v>245</v>
      </c>
      <c r="W15" s="148">
        <f>100%-S22-(S21*DataCAM!P105*DataCAM!X105)</f>
        <v>0.97215672334890446</v>
      </c>
      <c r="X15" s="407"/>
      <c r="Y15" s="407" t="str">
        <v>PROF-CAM7</v>
      </c>
      <c r="Z15" s="408">
        <f>DataCAM!$O$237+DataCAM!$O$236</f>
        <v>2.735632183908046</v>
      </c>
      <c r="AA15" s="407"/>
      <c r="AB15" s="392"/>
      <c r="AD15" s="231"/>
      <c r="AE15" s="12" t="s">
        <v>266</v>
      </c>
      <c r="AF15" s="12" t="s">
        <v>245</v>
      </c>
      <c r="AG15" s="147">
        <v>1</v>
      </c>
      <c r="AH15" s="441"/>
      <c r="AJ15" s="12" t="s">
        <v>82</v>
      </c>
      <c r="AK15" s="11">
        <f>100%-AK14</f>
        <v>1</v>
      </c>
      <c r="AM15" s="231"/>
      <c r="AW15" s="1"/>
      <c r="AX15" s="1"/>
      <c r="AY15" s="1"/>
      <c r="AZ15" s="392"/>
      <c r="BB15" s="231"/>
    </row>
    <row r="16" spans="2:59" x14ac:dyDescent="0.25">
      <c r="B16" s="231"/>
      <c r="G16" s="12"/>
      <c r="I16" s="392"/>
      <c r="K16" s="231"/>
      <c r="L16" s="87"/>
      <c r="M16" s="87" t="s">
        <v>539</v>
      </c>
      <c r="N16" s="87">
        <v>2035</v>
      </c>
      <c r="O16" s="160">
        <v>2.4223278886967416</v>
      </c>
      <c r="Q16" s="16"/>
      <c r="R16" s="16" t="s">
        <v>96</v>
      </c>
      <c r="S16" s="669">
        <f>DataCAM!N124/(1+DataCAM!N124)</f>
        <v>1.0471193826923495E-2</v>
      </c>
      <c r="X16" s="1"/>
      <c r="Y16" s="1"/>
      <c r="Z16" s="1"/>
      <c r="AA16" s="1"/>
      <c r="AB16" s="392"/>
      <c r="AD16" s="231"/>
      <c r="AH16" s="108"/>
      <c r="AI16" s="12" t="str">
        <f>+AE13</f>
        <v>SEP-CAM5</v>
      </c>
      <c r="AJ16" s="12" t="s">
        <v>71</v>
      </c>
      <c r="AK16" s="11">
        <f>(DataCAM!O103-DataCAM!S103)/(DataCAM!AH103-DataCAM!S103)</f>
        <v>2.446633894781371E-2</v>
      </c>
      <c r="AM16" s="231"/>
      <c r="AW16" s="1"/>
      <c r="AX16" s="1"/>
      <c r="AY16" s="1"/>
      <c r="AZ16" s="392"/>
      <c r="BB16" s="231"/>
    </row>
    <row r="17" spans="2:60" x14ac:dyDescent="0.25">
      <c r="B17" s="231"/>
      <c r="F17" s="240"/>
      <c r="I17" s="392"/>
      <c r="K17" s="231"/>
      <c r="L17" s="87"/>
      <c r="M17" s="87" t="s">
        <v>539</v>
      </c>
      <c r="N17" s="87">
        <v>2037</v>
      </c>
      <c r="O17" s="160">
        <v>1.9744160368016987</v>
      </c>
      <c r="Q17" s="16" t="str">
        <f>+L65</f>
        <v>PROF-CAM5</v>
      </c>
      <c r="R17" s="16" t="s">
        <v>205</v>
      </c>
      <c r="S17" s="669">
        <f>100%-S18</f>
        <v>0.98952880617307648</v>
      </c>
      <c r="X17" s="1"/>
      <c r="Y17" s="1"/>
      <c r="Z17" s="1"/>
      <c r="AA17" s="1"/>
      <c r="AB17" s="392"/>
      <c r="AD17" s="231"/>
      <c r="AH17" s="108"/>
      <c r="AJ17" s="12" t="s">
        <v>86</v>
      </c>
      <c r="AK17" s="11">
        <f>100%-AK16</f>
        <v>0.97553366105218631</v>
      </c>
      <c r="AM17" s="231"/>
      <c r="AW17" s="1"/>
      <c r="AX17" s="1"/>
      <c r="AY17" s="1"/>
      <c r="AZ17" s="392"/>
      <c r="BB17" s="231"/>
      <c r="BE17" s="12" t="s">
        <v>318</v>
      </c>
    </row>
    <row r="18" spans="2:60" x14ac:dyDescent="0.25">
      <c r="B18" s="231"/>
      <c r="I18" s="392"/>
      <c r="K18" s="231"/>
      <c r="L18" s="87"/>
      <c r="M18" s="87" t="s">
        <v>539</v>
      </c>
      <c r="N18" s="87">
        <v>2040</v>
      </c>
      <c r="O18" s="160">
        <v>1.302548258959096</v>
      </c>
      <c r="Q18" s="16"/>
      <c r="R18" s="16" t="s">
        <v>97</v>
      </c>
      <c r="S18" s="669">
        <f>DataCAM!N125/(1+DataCAM!N125)</f>
        <v>1.0471193826923495E-2</v>
      </c>
      <c r="U18" s="14"/>
      <c r="V18" s="14" t="s">
        <v>318</v>
      </c>
      <c r="X18" s="1"/>
      <c r="Y18" s="1"/>
      <c r="Z18" s="1"/>
      <c r="AA18" s="1"/>
      <c r="AB18" s="392"/>
      <c r="AD18" s="231"/>
      <c r="AH18" s="108"/>
      <c r="AI18" s="12" t="str">
        <f>+AE14</f>
        <v>SEP-CAM6</v>
      </c>
      <c r="AJ18" s="12" t="s">
        <v>74</v>
      </c>
      <c r="AK18" s="11">
        <f>(DataCAM!O104-DataCAM!S104)/(DataCAM!AH104-DataCAM!S104)</f>
        <v>4.1419278412092878E-2</v>
      </c>
      <c r="AM18" s="231"/>
      <c r="AN18" s="202" t="s">
        <v>416</v>
      </c>
      <c r="AO18" s="202"/>
      <c r="AW18" s="1"/>
      <c r="AX18" s="1"/>
      <c r="AY18" s="1"/>
      <c r="AZ18" s="392"/>
      <c r="BB18" s="231"/>
    </row>
    <row r="19" spans="2:60" x14ac:dyDescent="0.25">
      <c r="B19" s="231"/>
      <c r="G19" s="319"/>
      <c r="I19" s="392"/>
      <c r="K19" s="231"/>
      <c r="L19" s="87"/>
      <c r="M19" s="87" t="s">
        <v>539</v>
      </c>
      <c r="N19" s="87">
        <v>2043</v>
      </c>
      <c r="O19" s="160">
        <v>0.63068048111655262</v>
      </c>
      <c r="Q19" s="16" t="str">
        <f>+L79</f>
        <v>PROF-CAM6</v>
      </c>
      <c r="R19" s="16" t="s">
        <v>208</v>
      </c>
      <c r="S19" s="669">
        <f>100%-S20</f>
        <v>0.98952880617307648</v>
      </c>
      <c r="U19" s="14" t="s">
        <v>751</v>
      </c>
      <c r="V19" s="410">
        <f>Fuels!L5</f>
        <v>55.539114956987063</v>
      </c>
      <c r="X19" s="1"/>
      <c r="Y19" s="1"/>
      <c r="Z19" s="1"/>
      <c r="AA19" s="1"/>
      <c r="AB19" s="392"/>
      <c r="AD19" s="231"/>
      <c r="AH19" s="108"/>
      <c r="AJ19" s="12" t="s">
        <v>87</v>
      </c>
      <c r="AK19" s="11">
        <f>100%-AK18</f>
        <v>0.95858072158790708</v>
      </c>
      <c r="AM19" s="231"/>
      <c r="AN19" s="583" t="s">
        <v>138</v>
      </c>
      <c r="AO19" s="584" t="s">
        <v>418</v>
      </c>
      <c r="AP19" s="584" t="s">
        <v>447</v>
      </c>
      <c r="AQ19" s="584" t="s">
        <v>744</v>
      </c>
      <c r="AW19" s="1"/>
      <c r="AX19" s="1"/>
      <c r="AY19" s="1"/>
      <c r="AZ19" s="392"/>
      <c r="BB19" s="231"/>
      <c r="BC19" s="202" t="s">
        <v>416</v>
      </c>
    </row>
    <row r="20" spans="2:60" x14ac:dyDescent="0.25">
      <c r="B20" s="231"/>
      <c r="G20" s="319"/>
      <c r="I20" s="392"/>
      <c r="K20" s="231"/>
      <c r="L20" s="87"/>
      <c r="M20" s="87" t="s">
        <v>539</v>
      </c>
      <c r="N20" s="87">
        <v>2045</v>
      </c>
      <c r="O20" s="160">
        <v>0.18276862922146783</v>
      </c>
      <c r="Q20" s="16"/>
      <c r="R20" s="16" t="s">
        <v>98</v>
      </c>
      <c r="S20" s="669">
        <f>DataCAM!N126/(1+DataCAM!N126)</f>
        <v>1.0471193826923495E-2</v>
      </c>
      <c r="X20" s="1"/>
      <c r="Y20" s="1"/>
      <c r="Z20" s="1"/>
      <c r="AA20" s="1"/>
      <c r="AB20" s="392"/>
      <c r="AD20" s="231"/>
      <c r="AH20" s="108"/>
      <c r="AI20" s="12" t="str">
        <f>+AE15</f>
        <v>SEP-CAM7</v>
      </c>
      <c r="AJ20" s="12" t="s">
        <v>76</v>
      </c>
      <c r="AK20" s="11">
        <f>(DataCAM!O105-DataCAM!S105)/(DataCAM!AH105-DataCAM!S105)</f>
        <v>0.99447612945601149</v>
      </c>
      <c r="AM20" s="231"/>
      <c r="AN20" s="89" t="s">
        <v>860</v>
      </c>
      <c r="AO20" s="89" t="s">
        <v>22</v>
      </c>
      <c r="AP20" s="528">
        <v>1</v>
      </c>
      <c r="AQ20" s="89">
        <v>5</v>
      </c>
      <c r="AW20" s="1"/>
      <c r="AX20" s="1"/>
      <c r="AY20" s="1"/>
      <c r="AZ20" s="392"/>
      <c r="BB20" s="231"/>
      <c r="BC20" s="411" t="s">
        <v>138</v>
      </c>
      <c r="BD20" s="411" t="s">
        <v>418</v>
      </c>
      <c r="BE20" s="411" t="s">
        <v>798</v>
      </c>
      <c r="BF20" s="411"/>
      <c r="BG20" s="411"/>
    </row>
    <row r="21" spans="2:60" x14ac:dyDescent="0.25">
      <c r="B21" s="231"/>
      <c r="G21" s="319"/>
      <c r="I21" s="392"/>
      <c r="K21" s="231"/>
      <c r="L21" s="87"/>
      <c r="M21" s="87" t="s">
        <v>539</v>
      </c>
      <c r="N21" s="87">
        <v>2047</v>
      </c>
      <c r="O21" s="160">
        <v>0</v>
      </c>
      <c r="Q21" s="16" t="str">
        <f>+L93</f>
        <v>PROF-CAM7</v>
      </c>
      <c r="R21" s="12" t="s">
        <v>211</v>
      </c>
      <c r="S21" s="669">
        <f>100%-S22</f>
        <v>0.98952880617307648</v>
      </c>
      <c r="X21" s="1"/>
      <c r="Y21" s="1"/>
      <c r="Z21" s="1"/>
      <c r="AA21" s="1"/>
      <c r="AB21" s="392"/>
      <c r="AD21" s="231"/>
      <c r="AH21" s="108"/>
      <c r="AJ21" s="12" t="s">
        <v>85</v>
      </c>
      <c r="AK21" s="11">
        <f>100%-AK20</f>
        <v>5.5238705439885072E-3</v>
      </c>
      <c r="AM21" s="231"/>
      <c r="AW21" s="1"/>
      <c r="AX21" s="1"/>
      <c r="AY21" s="1"/>
      <c r="AZ21" s="392"/>
      <c r="BB21" s="231"/>
      <c r="BC21" s="12" t="str">
        <f>BC9</f>
        <v>COMPRA-ELC-CAM2</v>
      </c>
      <c r="BD21" s="12" t="s">
        <v>198</v>
      </c>
      <c r="BE21" s="471">
        <f>BD44</f>
        <v>49.01709401709401</v>
      </c>
    </row>
    <row r="22" spans="2:60" x14ac:dyDescent="0.25">
      <c r="B22" s="231"/>
      <c r="G22" s="319"/>
      <c r="I22" s="392"/>
      <c r="K22" s="231"/>
      <c r="L22" s="87"/>
      <c r="M22" s="87" t="s">
        <v>539</v>
      </c>
      <c r="N22" s="87">
        <v>2050</v>
      </c>
      <c r="O22" s="160">
        <v>0</v>
      </c>
      <c r="R22" s="16" t="s">
        <v>99</v>
      </c>
      <c r="S22" s="669">
        <f>DataCAM!N127/(1+DataCAM!N127)</f>
        <v>1.0471193826923495E-2</v>
      </c>
      <c r="X22" s="1"/>
      <c r="Y22" s="1"/>
      <c r="Z22" s="1"/>
      <c r="AA22" s="1"/>
      <c r="AB22" s="392"/>
      <c r="AD22" s="231"/>
      <c r="AH22" s="108"/>
      <c r="AM22" s="231"/>
      <c r="AN22" s="202" t="s">
        <v>416</v>
      </c>
      <c r="AW22" s="1"/>
      <c r="AX22" s="1"/>
      <c r="AY22" s="1"/>
      <c r="AZ22" s="392"/>
      <c r="BB22" s="231"/>
      <c r="BC22" s="12" t="s">
        <v>183</v>
      </c>
      <c r="BD22" s="12" t="s">
        <v>201</v>
      </c>
      <c r="BE22" s="88">
        <f>$BE$21</f>
        <v>49.01709401709401</v>
      </c>
    </row>
    <row r="23" spans="2:60" x14ac:dyDescent="0.25">
      <c r="B23" s="231"/>
      <c r="G23" s="319"/>
      <c r="I23" s="392"/>
      <c r="K23" s="231"/>
      <c r="L23" s="87" t="s">
        <v>254</v>
      </c>
      <c r="M23" s="87" t="s">
        <v>539</v>
      </c>
      <c r="N23" s="87">
        <v>2019</v>
      </c>
      <c r="O23" s="160" cm="1">
        <f t="array" ref="O23:O36">TRANSPOSE(DataCAM!BY100:CL100)</f>
        <v>376.79251645149293</v>
      </c>
      <c r="U23" s="202" t="s">
        <v>416</v>
      </c>
      <c r="X23" s="1"/>
      <c r="Y23" s="1"/>
      <c r="Z23" s="1"/>
      <c r="AA23" s="1"/>
      <c r="AB23" s="392"/>
      <c r="AD23" s="231"/>
      <c r="AH23" s="108"/>
      <c r="AJ23" s="108"/>
      <c r="AK23" s="108"/>
      <c r="AM23" s="231"/>
      <c r="AN23" s="583" t="s">
        <v>138</v>
      </c>
      <c r="AO23" s="584" t="s">
        <v>417</v>
      </c>
      <c r="AW23" s="1"/>
      <c r="AX23" s="1"/>
      <c r="AY23" s="1"/>
      <c r="AZ23" s="392"/>
      <c r="BB23" s="231"/>
      <c r="BC23" s="12" t="s">
        <v>185</v>
      </c>
      <c r="BD23" s="12" t="s">
        <v>204</v>
      </c>
      <c r="BE23" s="88">
        <f>$BE$21</f>
        <v>49.01709401709401</v>
      </c>
    </row>
    <row r="24" spans="2:60" x14ac:dyDescent="0.25">
      <c r="B24" s="231"/>
      <c r="G24" s="319"/>
      <c r="I24" s="392"/>
      <c r="K24" s="231"/>
      <c r="M24" s="87" t="s">
        <v>539</v>
      </c>
      <c r="N24" s="87">
        <v>2020</v>
      </c>
      <c r="O24" s="160">
        <v>378.40150011499037</v>
      </c>
      <c r="U24" s="411" t="s">
        <v>138</v>
      </c>
      <c r="V24" s="411" t="s">
        <v>418</v>
      </c>
      <c r="W24" s="411" t="s">
        <v>752</v>
      </c>
      <c r="X24" s="412"/>
      <c r="Y24" s="412"/>
      <c r="Z24" s="412"/>
      <c r="AA24" s="412"/>
      <c r="AB24" s="413"/>
      <c r="AD24" s="231"/>
      <c r="AE24" s="202" t="s">
        <v>416</v>
      </c>
      <c r="AH24" s="108"/>
      <c r="AJ24" s="443"/>
      <c r="AK24" s="1"/>
      <c r="AM24" s="231"/>
      <c r="AN24" s="89" t="s">
        <v>860</v>
      </c>
      <c r="AO24" s="528" t="str">
        <f>AX10</f>
        <v>LPG-CAM2</v>
      </c>
      <c r="AW24" s="1"/>
      <c r="AX24" s="1"/>
      <c r="AY24" s="1"/>
      <c r="AZ24" s="392"/>
      <c r="BB24" s="231"/>
      <c r="BC24" s="12" t="s">
        <v>187</v>
      </c>
      <c r="BD24" s="12" t="s">
        <v>207</v>
      </c>
      <c r="BE24" s="88">
        <f>$BE$21</f>
        <v>49.01709401709401</v>
      </c>
    </row>
    <row r="25" spans="2:60" x14ac:dyDescent="0.25">
      <c r="B25" s="231"/>
      <c r="G25" s="319"/>
      <c r="I25" s="392"/>
      <c r="K25" s="231"/>
      <c r="M25" s="87" t="s">
        <v>539</v>
      </c>
      <c r="N25" s="87">
        <v>2023</v>
      </c>
      <c r="O25" s="160">
        <v>302.75473236823876</v>
      </c>
      <c r="Q25" s="414"/>
      <c r="S25" s="148"/>
      <c r="U25" s="87" t="str">
        <f t="array" ref="U25:U31">+U9:U15</f>
        <v>PROF-CAM1</v>
      </c>
      <c r="V25" s="87" t="s">
        <v>195</v>
      </c>
      <c r="W25" s="12">
        <f>DataCAM!N141+Upstream!$V$19*(DataCAM!P99*DataCAM!X99*S9/W9)</f>
        <v>0.37528065675268685</v>
      </c>
      <c r="X25" s="1"/>
      <c r="Y25" s="438"/>
      <c r="Z25" s="1"/>
      <c r="AA25" s="415"/>
      <c r="AB25" s="416"/>
      <c r="AD25" s="231"/>
      <c r="AE25" s="411" t="s">
        <v>138</v>
      </c>
      <c r="AF25" s="411" t="s">
        <v>418</v>
      </c>
      <c r="AG25" s="411" t="s">
        <v>752</v>
      </c>
      <c r="AH25" s="442"/>
      <c r="AJ25" s="444"/>
      <c r="AK25" s="445"/>
      <c r="AM25" s="231"/>
      <c r="AN25" s="89"/>
      <c r="AO25" s="528" t="str">
        <f>AX12</f>
        <v>LPG-CAM3</v>
      </c>
      <c r="AW25" s="1"/>
      <c r="AX25" s="1"/>
      <c r="AY25" s="1"/>
      <c r="AZ25" s="392"/>
      <c r="BB25" s="231"/>
      <c r="BC25" s="12" t="s">
        <v>189</v>
      </c>
      <c r="BD25" s="12" t="s">
        <v>210</v>
      </c>
      <c r="BE25" s="88">
        <f>$BE$21</f>
        <v>49.01709401709401</v>
      </c>
    </row>
    <row r="26" spans="2:60" x14ac:dyDescent="0.25">
      <c r="B26" s="231"/>
      <c r="I26" s="392"/>
      <c r="K26" s="231"/>
      <c r="M26" s="87" t="s">
        <v>539</v>
      </c>
      <c r="N26" s="87">
        <v>2025</v>
      </c>
      <c r="O26" s="160">
        <v>226.48717659099231</v>
      </c>
      <c r="Q26" s="414"/>
      <c r="S26" s="148"/>
      <c r="U26" s="87" t="str">
        <v>PROF-CAM2</v>
      </c>
      <c r="V26" s="177" t="s">
        <v>198</v>
      </c>
      <c r="W26" s="12">
        <f>DataCAM!N142+Upstream!$V$19*(DataCAM!P100*DataCAM!X100*S11/W10)</f>
        <v>0.78516234743432178</v>
      </c>
      <c r="X26" s="1"/>
      <c r="Y26" s="438"/>
      <c r="Z26" s="1"/>
      <c r="AA26" s="415"/>
      <c r="AB26" s="416"/>
      <c r="AD26" s="231"/>
      <c r="AE26" s="87" t="s">
        <v>260</v>
      </c>
      <c r="AF26" s="87" t="s">
        <v>195</v>
      </c>
      <c r="AG26">
        <v>0.4</v>
      </c>
      <c r="AH26" s="104"/>
      <c r="AJ26" s="433">
        <f t="shared" ref="AJ26:AJ32" si="0">AK26+0.3</f>
        <v>0.7</v>
      </c>
      <c r="AK26" s="433">
        <v>0.4</v>
      </c>
      <c r="AM26" s="231"/>
      <c r="AN26" s="89"/>
      <c r="AO26" s="528" t="str">
        <f>AX14</f>
        <v>LPG-CAM6</v>
      </c>
      <c r="AW26" s="1"/>
      <c r="AX26" s="1"/>
      <c r="AY26" s="1"/>
      <c r="AZ26" s="392"/>
      <c r="BB26" s="231"/>
      <c r="BC26" s="12" t="s">
        <v>191</v>
      </c>
      <c r="BD26" s="12" t="s">
        <v>213</v>
      </c>
      <c r="BE26" s="88">
        <f>$BE$21</f>
        <v>49.01709401709401</v>
      </c>
    </row>
    <row r="27" spans="2:60" x14ac:dyDescent="0.25">
      <c r="B27" s="231"/>
      <c r="G27" s="319"/>
      <c r="I27" s="392"/>
      <c r="K27" s="231"/>
      <c r="M27" s="87" t="s">
        <v>539</v>
      </c>
      <c r="N27" s="87">
        <v>2027</v>
      </c>
      <c r="O27" s="160">
        <v>175.39183200817482</v>
      </c>
      <c r="Q27" s="414"/>
      <c r="S27" s="148"/>
      <c r="U27" s="87" t="str">
        <v>PROF-CAM3</v>
      </c>
      <c r="V27" s="177" t="s">
        <v>201</v>
      </c>
      <c r="W27" s="12">
        <f>DataCAM!N143+Upstream!$V$19*(DataCAM!P101*DataCAM!X101*S13/W11)</f>
        <v>0.39886259217491027</v>
      </c>
      <c r="X27" s="1"/>
      <c r="Y27" s="438"/>
      <c r="Z27" s="1"/>
      <c r="AA27" s="415"/>
      <c r="AB27" s="416"/>
      <c r="AD27" s="231"/>
      <c r="AE27" s="87" t="s">
        <v>261</v>
      </c>
      <c r="AF27" s="177" t="s">
        <v>198</v>
      </c>
      <c r="AG27">
        <v>0.9</v>
      </c>
      <c r="AH27" s="104"/>
      <c r="AJ27" s="433">
        <f t="shared" si="0"/>
        <v>0.73269346063820406</v>
      </c>
      <c r="AK27" s="433">
        <v>0.43269346063820407</v>
      </c>
      <c r="AM27" s="231"/>
      <c r="AW27" s="1"/>
      <c r="AX27" s="1"/>
      <c r="AY27" s="1"/>
      <c r="AZ27" s="392"/>
      <c r="BB27" s="231"/>
    </row>
    <row r="28" spans="2:60" x14ac:dyDescent="0.25">
      <c r="B28" s="231"/>
      <c r="G28" s="319"/>
      <c r="I28" s="392"/>
      <c r="K28" s="231"/>
      <c r="M28" s="87" t="s">
        <v>539</v>
      </c>
      <c r="N28" s="87">
        <v>2030</v>
      </c>
      <c r="O28" s="160">
        <v>114.61899314313158</v>
      </c>
      <c r="Q28" s="414"/>
      <c r="S28" s="148"/>
      <c r="U28" s="87" t="str">
        <v>PROF-CAM4</v>
      </c>
      <c r="V28" s="177" t="s">
        <v>204</v>
      </c>
      <c r="W28" s="12">
        <f>DataCAM!N144+Upstream!$V$19*(DataCAM!P102*DataCAM!X102*S15/W12)</f>
        <v>16.5557496710754</v>
      </c>
      <c r="X28" s="1"/>
      <c r="Y28" s="438"/>
      <c r="Z28" s="1"/>
      <c r="AA28" s="415"/>
      <c r="AB28" s="416"/>
      <c r="AD28" s="231"/>
      <c r="AE28" s="87" t="s">
        <v>262</v>
      </c>
      <c r="AF28" s="177" t="s">
        <v>201</v>
      </c>
      <c r="AG28">
        <v>0.5</v>
      </c>
      <c r="AH28" s="104"/>
      <c r="AJ28" s="433">
        <f t="shared" si="0"/>
        <v>0.79996718655326182</v>
      </c>
      <c r="AK28" s="433">
        <v>0.49996718655326178</v>
      </c>
      <c r="AM28" s="231"/>
      <c r="AN28" s="443"/>
      <c r="AO28" s="108"/>
      <c r="AP28" s="108"/>
      <c r="AW28" s="1"/>
      <c r="AX28" s="1"/>
      <c r="AY28" s="1"/>
      <c r="AZ28" s="392"/>
      <c r="BB28" s="231"/>
    </row>
    <row r="29" spans="2:60" x14ac:dyDescent="0.25">
      <c r="B29" s="231"/>
      <c r="G29" s="319"/>
      <c r="I29" s="392"/>
      <c r="K29" s="231"/>
      <c r="M29" s="87" t="s">
        <v>539</v>
      </c>
      <c r="N29" s="87">
        <v>2033</v>
      </c>
      <c r="O29" s="160">
        <v>74.103808191663717</v>
      </c>
      <c r="Q29" s="414"/>
      <c r="S29" s="148"/>
      <c r="U29" s="87" t="str">
        <v>PROF-CAM5</v>
      </c>
      <c r="V29" s="177" t="s">
        <v>207</v>
      </c>
      <c r="W29" s="12">
        <f>DataCAM!N145+Upstream!$V$19*(DataCAM!P103*DataCAM!X103*S17/W13)</f>
        <v>0.55965658382877248</v>
      </c>
      <c r="X29" s="1"/>
      <c r="Y29" s="438"/>
      <c r="Z29" s="1"/>
      <c r="AA29" s="415"/>
      <c r="AB29" s="416"/>
      <c r="AD29" s="231"/>
      <c r="AE29" s="87" t="s">
        <v>263</v>
      </c>
      <c r="AF29" s="177" t="s">
        <v>204</v>
      </c>
      <c r="AG29">
        <v>0.9</v>
      </c>
      <c r="AH29" s="104"/>
      <c r="AJ29" s="433">
        <f t="shared" si="0"/>
        <v>0.8</v>
      </c>
      <c r="AK29" s="433">
        <v>0.5</v>
      </c>
      <c r="AM29" s="231"/>
      <c r="AN29" s="538"/>
      <c r="AO29" s="108"/>
      <c r="AP29" s="595"/>
      <c r="AW29" s="1"/>
      <c r="AX29" s="1"/>
      <c r="AY29" s="1"/>
      <c r="AZ29" s="392"/>
      <c r="BB29" s="231"/>
      <c r="BC29">
        <v>2019</v>
      </c>
    </row>
    <row r="30" spans="2:60" x14ac:dyDescent="0.25">
      <c r="B30" s="231"/>
      <c r="I30" s="392"/>
      <c r="K30" s="231"/>
      <c r="M30" s="87" t="s">
        <v>539</v>
      </c>
      <c r="N30" s="87">
        <v>2035</v>
      </c>
      <c r="O30" s="160">
        <v>53.479148290384252</v>
      </c>
      <c r="Q30" s="414"/>
      <c r="S30" s="148"/>
      <c r="U30" s="87" t="str">
        <v>PROF-CAM6</v>
      </c>
      <c r="V30" s="177" t="s">
        <v>210</v>
      </c>
      <c r="W30" s="12">
        <f>DataCAM!N146+Upstream!$V$19*(DataCAM!P104*DataCAM!X104*S19/W14)</f>
        <v>0.75296459494763179</v>
      </c>
      <c r="X30" s="1"/>
      <c r="Y30" s="438"/>
      <c r="Z30" s="1"/>
      <c r="AA30" s="415"/>
      <c r="AB30" s="416"/>
      <c r="AD30" s="231"/>
      <c r="AE30" s="87" t="s">
        <v>264</v>
      </c>
      <c r="AF30" s="177" t="s">
        <v>207</v>
      </c>
      <c r="AG30">
        <v>0.5</v>
      </c>
      <c r="AH30" s="104"/>
      <c r="AJ30" s="433">
        <f t="shared" si="0"/>
        <v>0.79860248221635155</v>
      </c>
      <c r="AK30" s="433">
        <v>0.49860248221635156</v>
      </c>
      <c r="AM30" s="231"/>
      <c r="AN30" s="538"/>
      <c r="AO30" s="108"/>
      <c r="AP30" s="595"/>
      <c r="AW30" s="1"/>
      <c r="AX30" s="1"/>
      <c r="AY30" s="1"/>
      <c r="AZ30" s="392"/>
      <c r="BB30" s="231"/>
      <c r="BC30" t="s">
        <v>780</v>
      </c>
      <c r="BD30">
        <v>1646</v>
      </c>
      <c r="BE30" t="s">
        <v>313</v>
      </c>
      <c r="BF30">
        <v>5.9256000000000002</v>
      </c>
    </row>
    <row r="31" spans="2:60" x14ac:dyDescent="0.25">
      <c r="B31" s="231"/>
      <c r="I31" s="392"/>
      <c r="K31" s="231"/>
      <c r="M31" s="87" t="s">
        <v>539</v>
      </c>
      <c r="N31" s="87">
        <v>2037</v>
      </c>
      <c r="O31" s="160">
        <v>40.00871324363186</v>
      </c>
      <c r="Q31" s="414"/>
      <c r="S31" s="148"/>
      <c r="U31" s="14" t="str">
        <v>PROF-CAM7</v>
      </c>
      <c r="V31" s="14" t="s">
        <v>213</v>
      </c>
      <c r="W31" s="12">
        <f>DataCAM!N147+Upstream!$V$19*(DataCAM!P105*DataCAM!X105*S21/W15)</f>
        <v>1.292463541979447</v>
      </c>
      <c r="X31" s="1"/>
      <c r="Y31" s="438"/>
      <c r="Z31" s="1"/>
      <c r="AA31" s="415"/>
      <c r="AB31" s="392"/>
      <c r="AD31" s="231"/>
      <c r="AE31" s="87" t="s">
        <v>265</v>
      </c>
      <c r="AF31" s="177" t="s">
        <v>210</v>
      </c>
      <c r="AG31">
        <v>0.5</v>
      </c>
      <c r="AH31" s="104"/>
      <c r="AJ31" s="433">
        <f t="shared" si="0"/>
        <v>0.79786356160029559</v>
      </c>
      <c r="AK31" s="433">
        <v>0.4978635616002956</v>
      </c>
      <c r="AM31" s="231"/>
      <c r="AN31" s="538"/>
      <c r="AO31" s="108"/>
      <c r="AP31" s="595"/>
      <c r="AW31" s="1"/>
      <c r="AX31" s="1"/>
      <c r="AY31" s="1"/>
      <c r="AZ31" s="392"/>
      <c r="BB31" s="231"/>
      <c r="BC31" t="s">
        <v>781</v>
      </c>
      <c r="BD31">
        <v>509</v>
      </c>
      <c r="BE31" t="s">
        <v>313</v>
      </c>
      <c r="BF31">
        <v>1.8324</v>
      </c>
    </row>
    <row r="32" spans="2:60" x14ac:dyDescent="0.25">
      <c r="B32" s="231"/>
      <c r="I32" s="392"/>
      <c r="K32" s="231"/>
      <c r="M32" s="87" t="s">
        <v>539</v>
      </c>
      <c r="N32" s="87">
        <v>2040</v>
      </c>
      <c r="O32" s="160">
        <v>23.954141236345418</v>
      </c>
      <c r="X32" s="1"/>
      <c r="Y32" s="1"/>
      <c r="Z32" s="1"/>
      <c r="AA32" s="1"/>
      <c r="AB32" s="392"/>
      <c r="AD32" s="231"/>
      <c r="AE32" s="14" t="s">
        <v>266</v>
      </c>
      <c r="AF32" s="14" t="s">
        <v>213</v>
      </c>
      <c r="AG32">
        <v>0.4</v>
      </c>
      <c r="AH32" s="104"/>
      <c r="AJ32" s="433">
        <f t="shared" si="0"/>
        <v>0.70055332153802485</v>
      </c>
      <c r="AK32" s="433">
        <v>0.40055332153802492</v>
      </c>
      <c r="AM32" s="231"/>
      <c r="AN32" s="538"/>
      <c r="AO32" s="108"/>
      <c r="AP32" s="595"/>
      <c r="AW32" s="1"/>
      <c r="AX32" s="1"/>
      <c r="AY32" s="1"/>
      <c r="AZ32" s="392"/>
      <c r="BB32" s="231"/>
      <c r="BC32" t="s">
        <v>782</v>
      </c>
      <c r="BD32" s="391">
        <v>3.5660379999999998</v>
      </c>
      <c r="BE32" t="s">
        <v>313</v>
      </c>
      <c r="BF32" s="470">
        <v>1.2837736799999999E-2</v>
      </c>
      <c r="BG32" t="s">
        <v>56</v>
      </c>
      <c r="BH32" s="470"/>
    </row>
    <row r="33" spans="2:60" x14ac:dyDescent="0.25">
      <c r="B33" s="231"/>
      <c r="I33" s="392"/>
      <c r="K33" s="231"/>
      <c r="M33" s="87" t="s">
        <v>539</v>
      </c>
      <c r="N33" s="87">
        <v>2043</v>
      </c>
      <c r="O33" s="160">
        <v>17.767824290462919</v>
      </c>
      <c r="X33" s="1"/>
      <c r="Y33" s="1"/>
      <c r="Z33" s="1"/>
      <c r="AA33" s="1"/>
      <c r="AB33" s="392"/>
      <c r="AD33" s="231"/>
      <c r="AH33" s="108"/>
      <c r="AM33" s="231"/>
      <c r="AW33" s="1"/>
      <c r="AX33" s="1"/>
      <c r="AY33" s="1"/>
      <c r="AZ33" s="392"/>
      <c r="BB33" s="231"/>
      <c r="BD33">
        <v>2158.5660380000004</v>
      </c>
      <c r="BE33" t="s">
        <v>313</v>
      </c>
      <c r="BF33" s="470">
        <v>7.7708377368000008</v>
      </c>
      <c r="BG33" t="s">
        <v>56</v>
      </c>
      <c r="BH33" s="470"/>
    </row>
    <row r="34" spans="2:60" x14ac:dyDescent="0.25">
      <c r="B34" s="231"/>
      <c r="I34" s="392"/>
      <c r="K34" s="231"/>
      <c r="M34" s="87" t="s">
        <v>539</v>
      </c>
      <c r="N34" s="87">
        <v>2045</v>
      </c>
      <c r="O34" s="160">
        <v>13.643612993207967</v>
      </c>
      <c r="X34" s="1"/>
      <c r="Y34" s="1"/>
      <c r="Z34" s="1"/>
      <c r="AA34" s="1"/>
      <c r="AB34" s="392"/>
      <c r="AD34" s="231"/>
      <c r="AH34" s="108"/>
      <c r="AM34" s="231"/>
      <c r="AW34" s="1"/>
      <c r="AX34" s="1"/>
      <c r="AY34" s="1"/>
      <c r="AZ34" s="392"/>
      <c r="BB34" s="231"/>
      <c r="BG34" t="s">
        <v>56</v>
      </c>
    </row>
    <row r="35" spans="2:60" x14ac:dyDescent="0.25">
      <c r="B35" s="231"/>
      <c r="I35" s="392"/>
      <c r="K35" s="231"/>
      <c r="M35" s="87" t="s">
        <v>539</v>
      </c>
      <c r="N35" s="87">
        <v>2047</v>
      </c>
      <c r="O35" s="160">
        <v>10.268359171198142</v>
      </c>
      <c r="Q35" s="414"/>
      <c r="U35" s="417"/>
      <c r="V35" s="417"/>
      <c r="X35" s="1"/>
      <c r="Y35" s="1"/>
      <c r="Z35" s="1"/>
      <c r="AA35" s="1"/>
      <c r="AB35" s="392"/>
      <c r="AD35" s="231"/>
      <c r="AH35" s="108"/>
      <c r="AM35" s="231"/>
      <c r="AW35" s="1"/>
      <c r="AX35" s="1"/>
      <c r="AY35" s="1"/>
      <c r="AZ35" s="392"/>
      <c r="BB35" s="231"/>
      <c r="BC35" t="s">
        <v>783</v>
      </c>
      <c r="BD35">
        <v>725000</v>
      </c>
      <c r="BE35" t="s">
        <v>784</v>
      </c>
      <c r="BG35" t="s">
        <v>56</v>
      </c>
    </row>
    <row r="36" spans="2:60" x14ac:dyDescent="0.25">
      <c r="B36" s="231"/>
      <c r="I36" s="392"/>
      <c r="K36" s="231"/>
      <c r="M36" s="87" t="s">
        <v>539</v>
      </c>
      <c r="N36" s="87">
        <v>2050</v>
      </c>
      <c r="O36" s="160">
        <v>6.8491928312334061</v>
      </c>
      <c r="Q36" s="414"/>
      <c r="U36" s="418"/>
      <c r="X36" s="1"/>
      <c r="Y36" s="1"/>
      <c r="Z36" s="1"/>
      <c r="AA36" s="1"/>
      <c r="AB36" s="392"/>
      <c r="AD36" s="231"/>
      <c r="AH36" s="108"/>
      <c r="AM36" s="231"/>
      <c r="AW36" s="1"/>
      <c r="AX36" s="1"/>
      <c r="AY36" s="1"/>
      <c r="AZ36" s="392"/>
      <c r="BB36" s="231"/>
      <c r="BC36" t="s">
        <v>785</v>
      </c>
    </row>
    <row r="37" spans="2:60" x14ac:dyDescent="0.25">
      <c r="B37" s="231"/>
      <c r="I37" s="392"/>
      <c r="K37" s="231"/>
      <c r="L37" s="87" t="s">
        <v>255</v>
      </c>
      <c r="M37" s="87" t="s">
        <v>539</v>
      </c>
      <c r="N37" s="87">
        <v>2019</v>
      </c>
      <c r="O37" s="160" cm="1">
        <f t="array" ref="O37:O50">TRANSPOSE(DataCAM!BY101:CL101)</f>
        <v>726.70451084468357</v>
      </c>
      <c r="Q37" s="414"/>
      <c r="X37" s="1"/>
      <c r="Y37" s="1"/>
      <c r="Z37" s="1"/>
      <c r="AA37" s="1"/>
      <c r="AB37" s="392"/>
      <c r="AD37" s="231"/>
      <c r="AH37" s="108"/>
      <c r="AM37" s="231"/>
      <c r="AW37" s="1"/>
      <c r="AX37" s="1"/>
      <c r="AY37" s="1"/>
      <c r="AZ37" s="392"/>
      <c r="BB37" s="231"/>
      <c r="BC37" t="s">
        <v>786</v>
      </c>
      <c r="BD37">
        <v>168813</v>
      </c>
      <c r="BE37" t="s">
        <v>787</v>
      </c>
    </row>
    <row r="38" spans="2:60" x14ac:dyDescent="0.25">
      <c r="B38" s="231"/>
      <c r="I38" s="392"/>
      <c r="K38" s="231"/>
      <c r="M38" s="87" t="s">
        <v>539</v>
      </c>
      <c r="N38" s="87">
        <v>2020</v>
      </c>
      <c r="O38" s="160">
        <v>824.03801295843766</v>
      </c>
      <c r="Q38" s="414"/>
      <c r="X38" s="1"/>
      <c r="Y38" s="1"/>
      <c r="Z38" s="1"/>
      <c r="AA38" s="1"/>
      <c r="AB38" s="392"/>
      <c r="AD38" s="231"/>
      <c r="AH38" s="108"/>
      <c r="AM38" s="231"/>
      <c r="AW38" s="1"/>
      <c r="AX38" s="1"/>
      <c r="AY38" s="1"/>
      <c r="AZ38" s="392"/>
      <c r="BB38" s="231"/>
    </row>
    <row r="39" spans="2:60" x14ac:dyDescent="0.25">
      <c r="B39" s="231"/>
      <c r="I39" s="392"/>
      <c r="K39" s="231"/>
      <c r="M39" s="87" t="s">
        <v>539</v>
      </c>
      <c r="N39" s="87">
        <v>2023</v>
      </c>
      <c r="O39" s="160">
        <v>703.87598806236235</v>
      </c>
      <c r="Q39" s="414"/>
      <c r="X39" s="1"/>
      <c r="Y39" s="1"/>
      <c r="Z39" s="1"/>
      <c r="AA39" s="1"/>
      <c r="AB39" s="392"/>
      <c r="AD39" s="231"/>
      <c r="AH39" s="108"/>
      <c r="AM39" s="231"/>
      <c r="AW39" s="1"/>
      <c r="AX39" s="1"/>
      <c r="AY39" s="1"/>
      <c r="AZ39" s="392"/>
      <c r="BB39" s="231"/>
    </row>
    <row r="40" spans="2:60" x14ac:dyDescent="0.25">
      <c r="B40" s="231"/>
      <c r="I40" s="392"/>
      <c r="K40" s="231"/>
      <c r="M40" s="87" t="s">
        <v>539</v>
      </c>
      <c r="N40" s="87">
        <v>2025</v>
      </c>
      <c r="O40" s="160">
        <v>592.30573816303377</v>
      </c>
      <c r="Q40" s="414"/>
      <c r="X40" s="1"/>
      <c r="Y40" s="1"/>
      <c r="Z40" s="1"/>
      <c r="AA40" s="1"/>
      <c r="AB40" s="392"/>
      <c r="AD40" s="231"/>
      <c r="AH40" s="108"/>
      <c r="AM40" s="231"/>
      <c r="AW40" s="1"/>
      <c r="AX40" s="1"/>
      <c r="AY40" s="1"/>
      <c r="AZ40" s="392"/>
      <c r="BB40" s="231"/>
    </row>
    <row r="41" spans="2:60" x14ac:dyDescent="0.25">
      <c r="B41" s="231"/>
      <c r="I41" s="392"/>
      <c r="K41" s="231"/>
      <c r="M41" s="87" t="s">
        <v>539</v>
      </c>
      <c r="N41" s="87">
        <v>2027</v>
      </c>
      <c r="O41" s="160">
        <v>503.83154589707362</v>
      </c>
      <c r="Q41" s="414"/>
      <c r="X41" s="1"/>
      <c r="Y41" s="1"/>
      <c r="Z41" s="1"/>
      <c r="AA41" s="1"/>
      <c r="AB41" s="392"/>
      <c r="AD41" s="231"/>
      <c r="AM41" s="231"/>
      <c r="AW41" s="1"/>
      <c r="AX41" s="1"/>
      <c r="AY41" s="1"/>
      <c r="AZ41" s="392"/>
      <c r="BB41" s="231"/>
      <c r="BC41" s="12" t="s">
        <v>495</v>
      </c>
      <c r="BD41" s="88">
        <f>BD64</f>
        <v>0.17646153846153842</v>
      </c>
      <c r="BE41" s="12" t="s">
        <v>496</v>
      </c>
      <c r="BF41" s="12" t="s">
        <v>495</v>
      </c>
      <c r="BG41" s="88">
        <f>BD41</f>
        <v>0.17646153846153842</v>
      </c>
      <c r="BH41" s="12" t="s">
        <v>496</v>
      </c>
    </row>
    <row r="42" spans="2:60" x14ac:dyDescent="0.25">
      <c r="B42" s="231"/>
      <c r="I42" s="392"/>
      <c r="K42" s="231"/>
      <c r="M42" s="87" t="s">
        <v>539</v>
      </c>
      <c r="N42" s="87">
        <v>2030</v>
      </c>
      <c r="O42" s="160">
        <v>371.12025749813336</v>
      </c>
      <c r="X42" s="1"/>
      <c r="Y42" s="1"/>
      <c r="Z42" s="1"/>
      <c r="AA42" s="1"/>
      <c r="AB42" s="392"/>
      <c r="AD42" s="231"/>
      <c r="AM42" s="231"/>
      <c r="AW42" s="1"/>
      <c r="AX42" s="1"/>
      <c r="AY42" s="1"/>
      <c r="AZ42" s="392"/>
      <c r="BB42" s="231"/>
      <c r="BC42" s="12" t="s">
        <v>495</v>
      </c>
      <c r="BD42" s="162">
        <f>+(BD41/1000000)</f>
        <v>1.7646153846153841E-7</v>
      </c>
      <c r="BE42" s="12" t="s">
        <v>497</v>
      </c>
      <c r="BF42" s="12" t="s">
        <v>495</v>
      </c>
      <c r="BG42" s="162">
        <f>+(BG41/1000000)</f>
        <v>1.7646153846153841E-7</v>
      </c>
      <c r="BH42" s="12" t="s">
        <v>497</v>
      </c>
    </row>
    <row r="43" spans="2:60" x14ac:dyDescent="0.25">
      <c r="B43" s="231"/>
      <c r="I43" s="392"/>
      <c r="K43" s="231"/>
      <c r="M43" s="87" t="s">
        <v>539</v>
      </c>
      <c r="N43" s="87">
        <v>2033</v>
      </c>
      <c r="O43" s="160">
        <v>308.87489395181478</v>
      </c>
      <c r="X43" s="1"/>
      <c r="Y43" s="1"/>
      <c r="Z43" s="1"/>
      <c r="AA43" s="1"/>
      <c r="AB43" s="392"/>
      <c r="AD43" s="231"/>
      <c r="AM43" s="231"/>
      <c r="AW43" s="1"/>
      <c r="AX43" s="1"/>
      <c r="AY43" s="1"/>
      <c r="AZ43" s="392"/>
      <c r="BB43" s="231"/>
      <c r="BC43" s="12" t="s">
        <v>495</v>
      </c>
      <c r="BD43" s="12">
        <f>+BD42*(1000000)</f>
        <v>0.17646153846153842</v>
      </c>
      <c r="BE43" s="12" t="s">
        <v>498</v>
      </c>
      <c r="BF43" s="12" t="s">
        <v>495</v>
      </c>
      <c r="BG43" s="12">
        <f>+BG42*(1000000)</f>
        <v>0.17646153846153842</v>
      </c>
      <c r="BH43" s="12" t="s">
        <v>498</v>
      </c>
    </row>
    <row r="44" spans="2:60" x14ac:dyDescent="0.25">
      <c r="B44" s="231"/>
      <c r="I44" s="392"/>
      <c r="K44" s="231"/>
      <c r="M44" s="87" t="s">
        <v>539</v>
      </c>
      <c r="N44" s="87">
        <v>2035</v>
      </c>
      <c r="O44" s="160">
        <v>261.95008748720295</v>
      </c>
      <c r="X44" s="1"/>
      <c r="Y44" s="1"/>
      <c r="Z44" s="1"/>
      <c r="AA44" s="1"/>
      <c r="AB44" s="392"/>
      <c r="AD44" s="231"/>
      <c r="AM44" s="231"/>
      <c r="AW44" s="1"/>
      <c r="AX44" s="1"/>
      <c r="AY44" s="1"/>
      <c r="AZ44" s="392"/>
      <c r="BB44" s="231"/>
      <c r="BC44" s="163" t="s">
        <v>495</v>
      </c>
      <c r="BD44" s="163">
        <f>+BD43/0.0036</f>
        <v>49.01709401709401</v>
      </c>
      <c r="BE44" s="163" t="s">
        <v>499</v>
      </c>
      <c r="BF44" s="163" t="s">
        <v>495</v>
      </c>
      <c r="BG44" s="596">
        <f>+BG43/0.0036</f>
        <v>49.01709401709401</v>
      </c>
      <c r="BH44" s="163" t="s">
        <v>499</v>
      </c>
    </row>
    <row r="45" spans="2:60" x14ac:dyDescent="0.25">
      <c r="B45" s="231"/>
      <c r="I45" s="392"/>
      <c r="K45" s="231"/>
      <c r="M45" s="87" t="s">
        <v>539</v>
      </c>
      <c r="N45" s="87">
        <v>2037</v>
      </c>
      <c r="O45" s="160">
        <v>218.20937927779215</v>
      </c>
      <c r="X45" s="1"/>
      <c r="Y45" s="1"/>
      <c r="Z45" s="1"/>
      <c r="AA45" s="1"/>
      <c r="AB45" s="392"/>
      <c r="AD45" s="231"/>
      <c r="AM45" s="231"/>
      <c r="AW45" s="1"/>
      <c r="AX45" s="1"/>
      <c r="AY45" s="1"/>
      <c r="AZ45" s="392"/>
      <c r="BB45" s="231"/>
    </row>
    <row r="46" spans="2:60" x14ac:dyDescent="0.25">
      <c r="B46" s="231"/>
      <c r="I46" s="392"/>
      <c r="K46" s="231"/>
      <c r="M46" s="87" t="s">
        <v>539</v>
      </c>
      <c r="N46" s="87">
        <v>2040</v>
      </c>
      <c r="O46" s="160">
        <v>152.61925977137443</v>
      </c>
      <c r="X46" s="1"/>
      <c r="Y46" s="1"/>
      <c r="Z46" s="1"/>
      <c r="AA46" s="1"/>
      <c r="AB46" s="392"/>
      <c r="AD46" s="231"/>
      <c r="AM46" s="231"/>
      <c r="AW46" s="1"/>
      <c r="AX46" s="1"/>
      <c r="AY46" s="1"/>
      <c r="AZ46" s="392"/>
      <c r="BB46" s="231"/>
    </row>
    <row r="47" spans="2:60" x14ac:dyDescent="0.25">
      <c r="B47" s="231"/>
      <c r="I47" s="392"/>
      <c r="K47" s="231"/>
      <c r="M47" s="87" t="s">
        <v>539</v>
      </c>
      <c r="N47" s="87">
        <v>2043</v>
      </c>
      <c r="O47" s="160">
        <v>97.632708629688054</v>
      </c>
      <c r="X47" s="1"/>
      <c r="Y47" s="1"/>
      <c r="Z47" s="1"/>
      <c r="AA47" s="1"/>
      <c r="AB47" s="392"/>
      <c r="AD47" s="231"/>
      <c r="AM47" s="231"/>
      <c r="AW47" s="1"/>
      <c r="AX47" s="1"/>
      <c r="AY47" s="1"/>
      <c r="AZ47" s="392"/>
      <c r="BB47" s="231"/>
    </row>
    <row r="48" spans="2:60" x14ac:dyDescent="0.25">
      <c r="B48" s="231"/>
      <c r="I48" s="392"/>
      <c r="K48" s="231"/>
      <c r="M48" s="87" t="s">
        <v>539</v>
      </c>
      <c r="N48" s="87">
        <v>2045</v>
      </c>
      <c r="O48" s="160">
        <v>84.274321666488433</v>
      </c>
      <c r="X48" s="1"/>
      <c r="Y48" s="1"/>
      <c r="Z48" s="1"/>
      <c r="AA48" s="1"/>
      <c r="AB48" s="392"/>
      <c r="AD48" s="231"/>
      <c r="AM48" s="231"/>
      <c r="AW48" s="1"/>
      <c r="AX48" s="1"/>
      <c r="AY48" s="1"/>
      <c r="AZ48" s="392"/>
      <c r="BB48" s="231"/>
    </row>
    <row r="49" spans="2:56" x14ac:dyDescent="0.25">
      <c r="B49" s="231"/>
      <c r="I49" s="392"/>
      <c r="K49" s="231"/>
      <c r="M49" s="87" t="s">
        <v>539</v>
      </c>
      <c r="N49" s="87">
        <v>2047</v>
      </c>
      <c r="O49" s="160">
        <v>76.962403010658093</v>
      </c>
      <c r="X49" s="1"/>
      <c r="Y49" s="1"/>
      <c r="Z49" s="1"/>
      <c r="AA49" s="1"/>
      <c r="AB49" s="392"/>
      <c r="AD49" s="231"/>
      <c r="AM49" s="231"/>
      <c r="AW49" s="1"/>
      <c r="AX49" s="1"/>
      <c r="AY49" s="1"/>
      <c r="AZ49" s="392"/>
      <c r="BB49" s="231"/>
    </row>
    <row r="50" spans="2:56" x14ac:dyDescent="0.25">
      <c r="B50" s="231"/>
      <c r="I50" s="392"/>
      <c r="K50" s="231"/>
      <c r="M50" s="87" t="s">
        <v>539</v>
      </c>
      <c r="N50" s="87">
        <v>2050</v>
      </c>
      <c r="O50" s="160">
        <v>65.994525026912299</v>
      </c>
      <c r="X50" s="1"/>
      <c r="Y50" s="1"/>
      <c r="Z50" s="1"/>
      <c r="AA50" s="1"/>
      <c r="AB50" s="392"/>
      <c r="AD50" s="231"/>
      <c r="AM50" s="231"/>
      <c r="AW50" s="1"/>
      <c r="AX50" s="1"/>
      <c r="AY50" s="1"/>
      <c r="AZ50" s="392"/>
      <c r="BB50" s="231"/>
      <c r="BC50" t="s">
        <v>495</v>
      </c>
      <c r="BD50" t="s">
        <v>976</v>
      </c>
    </row>
    <row r="51" spans="2:56" x14ac:dyDescent="0.25">
      <c r="B51" s="231"/>
      <c r="I51" s="392"/>
      <c r="K51" s="231"/>
      <c r="L51" s="87" t="s">
        <v>256</v>
      </c>
      <c r="M51" s="87" t="s">
        <v>539</v>
      </c>
      <c r="N51" s="87">
        <v>2019</v>
      </c>
      <c r="O51" s="160" cm="1">
        <f t="array" ref="O51:O64">TRANSPOSE(DataCAM!BY102:CL102)</f>
        <v>5.6352908998762912</v>
      </c>
      <c r="X51" s="1"/>
      <c r="Y51" s="1"/>
      <c r="Z51" s="1"/>
      <c r="AA51" s="1"/>
      <c r="AB51" s="392"/>
      <c r="AD51" s="231"/>
      <c r="AM51" s="231"/>
      <c r="AW51" s="1"/>
      <c r="AX51" s="1"/>
      <c r="AY51" s="1"/>
      <c r="AZ51" s="392"/>
      <c r="BB51" s="231"/>
      <c r="BC51">
        <v>2009</v>
      </c>
      <c r="BD51">
        <v>0.19</v>
      </c>
    </row>
    <row r="52" spans="2:56" x14ac:dyDescent="0.25">
      <c r="B52" s="231"/>
      <c r="I52" s="392"/>
      <c r="K52" s="231"/>
      <c r="M52" s="87" t="s">
        <v>539</v>
      </c>
      <c r="N52" s="87">
        <v>2020</v>
      </c>
      <c r="O52" s="160">
        <v>5.221212860486296</v>
      </c>
      <c r="X52" s="1"/>
      <c r="Y52" s="1"/>
      <c r="Z52" s="1"/>
      <c r="AA52" s="1"/>
      <c r="AB52" s="392"/>
      <c r="AD52" s="231"/>
      <c r="AM52" s="231"/>
      <c r="AW52" s="1"/>
      <c r="AX52" s="1"/>
      <c r="AY52" s="1"/>
      <c r="AZ52" s="392"/>
      <c r="BB52" s="231"/>
      <c r="BC52">
        <v>2010</v>
      </c>
      <c r="BD52">
        <v>0.19</v>
      </c>
    </row>
    <row r="53" spans="2:56" x14ac:dyDescent="0.25">
      <c r="B53" s="231"/>
      <c r="I53" s="392"/>
      <c r="K53" s="231"/>
      <c r="M53" s="87" t="s">
        <v>539</v>
      </c>
      <c r="N53" s="87">
        <v>2023</v>
      </c>
      <c r="O53" s="160">
        <v>4.5327012744881037</v>
      </c>
      <c r="X53" s="1"/>
      <c r="Y53" s="1"/>
      <c r="Z53" s="1"/>
      <c r="AA53" s="1"/>
      <c r="AB53" s="392"/>
      <c r="AD53" s="231"/>
      <c r="AM53" s="231"/>
      <c r="AW53" s="1"/>
      <c r="AX53" s="1"/>
      <c r="AY53" s="1"/>
      <c r="AZ53" s="392"/>
      <c r="BB53" s="231"/>
      <c r="BC53">
        <v>2011</v>
      </c>
      <c r="BD53">
        <v>0.22</v>
      </c>
    </row>
    <row r="54" spans="2:56" x14ac:dyDescent="0.25">
      <c r="B54" s="231"/>
      <c r="I54" s="392"/>
      <c r="K54" s="231"/>
      <c r="M54" s="87" t="s">
        <v>539</v>
      </c>
      <c r="N54" s="87">
        <v>2025</v>
      </c>
      <c r="O54" s="160">
        <v>4.0736935504893079</v>
      </c>
      <c r="X54" s="1"/>
      <c r="Y54" s="1"/>
      <c r="Z54" s="1"/>
      <c r="AA54" s="1"/>
      <c r="AB54" s="392"/>
      <c r="AD54" s="231"/>
      <c r="AM54" s="231"/>
      <c r="AW54" s="1"/>
      <c r="AX54" s="1"/>
      <c r="AY54" s="1"/>
      <c r="AZ54" s="392"/>
      <c r="BB54" s="231"/>
      <c r="BC54">
        <v>2012</v>
      </c>
      <c r="BD54">
        <v>0.15</v>
      </c>
    </row>
    <row r="55" spans="2:56" x14ac:dyDescent="0.25">
      <c r="B55" s="231"/>
      <c r="I55" s="392"/>
      <c r="K55" s="231"/>
      <c r="M55" s="87" t="s">
        <v>539</v>
      </c>
      <c r="N55" s="87">
        <v>2027</v>
      </c>
      <c r="O55" s="160">
        <v>3.431082736890994</v>
      </c>
      <c r="X55" s="1"/>
      <c r="Y55" s="1"/>
      <c r="Z55" s="1"/>
      <c r="AA55" s="1"/>
      <c r="AB55" s="392"/>
      <c r="AD55" s="231"/>
      <c r="AM55" s="231"/>
      <c r="AW55" s="1"/>
      <c r="AX55" s="1"/>
      <c r="AY55" s="1"/>
      <c r="AZ55" s="392"/>
      <c r="BB55" s="231"/>
      <c r="BC55">
        <v>2013</v>
      </c>
      <c r="BD55">
        <v>0.21</v>
      </c>
    </row>
    <row r="56" spans="2:56" x14ac:dyDescent="0.25">
      <c r="B56" s="231"/>
      <c r="I56" s="392"/>
      <c r="K56" s="231"/>
      <c r="M56" s="87" t="s">
        <v>539</v>
      </c>
      <c r="N56" s="87">
        <v>2030</v>
      </c>
      <c r="O56" s="160">
        <v>2.4671665164935241</v>
      </c>
      <c r="X56" s="1"/>
      <c r="Y56" s="1"/>
      <c r="Z56" s="1"/>
      <c r="AA56" s="1"/>
      <c r="AB56" s="392"/>
      <c r="AD56" s="231"/>
      <c r="AM56" s="231"/>
      <c r="AW56" s="1"/>
      <c r="AX56" s="1"/>
      <c r="AY56" s="1"/>
      <c r="AZ56" s="392"/>
      <c r="BB56" s="231"/>
      <c r="BC56">
        <v>2014</v>
      </c>
      <c r="BD56">
        <v>0.19</v>
      </c>
    </row>
    <row r="57" spans="2:56" x14ac:dyDescent="0.25">
      <c r="B57" s="231"/>
      <c r="I57" s="392"/>
      <c r="K57" s="231"/>
      <c r="M57" s="87" t="s">
        <v>539</v>
      </c>
      <c r="N57" s="87">
        <v>2033</v>
      </c>
      <c r="O57" s="160">
        <v>1.9852084062947908</v>
      </c>
      <c r="X57" s="1"/>
      <c r="Y57" s="1"/>
      <c r="Z57" s="1"/>
      <c r="AA57" s="1"/>
      <c r="AB57" s="392"/>
      <c r="AD57" s="231"/>
      <c r="AM57" s="231"/>
      <c r="AW57" s="1"/>
      <c r="AX57" s="1"/>
      <c r="AY57" s="1"/>
      <c r="AZ57" s="392"/>
      <c r="BB57" s="231"/>
      <c r="BC57">
        <v>2015</v>
      </c>
      <c r="BD57">
        <v>0.19900000000000001</v>
      </c>
    </row>
    <row r="58" spans="2:56" x14ac:dyDescent="0.25">
      <c r="B58" s="231"/>
      <c r="I58" s="392"/>
      <c r="K58" s="231"/>
      <c r="M58" s="87" t="s">
        <v>539</v>
      </c>
      <c r="N58" s="87">
        <v>2035</v>
      </c>
      <c r="O58" s="160">
        <v>1.6639029994956347</v>
      </c>
      <c r="X58" s="1"/>
      <c r="Y58" s="1"/>
      <c r="Z58" s="1"/>
      <c r="AA58" s="1"/>
      <c r="AB58" s="392"/>
      <c r="AD58" s="231"/>
      <c r="AM58" s="231"/>
      <c r="AW58" s="1"/>
      <c r="AX58" s="1"/>
      <c r="AY58" s="1"/>
      <c r="AZ58" s="392"/>
      <c r="BB58" s="231"/>
      <c r="BC58">
        <v>2016</v>
      </c>
      <c r="BD58">
        <v>0.21</v>
      </c>
    </row>
    <row r="59" spans="2:56" x14ac:dyDescent="0.25">
      <c r="B59" s="231"/>
      <c r="I59" s="392"/>
      <c r="K59" s="231"/>
      <c r="M59" s="87" t="s">
        <v>539</v>
      </c>
      <c r="N59" s="87">
        <v>2037</v>
      </c>
      <c r="O59" s="160">
        <v>1.434399137496237</v>
      </c>
      <c r="X59" s="1"/>
      <c r="Y59" s="1"/>
      <c r="Z59" s="1"/>
      <c r="AA59" s="1"/>
      <c r="AB59" s="392"/>
      <c r="AD59" s="231"/>
      <c r="AM59" s="231"/>
      <c r="AW59" s="1"/>
      <c r="AX59" s="1"/>
      <c r="AY59" s="1"/>
      <c r="AZ59" s="392"/>
      <c r="BB59" s="231"/>
      <c r="BC59">
        <v>2017</v>
      </c>
      <c r="BD59">
        <v>0.11</v>
      </c>
    </row>
    <row r="60" spans="2:56" x14ac:dyDescent="0.25">
      <c r="B60" s="231"/>
      <c r="I60" s="392"/>
      <c r="K60" s="231"/>
      <c r="M60" s="87" t="s">
        <v>539</v>
      </c>
      <c r="N60" s="87">
        <v>2040</v>
      </c>
      <c r="O60" s="160">
        <v>1.0901433444971411</v>
      </c>
      <c r="X60" s="1"/>
      <c r="Y60" s="1"/>
      <c r="Z60" s="1"/>
      <c r="AA60" s="1"/>
      <c r="AB60" s="392"/>
      <c r="AD60" s="231"/>
      <c r="AM60" s="231"/>
      <c r="AW60" s="1"/>
      <c r="AX60" s="1"/>
      <c r="AY60" s="1"/>
      <c r="AZ60" s="392"/>
      <c r="BB60" s="231"/>
      <c r="BC60">
        <v>2018</v>
      </c>
      <c r="BD60">
        <v>0.13</v>
      </c>
    </row>
    <row r="61" spans="2:56" x14ac:dyDescent="0.25">
      <c r="B61" s="231"/>
      <c r="I61" s="392"/>
      <c r="K61" s="231"/>
      <c r="M61" s="87" t="s">
        <v>539</v>
      </c>
      <c r="N61" s="87">
        <v>2043</v>
      </c>
      <c r="O61" s="160">
        <v>0.97539141349744196</v>
      </c>
      <c r="X61" s="1"/>
      <c r="Y61" s="1"/>
      <c r="Z61" s="1"/>
      <c r="AA61" s="1"/>
      <c r="AB61" s="392"/>
      <c r="AD61" s="231"/>
      <c r="AM61" s="231"/>
      <c r="AW61" s="1"/>
      <c r="AX61" s="1"/>
      <c r="AY61" s="1"/>
      <c r="AZ61" s="392"/>
      <c r="BB61" s="231"/>
      <c r="BC61">
        <v>2019</v>
      </c>
      <c r="BD61">
        <v>0.16600000000000001</v>
      </c>
    </row>
    <row r="62" spans="2:56" x14ac:dyDescent="0.25">
      <c r="B62" s="231"/>
      <c r="I62" s="392"/>
      <c r="K62" s="231"/>
      <c r="M62" s="87" t="s">
        <v>539</v>
      </c>
      <c r="N62" s="87">
        <v>2045</v>
      </c>
      <c r="O62" s="160">
        <v>0.89889012616431629</v>
      </c>
      <c r="X62" s="1"/>
      <c r="Y62" s="1"/>
      <c r="Z62" s="1"/>
      <c r="AA62" s="1"/>
      <c r="AB62" s="392"/>
      <c r="AD62" s="231"/>
      <c r="AM62" s="231"/>
      <c r="AW62" s="1"/>
      <c r="AX62" s="1"/>
      <c r="AY62" s="1"/>
      <c r="AZ62" s="392"/>
      <c r="BB62" s="231"/>
      <c r="BC62">
        <v>2020</v>
      </c>
      <c r="BD62">
        <v>0.20300000000000001</v>
      </c>
    </row>
    <row r="63" spans="2:56" x14ac:dyDescent="0.25">
      <c r="B63" s="231"/>
      <c r="I63" s="392"/>
      <c r="K63" s="231"/>
      <c r="M63" s="87" t="s">
        <v>539</v>
      </c>
      <c r="N63" s="87">
        <v>2047</v>
      </c>
      <c r="O63" s="160">
        <v>0.82238883883117875</v>
      </c>
      <c r="X63" s="1"/>
      <c r="Y63" s="1"/>
      <c r="Z63" s="1"/>
      <c r="AA63" s="1"/>
      <c r="AB63" s="392"/>
      <c r="AD63" s="231"/>
      <c r="AM63" s="231"/>
      <c r="AW63" s="1"/>
      <c r="AX63" s="1"/>
      <c r="AY63" s="1"/>
      <c r="AZ63" s="392"/>
      <c r="BB63" s="231"/>
      <c r="BC63">
        <v>2021</v>
      </c>
      <c r="BD63">
        <v>0.126</v>
      </c>
    </row>
    <row r="64" spans="2:56" x14ac:dyDescent="0.25">
      <c r="B64" s="231"/>
      <c r="I64" s="392"/>
      <c r="K64" s="231"/>
      <c r="M64" s="87" t="s">
        <v>539</v>
      </c>
      <c r="N64" s="87">
        <v>2050</v>
      </c>
      <c r="O64" s="160">
        <v>0.70763690783148658</v>
      </c>
      <c r="X64" s="1"/>
      <c r="Y64" s="1"/>
      <c r="Z64" s="1"/>
      <c r="AA64" s="1"/>
      <c r="AB64" s="392"/>
      <c r="AD64" s="231"/>
      <c r="AM64" s="231"/>
      <c r="AW64" s="1"/>
      <c r="AX64" s="1"/>
      <c r="AY64" s="1"/>
      <c r="AZ64" s="392"/>
      <c r="BB64" s="231"/>
      <c r="BC64" t="s">
        <v>977</v>
      </c>
      <c r="BD64" s="115">
        <f>AVERAGE(BD51:BD63)</f>
        <v>0.17646153846153842</v>
      </c>
    </row>
    <row r="65" spans="2:54" x14ac:dyDescent="0.25">
      <c r="B65" s="231"/>
      <c r="I65" s="392"/>
      <c r="K65" s="231"/>
      <c r="L65" s="87" t="s">
        <v>257</v>
      </c>
      <c r="M65" s="87" t="s">
        <v>539</v>
      </c>
      <c r="N65" s="87">
        <v>2019</v>
      </c>
      <c r="O65" s="160" cm="1">
        <f t="array" ref="O65:O78">TRANSPOSE(DataCAM!BY103:CL103)</f>
        <v>165.44478873779963</v>
      </c>
      <c r="X65" s="1"/>
      <c r="Y65" s="1"/>
      <c r="Z65" s="1"/>
      <c r="AA65" s="1"/>
      <c r="AB65" s="392"/>
      <c r="AD65" s="231"/>
      <c r="AM65" s="231"/>
      <c r="AW65" s="1"/>
      <c r="AX65" s="1"/>
      <c r="AY65" s="1"/>
      <c r="AZ65" s="392"/>
      <c r="BB65" s="231"/>
    </row>
    <row r="66" spans="2:54" x14ac:dyDescent="0.25">
      <c r="B66" s="231"/>
      <c r="I66" s="392"/>
      <c r="K66" s="231"/>
      <c r="M66" s="87" t="s">
        <v>539</v>
      </c>
      <c r="N66" s="87">
        <v>2020</v>
      </c>
      <c r="O66" s="160">
        <v>174.59190756118457</v>
      </c>
      <c r="X66" s="1"/>
      <c r="Y66" s="1"/>
      <c r="Z66" s="1"/>
      <c r="AA66" s="1"/>
      <c r="AB66" s="392"/>
      <c r="AD66" s="231"/>
      <c r="AM66" s="231"/>
      <c r="AW66" s="1"/>
      <c r="AX66" s="1"/>
      <c r="AY66" s="1"/>
      <c r="AZ66" s="392"/>
      <c r="BB66" s="231"/>
    </row>
    <row r="67" spans="2:54" x14ac:dyDescent="0.25">
      <c r="B67" s="231"/>
      <c r="I67" s="392"/>
      <c r="K67" s="231"/>
      <c r="M67" s="87" t="s">
        <v>539</v>
      </c>
      <c r="N67" s="87">
        <v>2023</v>
      </c>
      <c r="O67" s="160">
        <v>133.12997535492246</v>
      </c>
      <c r="X67" s="1"/>
      <c r="Y67" s="1"/>
      <c r="Z67" s="1"/>
      <c r="AA67" s="1"/>
      <c r="AB67" s="392"/>
      <c r="AD67" s="231"/>
      <c r="AM67" s="231"/>
      <c r="AW67" s="1"/>
      <c r="AX67" s="1"/>
      <c r="AY67" s="1"/>
      <c r="AZ67" s="392"/>
      <c r="BB67" s="231"/>
    </row>
    <row r="68" spans="2:54" x14ac:dyDescent="0.25">
      <c r="B68" s="231"/>
      <c r="I68" s="392"/>
      <c r="K68" s="231"/>
      <c r="M68" s="87" t="s">
        <v>539</v>
      </c>
      <c r="N68" s="87">
        <v>2025</v>
      </c>
      <c r="O68" s="160">
        <v>103.50267798407233</v>
      </c>
      <c r="X68" s="1"/>
      <c r="Y68" s="1"/>
      <c r="Z68" s="1"/>
      <c r="AA68" s="1"/>
      <c r="AB68" s="392"/>
      <c r="AD68" s="231"/>
      <c r="AM68" s="231"/>
      <c r="AW68" s="1"/>
      <c r="AX68" s="1"/>
      <c r="AY68" s="1"/>
      <c r="AZ68" s="392"/>
      <c r="BB68" s="231"/>
    </row>
    <row r="69" spans="2:54" x14ac:dyDescent="0.25">
      <c r="B69" s="231"/>
      <c r="I69" s="392"/>
      <c r="K69" s="231"/>
      <c r="M69" s="87" t="s">
        <v>539</v>
      </c>
      <c r="N69" s="87">
        <v>2027</v>
      </c>
      <c r="O69" s="160">
        <v>83.03926860929522</v>
      </c>
      <c r="X69" s="1"/>
      <c r="Y69" s="1"/>
      <c r="Z69" s="1"/>
      <c r="AA69" s="1"/>
      <c r="AB69" s="392"/>
      <c r="AD69" s="231"/>
      <c r="AM69" s="231"/>
      <c r="AW69" s="1"/>
      <c r="AX69" s="1"/>
      <c r="AY69" s="1"/>
      <c r="AZ69" s="392"/>
      <c r="BB69" s="231"/>
    </row>
    <row r="70" spans="2:54" x14ac:dyDescent="0.25">
      <c r="B70" s="231"/>
      <c r="I70" s="392"/>
      <c r="K70" s="231"/>
      <c r="M70" s="87" t="s">
        <v>539</v>
      </c>
      <c r="N70" s="87">
        <v>2030</v>
      </c>
      <c r="O70" s="160">
        <v>52.344154547129563</v>
      </c>
      <c r="X70" s="1"/>
      <c r="Y70" s="1"/>
      <c r="Z70" s="1"/>
      <c r="AA70" s="1"/>
      <c r="AB70" s="392"/>
      <c r="AD70" s="231"/>
      <c r="AM70" s="231"/>
      <c r="AW70" s="1"/>
      <c r="AX70" s="1"/>
      <c r="AY70" s="1"/>
      <c r="AZ70" s="392"/>
      <c r="BB70" s="231"/>
    </row>
    <row r="71" spans="2:54" x14ac:dyDescent="0.25">
      <c r="B71" s="231"/>
      <c r="I71" s="392"/>
      <c r="K71" s="231"/>
      <c r="M71" s="87" t="s">
        <v>539</v>
      </c>
      <c r="N71" s="87">
        <v>2033</v>
      </c>
      <c r="O71" s="160">
        <v>39.637872367324192</v>
      </c>
      <c r="X71" s="1"/>
      <c r="Y71" s="1"/>
      <c r="Z71" s="1"/>
      <c r="AA71" s="1"/>
      <c r="AB71" s="392"/>
      <c r="AD71" s="231"/>
      <c r="AM71" s="231"/>
      <c r="AW71" s="1"/>
      <c r="AX71" s="1"/>
      <c r="AY71" s="1"/>
      <c r="AZ71" s="392"/>
      <c r="BB71" s="231"/>
    </row>
    <row r="72" spans="2:54" x14ac:dyDescent="0.25">
      <c r="B72" s="231"/>
      <c r="I72" s="392"/>
      <c r="K72" s="231"/>
      <c r="M72" s="87" t="s">
        <v>539</v>
      </c>
      <c r="N72" s="87">
        <v>2035</v>
      </c>
      <c r="O72" s="160">
        <v>31.167017580787284</v>
      </c>
      <c r="X72" s="1"/>
      <c r="Y72" s="1"/>
      <c r="Z72" s="1"/>
      <c r="AA72" s="1"/>
      <c r="AB72" s="392"/>
      <c r="AD72" s="231"/>
      <c r="AM72" s="231"/>
      <c r="AW72" s="1"/>
      <c r="AX72" s="1"/>
      <c r="AY72" s="1"/>
      <c r="AZ72" s="392"/>
      <c r="BB72" s="231"/>
    </row>
    <row r="73" spans="2:54" x14ac:dyDescent="0.25">
      <c r="B73" s="231"/>
      <c r="I73" s="392"/>
      <c r="K73" s="231"/>
      <c r="M73" s="87" t="s">
        <v>539</v>
      </c>
      <c r="N73" s="87">
        <v>2037</v>
      </c>
      <c r="O73" s="160">
        <v>26.338316246632928</v>
      </c>
      <c r="X73" s="1"/>
      <c r="Y73" s="1"/>
      <c r="Z73" s="1"/>
      <c r="AA73" s="1"/>
      <c r="AB73" s="392"/>
      <c r="AD73" s="231"/>
      <c r="AM73" s="231"/>
      <c r="AW73" s="1"/>
      <c r="AX73" s="1"/>
      <c r="AY73" s="1"/>
      <c r="AZ73" s="392"/>
      <c r="BB73" s="231"/>
    </row>
    <row r="74" spans="2:54" x14ac:dyDescent="0.25">
      <c r="B74" s="231"/>
      <c r="I74" s="392"/>
      <c r="K74" s="231"/>
      <c r="M74" s="87" t="s">
        <v>539</v>
      </c>
      <c r="N74" s="87">
        <v>2040</v>
      </c>
      <c r="O74" s="160">
        <v>19.095264245401154</v>
      </c>
      <c r="X74" s="1"/>
      <c r="Y74" s="1"/>
      <c r="Z74" s="1"/>
      <c r="AA74" s="1"/>
      <c r="AB74" s="392"/>
      <c r="AD74" s="231"/>
      <c r="AM74" s="231"/>
      <c r="AW74" s="1"/>
      <c r="AX74" s="1"/>
      <c r="AY74" s="1"/>
      <c r="AZ74" s="392"/>
      <c r="BB74" s="231"/>
    </row>
    <row r="75" spans="2:54" x14ac:dyDescent="0.25">
      <c r="B75" s="231"/>
      <c r="I75" s="392"/>
      <c r="K75" s="231"/>
      <c r="M75" s="87" t="s">
        <v>539</v>
      </c>
      <c r="N75" s="87">
        <v>2043</v>
      </c>
      <c r="O75" s="160">
        <v>13.778925877733739</v>
      </c>
      <c r="X75" s="1"/>
      <c r="Y75" s="1"/>
      <c r="Z75" s="1"/>
      <c r="AA75" s="1"/>
      <c r="AB75" s="392"/>
      <c r="AD75" s="231"/>
      <c r="AM75" s="231"/>
      <c r="AW75" s="1"/>
      <c r="AX75" s="1"/>
      <c r="AY75" s="1"/>
      <c r="AZ75" s="392"/>
      <c r="BB75" s="231"/>
    </row>
    <row r="76" spans="2:54" x14ac:dyDescent="0.25">
      <c r="B76" s="231"/>
      <c r="I76" s="392"/>
      <c r="K76" s="231"/>
      <c r="M76" s="87" t="s">
        <v>539</v>
      </c>
      <c r="N76" s="87">
        <v>2045</v>
      </c>
      <c r="O76" s="160">
        <v>11.069272527137278</v>
      </c>
      <c r="X76" s="1"/>
      <c r="Y76" s="1"/>
      <c r="Z76" s="1"/>
      <c r="AA76" s="1"/>
      <c r="AB76" s="392"/>
      <c r="AD76" s="231"/>
      <c r="AM76" s="231"/>
      <c r="AW76" s="1"/>
      <c r="AX76" s="1"/>
      <c r="AY76" s="1"/>
      <c r="AZ76" s="392"/>
      <c r="BB76" s="231"/>
    </row>
    <row r="77" spans="2:54" x14ac:dyDescent="0.25">
      <c r="B77" s="231"/>
      <c r="I77" s="392"/>
      <c r="K77" s="231"/>
      <c r="M77" s="87" t="s">
        <v>539</v>
      </c>
      <c r="N77" s="87">
        <v>2047</v>
      </c>
      <c r="O77" s="160">
        <v>8.800164990289284</v>
      </c>
      <c r="X77" s="1"/>
      <c r="Y77" s="1"/>
      <c r="Z77" s="1"/>
      <c r="AA77" s="1"/>
      <c r="AB77" s="392"/>
      <c r="AD77" s="231"/>
      <c r="AM77" s="231"/>
      <c r="AW77" s="1"/>
      <c r="AX77" s="1"/>
      <c r="AY77" s="1"/>
      <c r="AZ77" s="392"/>
      <c r="BB77" s="231"/>
    </row>
    <row r="78" spans="2:54" x14ac:dyDescent="0.25">
      <c r="B78" s="231"/>
      <c r="I78" s="392"/>
      <c r="K78" s="231"/>
      <c r="M78" s="87" t="s">
        <v>539</v>
      </c>
      <c r="N78" s="87">
        <v>2050</v>
      </c>
      <c r="O78" s="160">
        <v>6.5184716208738598</v>
      </c>
      <c r="X78" s="1"/>
      <c r="Y78" s="1"/>
      <c r="Z78" s="1"/>
      <c r="AA78" s="1"/>
      <c r="AB78" s="392"/>
      <c r="AD78" s="231"/>
      <c r="AM78" s="231"/>
      <c r="AW78" s="1"/>
      <c r="AX78" s="1"/>
      <c r="AY78" s="1"/>
      <c r="AZ78" s="392"/>
      <c r="BB78" s="231"/>
    </row>
    <row r="79" spans="2:54" x14ac:dyDescent="0.25">
      <c r="B79" s="231"/>
      <c r="I79" s="392"/>
      <c r="K79" s="231"/>
      <c r="L79" s="87" t="s">
        <v>258</v>
      </c>
      <c r="M79" s="87" t="s">
        <v>539</v>
      </c>
      <c r="N79" s="87">
        <v>2019</v>
      </c>
      <c r="O79" s="160" cm="1">
        <f t="array" ref="O79:O92">TRANSPOSE(DataCAM!BY104:CL104)</f>
        <v>29.863178560112861</v>
      </c>
      <c r="X79" s="1"/>
      <c r="Y79" s="1"/>
      <c r="Z79" s="1"/>
      <c r="AA79" s="1"/>
      <c r="AB79" s="392"/>
      <c r="AD79" s="231"/>
      <c r="AM79" s="231"/>
      <c r="AW79" s="1"/>
      <c r="AX79" s="1"/>
      <c r="AY79" s="1"/>
      <c r="AZ79" s="392"/>
      <c r="BB79" s="231"/>
    </row>
    <row r="80" spans="2:54" x14ac:dyDescent="0.25">
      <c r="B80" s="231"/>
      <c r="I80" s="392"/>
      <c r="K80" s="231"/>
      <c r="M80" s="87" t="s">
        <v>539</v>
      </c>
      <c r="N80" s="87">
        <v>2020</v>
      </c>
      <c r="O80" s="160">
        <v>33.948760380755033</v>
      </c>
      <c r="X80" s="1"/>
      <c r="Y80" s="1"/>
      <c r="Z80" s="1"/>
      <c r="AA80" s="1"/>
      <c r="AB80" s="392"/>
      <c r="AD80" s="231"/>
      <c r="AM80" s="231"/>
      <c r="AW80" s="1"/>
      <c r="AX80" s="1"/>
      <c r="AY80" s="1"/>
      <c r="AZ80" s="392"/>
      <c r="BB80" s="231"/>
    </row>
    <row r="81" spans="2:54" x14ac:dyDescent="0.25">
      <c r="B81" s="231"/>
      <c r="I81" s="392"/>
      <c r="K81" s="231"/>
      <c r="M81" s="87" t="s">
        <v>539</v>
      </c>
      <c r="N81" s="87">
        <v>2023</v>
      </c>
      <c r="O81" s="160">
        <v>29.263581793526811</v>
      </c>
      <c r="X81" s="1"/>
      <c r="Y81" s="1"/>
      <c r="Z81" s="1"/>
      <c r="AA81" s="1"/>
      <c r="AB81" s="392"/>
      <c r="AD81" s="231"/>
      <c r="AM81" s="231"/>
      <c r="AW81" s="1"/>
      <c r="AX81" s="1"/>
      <c r="AY81" s="1"/>
      <c r="AZ81" s="392"/>
      <c r="BB81" s="231"/>
    </row>
    <row r="82" spans="2:54" x14ac:dyDescent="0.25">
      <c r="B82" s="231"/>
      <c r="I82" s="392"/>
      <c r="K82" s="231"/>
      <c r="M82" s="87" t="s">
        <v>539</v>
      </c>
      <c r="N82" s="87">
        <v>2025</v>
      </c>
      <c r="O82" s="160">
        <v>24.727813327364881</v>
      </c>
      <c r="X82" s="1"/>
      <c r="Y82" s="1"/>
      <c r="Z82" s="1"/>
      <c r="AA82" s="1"/>
      <c r="AB82" s="392"/>
      <c r="AD82" s="231"/>
      <c r="AM82" s="231"/>
      <c r="AW82" s="1"/>
      <c r="AX82" s="1"/>
      <c r="AY82" s="1"/>
      <c r="AZ82" s="392"/>
      <c r="BB82" s="231"/>
    </row>
    <row r="83" spans="2:54" x14ac:dyDescent="0.25">
      <c r="B83" s="231"/>
      <c r="I83" s="392"/>
      <c r="K83" s="231"/>
      <c r="M83" s="87" t="s">
        <v>539</v>
      </c>
      <c r="N83" s="87">
        <v>2027</v>
      </c>
      <c r="O83" s="160">
        <v>20.950646953215937</v>
      </c>
      <c r="X83" s="1"/>
      <c r="Y83" s="1"/>
      <c r="Z83" s="1"/>
      <c r="AA83" s="1"/>
      <c r="AB83" s="392"/>
      <c r="AD83" s="231"/>
      <c r="AM83" s="231"/>
      <c r="AW83" s="1"/>
      <c r="AX83" s="1"/>
      <c r="AY83" s="1"/>
      <c r="AZ83" s="392"/>
      <c r="BB83" s="231"/>
    </row>
    <row r="84" spans="2:54" x14ac:dyDescent="0.25">
      <c r="B84" s="231"/>
      <c r="I84" s="392"/>
      <c r="K84" s="231"/>
      <c r="M84" s="87" t="s">
        <v>539</v>
      </c>
      <c r="N84" s="87">
        <v>2030</v>
      </c>
      <c r="O84" s="160">
        <v>15.547453881328172</v>
      </c>
      <c r="X84" s="1"/>
      <c r="Y84" s="1"/>
      <c r="Z84" s="1"/>
      <c r="AA84" s="1"/>
      <c r="AB84" s="392"/>
      <c r="AD84" s="231"/>
      <c r="AM84" s="231"/>
      <c r="AW84" s="1"/>
      <c r="AX84" s="1"/>
      <c r="AY84" s="1"/>
      <c r="AZ84" s="392"/>
      <c r="BB84" s="231"/>
    </row>
    <row r="85" spans="2:54" x14ac:dyDescent="0.25">
      <c r="B85" s="231"/>
      <c r="I85" s="392"/>
      <c r="K85" s="231"/>
      <c r="M85" s="87" t="s">
        <v>539</v>
      </c>
      <c r="N85" s="87">
        <v>2033</v>
      </c>
      <c r="O85" s="160">
        <v>12.751132140806146</v>
      </c>
      <c r="X85" s="1"/>
      <c r="Y85" s="1"/>
      <c r="Z85" s="1"/>
      <c r="AA85" s="1"/>
      <c r="AB85" s="392"/>
      <c r="AD85" s="231"/>
      <c r="AM85" s="231"/>
      <c r="AW85" s="1"/>
      <c r="AX85" s="1"/>
      <c r="AY85" s="1"/>
      <c r="AZ85" s="392"/>
      <c r="BB85" s="231"/>
    </row>
    <row r="86" spans="2:54" x14ac:dyDescent="0.25">
      <c r="B86" s="231"/>
      <c r="I86" s="392"/>
      <c r="K86" s="231"/>
      <c r="M86" s="87" t="s">
        <v>539</v>
      </c>
      <c r="N86" s="87">
        <v>2035</v>
      </c>
      <c r="O86" s="160">
        <v>10.88691764712477</v>
      </c>
      <c r="X86" s="1"/>
      <c r="Y86" s="1"/>
      <c r="Z86" s="1"/>
      <c r="AA86" s="1"/>
      <c r="AB86" s="392"/>
      <c r="AD86" s="231"/>
      <c r="AM86" s="231"/>
      <c r="AW86" s="1"/>
      <c r="AX86" s="1"/>
      <c r="AY86" s="1"/>
      <c r="AZ86" s="392"/>
      <c r="BB86" s="231"/>
    </row>
    <row r="87" spans="2:54" x14ac:dyDescent="0.25">
      <c r="B87" s="231"/>
      <c r="I87" s="392"/>
      <c r="K87" s="231"/>
      <c r="M87" s="87" t="s">
        <v>539</v>
      </c>
      <c r="N87" s="87">
        <v>2037</v>
      </c>
      <c r="O87" s="160">
        <v>9.5468461361997363</v>
      </c>
      <c r="X87" s="1"/>
      <c r="Y87" s="1"/>
      <c r="Z87" s="1"/>
      <c r="AA87" s="1"/>
      <c r="AB87" s="392"/>
      <c r="AD87" s="231"/>
      <c r="AM87" s="231"/>
      <c r="AW87" s="1"/>
      <c r="AX87" s="1"/>
      <c r="AY87" s="1"/>
      <c r="AZ87" s="392"/>
      <c r="BB87" s="231"/>
    </row>
    <row r="88" spans="2:54" x14ac:dyDescent="0.25">
      <c r="B88" s="231"/>
      <c r="I88" s="392"/>
      <c r="K88" s="231"/>
      <c r="M88" s="87" t="s">
        <v>539</v>
      </c>
      <c r="N88" s="87">
        <v>2040</v>
      </c>
      <c r="O88" s="160">
        <v>7.6143123780248976</v>
      </c>
      <c r="X88" s="1"/>
      <c r="Y88" s="1"/>
      <c r="Z88" s="1"/>
      <c r="AA88" s="1"/>
      <c r="AB88" s="392"/>
      <c r="AD88" s="231"/>
      <c r="AM88" s="231"/>
      <c r="AW88" s="1"/>
      <c r="AX88" s="1"/>
      <c r="AY88" s="1"/>
      <c r="AZ88" s="392"/>
      <c r="BB88" s="231"/>
    </row>
    <row r="89" spans="2:54" x14ac:dyDescent="0.25">
      <c r="B89" s="231"/>
      <c r="I89" s="392"/>
      <c r="K89" s="231"/>
      <c r="M89" s="87" t="s">
        <v>539</v>
      </c>
      <c r="N89" s="87">
        <v>2043</v>
      </c>
      <c r="O89" s="160">
        <v>6.0028111891647153</v>
      </c>
      <c r="X89" s="1"/>
      <c r="Y89" s="1"/>
      <c r="Z89" s="1"/>
      <c r="AA89" s="1"/>
      <c r="AB89" s="392"/>
      <c r="AD89" s="231"/>
      <c r="AM89" s="231"/>
      <c r="AW89" s="1"/>
      <c r="AX89" s="1"/>
      <c r="AY89" s="1"/>
      <c r="AZ89" s="392"/>
      <c r="BB89" s="231"/>
    </row>
    <row r="90" spans="2:54" x14ac:dyDescent="0.25">
      <c r="B90" s="231"/>
      <c r="I90" s="392"/>
      <c r="K90" s="231"/>
      <c r="M90" s="87" t="s">
        <v>539</v>
      </c>
      <c r="N90" s="87">
        <v>2045</v>
      </c>
      <c r="O90" s="160">
        <v>5.2768952713823145</v>
      </c>
      <c r="X90" s="1"/>
      <c r="Y90" s="1"/>
      <c r="Z90" s="1"/>
      <c r="AA90" s="1"/>
      <c r="AB90" s="392"/>
      <c r="AD90" s="231"/>
      <c r="AM90" s="231"/>
      <c r="AW90" s="1"/>
      <c r="AX90" s="1"/>
      <c r="AY90" s="1"/>
      <c r="AZ90" s="392"/>
      <c r="BB90" s="231"/>
    </row>
    <row r="91" spans="2:54" x14ac:dyDescent="0.25">
      <c r="B91" s="231"/>
      <c r="I91" s="392"/>
      <c r="K91" s="231"/>
      <c r="M91" s="87" t="s">
        <v>539</v>
      </c>
      <c r="N91" s="87">
        <v>2047</v>
      </c>
      <c r="O91" s="160">
        <v>4.8763447390823158</v>
      </c>
      <c r="X91" s="1"/>
      <c r="Y91" s="1"/>
      <c r="Z91" s="1"/>
      <c r="AA91" s="1"/>
      <c r="AB91" s="392"/>
      <c r="AD91" s="231"/>
      <c r="AM91" s="231"/>
      <c r="AW91" s="1"/>
      <c r="AX91" s="1"/>
      <c r="AY91" s="1"/>
      <c r="AZ91" s="392"/>
      <c r="BB91" s="231"/>
    </row>
    <row r="92" spans="2:54" x14ac:dyDescent="0.25">
      <c r="B92" s="231"/>
      <c r="I92" s="392"/>
      <c r="K92" s="231"/>
      <c r="M92" s="87" t="s">
        <v>539</v>
      </c>
      <c r="N92" s="87">
        <v>2050</v>
      </c>
      <c r="O92" s="160">
        <v>4.2755189406323213</v>
      </c>
      <c r="X92" s="1"/>
      <c r="Y92" s="1"/>
      <c r="Z92" s="1"/>
      <c r="AA92" s="1"/>
      <c r="AB92" s="392"/>
      <c r="AD92" s="231"/>
      <c r="AM92" s="231"/>
      <c r="AW92" s="1"/>
      <c r="AX92" s="1"/>
      <c r="AY92" s="1"/>
      <c r="AZ92" s="392"/>
      <c r="BB92" s="231"/>
    </row>
    <row r="93" spans="2:54" x14ac:dyDescent="0.25">
      <c r="B93" s="231"/>
      <c r="I93" s="392"/>
      <c r="K93" s="231"/>
      <c r="L93" s="87" t="s">
        <v>259</v>
      </c>
      <c r="M93" s="87" t="s">
        <v>539</v>
      </c>
      <c r="N93" s="87">
        <v>2019</v>
      </c>
      <c r="O93" s="317" cm="1">
        <f t="array" ref="O93:O106">TRANSPOSE(DataCAM!BY105:CL105)</f>
        <v>13.805861909055636</v>
      </c>
      <c r="X93" s="1"/>
      <c r="Y93" s="1"/>
      <c r="Z93" s="1"/>
      <c r="AA93" s="1"/>
      <c r="AB93" s="392"/>
      <c r="AD93" s="231"/>
      <c r="AM93" s="231"/>
      <c r="AW93" s="1"/>
      <c r="AX93" s="1"/>
      <c r="AY93" s="1"/>
      <c r="AZ93" s="392"/>
      <c r="BB93" s="231"/>
    </row>
    <row r="94" spans="2:54" x14ac:dyDescent="0.25">
      <c r="B94" s="231"/>
      <c r="I94" s="392"/>
      <c r="K94" s="231"/>
      <c r="M94" s="87" t="s">
        <v>539</v>
      </c>
      <c r="N94" s="87">
        <v>2020</v>
      </c>
      <c r="O94" s="317">
        <v>16.6018089802037</v>
      </c>
      <c r="X94" s="1"/>
      <c r="Y94" s="1"/>
      <c r="Z94" s="1"/>
      <c r="AA94" s="1"/>
      <c r="AB94" s="392"/>
      <c r="AD94" s="231"/>
      <c r="AM94" s="231"/>
      <c r="AW94" s="1"/>
      <c r="AX94" s="1"/>
      <c r="AY94" s="1"/>
      <c r="AZ94" s="392"/>
      <c r="BB94" s="231"/>
    </row>
    <row r="95" spans="2:54" x14ac:dyDescent="0.25">
      <c r="B95" s="231"/>
      <c r="I95" s="392"/>
      <c r="K95" s="231"/>
      <c r="M95" s="87" t="s">
        <v>539</v>
      </c>
      <c r="N95" s="87">
        <v>2023</v>
      </c>
      <c r="O95" s="317">
        <v>16.632857030952643</v>
      </c>
      <c r="X95" s="1"/>
      <c r="Y95" s="1"/>
      <c r="Z95" s="1"/>
      <c r="AA95" s="1"/>
      <c r="AB95" s="392"/>
      <c r="AD95" s="231"/>
      <c r="AM95" s="231"/>
      <c r="AW95" s="1"/>
      <c r="AX95" s="1"/>
      <c r="AY95" s="1"/>
      <c r="AZ95" s="392"/>
      <c r="BB95" s="231"/>
    </row>
    <row r="96" spans="2:54" x14ac:dyDescent="0.25">
      <c r="B96" s="231"/>
      <c r="I96" s="392"/>
      <c r="K96" s="231"/>
      <c r="M96" s="87" t="s">
        <v>539</v>
      </c>
      <c r="N96" s="87">
        <v>2025</v>
      </c>
      <c r="O96" s="317">
        <v>14.101179202831721</v>
      </c>
      <c r="X96" s="1"/>
      <c r="Y96" s="1"/>
      <c r="Z96" s="1"/>
      <c r="AA96" s="1"/>
      <c r="AB96" s="392"/>
      <c r="AD96" s="231"/>
      <c r="AM96" s="231"/>
      <c r="AW96" s="1"/>
      <c r="AX96" s="1"/>
      <c r="AY96" s="1"/>
      <c r="AZ96" s="392"/>
      <c r="BB96" s="231"/>
    </row>
    <row r="97" spans="2:54" x14ac:dyDescent="0.25">
      <c r="B97" s="231"/>
      <c r="I97" s="392"/>
      <c r="K97" s="231"/>
      <c r="M97" s="87" t="s">
        <v>539</v>
      </c>
      <c r="N97" s="87">
        <v>2027</v>
      </c>
      <c r="O97" s="317">
        <v>12.017907607915014</v>
      </c>
      <c r="X97" s="1"/>
      <c r="Y97" s="1"/>
      <c r="Z97" s="1"/>
      <c r="AA97" s="1"/>
      <c r="AB97" s="392"/>
      <c r="AD97" s="231"/>
      <c r="AM97" s="231"/>
      <c r="AW97" s="1"/>
      <c r="AX97" s="1"/>
      <c r="AY97" s="1"/>
      <c r="AZ97" s="392"/>
      <c r="BB97" s="231"/>
    </row>
    <row r="98" spans="2:54" x14ac:dyDescent="0.25">
      <c r="B98" s="231"/>
      <c r="I98" s="392"/>
      <c r="K98" s="231"/>
      <c r="M98" s="87" t="s">
        <v>539</v>
      </c>
      <c r="N98" s="87">
        <v>2030</v>
      </c>
      <c r="O98" s="317">
        <v>9.4276956435663362</v>
      </c>
      <c r="X98" s="1"/>
      <c r="Y98" s="1"/>
      <c r="Z98" s="1"/>
      <c r="AA98" s="1"/>
      <c r="AB98" s="392"/>
      <c r="AD98" s="231"/>
      <c r="AM98" s="231"/>
      <c r="AW98" s="1"/>
      <c r="AX98" s="1"/>
      <c r="AY98" s="1"/>
      <c r="AZ98" s="392"/>
      <c r="BB98" s="231"/>
    </row>
    <row r="99" spans="2:54" x14ac:dyDescent="0.25">
      <c r="B99" s="231"/>
      <c r="I99" s="392"/>
      <c r="K99" s="231"/>
      <c r="M99" s="87" t="s">
        <v>539</v>
      </c>
      <c r="N99" s="87">
        <v>2033</v>
      </c>
      <c r="O99" s="317">
        <v>7.6105995015520316</v>
      </c>
      <c r="X99" s="1"/>
      <c r="Y99" s="1"/>
      <c r="Z99" s="1"/>
      <c r="AA99" s="1"/>
      <c r="AB99" s="392"/>
      <c r="AD99" s="231"/>
      <c r="AM99" s="231"/>
      <c r="AW99" s="1"/>
      <c r="AX99" s="1"/>
      <c r="AY99" s="1"/>
      <c r="AZ99" s="392"/>
      <c r="BB99" s="231"/>
    </row>
    <row r="100" spans="2:54" x14ac:dyDescent="0.25">
      <c r="B100" s="231"/>
      <c r="I100" s="392"/>
      <c r="K100" s="231"/>
      <c r="M100" s="87" t="s">
        <v>539</v>
      </c>
      <c r="N100" s="87">
        <v>2035</v>
      </c>
      <c r="O100" s="317">
        <v>6.5142985088616747</v>
      </c>
      <c r="X100" s="1"/>
      <c r="Y100" s="1"/>
      <c r="Z100" s="1"/>
      <c r="AA100" s="1"/>
      <c r="AB100" s="392"/>
      <c r="AD100" s="231"/>
      <c r="AM100" s="231"/>
      <c r="AW100" s="1"/>
      <c r="AX100" s="1"/>
      <c r="AY100" s="1"/>
      <c r="AZ100" s="392"/>
      <c r="BB100" s="231"/>
    </row>
    <row r="101" spans="2:54" x14ac:dyDescent="0.25">
      <c r="B101" s="231"/>
      <c r="I101" s="392"/>
      <c r="K101" s="231"/>
      <c r="M101" s="87" t="s">
        <v>539</v>
      </c>
      <c r="N101" s="87">
        <v>2037</v>
      </c>
      <c r="O101" s="317">
        <v>5.5893052254090989</v>
      </c>
      <c r="X101" s="1"/>
      <c r="Y101" s="1"/>
      <c r="Z101" s="1"/>
      <c r="AA101" s="1"/>
      <c r="AB101" s="392"/>
      <c r="AD101" s="231"/>
      <c r="AM101" s="231"/>
      <c r="AW101" s="1"/>
      <c r="AX101" s="1"/>
      <c r="AY101" s="1"/>
      <c r="AZ101" s="392"/>
      <c r="BB101" s="231"/>
    </row>
    <row r="102" spans="2:54" x14ac:dyDescent="0.25">
      <c r="B102" s="231"/>
      <c r="I102" s="392"/>
      <c r="K102" s="231"/>
      <c r="M102" s="87" t="s">
        <v>539</v>
      </c>
      <c r="N102" s="87">
        <v>2040</v>
      </c>
      <c r="O102" s="317">
        <v>4.4927155787377089</v>
      </c>
      <c r="X102" s="1"/>
      <c r="Y102" s="1"/>
      <c r="Z102" s="1"/>
      <c r="AA102" s="1"/>
      <c r="AB102" s="392"/>
      <c r="AD102" s="231"/>
      <c r="AM102" s="231"/>
      <c r="AW102" s="1"/>
      <c r="AX102" s="1"/>
      <c r="AY102" s="1"/>
      <c r="AZ102" s="392"/>
      <c r="BB102" s="231"/>
    </row>
    <row r="103" spans="2:54" x14ac:dyDescent="0.25">
      <c r="B103" s="231"/>
      <c r="I103" s="392"/>
      <c r="K103" s="231"/>
      <c r="M103" s="87" t="s">
        <v>539</v>
      </c>
      <c r="N103" s="87">
        <v>2043</v>
      </c>
      <c r="O103" s="317">
        <v>3.4652801968942284</v>
      </c>
      <c r="X103" s="1"/>
      <c r="Y103" s="1"/>
      <c r="Z103" s="1"/>
      <c r="AA103" s="1"/>
      <c r="AB103" s="392"/>
      <c r="AD103" s="231"/>
      <c r="AM103" s="231"/>
      <c r="AW103" s="1"/>
      <c r="AX103" s="1"/>
      <c r="AY103" s="1"/>
      <c r="AZ103" s="392"/>
      <c r="BB103" s="231"/>
    </row>
    <row r="104" spans="2:54" x14ac:dyDescent="0.25">
      <c r="B104" s="231"/>
      <c r="I104" s="392"/>
      <c r="K104" s="231"/>
      <c r="M104" s="87" t="s">
        <v>539</v>
      </c>
      <c r="N104" s="87">
        <v>2045</v>
      </c>
      <c r="O104" s="317">
        <v>2.8010238897337132</v>
      </c>
      <c r="X104" s="1"/>
      <c r="Y104" s="1"/>
      <c r="Z104" s="1"/>
      <c r="AA104" s="1"/>
      <c r="AB104" s="392"/>
      <c r="AD104" s="231"/>
      <c r="AM104" s="231"/>
      <c r="AW104" s="1"/>
      <c r="AX104" s="1"/>
      <c r="AY104" s="1"/>
      <c r="AZ104" s="392"/>
      <c r="BB104" s="231"/>
    </row>
    <row r="105" spans="2:54" x14ac:dyDescent="0.25">
      <c r="B105" s="231"/>
      <c r="I105" s="392"/>
      <c r="K105" s="231"/>
      <c r="M105" s="87" t="s">
        <v>539</v>
      </c>
      <c r="N105" s="87">
        <v>2047</v>
      </c>
      <c r="O105" s="317">
        <v>2.1571113585776116</v>
      </c>
      <c r="X105" s="1"/>
      <c r="Y105" s="1"/>
      <c r="Z105" s="1"/>
      <c r="AA105" s="1"/>
      <c r="AB105" s="392"/>
      <c r="AD105" s="231"/>
      <c r="AM105" s="231"/>
      <c r="AW105" s="1"/>
      <c r="AX105" s="1"/>
      <c r="AY105" s="1"/>
      <c r="AZ105" s="392"/>
      <c r="BB105" s="231"/>
    </row>
    <row r="106" spans="2:54" x14ac:dyDescent="0.25">
      <c r="B106" s="231"/>
      <c r="I106" s="392"/>
      <c r="K106" s="231"/>
      <c r="M106" s="87" t="s">
        <v>539</v>
      </c>
      <c r="N106" s="87">
        <v>2050</v>
      </c>
      <c r="O106" s="317">
        <v>1.1912425618434146</v>
      </c>
      <c r="X106" s="1"/>
      <c r="Y106" s="1"/>
      <c r="Z106" s="1"/>
      <c r="AA106" s="1"/>
      <c r="AB106" s="392"/>
      <c r="AD106" s="231"/>
      <c r="AM106" s="231"/>
      <c r="AW106" s="1"/>
      <c r="AX106" s="1"/>
      <c r="AY106" s="1"/>
      <c r="AZ106" s="392"/>
      <c r="BB106" s="231"/>
    </row>
    <row r="107" spans="2:54" x14ac:dyDescent="0.25">
      <c r="B107" s="231"/>
      <c r="I107" s="392"/>
      <c r="K107" s="231"/>
      <c r="X107" s="1"/>
      <c r="Y107" s="1"/>
      <c r="Z107" s="1"/>
      <c r="AA107" s="1"/>
      <c r="AB107" s="392"/>
      <c r="AD107" s="231"/>
      <c r="AM107" s="231"/>
      <c r="AW107" s="1"/>
      <c r="AX107" s="1"/>
      <c r="AY107" s="1"/>
      <c r="AZ107" s="392"/>
      <c r="BB107" s="231"/>
    </row>
    <row r="108" spans="2:54" x14ac:dyDescent="0.25">
      <c r="B108" s="231"/>
      <c r="I108" s="392"/>
      <c r="K108" s="231"/>
      <c r="X108" s="1"/>
      <c r="Y108" s="1"/>
      <c r="Z108" s="1"/>
      <c r="AA108" s="1"/>
      <c r="AB108" s="392"/>
      <c r="AD108" s="231"/>
      <c r="AM108" s="231"/>
      <c r="AW108" s="1"/>
      <c r="AX108" s="1"/>
      <c r="AY108" s="1"/>
      <c r="AZ108" s="392"/>
      <c r="BB108" s="231"/>
    </row>
    <row r="109" spans="2:54" x14ac:dyDescent="0.25">
      <c r="B109" s="231"/>
      <c r="I109" s="392"/>
      <c r="K109" s="231"/>
      <c r="X109" s="1"/>
      <c r="Y109" s="1"/>
      <c r="Z109" s="1"/>
      <c r="AA109" s="1"/>
      <c r="AB109" s="392"/>
      <c r="AD109" s="231"/>
      <c r="AM109" s="231"/>
      <c r="AW109" s="1"/>
      <c r="AX109" s="1"/>
      <c r="AY109" s="1"/>
      <c r="AZ109" s="392"/>
      <c r="BB109" s="231"/>
    </row>
    <row r="110" spans="2:54" x14ac:dyDescent="0.25">
      <c r="B110" s="231"/>
      <c r="I110" s="392"/>
      <c r="K110" s="231"/>
      <c r="X110" s="1"/>
      <c r="Y110" s="1"/>
      <c r="Z110" s="1"/>
      <c r="AA110" s="1"/>
      <c r="AB110" s="392"/>
      <c r="AD110" s="231"/>
      <c r="AM110" s="231"/>
      <c r="AW110" s="1"/>
      <c r="AX110" s="1"/>
      <c r="AY110" s="1"/>
      <c r="AZ110" s="392"/>
      <c r="BB110" s="231"/>
    </row>
    <row r="111" spans="2:54" x14ac:dyDescent="0.25">
      <c r="B111" s="231"/>
      <c r="I111" s="392"/>
      <c r="K111" s="231"/>
      <c r="X111" s="1"/>
      <c r="Y111" s="1"/>
      <c r="Z111" s="1"/>
      <c r="AA111" s="1"/>
      <c r="AB111" s="392"/>
      <c r="AD111" s="231"/>
      <c r="AM111" s="231"/>
      <c r="AW111" s="1"/>
      <c r="AX111" s="1"/>
      <c r="AY111" s="1"/>
      <c r="AZ111" s="392"/>
      <c r="BB111" s="231"/>
    </row>
    <row r="112" spans="2:54" x14ac:dyDescent="0.25">
      <c r="B112" s="231"/>
      <c r="I112" s="392"/>
      <c r="K112" s="231"/>
      <c r="X112" s="1"/>
      <c r="Y112" s="1"/>
      <c r="Z112" s="1"/>
      <c r="AA112" s="1"/>
      <c r="AB112" s="392"/>
      <c r="AD112" s="231"/>
      <c r="AM112" s="231"/>
      <c r="AW112" s="1"/>
      <c r="AX112" s="1"/>
      <c r="AY112" s="1"/>
      <c r="AZ112" s="392"/>
      <c r="BB112" s="231"/>
    </row>
    <row r="113" spans="2:54" x14ac:dyDescent="0.25">
      <c r="B113" s="231"/>
      <c r="I113" s="392"/>
      <c r="K113" s="231"/>
      <c r="X113" s="1"/>
      <c r="Y113" s="1"/>
      <c r="Z113" s="1"/>
      <c r="AA113" s="1"/>
      <c r="AB113" s="392"/>
      <c r="AD113" s="231"/>
      <c r="AM113" s="231"/>
      <c r="AW113" s="1"/>
      <c r="AX113" s="1"/>
      <c r="AY113" s="1"/>
      <c r="AZ113" s="392"/>
      <c r="BB113" s="231"/>
    </row>
    <row r="114" spans="2:54" x14ac:dyDescent="0.25">
      <c r="B114" s="231"/>
      <c r="I114" s="392"/>
      <c r="K114" s="231"/>
      <c r="X114" s="1"/>
      <c r="Y114" s="1"/>
      <c r="Z114" s="1"/>
      <c r="AA114" s="1"/>
      <c r="AB114" s="392"/>
      <c r="AD114" s="231"/>
      <c r="AM114" s="231"/>
      <c r="AW114" s="1"/>
      <c r="AX114" s="1"/>
      <c r="AY114" s="1"/>
      <c r="AZ114" s="392"/>
      <c r="BB114" s="231"/>
    </row>
    <row r="115" spans="2:54" x14ac:dyDescent="0.25">
      <c r="B115" s="231"/>
      <c r="I115" s="392"/>
      <c r="K115" s="231"/>
      <c r="X115" s="1"/>
      <c r="Y115" s="1"/>
      <c r="Z115" s="1"/>
      <c r="AA115" s="1"/>
      <c r="AB115" s="392"/>
      <c r="AD115" s="231"/>
      <c r="AM115" s="231"/>
      <c r="AW115" s="1"/>
      <c r="AX115" s="1"/>
      <c r="AY115" s="1"/>
      <c r="AZ115" s="392"/>
      <c r="BB115" s="231"/>
    </row>
    <row r="116" spans="2:54" x14ac:dyDescent="0.25">
      <c r="B116" s="231"/>
      <c r="I116" s="392"/>
      <c r="K116" s="231"/>
      <c r="X116" s="1"/>
      <c r="Y116" s="1"/>
      <c r="Z116" s="1"/>
      <c r="AA116" s="1"/>
      <c r="AB116" s="392"/>
      <c r="AD116" s="231"/>
      <c r="AM116" s="231"/>
      <c r="AW116" s="1"/>
      <c r="AX116" s="1"/>
      <c r="AY116" s="1"/>
      <c r="AZ116" s="392"/>
      <c r="BB116" s="231"/>
    </row>
    <row r="117" spans="2:54" x14ac:dyDescent="0.25">
      <c r="B117" s="231"/>
      <c r="I117" s="392"/>
      <c r="K117" s="231"/>
      <c r="X117" s="1"/>
      <c r="Y117" s="1"/>
      <c r="Z117" s="1"/>
      <c r="AA117" s="1"/>
      <c r="AB117" s="392"/>
      <c r="AD117" s="231"/>
      <c r="AM117" s="231"/>
      <c r="AW117" s="1"/>
      <c r="AX117" s="1"/>
      <c r="AY117" s="1"/>
      <c r="AZ117" s="392"/>
      <c r="BB117" s="231"/>
    </row>
    <row r="118" spans="2:54" x14ac:dyDescent="0.25">
      <c r="B118" s="231"/>
      <c r="I118" s="392"/>
      <c r="K118" s="231"/>
      <c r="X118" s="1"/>
      <c r="Y118" s="1"/>
      <c r="Z118" s="1"/>
      <c r="AA118" s="1"/>
      <c r="AB118" s="392"/>
      <c r="AD118" s="231"/>
      <c r="AM118" s="231"/>
      <c r="AW118" s="1"/>
      <c r="AX118" s="1"/>
      <c r="AY118" s="1"/>
      <c r="AZ118" s="392"/>
      <c r="BB118" s="231"/>
    </row>
    <row r="119" spans="2:54" x14ac:dyDescent="0.25">
      <c r="B119" s="231"/>
      <c r="I119" s="392"/>
      <c r="K119" s="231"/>
      <c r="X119" s="1"/>
      <c r="Y119" s="1"/>
      <c r="Z119" s="1"/>
      <c r="AA119" s="1"/>
      <c r="AB119" s="392"/>
      <c r="AD119" s="231"/>
      <c r="AM119" s="231"/>
      <c r="AW119" s="1"/>
      <c r="AX119" s="1"/>
      <c r="AY119" s="1"/>
      <c r="AZ119" s="392"/>
      <c r="BB119" s="231"/>
    </row>
    <row r="120" spans="2:54" x14ac:dyDescent="0.25">
      <c r="B120" s="231"/>
      <c r="I120" s="392"/>
      <c r="K120" s="231"/>
      <c r="X120" s="1"/>
      <c r="Y120" s="1"/>
      <c r="Z120" s="1"/>
      <c r="AA120" s="1"/>
      <c r="AB120" s="392"/>
      <c r="AD120" s="231"/>
      <c r="AM120" s="231"/>
      <c r="AW120" s="1"/>
      <c r="AX120" s="1"/>
      <c r="AY120" s="1"/>
      <c r="AZ120" s="392"/>
      <c r="BB120" s="231"/>
    </row>
    <row r="121" spans="2:54" x14ac:dyDescent="0.25">
      <c r="B121" s="231"/>
      <c r="I121" s="392"/>
      <c r="K121" s="231"/>
      <c r="X121" s="1"/>
      <c r="Y121" s="1"/>
      <c r="Z121" s="1"/>
      <c r="AA121" s="1"/>
      <c r="AB121" s="392"/>
      <c r="AD121" s="231"/>
      <c r="AM121" s="231"/>
      <c r="AW121" s="1"/>
      <c r="AX121" s="1"/>
      <c r="AY121" s="1"/>
      <c r="AZ121" s="392"/>
      <c r="BB121" s="231"/>
    </row>
    <row r="122" spans="2:54" x14ac:dyDescent="0.25">
      <c r="B122" s="231"/>
      <c r="I122" s="392"/>
      <c r="K122" s="231"/>
      <c r="X122" s="1"/>
      <c r="Y122" s="1"/>
      <c r="Z122" s="1"/>
      <c r="AA122" s="1"/>
      <c r="AB122" s="392"/>
      <c r="AD122" s="231"/>
      <c r="AM122" s="231"/>
      <c r="AW122" s="1"/>
      <c r="AX122" s="1"/>
      <c r="AY122" s="1"/>
      <c r="AZ122" s="392"/>
      <c r="BB122" s="231"/>
    </row>
    <row r="123" spans="2:54" x14ac:dyDescent="0.25">
      <c r="B123" s="231"/>
      <c r="I123" s="392"/>
      <c r="K123" s="231"/>
      <c r="X123" s="1"/>
      <c r="Y123" s="1"/>
      <c r="Z123" s="1"/>
      <c r="AA123" s="1"/>
      <c r="AB123" s="392"/>
      <c r="AD123" s="231"/>
      <c r="AM123" s="231"/>
      <c r="AW123" s="1"/>
      <c r="AX123" s="1"/>
      <c r="AY123" s="1"/>
      <c r="AZ123" s="392"/>
      <c r="BB123" s="231"/>
    </row>
    <row r="124" spans="2:54" x14ac:dyDescent="0.25">
      <c r="B124" s="231"/>
      <c r="I124" s="392"/>
      <c r="K124" s="231"/>
      <c r="X124" s="1"/>
      <c r="Y124" s="1"/>
      <c r="Z124" s="1"/>
      <c r="AA124" s="1"/>
      <c r="AB124" s="392"/>
      <c r="AD124" s="231"/>
      <c r="AM124" s="231"/>
      <c r="AW124" s="1"/>
      <c r="AX124" s="1"/>
      <c r="AY124" s="1"/>
      <c r="AZ124" s="392"/>
      <c r="BB124" s="231"/>
    </row>
    <row r="125" spans="2:54" x14ac:dyDescent="0.25">
      <c r="B125" s="231"/>
      <c r="I125" s="392"/>
      <c r="K125" s="231"/>
      <c r="X125" s="1"/>
      <c r="Y125" s="1"/>
      <c r="Z125" s="1"/>
      <c r="AA125" s="1"/>
      <c r="AB125" s="392"/>
      <c r="AD125" s="231"/>
      <c r="AM125" s="231"/>
      <c r="AW125" s="1"/>
      <c r="AX125" s="1"/>
      <c r="AY125" s="1"/>
      <c r="AZ125" s="392"/>
      <c r="BB125" s="231"/>
    </row>
    <row r="126" spans="2:54" x14ac:dyDescent="0.25">
      <c r="B126" s="231"/>
      <c r="I126" s="392"/>
      <c r="K126" s="231"/>
      <c r="X126" s="1"/>
      <c r="Y126" s="1"/>
      <c r="Z126" s="1"/>
      <c r="AA126" s="1"/>
      <c r="AB126" s="392"/>
      <c r="AD126" s="231"/>
      <c r="AM126" s="231"/>
      <c r="AW126" s="1"/>
      <c r="AX126" s="1"/>
      <c r="AY126" s="1"/>
      <c r="AZ126" s="392"/>
      <c r="BB126" s="231"/>
    </row>
    <row r="127" spans="2:54" x14ac:dyDescent="0.25">
      <c r="B127" s="231"/>
      <c r="I127" s="392"/>
      <c r="K127" s="231"/>
      <c r="X127" s="1"/>
      <c r="Y127" s="1"/>
      <c r="Z127" s="1"/>
      <c r="AA127" s="1"/>
      <c r="AB127" s="392"/>
      <c r="AD127" s="231"/>
      <c r="AM127" s="231"/>
      <c r="AW127" s="1"/>
      <c r="AX127" s="1"/>
      <c r="AY127" s="1"/>
      <c r="AZ127" s="392"/>
      <c r="BB127" s="231"/>
    </row>
    <row r="128" spans="2:54" x14ac:dyDescent="0.25">
      <c r="B128" s="231"/>
      <c r="I128" s="392"/>
      <c r="K128" s="231"/>
      <c r="X128" s="1"/>
      <c r="Y128" s="1"/>
      <c r="Z128" s="1"/>
      <c r="AA128" s="1"/>
      <c r="AB128" s="392"/>
      <c r="AD128" s="231"/>
      <c r="AM128" s="231"/>
      <c r="AW128" s="1"/>
      <c r="AX128" s="1"/>
      <c r="AY128" s="1"/>
      <c r="AZ128" s="392"/>
      <c r="BB128" s="231"/>
    </row>
    <row r="129" spans="2:54" x14ac:dyDescent="0.25">
      <c r="B129" s="231"/>
      <c r="I129" s="392"/>
      <c r="K129" s="231"/>
      <c r="X129" s="1"/>
      <c r="Y129" s="1"/>
      <c r="Z129" s="1"/>
      <c r="AA129" s="1"/>
      <c r="AB129" s="392"/>
      <c r="AD129" s="231"/>
      <c r="AM129" s="231"/>
      <c r="AW129" s="1"/>
      <c r="AX129" s="1"/>
      <c r="AY129" s="1"/>
      <c r="AZ129" s="392"/>
      <c r="BB129" s="231"/>
    </row>
    <row r="130" spans="2:54" x14ac:dyDescent="0.25">
      <c r="B130" s="231"/>
      <c r="I130" s="392"/>
      <c r="K130" s="231"/>
      <c r="N130" s="419"/>
      <c r="O130" s="419" t="s">
        <v>753</v>
      </c>
      <c r="X130" s="1"/>
      <c r="Y130" s="1"/>
      <c r="Z130" s="1"/>
      <c r="AA130" s="1"/>
      <c r="AB130" s="392"/>
      <c r="AD130" s="231"/>
      <c r="AM130" s="231"/>
      <c r="AW130" s="1"/>
      <c r="AX130" s="1"/>
      <c r="AY130" s="1"/>
      <c r="AZ130" s="392"/>
      <c r="BB130" s="231"/>
    </row>
    <row r="131" spans="2:54" x14ac:dyDescent="0.25">
      <c r="B131" s="231"/>
      <c r="I131" s="392"/>
      <c r="K131" s="231"/>
      <c r="X131" s="1"/>
      <c r="Y131" s="1"/>
      <c r="Z131" s="1"/>
      <c r="AA131" s="1"/>
      <c r="AB131" s="392"/>
      <c r="AD131" s="231"/>
      <c r="AM131" s="231"/>
      <c r="AW131" s="1"/>
      <c r="AX131" s="1"/>
      <c r="AY131" s="1"/>
      <c r="AZ131" s="392"/>
      <c r="BB131" s="231"/>
    </row>
    <row r="132" spans="2:54" x14ac:dyDescent="0.25">
      <c r="B132" s="231"/>
      <c r="I132" s="392"/>
      <c r="K132" s="231"/>
      <c r="X132" s="1"/>
      <c r="Y132" s="1"/>
      <c r="Z132" s="1"/>
      <c r="AA132" s="1"/>
      <c r="AB132" s="392"/>
      <c r="AD132" s="231"/>
      <c r="AM132" s="231"/>
      <c r="AW132" s="1"/>
      <c r="AX132" s="1"/>
      <c r="AY132" s="1"/>
      <c r="AZ132" s="392"/>
      <c r="BB132" s="231"/>
    </row>
    <row r="133" spans="2:54" x14ac:dyDescent="0.25">
      <c r="B133" s="231"/>
      <c r="I133" s="392"/>
      <c r="K133" s="231"/>
      <c r="X133" s="1"/>
      <c r="Y133" s="1"/>
      <c r="Z133" s="1"/>
      <c r="AA133" s="1"/>
      <c r="AB133" s="392"/>
      <c r="AD133" s="231"/>
      <c r="AM133" s="231"/>
      <c r="AW133" s="1"/>
      <c r="AX133" s="1"/>
      <c r="AY133" s="1"/>
      <c r="AZ133" s="392"/>
      <c r="BB133" s="231"/>
    </row>
    <row r="134" spans="2:54" x14ac:dyDescent="0.25">
      <c r="B134" s="231"/>
      <c r="I134" s="392"/>
      <c r="K134" s="231"/>
      <c r="X134" s="1"/>
      <c r="Y134" s="1"/>
      <c r="Z134" s="1"/>
      <c r="AA134" s="1"/>
      <c r="AB134" s="392"/>
      <c r="AD134" s="231"/>
      <c r="AM134" s="231"/>
      <c r="AW134" s="1"/>
      <c r="AX134" s="1"/>
      <c r="AY134" s="1"/>
      <c r="AZ134" s="392"/>
      <c r="BB134" s="231"/>
    </row>
    <row r="135" spans="2:54" x14ac:dyDescent="0.25">
      <c r="B135" s="231"/>
      <c r="I135" s="392"/>
      <c r="K135" s="231"/>
      <c r="X135" s="1"/>
      <c r="Y135" s="1"/>
      <c r="Z135" s="1"/>
      <c r="AA135" s="1"/>
      <c r="AB135" s="392"/>
      <c r="AD135" s="231"/>
      <c r="AM135" s="231"/>
      <c r="AW135" s="1"/>
      <c r="AX135" s="1"/>
      <c r="AY135" s="1"/>
      <c r="AZ135" s="392"/>
      <c r="BB135" s="231"/>
    </row>
    <row r="136" spans="2:54" x14ac:dyDescent="0.25">
      <c r="B136" s="231"/>
      <c r="I136" s="392"/>
      <c r="K136" s="231"/>
      <c r="X136" s="1"/>
      <c r="Y136" s="1"/>
      <c r="Z136" s="1"/>
      <c r="AA136" s="1"/>
      <c r="AB136" s="392"/>
      <c r="AD136" s="231"/>
      <c r="AM136" s="231"/>
      <c r="AW136" s="1"/>
      <c r="AX136" s="1"/>
      <c r="AY136" s="1"/>
      <c r="AZ136" s="392"/>
      <c r="BB136" s="231"/>
    </row>
    <row r="137" spans="2:54" x14ac:dyDescent="0.25">
      <c r="B137" s="231"/>
      <c r="I137" s="392"/>
      <c r="K137" s="231"/>
      <c r="X137" s="1"/>
      <c r="Y137" s="1"/>
      <c r="Z137" s="1"/>
      <c r="AA137" s="1"/>
      <c r="AB137" s="392"/>
      <c r="AD137" s="231"/>
      <c r="AM137" s="231"/>
      <c r="AW137" s="1"/>
      <c r="AX137" s="1"/>
      <c r="AY137" s="1"/>
      <c r="AZ137" s="392"/>
      <c r="BB137" s="231"/>
    </row>
    <row r="138" spans="2:54" x14ac:dyDescent="0.25">
      <c r="B138" s="231"/>
      <c r="I138" s="392"/>
      <c r="K138" s="231"/>
      <c r="X138" s="1"/>
      <c r="Y138" s="1"/>
      <c r="Z138" s="1"/>
      <c r="AA138" s="1"/>
      <c r="AB138" s="392"/>
      <c r="AD138" s="231"/>
      <c r="AM138" s="231"/>
      <c r="AW138" s="1"/>
      <c r="AX138" s="1"/>
      <c r="AY138" s="1"/>
      <c r="AZ138" s="392"/>
      <c r="BB138" s="231"/>
    </row>
    <row r="139" spans="2:54" x14ac:dyDescent="0.25">
      <c r="B139" s="231"/>
      <c r="I139" s="392"/>
      <c r="K139" s="231"/>
      <c r="X139" s="1"/>
      <c r="Y139" s="1"/>
      <c r="Z139" s="1"/>
      <c r="AA139" s="1"/>
      <c r="AB139" s="392"/>
      <c r="AD139" s="231"/>
      <c r="AM139" s="231"/>
      <c r="AW139" s="1"/>
      <c r="AX139" s="1"/>
      <c r="AY139" s="1"/>
      <c r="AZ139" s="392"/>
      <c r="BB139" s="231"/>
    </row>
    <row r="140" spans="2:54" x14ac:dyDescent="0.25">
      <c r="B140" s="231"/>
      <c r="I140" s="392"/>
      <c r="K140" s="231"/>
      <c r="X140" s="1"/>
      <c r="Y140" s="1"/>
      <c r="Z140" s="1"/>
      <c r="AA140" s="1"/>
      <c r="AB140" s="392"/>
      <c r="AD140" s="231"/>
      <c r="AM140" s="231"/>
      <c r="AW140" s="1"/>
      <c r="AX140" s="1"/>
      <c r="AY140" s="1"/>
      <c r="AZ140" s="392"/>
      <c r="BB140" s="231"/>
    </row>
    <row r="141" spans="2:54" x14ac:dyDescent="0.25">
      <c r="B141" s="231"/>
      <c r="I141" s="392"/>
      <c r="K141" s="231"/>
      <c r="X141" s="1"/>
      <c r="Y141" s="1"/>
      <c r="Z141" s="1"/>
      <c r="AA141" s="1"/>
      <c r="AB141" s="392"/>
      <c r="AD141" s="231"/>
      <c r="AM141" s="231"/>
      <c r="AW141" s="1"/>
      <c r="AX141" s="1"/>
      <c r="AY141" s="1"/>
      <c r="AZ141" s="392"/>
      <c r="BB141" s="231"/>
    </row>
    <row r="142" spans="2:54" x14ac:dyDescent="0.25">
      <c r="B142" s="231"/>
      <c r="I142" s="392"/>
      <c r="K142" s="231"/>
      <c r="X142" s="1"/>
      <c r="Y142" s="1"/>
      <c r="Z142" s="1"/>
      <c r="AA142" s="1"/>
      <c r="AB142" s="392"/>
      <c r="AD142" s="231"/>
      <c r="AM142" s="231"/>
      <c r="AW142" s="1"/>
      <c r="AX142" s="1"/>
      <c r="AY142" s="1"/>
      <c r="AZ142" s="392"/>
      <c r="BB142" s="231"/>
    </row>
    <row r="143" spans="2:54" x14ac:dyDescent="0.25">
      <c r="B143" s="231"/>
      <c r="I143" s="392"/>
      <c r="K143" s="231"/>
      <c r="X143" s="1"/>
      <c r="Y143" s="1"/>
      <c r="Z143" s="1"/>
      <c r="AA143" s="1"/>
      <c r="AB143" s="392"/>
      <c r="AD143" s="231"/>
      <c r="AM143" s="231"/>
      <c r="AW143" s="1"/>
      <c r="AX143" s="1"/>
      <c r="AY143" s="1"/>
      <c r="AZ143" s="392"/>
      <c r="BB143" s="231"/>
    </row>
    <row r="144" spans="2:54" x14ac:dyDescent="0.25">
      <c r="B144" s="231"/>
      <c r="I144" s="392"/>
      <c r="K144" s="231"/>
      <c r="X144" s="1"/>
      <c r="Y144" s="1"/>
      <c r="Z144" s="1"/>
      <c r="AA144" s="1"/>
      <c r="AB144" s="392"/>
      <c r="AD144" s="231"/>
      <c r="AM144" s="231"/>
      <c r="AW144" s="1"/>
      <c r="AX144" s="1"/>
      <c r="AY144" s="1"/>
      <c r="AZ144" s="392"/>
      <c r="BB144" s="231"/>
    </row>
    <row r="145" spans="2:54" x14ac:dyDescent="0.25">
      <c r="B145" s="231"/>
      <c r="I145" s="392"/>
      <c r="K145" s="231"/>
      <c r="X145" s="1"/>
      <c r="Y145" s="1"/>
      <c r="Z145" s="1"/>
      <c r="AA145" s="1"/>
      <c r="AB145" s="392"/>
      <c r="AD145" s="231"/>
      <c r="AM145" s="231"/>
      <c r="AW145" s="1"/>
      <c r="AX145" s="1"/>
      <c r="AY145" s="1"/>
      <c r="AZ145" s="392"/>
      <c r="BB145" s="231"/>
    </row>
    <row r="146" spans="2:54" x14ac:dyDescent="0.25">
      <c r="B146" s="231"/>
      <c r="I146" s="392"/>
      <c r="K146" s="231"/>
      <c r="X146" s="1"/>
      <c r="Y146" s="1"/>
      <c r="Z146" s="1"/>
      <c r="AA146" s="1"/>
      <c r="AB146" s="392"/>
      <c r="AD146" s="231"/>
      <c r="AM146" s="231"/>
      <c r="AW146" s="1"/>
      <c r="AX146" s="1"/>
      <c r="AY146" s="1"/>
      <c r="AZ146" s="392"/>
      <c r="BB146" s="231"/>
    </row>
    <row r="147" spans="2:54" x14ac:dyDescent="0.25">
      <c r="B147" s="231"/>
      <c r="I147" s="392"/>
      <c r="K147" s="231"/>
      <c r="X147" s="1"/>
      <c r="Y147" s="1"/>
      <c r="Z147" s="1"/>
      <c r="AA147" s="1"/>
      <c r="AB147" s="392"/>
      <c r="AD147" s="231"/>
      <c r="AM147" s="231"/>
      <c r="AW147" s="1"/>
      <c r="AX147" s="1"/>
      <c r="AY147" s="1"/>
      <c r="AZ147" s="392"/>
      <c r="BB147" s="231"/>
    </row>
    <row r="148" spans="2:54" x14ac:dyDescent="0.25">
      <c r="B148" s="231"/>
      <c r="I148" s="392"/>
      <c r="K148" s="231"/>
      <c r="X148" s="1"/>
      <c r="Y148" s="1"/>
      <c r="Z148" s="1"/>
      <c r="AA148" s="1"/>
      <c r="AB148" s="392"/>
      <c r="AD148" s="231"/>
      <c r="AM148" s="231"/>
      <c r="AW148" s="1"/>
      <c r="AX148" s="1"/>
      <c r="AY148" s="1"/>
      <c r="AZ148" s="392"/>
      <c r="BB148" s="231"/>
    </row>
    <row r="149" spans="2:54" x14ac:dyDescent="0.25">
      <c r="B149" s="231"/>
      <c r="I149" s="392"/>
      <c r="K149" s="231"/>
      <c r="X149" s="1"/>
      <c r="Y149" s="1"/>
      <c r="Z149" s="1"/>
      <c r="AA149" s="1"/>
      <c r="AB149" s="392"/>
      <c r="AD149" s="231"/>
      <c r="AM149" s="231"/>
      <c r="AW149" s="1"/>
      <c r="AX149" s="1"/>
      <c r="AY149" s="1"/>
      <c r="AZ149" s="392"/>
      <c r="BB149" s="231"/>
    </row>
    <row r="150" spans="2:54" x14ac:dyDescent="0.25">
      <c r="B150" s="231"/>
      <c r="I150" s="392"/>
      <c r="K150" s="231"/>
      <c r="X150" s="1"/>
      <c r="Y150" s="1"/>
      <c r="Z150" s="1"/>
      <c r="AA150" s="1"/>
      <c r="AB150" s="392"/>
      <c r="AD150" s="231"/>
      <c r="AM150" s="231"/>
      <c r="AW150" s="1"/>
      <c r="AX150" s="1"/>
      <c r="AY150" s="1"/>
      <c r="AZ150" s="392"/>
      <c r="BB150" s="231"/>
    </row>
    <row r="151" spans="2:54" x14ac:dyDescent="0.25">
      <c r="B151" s="231"/>
      <c r="I151" s="392"/>
      <c r="K151" s="231"/>
      <c r="X151" s="1"/>
      <c r="Y151" s="1"/>
      <c r="Z151" s="1"/>
      <c r="AA151" s="1"/>
      <c r="AB151" s="392"/>
      <c r="AD151" s="231"/>
      <c r="AM151" s="231"/>
      <c r="AW151" s="1"/>
      <c r="AX151" s="1"/>
      <c r="AY151" s="1"/>
      <c r="AZ151" s="392"/>
      <c r="BB151" s="231"/>
    </row>
    <row r="152" spans="2:54" x14ac:dyDescent="0.25">
      <c r="B152" s="231"/>
      <c r="I152" s="392"/>
      <c r="K152" s="231"/>
      <c r="X152" s="1"/>
      <c r="Y152" s="1"/>
      <c r="Z152" s="1"/>
      <c r="AA152" s="1"/>
      <c r="AB152" s="392"/>
      <c r="AD152" s="231"/>
      <c r="AM152" s="231"/>
      <c r="AW152" s="1"/>
      <c r="AX152" s="1"/>
      <c r="AY152" s="1"/>
      <c r="AZ152" s="392"/>
      <c r="BB152" s="231"/>
    </row>
    <row r="153" spans="2:54" x14ac:dyDescent="0.25">
      <c r="B153" s="231"/>
      <c r="I153" s="392"/>
      <c r="K153" s="231"/>
      <c r="X153" s="1"/>
      <c r="Y153" s="1"/>
      <c r="Z153" s="1"/>
      <c r="AA153" s="1"/>
      <c r="AB153" s="392"/>
      <c r="AD153" s="231"/>
      <c r="AM153" s="231"/>
      <c r="AW153" s="1"/>
      <c r="AX153" s="1"/>
      <c r="AY153" s="1"/>
      <c r="AZ153" s="392"/>
      <c r="BB153" s="231"/>
    </row>
    <row r="154" spans="2:54" x14ac:dyDescent="0.25">
      <c r="B154" s="231"/>
      <c r="I154" s="392"/>
      <c r="K154" s="231"/>
      <c r="X154" s="1"/>
      <c r="Y154" s="1"/>
      <c r="Z154" s="1"/>
      <c r="AA154" s="1"/>
      <c r="AB154" s="392"/>
      <c r="AD154" s="231"/>
      <c r="AM154" s="231"/>
      <c r="AW154" s="1"/>
      <c r="AX154" s="1"/>
      <c r="AY154" s="1"/>
      <c r="AZ154" s="392"/>
      <c r="BB154" s="231"/>
    </row>
    <row r="155" spans="2:54" x14ac:dyDescent="0.25">
      <c r="B155" s="231"/>
      <c r="I155" s="392"/>
      <c r="K155" s="231"/>
      <c r="X155" s="1"/>
      <c r="Y155" s="1"/>
      <c r="Z155" s="1"/>
      <c r="AA155" s="1"/>
      <c r="AB155" s="392"/>
      <c r="AD155" s="231"/>
      <c r="AM155" s="231"/>
      <c r="AW155" s="1"/>
      <c r="AX155" s="1"/>
      <c r="AY155" s="1"/>
      <c r="AZ155" s="392"/>
      <c r="BB155" s="231"/>
    </row>
    <row r="156" spans="2:54" x14ac:dyDescent="0.25">
      <c r="B156" s="231"/>
      <c r="I156" s="392"/>
      <c r="K156" s="231"/>
      <c r="X156" s="1"/>
      <c r="Y156" s="1"/>
      <c r="Z156" s="1"/>
      <c r="AA156" s="1"/>
      <c r="AB156" s="392"/>
      <c r="AD156" s="231"/>
      <c r="AM156" s="231"/>
      <c r="AW156" s="1"/>
      <c r="AX156" s="1"/>
      <c r="AY156" s="1"/>
      <c r="AZ156" s="392"/>
      <c r="BB156" s="231"/>
    </row>
    <row r="157" spans="2:54" x14ac:dyDescent="0.25">
      <c r="B157" s="231"/>
      <c r="I157" s="392"/>
      <c r="K157" s="231"/>
      <c r="X157" s="1"/>
      <c r="Y157" s="1"/>
      <c r="Z157" s="1"/>
      <c r="AA157" s="1"/>
      <c r="AB157" s="392"/>
      <c r="AD157" s="231"/>
      <c r="AM157" s="231"/>
      <c r="AW157" s="1"/>
      <c r="AX157" s="1"/>
      <c r="AY157" s="1"/>
      <c r="AZ157" s="392"/>
      <c r="BB157" s="231"/>
    </row>
    <row r="158" spans="2:54" x14ac:dyDescent="0.25">
      <c r="B158" s="231"/>
      <c r="I158" s="392"/>
      <c r="K158" s="231"/>
      <c r="X158" s="1"/>
      <c r="Y158" s="1"/>
      <c r="Z158" s="1"/>
      <c r="AA158" s="1"/>
      <c r="AB158" s="392"/>
      <c r="AD158" s="231"/>
      <c r="AM158" s="231"/>
      <c r="AW158" s="1"/>
      <c r="AX158" s="1"/>
      <c r="AY158" s="1"/>
      <c r="AZ158" s="392"/>
      <c r="BB158" s="231"/>
    </row>
    <row r="159" spans="2:54" x14ac:dyDescent="0.25">
      <c r="B159" s="231"/>
      <c r="I159" s="392"/>
      <c r="K159" s="231"/>
      <c r="X159" s="1"/>
      <c r="Y159" s="1"/>
      <c r="Z159" s="1"/>
      <c r="AA159" s="1"/>
      <c r="AB159" s="392"/>
      <c r="AD159" s="231"/>
      <c r="AM159" s="231"/>
      <c r="AW159" s="1"/>
      <c r="AX159" s="1"/>
      <c r="AY159" s="1"/>
      <c r="AZ159" s="392"/>
      <c r="BB159" s="231"/>
    </row>
    <row r="160" spans="2:54" x14ac:dyDescent="0.25">
      <c r="B160" s="231"/>
      <c r="I160" s="392"/>
      <c r="K160" s="231"/>
      <c r="X160" s="1"/>
      <c r="Y160" s="1"/>
      <c r="Z160" s="1"/>
      <c r="AA160" s="1"/>
      <c r="AB160" s="392"/>
      <c r="AD160" s="231"/>
      <c r="AM160" s="231"/>
      <c r="AW160" s="1"/>
      <c r="AX160" s="1"/>
      <c r="AY160" s="1"/>
      <c r="AZ160" s="392"/>
      <c r="BB160" s="231"/>
    </row>
    <row r="161" spans="2:54" x14ac:dyDescent="0.25">
      <c r="B161" s="231"/>
      <c r="I161" s="392"/>
      <c r="K161" s="231"/>
      <c r="X161" s="1"/>
      <c r="Y161" s="1"/>
      <c r="Z161" s="1"/>
      <c r="AA161" s="1"/>
      <c r="AB161" s="392"/>
      <c r="AD161" s="231"/>
      <c r="AM161" s="231"/>
      <c r="AW161" s="1"/>
      <c r="AX161" s="1"/>
      <c r="AY161" s="1"/>
      <c r="AZ161" s="392"/>
      <c r="BB161" s="231"/>
    </row>
    <row r="162" spans="2:54" x14ac:dyDescent="0.25">
      <c r="B162" s="231"/>
      <c r="I162" s="392"/>
      <c r="K162" s="231"/>
      <c r="X162" s="1"/>
      <c r="Y162" s="1"/>
      <c r="Z162" s="1"/>
      <c r="AA162" s="1"/>
      <c r="AB162" s="392"/>
      <c r="AD162" s="231"/>
      <c r="AM162" s="231"/>
      <c r="AW162" s="1"/>
      <c r="AX162" s="1"/>
      <c r="AY162" s="1"/>
      <c r="AZ162" s="392"/>
      <c r="BB162" s="231"/>
    </row>
    <row r="163" spans="2:54" x14ac:dyDescent="0.25">
      <c r="B163" s="231"/>
      <c r="I163" s="392"/>
      <c r="K163" s="231"/>
      <c r="X163" s="1"/>
      <c r="Y163" s="1"/>
      <c r="Z163" s="1"/>
      <c r="AA163" s="1"/>
      <c r="AB163" s="392"/>
      <c r="AD163" s="231"/>
      <c r="AM163" s="231"/>
      <c r="AW163" s="1"/>
      <c r="AX163" s="1"/>
      <c r="AY163" s="1"/>
      <c r="AZ163" s="392"/>
      <c r="BB163" s="231"/>
    </row>
    <row r="164" spans="2:54" x14ac:dyDescent="0.25">
      <c r="B164" s="231"/>
      <c r="I164" s="392"/>
      <c r="K164" s="231"/>
      <c r="X164" s="1"/>
      <c r="Y164" s="1"/>
      <c r="Z164" s="1"/>
      <c r="AA164" s="1"/>
      <c r="AB164" s="392"/>
      <c r="AD164" s="231"/>
      <c r="AM164" s="231"/>
      <c r="AW164" s="1"/>
      <c r="AX164" s="1"/>
      <c r="AY164" s="1"/>
      <c r="AZ164" s="392"/>
      <c r="BB164" s="231"/>
    </row>
    <row r="165" spans="2:54" x14ac:dyDescent="0.25">
      <c r="B165" s="231"/>
      <c r="I165" s="392"/>
      <c r="K165" s="231"/>
      <c r="X165" s="1"/>
      <c r="Y165" s="1"/>
      <c r="Z165" s="1"/>
      <c r="AA165" s="1"/>
      <c r="AB165" s="392"/>
      <c r="AD165" s="231"/>
      <c r="AM165" s="231"/>
      <c r="AW165" s="1"/>
      <c r="AX165" s="1"/>
      <c r="AY165" s="1"/>
      <c r="AZ165" s="392"/>
      <c r="BB165" s="231"/>
    </row>
    <row r="166" spans="2:54" x14ac:dyDescent="0.25">
      <c r="B166" s="231"/>
      <c r="I166" s="392"/>
      <c r="K166" s="231"/>
      <c r="X166" s="1"/>
      <c r="Y166" s="1"/>
      <c r="Z166" s="1"/>
      <c r="AA166" s="1"/>
      <c r="AB166" s="392"/>
      <c r="AD166" s="231"/>
      <c r="AM166" s="231"/>
      <c r="AW166" s="1"/>
      <c r="AX166" s="1"/>
      <c r="AY166" s="1"/>
      <c r="AZ166" s="392"/>
      <c r="BB166" s="231"/>
    </row>
    <row r="167" spans="2:54" x14ac:dyDescent="0.25">
      <c r="B167" s="231"/>
      <c r="I167" s="392"/>
      <c r="K167" s="231"/>
      <c r="X167" s="1"/>
      <c r="Y167" s="1"/>
      <c r="Z167" s="1"/>
      <c r="AA167" s="1"/>
      <c r="AB167" s="392"/>
      <c r="AD167" s="231"/>
      <c r="AM167" s="231"/>
      <c r="AW167" s="1"/>
      <c r="AX167" s="1"/>
      <c r="AY167" s="1"/>
      <c r="AZ167" s="392"/>
      <c r="BB167" s="231"/>
    </row>
    <row r="168" spans="2:54" x14ac:dyDescent="0.25">
      <c r="B168" s="231"/>
      <c r="I168" s="392"/>
      <c r="K168" s="231"/>
      <c r="X168" s="1"/>
      <c r="Y168" s="1"/>
      <c r="Z168" s="1"/>
      <c r="AA168" s="1"/>
      <c r="AB168" s="392"/>
      <c r="AD168" s="231"/>
      <c r="AM168" s="231"/>
      <c r="AW168" s="1"/>
      <c r="AX168" s="1"/>
      <c r="AY168" s="1"/>
      <c r="AZ168" s="392"/>
      <c r="BB168" s="231"/>
    </row>
    <row r="169" spans="2:54" x14ac:dyDescent="0.25">
      <c r="B169" s="231"/>
      <c r="I169" s="392"/>
      <c r="K169" s="231"/>
      <c r="X169" s="1"/>
      <c r="Y169" s="1"/>
      <c r="Z169" s="1"/>
      <c r="AA169" s="1"/>
      <c r="AB169" s="392"/>
      <c r="AD169" s="231"/>
      <c r="AM169" s="231"/>
      <c r="AW169" s="1"/>
      <c r="AX169" s="1"/>
      <c r="AY169" s="1"/>
      <c r="AZ169" s="392"/>
      <c r="BB169" s="231"/>
    </row>
    <row r="170" spans="2:54" x14ac:dyDescent="0.25">
      <c r="B170" s="231"/>
      <c r="I170" s="392"/>
      <c r="K170" s="231"/>
      <c r="X170" s="1"/>
      <c r="Y170" s="1"/>
      <c r="Z170" s="1"/>
      <c r="AA170" s="1"/>
      <c r="AB170" s="392"/>
      <c r="AD170" s="231"/>
      <c r="AM170" s="231"/>
      <c r="AW170" s="1"/>
      <c r="AX170" s="1"/>
      <c r="AY170" s="1"/>
      <c r="AZ170" s="392"/>
      <c r="BB170" s="231"/>
    </row>
    <row r="171" spans="2:54" x14ac:dyDescent="0.25">
      <c r="B171" s="231"/>
      <c r="I171" s="392"/>
      <c r="K171" s="231"/>
      <c r="X171" s="1"/>
      <c r="Y171" s="1"/>
      <c r="Z171" s="1"/>
      <c r="AA171" s="1"/>
      <c r="AB171" s="392"/>
      <c r="AD171" s="231"/>
      <c r="AM171" s="231"/>
      <c r="AW171" s="1"/>
      <c r="AX171" s="1"/>
      <c r="AY171" s="1"/>
      <c r="AZ171" s="392"/>
      <c r="BB171" s="231"/>
    </row>
    <row r="172" spans="2:54" x14ac:dyDescent="0.25">
      <c r="B172" s="231"/>
      <c r="I172" s="392"/>
      <c r="K172" s="231"/>
      <c r="X172" s="1"/>
      <c r="Y172" s="1"/>
      <c r="Z172" s="1"/>
      <c r="AA172" s="1"/>
      <c r="AB172" s="392"/>
      <c r="AD172" s="231"/>
      <c r="AM172" s="231"/>
      <c r="AW172" s="1"/>
      <c r="AX172" s="1"/>
      <c r="AY172" s="1"/>
      <c r="AZ172" s="392"/>
      <c r="BB172" s="231"/>
    </row>
    <row r="173" spans="2:54" x14ac:dyDescent="0.25">
      <c r="B173" s="231"/>
      <c r="I173" s="392"/>
      <c r="K173" s="231"/>
      <c r="X173" s="1"/>
      <c r="Y173" s="1"/>
      <c r="Z173" s="1"/>
      <c r="AA173" s="1"/>
      <c r="AB173" s="392"/>
      <c r="AD173" s="231"/>
      <c r="AM173" s="231"/>
      <c r="AW173" s="1"/>
      <c r="AX173" s="1"/>
      <c r="AY173" s="1"/>
      <c r="AZ173" s="392"/>
      <c r="BB173" s="231"/>
    </row>
    <row r="174" spans="2:54" x14ac:dyDescent="0.25">
      <c r="B174" s="231"/>
      <c r="I174" s="392"/>
      <c r="K174" s="231"/>
      <c r="X174" s="1"/>
      <c r="Y174" s="1"/>
      <c r="Z174" s="1"/>
      <c r="AA174" s="1"/>
      <c r="AB174" s="392"/>
      <c r="AD174" s="231"/>
      <c r="AM174" s="231"/>
      <c r="AW174" s="1"/>
      <c r="AX174" s="1"/>
      <c r="AY174" s="1"/>
      <c r="AZ174" s="392"/>
      <c r="BB174" s="231"/>
    </row>
    <row r="175" spans="2:54" x14ac:dyDescent="0.25">
      <c r="B175" s="231"/>
      <c r="I175" s="392"/>
      <c r="K175" s="231"/>
      <c r="X175" s="1"/>
      <c r="Y175" s="1"/>
      <c r="Z175" s="1"/>
      <c r="AA175" s="1"/>
      <c r="AB175" s="392"/>
      <c r="AD175" s="231"/>
      <c r="AM175" s="231"/>
      <c r="AW175" s="1"/>
      <c r="AX175" s="1"/>
      <c r="AY175" s="1"/>
      <c r="AZ175" s="392"/>
      <c r="BB175" s="231"/>
    </row>
    <row r="176" spans="2:54" x14ac:dyDescent="0.25">
      <c r="B176" s="231"/>
      <c r="I176" s="392"/>
      <c r="K176" s="231"/>
      <c r="X176" s="1"/>
      <c r="Y176" s="1"/>
      <c r="Z176" s="1"/>
      <c r="AA176" s="1"/>
      <c r="AB176" s="392"/>
      <c r="AD176" s="231"/>
      <c r="AM176" s="231"/>
      <c r="AW176" s="1"/>
      <c r="AX176" s="1"/>
      <c r="AY176" s="1"/>
      <c r="AZ176" s="392"/>
      <c r="BB176" s="231"/>
    </row>
    <row r="177" spans="2:54" x14ac:dyDescent="0.25">
      <c r="B177" s="231"/>
      <c r="I177" s="392"/>
      <c r="K177" s="231"/>
      <c r="X177" s="1"/>
      <c r="Y177" s="1"/>
      <c r="Z177" s="1"/>
      <c r="AA177" s="1"/>
      <c r="AB177" s="392"/>
      <c r="AD177" s="231"/>
      <c r="AM177" s="231"/>
      <c r="AW177" s="1"/>
      <c r="AX177" s="1"/>
      <c r="AY177" s="1"/>
      <c r="AZ177" s="392"/>
      <c r="BB177" s="231"/>
    </row>
    <row r="178" spans="2:54" x14ac:dyDescent="0.25">
      <c r="B178" s="231"/>
      <c r="I178" s="392"/>
      <c r="K178" s="231"/>
      <c r="X178" s="1"/>
      <c r="Y178" s="1"/>
      <c r="Z178" s="1"/>
      <c r="AA178" s="1"/>
      <c r="AB178" s="392"/>
      <c r="AD178" s="231"/>
      <c r="AM178" s="231"/>
      <c r="AW178" s="1"/>
      <c r="AX178" s="1"/>
      <c r="AY178" s="1"/>
      <c r="AZ178" s="392"/>
      <c r="BB178" s="231"/>
    </row>
    <row r="179" spans="2:54" x14ac:dyDescent="0.25">
      <c r="B179" s="231"/>
      <c r="I179" s="392"/>
      <c r="K179" s="231"/>
      <c r="X179" s="1"/>
      <c r="Y179" s="1"/>
      <c r="Z179" s="1"/>
      <c r="AA179" s="1"/>
      <c r="AB179" s="392"/>
      <c r="AD179" s="231"/>
      <c r="AM179" s="231"/>
      <c r="AW179" s="1"/>
      <c r="AX179" s="1"/>
      <c r="AY179" s="1"/>
      <c r="AZ179" s="392"/>
      <c r="BB179" s="231"/>
    </row>
    <row r="180" spans="2:54" x14ac:dyDescent="0.25">
      <c r="B180" s="231"/>
      <c r="I180" s="392"/>
      <c r="K180" s="231"/>
      <c r="X180" s="1"/>
      <c r="Y180" s="1"/>
      <c r="Z180" s="1"/>
      <c r="AA180" s="1"/>
      <c r="AB180" s="392"/>
      <c r="AD180" s="231"/>
      <c r="AM180" s="231"/>
      <c r="AW180" s="1"/>
      <c r="AX180" s="1"/>
      <c r="AY180" s="1"/>
      <c r="AZ180" s="392"/>
      <c r="BB180" s="231"/>
    </row>
    <row r="181" spans="2:54" x14ac:dyDescent="0.25">
      <c r="B181" s="231"/>
      <c r="I181" s="392"/>
      <c r="K181" s="231"/>
      <c r="X181" s="1"/>
      <c r="Y181" s="1"/>
      <c r="Z181" s="1"/>
      <c r="AA181" s="1"/>
      <c r="AB181" s="392"/>
      <c r="AD181" s="231"/>
      <c r="AM181" s="231"/>
      <c r="AW181" s="1"/>
      <c r="AX181" s="1"/>
      <c r="AY181" s="1"/>
      <c r="AZ181" s="392"/>
      <c r="BB181" s="231"/>
    </row>
    <row r="182" spans="2:54" x14ac:dyDescent="0.25">
      <c r="B182" s="231"/>
      <c r="I182" s="392"/>
      <c r="K182" s="231"/>
      <c r="X182" s="1"/>
      <c r="Y182" s="1"/>
      <c r="Z182" s="1"/>
      <c r="AA182" s="1"/>
      <c r="AB182" s="392"/>
      <c r="AD182" s="231"/>
      <c r="AM182" s="231"/>
      <c r="AW182" s="1"/>
      <c r="AX182" s="1"/>
      <c r="AY182" s="1"/>
      <c r="AZ182" s="392"/>
      <c r="BB182" s="231"/>
    </row>
    <row r="183" spans="2:54" x14ac:dyDescent="0.25">
      <c r="B183" s="231"/>
      <c r="I183" s="392"/>
      <c r="K183" s="231"/>
      <c r="X183" s="1"/>
      <c r="Y183" s="1"/>
      <c r="Z183" s="1"/>
      <c r="AA183" s="1"/>
      <c r="AB183" s="392"/>
      <c r="AD183" s="231"/>
      <c r="AM183" s="231"/>
      <c r="AW183" s="1"/>
      <c r="AX183" s="1"/>
      <c r="AY183" s="1"/>
      <c r="AZ183" s="392"/>
      <c r="BB183" s="231"/>
    </row>
    <row r="184" spans="2:54" x14ac:dyDescent="0.25">
      <c r="B184" s="231"/>
      <c r="I184" s="392"/>
      <c r="K184" s="231"/>
      <c r="X184" s="1"/>
      <c r="Y184" s="1"/>
      <c r="Z184" s="1"/>
      <c r="AA184" s="1"/>
      <c r="AB184" s="392"/>
      <c r="AD184" s="231"/>
      <c r="AM184" s="231"/>
      <c r="AW184" s="1"/>
      <c r="AX184" s="1"/>
      <c r="AY184" s="1"/>
      <c r="AZ184" s="392"/>
      <c r="BB184" s="231"/>
    </row>
    <row r="185" spans="2:54" x14ac:dyDescent="0.25">
      <c r="B185" s="231"/>
      <c r="I185" s="392"/>
      <c r="K185" s="231"/>
      <c r="X185" s="1"/>
      <c r="Y185" s="1"/>
      <c r="Z185" s="1"/>
      <c r="AA185" s="1"/>
      <c r="AB185" s="392"/>
      <c r="AD185" s="231"/>
      <c r="AM185" s="231"/>
      <c r="AW185" s="1"/>
      <c r="AX185" s="1"/>
      <c r="AY185" s="1"/>
      <c r="AZ185" s="392"/>
      <c r="BB185" s="231"/>
    </row>
    <row r="186" spans="2:54" x14ac:dyDescent="0.25">
      <c r="B186" s="231"/>
      <c r="I186" s="392"/>
      <c r="K186" s="231"/>
      <c r="X186" s="1"/>
      <c r="Y186" s="1"/>
      <c r="Z186" s="1"/>
      <c r="AA186" s="1"/>
      <c r="AB186" s="392"/>
      <c r="AD186" s="231"/>
      <c r="AM186" s="231"/>
      <c r="AW186" s="1"/>
      <c r="AX186" s="1"/>
      <c r="AY186" s="1"/>
      <c r="AZ186" s="392"/>
      <c r="BB186" s="231"/>
    </row>
    <row r="187" spans="2:54" x14ac:dyDescent="0.25">
      <c r="B187" s="231"/>
      <c r="I187" s="392"/>
      <c r="K187" s="231"/>
      <c r="X187" s="1"/>
      <c r="Y187" s="1"/>
      <c r="Z187" s="1"/>
      <c r="AA187" s="1"/>
      <c r="AB187" s="392"/>
      <c r="AD187" s="231"/>
      <c r="AM187" s="231"/>
      <c r="AW187" s="1"/>
      <c r="AX187" s="1"/>
      <c r="AY187" s="1"/>
      <c r="AZ187" s="392"/>
      <c r="BB187" s="231"/>
    </row>
    <row r="188" spans="2:54" x14ac:dyDescent="0.25">
      <c r="B188" s="231"/>
      <c r="I188" s="392"/>
      <c r="K188" s="231"/>
      <c r="X188" s="1"/>
      <c r="Y188" s="1"/>
      <c r="Z188" s="1"/>
      <c r="AA188" s="1"/>
      <c r="AB188" s="392"/>
      <c r="AD188" s="231"/>
      <c r="AM188" s="231"/>
      <c r="AW188" s="1"/>
      <c r="AX188" s="1"/>
      <c r="AY188" s="1"/>
      <c r="AZ188" s="392"/>
      <c r="BB188" s="231"/>
    </row>
    <row r="189" spans="2:54" x14ac:dyDescent="0.25">
      <c r="B189" s="231"/>
      <c r="I189" s="392"/>
      <c r="K189" s="231"/>
      <c r="X189" s="1"/>
      <c r="Y189" s="1"/>
      <c r="Z189" s="1"/>
      <c r="AA189" s="1"/>
      <c r="AB189" s="392"/>
      <c r="AD189" s="231"/>
      <c r="AM189" s="231"/>
      <c r="AW189" s="1"/>
      <c r="AX189" s="1"/>
      <c r="AY189" s="1"/>
      <c r="AZ189" s="392"/>
      <c r="BB189" s="231"/>
    </row>
    <row r="190" spans="2:54" x14ac:dyDescent="0.25">
      <c r="B190" s="231"/>
      <c r="I190" s="392"/>
      <c r="K190" s="231"/>
      <c r="X190" s="1"/>
      <c r="Y190" s="1"/>
      <c r="Z190" s="1"/>
      <c r="AA190" s="1"/>
      <c r="AB190" s="392"/>
      <c r="AD190" s="231"/>
      <c r="AM190" s="231"/>
      <c r="AW190" s="1"/>
      <c r="AX190" s="1"/>
      <c r="AY190" s="1"/>
      <c r="AZ190" s="392"/>
      <c r="BB190" s="231"/>
    </row>
    <row r="191" spans="2:54" x14ac:dyDescent="0.25">
      <c r="B191" s="231"/>
      <c r="I191" s="392"/>
      <c r="K191" s="231"/>
      <c r="X191" s="1"/>
      <c r="Y191" s="1"/>
      <c r="Z191" s="1"/>
      <c r="AA191" s="1"/>
      <c r="AB191" s="392"/>
      <c r="AD191" s="231"/>
      <c r="AM191" s="231"/>
      <c r="AW191" s="1"/>
      <c r="AX191" s="1"/>
      <c r="AY191" s="1"/>
      <c r="AZ191" s="392"/>
      <c r="BB191" s="231"/>
    </row>
    <row r="192" spans="2:54" x14ac:dyDescent="0.25">
      <c r="B192" s="231"/>
      <c r="I192" s="392"/>
      <c r="K192" s="231"/>
      <c r="X192" s="1"/>
      <c r="Y192" s="1"/>
      <c r="Z192" s="1"/>
      <c r="AA192" s="1"/>
      <c r="AB192" s="392"/>
      <c r="AD192" s="231"/>
      <c r="AM192" s="231"/>
      <c r="AW192" s="1"/>
      <c r="AX192" s="1"/>
      <c r="AY192" s="1"/>
      <c r="AZ192" s="392"/>
      <c r="BB192" s="231"/>
    </row>
    <row r="193" spans="2:54" x14ac:dyDescent="0.25">
      <c r="B193" s="231"/>
      <c r="I193" s="392"/>
      <c r="K193" s="231"/>
      <c r="X193" s="1"/>
      <c r="Y193" s="1"/>
      <c r="Z193" s="1"/>
      <c r="AA193" s="1"/>
      <c r="AB193" s="392"/>
      <c r="AD193" s="231"/>
      <c r="AM193" s="231"/>
      <c r="AW193" s="1"/>
      <c r="AX193" s="1"/>
      <c r="AY193" s="1"/>
      <c r="AZ193" s="392"/>
      <c r="BB193" s="231"/>
    </row>
    <row r="194" spans="2:54" x14ac:dyDescent="0.25">
      <c r="B194" s="231"/>
      <c r="I194" s="392"/>
      <c r="K194" s="231"/>
      <c r="X194" s="1"/>
      <c r="Y194" s="1"/>
      <c r="Z194" s="1"/>
      <c r="AA194" s="1"/>
      <c r="AB194" s="392"/>
      <c r="AD194" s="231"/>
      <c r="AM194" s="231"/>
      <c r="AW194" s="1"/>
      <c r="AX194" s="1"/>
      <c r="AY194" s="1"/>
      <c r="AZ194" s="392"/>
      <c r="BB194" s="231"/>
    </row>
    <row r="195" spans="2:54" x14ac:dyDescent="0.25">
      <c r="B195" s="231"/>
      <c r="I195" s="392"/>
      <c r="K195" s="231"/>
      <c r="X195" s="1"/>
      <c r="Y195" s="1"/>
      <c r="Z195" s="1"/>
      <c r="AA195" s="1"/>
      <c r="AB195" s="392"/>
      <c r="AD195" s="231"/>
      <c r="AM195" s="231"/>
      <c r="AW195" s="1"/>
      <c r="AX195" s="1"/>
      <c r="AY195" s="1"/>
      <c r="AZ195" s="392"/>
      <c r="BB195" s="231"/>
    </row>
    <row r="196" spans="2:54" x14ac:dyDescent="0.25">
      <c r="B196" s="231"/>
      <c r="I196" s="392"/>
      <c r="K196" s="231"/>
      <c r="X196" s="1"/>
      <c r="Y196" s="1"/>
      <c r="Z196" s="1"/>
      <c r="AA196" s="1"/>
      <c r="AB196" s="392"/>
      <c r="AD196" s="231"/>
      <c r="AM196" s="231"/>
      <c r="AW196" s="1"/>
      <c r="AX196" s="1"/>
      <c r="AY196" s="1"/>
      <c r="AZ196" s="392"/>
      <c r="BB196" s="231"/>
    </row>
    <row r="197" spans="2:54" x14ac:dyDescent="0.25">
      <c r="B197" s="231"/>
      <c r="I197" s="392"/>
      <c r="K197" s="231"/>
      <c r="X197" s="1"/>
      <c r="Y197" s="1"/>
      <c r="Z197" s="1"/>
      <c r="AA197" s="1"/>
      <c r="AB197" s="392"/>
      <c r="AD197" s="231"/>
      <c r="AM197" s="231"/>
      <c r="AW197" s="1"/>
      <c r="AX197" s="1"/>
      <c r="AY197" s="1"/>
      <c r="AZ197" s="392"/>
      <c r="BB197" s="231"/>
    </row>
    <row r="198" spans="2:54" x14ac:dyDescent="0.25">
      <c r="B198" s="231"/>
      <c r="I198" s="392"/>
      <c r="K198" s="231"/>
      <c r="X198" s="1"/>
      <c r="Y198" s="1"/>
      <c r="Z198" s="1"/>
      <c r="AA198" s="1"/>
      <c r="AB198" s="392"/>
      <c r="AD198" s="231"/>
      <c r="AM198" s="231"/>
      <c r="AW198" s="1"/>
      <c r="AX198" s="1"/>
      <c r="AY198" s="1"/>
      <c r="AZ198" s="392"/>
      <c r="BB198" s="231"/>
    </row>
    <row r="199" spans="2:54" x14ac:dyDescent="0.25">
      <c r="B199" s="231"/>
      <c r="I199" s="392"/>
      <c r="K199" s="231"/>
      <c r="X199" s="1"/>
      <c r="Y199" s="1"/>
      <c r="Z199" s="1"/>
      <c r="AA199" s="1"/>
      <c r="AB199" s="392"/>
      <c r="AD199" s="231"/>
      <c r="AM199" s="231"/>
      <c r="AW199" s="1"/>
      <c r="AX199" s="1"/>
      <c r="AY199" s="1"/>
      <c r="AZ199" s="392"/>
      <c r="BB199" s="231"/>
    </row>
    <row r="200" spans="2:54" x14ac:dyDescent="0.25">
      <c r="B200" s="231"/>
      <c r="I200" s="392"/>
      <c r="K200" s="231"/>
      <c r="X200" s="1"/>
      <c r="Y200" s="1"/>
      <c r="Z200" s="1"/>
      <c r="AA200" s="1"/>
      <c r="AB200" s="392"/>
      <c r="AD200" s="231"/>
      <c r="AM200" s="231"/>
      <c r="AW200" s="1"/>
      <c r="AX200" s="1"/>
      <c r="AY200" s="1"/>
      <c r="AZ200" s="392"/>
      <c r="BB200" s="231"/>
    </row>
    <row r="201" spans="2:54" x14ac:dyDescent="0.25">
      <c r="B201" s="231"/>
      <c r="I201" s="392"/>
      <c r="K201" s="231"/>
      <c r="X201" s="1"/>
      <c r="Y201" s="1"/>
      <c r="Z201" s="1"/>
      <c r="AA201" s="1"/>
      <c r="AB201" s="392"/>
      <c r="AD201" s="231"/>
      <c r="AM201" s="231"/>
      <c r="AW201" s="1"/>
      <c r="AX201" s="1"/>
      <c r="AY201" s="1"/>
      <c r="AZ201" s="392"/>
      <c r="BB201" s="231"/>
    </row>
    <row r="202" spans="2:54" x14ac:dyDescent="0.25">
      <c r="B202" s="231"/>
      <c r="I202" s="392"/>
      <c r="K202" s="231"/>
      <c r="X202" s="1"/>
      <c r="Y202" s="1"/>
      <c r="Z202" s="1"/>
      <c r="AA202" s="1"/>
      <c r="AB202" s="392"/>
      <c r="AD202" s="231"/>
      <c r="AM202" s="231"/>
      <c r="AW202" s="1"/>
      <c r="AX202" s="1"/>
      <c r="AY202" s="1"/>
      <c r="AZ202" s="392"/>
      <c r="BB202" s="231"/>
    </row>
    <row r="203" spans="2:54" x14ac:dyDescent="0.25">
      <c r="B203" s="231"/>
      <c r="I203" s="392"/>
      <c r="K203" s="231"/>
      <c r="X203" s="1"/>
      <c r="Y203" s="1"/>
      <c r="Z203" s="1"/>
      <c r="AA203" s="1"/>
      <c r="AB203" s="392"/>
      <c r="AD203" s="231"/>
      <c r="AM203" s="231"/>
      <c r="AW203" s="1"/>
      <c r="AX203" s="1"/>
      <c r="AY203" s="1"/>
      <c r="AZ203" s="392"/>
      <c r="BB203" s="231"/>
    </row>
    <row r="204" spans="2:54" x14ac:dyDescent="0.25">
      <c r="B204" s="231"/>
      <c r="I204" s="392"/>
      <c r="K204" s="231"/>
      <c r="X204" s="1"/>
      <c r="Y204" s="1"/>
      <c r="Z204" s="1"/>
      <c r="AA204" s="1"/>
      <c r="AB204" s="392"/>
      <c r="AD204" s="231"/>
      <c r="AM204" s="231"/>
      <c r="AW204" s="1"/>
      <c r="AX204" s="1"/>
      <c r="AY204" s="1"/>
      <c r="AZ204" s="392"/>
      <c r="BB204" s="231"/>
    </row>
    <row r="205" spans="2:54" x14ac:dyDescent="0.25">
      <c r="B205" s="231"/>
      <c r="I205" s="392"/>
      <c r="K205" s="231"/>
      <c r="X205" s="1"/>
      <c r="Y205" s="1"/>
      <c r="Z205" s="1"/>
      <c r="AA205" s="1"/>
      <c r="AB205" s="392"/>
      <c r="AD205" s="231"/>
      <c r="AM205" s="231"/>
      <c r="AW205" s="1"/>
      <c r="AX205" s="1"/>
      <c r="AY205" s="1"/>
      <c r="AZ205" s="392"/>
      <c r="BB205" s="231"/>
    </row>
    <row r="206" spans="2:54" x14ac:dyDescent="0.25">
      <c r="B206" s="231"/>
      <c r="I206" s="392"/>
      <c r="K206" s="231"/>
      <c r="X206" s="1"/>
      <c r="Y206" s="1"/>
      <c r="Z206" s="1"/>
      <c r="AA206" s="1"/>
      <c r="AB206" s="392"/>
      <c r="AD206" s="231"/>
      <c r="AM206" s="231"/>
      <c r="AW206" s="1"/>
      <c r="AX206" s="1"/>
      <c r="AY206" s="1"/>
      <c r="AZ206" s="392"/>
      <c r="BB206" s="231"/>
    </row>
    <row r="207" spans="2:54" x14ac:dyDescent="0.25">
      <c r="B207" s="231"/>
      <c r="I207" s="392"/>
      <c r="K207" s="231"/>
      <c r="X207" s="1"/>
      <c r="Y207" s="1"/>
      <c r="Z207" s="1"/>
      <c r="AA207" s="1"/>
      <c r="AB207" s="392"/>
      <c r="AD207" s="231"/>
      <c r="AM207" s="231"/>
      <c r="AW207" s="1"/>
      <c r="AX207" s="1"/>
      <c r="AY207" s="1"/>
      <c r="AZ207" s="392"/>
      <c r="BB207" s="231"/>
    </row>
    <row r="208" spans="2:54" x14ac:dyDescent="0.25">
      <c r="B208" s="231"/>
      <c r="I208" s="392"/>
      <c r="K208" s="231"/>
      <c r="X208" s="1"/>
      <c r="Y208" s="1"/>
      <c r="Z208" s="1"/>
      <c r="AA208" s="1"/>
      <c r="AB208" s="392"/>
      <c r="AD208" s="231"/>
      <c r="AM208" s="231"/>
      <c r="AW208" s="1"/>
      <c r="AX208" s="1"/>
      <c r="AY208" s="1"/>
      <c r="AZ208" s="392"/>
      <c r="BB208" s="231"/>
    </row>
    <row r="209" spans="2:54" x14ac:dyDescent="0.25">
      <c r="B209" s="231"/>
      <c r="I209" s="392"/>
      <c r="K209" s="231"/>
      <c r="X209" s="1"/>
      <c r="Y209" s="1"/>
      <c r="Z209" s="1"/>
      <c r="AA209" s="1"/>
      <c r="AB209" s="392"/>
      <c r="AD209" s="231"/>
      <c r="AM209" s="231"/>
      <c r="AW209" s="1"/>
      <c r="AX209" s="1"/>
      <c r="AY209" s="1"/>
      <c r="AZ209" s="392"/>
      <c r="BB209" s="231"/>
    </row>
    <row r="210" spans="2:54" x14ac:dyDescent="0.25">
      <c r="B210" s="231"/>
      <c r="I210" s="392"/>
      <c r="K210" s="231"/>
      <c r="X210" s="1"/>
      <c r="Y210" s="1"/>
      <c r="Z210" s="1"/>
      <c r="AA210" s="1"/>
      <c r="AB210" s="392"/>
      <c r="AD210" s="231"/>
      <c r="AM210" s="231"/>
      <c r="AW210" s="1"/>
      <c r="AX210" s="1"/>
      <c r="AY210" s="1"/>
      <c r="AZ210" s="392"/>
      <c r="BB210" s="231"/>
    </row>
    <row r="211" spans="2:54" x14ac:dyDescent="0.25">
      <c r="B211" s="231"/>
      <c r="I211" s="392"/>
      <c r="K211" s="231"/>
      <c r="X211" s="1"/>
      <c r="Y211" s="1"/>
      <c r="Z211" s="1"/>
      <c r="AA211" s="1"/>
      <c r="AB211" s="392"/>
      <c r="AD211" s="231"/>
      <c r="AM211" s="231"/>
      <c r="AW211" s="1"/>
      <c r="AX211" s="1"/>
      <c r="AY211" s="1"/>
      <c r="AZ211" s="392"/>
      <c r="BB211" s="231"/>
    </row>
    <row r="212" spans="2:54" x14ac:dyDescent="0.25">
      <c r="B212" s="231"/>
      <c r="I212" s="392"/>
      <c r="K212" s="231"/>
      <c r="X212" s="1"/>
      <c r="Y212" s="1"/>
      <c r="Z212" s="1"/>
      <c r="AA212" s="1"/>
      <c r="AB212" s="392"/>
      <c r="AD212" s="231"/>
      <c r="AM212" s="231"/>
      <c r="AW212" s="1"/>
      <c r="AX212" s="1"/>
      <c r="AY212" s="1"/>
      <c r="AZ212" s="392"/>
      <c r="BB212" s="231"/>
    </row>
    <row r="213" spans="2:54" x14ac:dyDescent="0.25">
      <c r="B213" s="231"/>
      <c r="I213" s="392"/>
      <c r="K213" s="231"/>
      <c r="X213" s="1"/>
      <c r="Y213" s="1"/>
      <c r="Z213" s="1"/>
      <c r="AA213" s="1"/>
      <c r="AB213" s="392"/>
      <c r="AD213" s="231"/>
      <c r="AM213" s="231"/>
      <c r="AW213" s="1"/>
      <c r="AX213" s="1"/>
      <c r="AY213" s="1"/>
      <c r="AZ213" s="392"/>
      <c r="BB213" s="231"/>
    </row>
    <row r="214" spans="2:54" x14ac:dyDescent="0.25">
      <c r="B214" s="231"/>
      <c r="I214" s="392"/>
      <c r="K214" s="231"/>
      <c r="X214" s="1"/>
      <c r="Y214" s="1"/>
      <c r="Z214" s="1"/>
      <c r="AA214" s="1"/>
      <c r="AB214" s="392"/>
      <c r="AD214" s="231"/>
      <c r="AM214" s="231"/>
      <c r="AW214" s="1"/>
      <c r="AX214" s="1"/>
      <c r="AY214" s="1"/>
      <c r="AZ214" s="392"/>
      <c r="BB214" s="231"/>
    </row>
    <row r="215" spans="2:54" x14ac:dyDescent="0.25">
      <c r="B215" s="231"/>
      <c r="I215" s="392"/>
      <c r="K215" s="231"/>
      <c r="X215" s="1"/>
      <c r="Y215" s="1"/>
      <c r="Z215" s="1"/>
      <c r="AA215" s="1"/>
      <c r="AB215" s="392"/>
      <c r="AD215" s="231"/>
      <c r="AM215" s="231"/>
      <c r="AW215" s="1"/>
      <c r="AX215" s="1"/>
      <c r="AY215" s="1"/>
      <c r="AZ215" s="392"/>
      <c r="BB215" s="231"/>
    </row>
    <row r="216" spans="2:54" x14ac:dyDescent="0.25">
      <c r="B216" s="231"/>
      <c r="I216" s="392"/>
      <c r="K216" s="231"/>
      <c r="X216" s="1"/>
      <c r="Y216" s="1"/>
      <c r="Z216" s="1"/>
      <c r="AA216" s="1"/>
      <c r="AB216" s="392"/>
      <c r="AD216" s="231"/>
      <c r="AM216" s="231"/>
      <c r="AW216" s="1"/>
      <c r="AX216" s="1"/>
      <c r="AY216" s="1"/>
      <c r="AZ216" s="392"/>
      <c r="BB216" s="231"/>
    </row>
    <row r="217" spans="2:54" x14ac:dyDescent="0.25">
      <c r="B217" s="231"/>
      <c r="I217" s="392"/>
      <c r="K217" s="231"/>
      <c r="X217" s="1"/>
      <c r="Y217" s="1"/>
      <c r="Z217" s="1"/>
      <c r="AA217" s="1"/>
      <c r="AB217" s="392"/>
      <c r="AD217" s="231"/>
      <c r="AM217" s="231"/>
      <c r="AW217" s="1"/>
      <c r="AX217" s="1"/>
      <c r="AY217" s="1"/>
      <c r="AZ217" s="392"/>
      <c r="BB217" s="231"/>
    </row>
    <row r="218" spans="2:54" x14ac:dyDescent="0.25">
      <c r="B218" s="231"/>
      <c r="I218" s="392"/>
      <c r="K218" s="231"/>
      <c r="X218" s="1"/>
      <c r="Y218" s="1"/>
      <c r="Z218" s="1"/>
      <c r="AA218" s="1"/>
      <c r="AB218" s="392"/>
      <c r="AD218" s="231"/>
      <c r="AM218" s="231"/>
      <c r="AW218" s="1"/>
      <c r="AX218" s="1"/>
      <c r="AY218" s="1"/>
      <c r="AZ218" s="392"/>
      <c r="BB218" s="231"/>
    </row>
    <row r="219" spans="2:54" x14ac:dyDescent="0.25">
      <c r="B219" s="231"/>
      <c r="I219" s="392"/>
      <c r="K219" s="231"/>
      <c r="X219" s="1"/>
      <c r="Y219" s="1"/>
      <c r="Z219" s="1"/>
      <c r="AA219" s="1"/>
      <c r="AB219" s="392"/>
      <c r="AD219" s="231"/>
      <c r="AM219" s="231"/>
      <c r="AW219" s="1"/>
      <c r="AX219" s="1"/>
      <c r="AY219" s="1"/>
      <c r="AZ219" s="392"/>
      <c r="BB219" s="231"/>
    </row>
    <row r="220" spans="2:54" x14ac:dyDescent="0.25">
      <c r="B220" s="231"/>
      <c r="I220" s="392"/>
      <c r="K220" s="231"/>
      <c r="X220" s="1"/>
      <c r="Y220" s="1"/>
      <c r="Z220" s="1"/>
      <c r="AA220" s="1"/>
      <c r="AB220" s="392"/>
      <c r="AD220" s="231"/>
      <c r="AM220" s="231"/>
      <c r="AW220" s="1"/>
      <c r="AX220" s="1"/>
      <c r="AY220" s="1"/>
      <c r="AZ220" s="392"/>
      <c r="BB220" s="231"/>
    </row>
    <row r="221" spans="2:54" x14ac:dyDescent="0.25">
      <c r="B221" s="231"/>
      <c r="I221" s="392"/>
      <c r="K221" s="231"/>
      <c r="X221" s="1"/>
      <c r="Y221" s="1"/>
      <c r="Z221" s="1"/>
      <c r="AA221" s="1"/>
      <c r="AB221" s="392"/>
      <c r="AD221" s="231"/>
      <c r="AM221" s="231"/>
      <c r="AW221" s="1"/>
      <c r="AX221" s="1"/>
      <c r="AY221" s="1"/>
      <c r="AZ221" s="392"/>
      <c r="BB221" s="231"/>
    </row>
    <row r="222" spans="2:54" x14ac:dyDescent="0.25">
      <c r="B222" s="231"/>
      <c r="I222" s="392"/>
      <c r="K222" s="231"/>
      <c r="X222" s="1"/>
      <c r="Y222" s="1"/>
      <c r="Z222" s="1"/>
      <c r="AA222" s="1"/>
      <c r="AB222" s="392"/>
      <c r="AD222" s="231"/>
      <c r="AM222" s="231"/>
      <c r="AW222" s="1"/>
      <c r="AX222" s="1"/>
      <c r="AY222" s="1"/>
      <c r="AZ222" s="392"/>
      <c r="BB222" s="231"/>
    </row>
    <row r="223" spans="2:54" x14ac:dyDescent="0.25">
      <c r="B223" s="231"/>
      <c r="I223" s="392"/>
      <c r="K223" s="231"/>
      <c r="X223" s="1"/>
      <c r="Y223" s="1"/>
      <c r="Z223" s="1"/>
      <c r="AA223" s="1"/>
      <c r="AB223" s="392"/>
      <c r="AD223" s="231"/>
      <c r="AM223" s="231"/>
      <c r="AW223" s="1"/>
      <c r="AX223" s="1"/>
      <c r="AY223" s="1"/>
      <c r="AZ223" s="392"/>
      <c r="BB223" s="231"/>
    </row>
    <row r="224" spans="2:54" x14ac:dyDescent="0.25">
      <c r="B224" s="231"/>
      <c r="I224" s="392"/>
      <c r="K224" s="231"/>
      <c r="X224" s="1"/>
      <c r="Y224" s="1"/>
      <c r="Z224" s="1"/>
      <c r="AA224" s="1"/>
      <c r="AB224" s="392"/>
      <c r="AD224" s="231"/>
      <c r="AM224" s="231"/>
      <c r="AW224" s="1"/>
      <c r="AX224" s="1"/>
      <c r="AY224" s="1"/>
      <c r="AZ224" s="392"/>
      <c r="BB224" s="231"/>
    </row>
    <row r="225" spans="2:54" x14ac:dyDescent="0.25">
      <c r="B225" s="231"/>
      <c r="I225" s="392"/>
      <c r="K225" s="231"/>
      <c r="X225" s="1"/>
      <c r="Y225" s="1"/>
      <c r="Z225" s="1"/>
      <c r="AA225" s="1"/>
      <c r="AB225" s="392"/>
      <c r="AD225" s="231"/>
      <c r="AM225" s="231"/>
      <c r="AW225" s="1"/>
      <c r="AX225" s="1"/>
      <c r="AY225" s="1"/>
      <c r="AZ225" s="392"/>
      <c r="BB225" s="231"/>
    </row>
    <row r="226" spans="2:54" x14ac:dyDescent="0.25">
      <c r="B226" s="231"/>
      <c r="I226" s="392"/>
      <c r="K226" s="231"/>
      <c r="X226" s="1"/>
      <c r="Y226" s="1"/>
      <c r="Z226" s="1"/>
      <c r="AA226" s="1"/>
      <c r="AB226" s="392"/>
      <c r="AD226" s="231"/>
      <c r="AM226" s="231"/>
      <c r="AW226" s="1"/>
      <c r="AX226" s="1"/>
      <c r="AY226" s="1"/>
      <c r="AZ226" s="392"/>
      <c r="BB226" s="231"/>
    </row>
    <row r="227" spans="2:54" x14ac:dyDescent="0.25">
      <c r="B227" s="231"/>
      <c r="I227" s="392"/>
      <c r="K227" s="231"/>
      <c r="X227" s="1"/>
      <c r="Y227" s="1"/>
      <c r="Z227" s="1"/>
      <c r="AA227" s="1"/>
      <c r="AB227" s="392"/>
      <c r="AD227" s="231"/>
      <c r="AM227" s="231"/>
      <c r="AW227" s="1"/>
      <c r="AX227" s="1"/>
      <c r="AY227" s="1"/>
      <c r="AZ227" s="392"/>
      <c r="BB227" s="231"/>
    </row>
    <row r="228" spans="2:54" x14ac:dyDescent="0.25">
      <c r="B228" s="231"/>
      <c r="I228" s="392"/>
      <c r="K228" s="231"/>
      <c r="X228" s="1"/>
      <c r="Y228" s="1"/>
      <c r="Z228" s="1"/>
      <c r="AA228" s="1"/>
      <c r="AB228" s="392"/>
      <c r="AD228" s="231"/>
      <c r="AM228" s="231"/>
      <c r="AW228" s="1"/>
      <c r="AX228" s="1"/>
      <c r="AY228" s="1"/>
      <c r="AZ228" s="392"/>
      <c r="BB228" s="231"/>
    </row>
    <row r="229" spans="2:54" x14ac:dyDescent="0.25">
      <c r="B229" s="231"/>
      <c r="I229" s="392"/>
      <c r="K229" s="231"/>
      <c r="X229" s="1"/>
      <c r="Y229" s="1"/>
      <c r="Z229" s="1"/>
      <c r="AA229" s="1"/>
      <c r="AB229" s="392"/>
      <c r="AD229" s="231"/>
      <c r="AM229" s="231"/>
      <c r="AW229" s="1"/>
      <c r="AX229" s="1"/>
      <c r="AY229" s="1"/>
      <c r="AZ229" s="392"/>
      <c r="BB229" s="231"/>
    </row>
    <row r="230" spans="2:54" x14ac:dyDescent="0.25">
      <c r="B230" s="231"/>
      <c r="I230" s="392"/>
      <c r="K230" s="231"/>
      <c r="X230" s="1"/>
      <c r="Y230" s="1"/>
      <c r="Z230" s="1"/>
      <c r="AA230" s="1"/>
      <c r="AB230" s="392"/>
      <c r="AD230" s="231"/>
      <c r="AM230" s="231"/>
      <c r="AW230" s="1"/>
      <c r="AX230" s="1"/>
      <c r="AY230" s="1"/>
      <c r="AZ230" s="392"/>
      <c r="BB230" s="231"/>
    </row>
    <row r="231" spans="2:54" x14ac:dyDescent="0.25">
      <c r="B231" s="231"/>
      <c r="I231" s="392"/>
      <c r="K231" s="231"/>
      <c r="X231" s="1"/>
      <c r="Y231" s="1"/>
      <c r="Z231" s="1"/>
      <c r="AA231" s="1"/>
      <c r="AB231" s="392"/>
      <c r="AD231" s="231"/>
      <c r="AM231" s="231"/>
      <c r="AW231" s="1"/>
      <c r="AX231" s="1"/>
      <c r="AY231" s="1"/>
      <c r="AZ231" s="392"/>
      <c r="BB231" s="231"/>
    </row>
    <row r="232" spans="2:54" x14ac:dyDescent="0.25">
      <c r="B232" s="231"/>
      <c r="I232" s="392"/>
      <c r="K232" s="231"/>
      <c r="X232" s="1"/>
      <c r="Y232" s="1"/>
      <c r="Z232" s="1"/>
      <c r="AA232" s="1"/>
      <c r="AB232" s="392"/>
      <c r="AD232" s="231"/>
      <c r="AM232" s="231"/>
      <c r="AW232" s="1"/>
      <c r="AX232" s="1"/>
      <c r="AY232" s="1"/>
      <c r="AZ232" s="392"/>
      <c r="BB232" s="231"/>
    </row>
    <row r="233" spans="2:54" x14ac:dyDescent="0.25">
      <c r="B233" s="231"/>
      <c r="I233" s="392"/>
      <c r="K233" s="231"/>
      <c r="X233" s="1"/>
      <c r="Y233" s="1"/>
      <c r="Z233" s="1"/>
      <c r="AA233" s="1"/>
      <c r="AB233" s="392"/>
      <c r="AD233" s="231"/>
      <c r="AM233" s="231"/>
      <c r="AW233" s="1"/>
      <c r="AX233" s="1"/>
      <c r="AY233" s="1"/>
      <c r="AZ233" s="392"/>
      <c r="BB233" s="231"/>
    </row>
    <row r="234" spans="2:54" x14ac:dyDescent="0.25">
      <c r="B234" s="231"/>
      <c r="I234" s="392"/>
      <c r="K234" s="231"/>
      <c r="X234" s="1"/>
      <c r="Y234" s="1"/>
      <c r="Z234" s="1"/>
      <c r="AA234" s="1"/>
      <c r="AB234" s="392"/>
      <c r="AD234" s="231"/>
      <c r="AM234" s="231"/>
      <c r="AW234" s="1"/>
      <c r="AX234" s="1"/>
      <c r="AY234" s="1"/>
      <c r="AZ234" s="392"/>
      <c r="BB234" s="231"/>
    </row>
    <row r="235" spans="2:54" x14ac:dyDescent="0.25">
      <c r="B235" s="231"/>
      <c r="I235" s="392"/>
      <c r="K235" s="231"/>
      <c r="X235" s="1"/>
      <c r="Y235" s="1"/>
      <c r="Z235" s="1"/>
      <c r="AA235" s="1"/>
      <c r="AB235" s="392"/>
      <c r="AD235" s="231"/>
      <c r="AM235" s="231"/>
      <c r="AW235" s="1"/>
      <c r="AX235" s="1"/>
      <c r="AY235" s="1"/>
      <c r="AZ235" s="392"/>
      <c r="BB235" s="231"/>
    </row>
    <row r="236" spans="2:54" x14ac:dyDescent="0.25">
      <c r="B236" s="231"/>
      <c r="I236" s="392"/>
      <c r="K236" s="231"/>
      <c r="X236" s="1"/>
      <c r="Y236" s="1"/>
      <c r="Z236" s="1"/>
      <c r="AA236" s="1"/>
      <c r="AB236" s="392"/>
      <c r="AD236" s="231"/>
      <c r="AM236" s="231"/>
      <c r="AW236" s="1"/>
      <c r="AX236" s="1"/>
      <c r="AY236" s="1"/>
      <c r="AZ236" s="392"/>
      <c r="BB236" s="231"/>
    </row>
    <row r="237" spans="2:54" x14ac:dyDescent="0.25">
      <c r="B237" s="231"/>
      <c r="I237" s="392"/>
      <c r="K237" s="231"/>
      <c r="X237" s="1"/>
      <c r="Y237" s="1"/>
      <c r="Z237" s="1"/>
      <c r="AA237" s="1"/>
      <c r="AB237" s="392"/>
      <c r="AD237" s="231"/>
      <c r="AM237" s="231"/>
      <c r="AW237" s="1"/>
      <c r="AX237" s="1"/>
      <c r="AY237" s="1"/>
      <c r="AZ237" s="392"/>
      <c r="BB237" s="231"/>
    </row>
    <row r="238" spans="2:54" x14ac:dyDescent="0.25">
      <c r="B238" s="231"/>
      <c r="I238" s="392"/>
      <c r="K238" s="231"/>
      <c r="X238" s="1"/>
      <c r="Y238" s="1"/>
      <c r="Z238" s="1"/>
      <c r="AA238" s="1"/>
      <c r="AB238" s="392"/>
      <c r="AD238" s="231"/>
      <c r="AM238" s="231"/>
      <c r="AW238" s="1"/>
      <c r="AX238" s="1"/>
      <c r="AY238" s="1"/>
      <c r="AZ238" s="392"/>
      <c r="BB238" s="231"/>
    </row>
    <row r="239" spans="2:54" x14ac:dyDescent="0.25">
      <c r="B239" s="231"/>
      <c r="I239" s="392"/>
      <c r="K239" s="231"/>
      <c r="X239" s="1"/>
      <c r="Y239" s="1"/>
      <c r="Z239" s="1"/>
      <c r="AA239" s="1"/>
      <c r="AB239" s="392"/>
      <c r="AD239" s="231"/>
      <c r="AM239" s="231"/>
      <c r="AW239" s="1"/>
      <c r="AX239" s="1"/>
      <c r="AY239" s="1"/>
      <c r="AZ239" s="392"/>
      <c r="BB239" s="231"/>
    </row>
    <row r="240" spans="2:54" x14ac:dyDescent="0.25">
      <c r="B240" s="231"/>
      <c r="I240" s="392"/>
      <c r="K240" s="231"/>
      <c r="X240" s="1"/>
      <c r="Y240" s="1"/>
      <c r="Z240" s="1"/>
      <c r="AA240" s="1"/>
      <c r="AB240" s="392"/>
      <c r="AD240" s="231"/>
      <c r="AM240" s="231"/>
      <c r="AW240" s="1"/>
      <c r="AX240" s="1"/>
      <c r="AY240" s="1"/>
      <c r="AZ240" s="392"/>
      <c r="BB240" s="231"/>
    </row>
    <row r="241" spans="2:54" x14ac:dyDescent="0.25">
      <c r="B241" s="231"/>
      <c r="I241" s="392"/>
      <c r="K241" s="231"/>
      <c r="X241" s="1"/>
      <c r="Y241" s="1"/>
      <c r="Z241" s="1"/>
      <c r="AA241" s="1"/>
      <c r="AB241" s="392"/>
      <c r="AD241" s="231"/>
      <c r="AM241" s="231"/>
      <c r="AW241" s="1"/>
      <c r="AX241" s="1"/>
      <c r="AY241" s="1"/>
      <c r="AZ241" s="392"/>
      <c r="BB241" s="231"/>
    </row>
    <row r="242" spans="2:54" x14ac:dyDescent="0.25">
      <c r="B242" s="231"/>
      <c r="I242" s="392"/>
      <c r="K242" s="231"/>
      <c r="X242" s="1"/>
      <c r="Y242" s="1"/>
      <c r="Z242" s="1"/>
      <c r="AA242" s="1"/>
      <c r="AB242" s="392"/>
      <c r="AD242" s="231"/>
      <c r="AM242" s="231"/>
      <c r="AW242" s="1"/>
      <c r="AX242" s="1"/>
      <c r="AY242" s="1"/>
      <c r="AZ242" s="392"/>
      <c r="BB242" s="231"/>
    </row>
    <row r="243" spans="2:54" x14ac:dyDescent="0.25">
      <c r="B243" s="231"/>
      <c r="I243" s="392"/>
      <c r="K243" s="231"/>
      <c r="X243" s="1"/>
      <c r="Y243" s="1"/>
      <c r="Z243" s="1"/>
      <c r="AA243" s="1"/>
      <c r="AB243" s="392"/>
      <c r="AD243" s="231"/>
      <c r="AM243" s="231"/>
      <c r="AW243" s="1"/>
      <c r="AX243" s="1"/>
      <c r="AY243" s="1"/>
      <c r="AZ243" s="392"/>
      <c r="BB243" s="231"/>
    </row>
    <row r="244" spans="2:54" x14ac:dyDescent="0.25">
      <c r="B244" s="231"/>
      <c r="I244" s="392"/>
      <c r="K244" s="231"/>
      <c r="X244" s="1"/>
      <c r="Y244" s="1"/>
      <c r="Z244" s="1"/>
      <c r="AA244" s="1"/>
      <c r="AB244" s="392"/>
      <c r="AD244" s="231"/>
      <c r="AM244" s="231"/>
      <c r="AW244" s="1"/>
      <c r="AX244" s="1"/>
      <c r="AY244" s="1"/>
      <c r="AZ244" s="392"/>
      <c r="BB244" s="231"/>
    </row>
    <row r="245" spans="2:54" x14ac:dyDescent="0.25">
      <c r="B245" s="231"/>
      <c r="I245" s="392"/>
      <c r="K245" s="231"/>
      <c r="X245" s="1"/>
      <c r="Y245" s="1"/>
      <c r="Z245" s="1"/>
      <c r="AA245" s="1"/>
      <c r="AB245" s="392"/>
      <c r="AD245" s="231"/>
      <c r="AM245" s="231"/>
      <c r="AW245" s="1"/>
      <c r="AX245" s="1"/>
      <c r="AY245" s="1"/>
      <c r="AZ245" s="392"/>
      <c r="BB245" s="231"/>
    </row>
    <row r="246" spans="2:54" x14ac:dyDescent="0.25">
      <c r="B246" s="231"/>
      <c r="I246" s="392"/>
      <c r="K246" s="231"/>
      <c r="X246" s="1"/>
      <c r="Y246" s="1"/>
      <c r="Z246" s="1"/>
      <c r="AA246" s="1"/>
      <c r="AB246" s="392"/>
      <c r="AD246" s="231"/>
      <c r="AM246" s="231"/>
      <c r="AW246" s="1"/>
      <c r="AX246" s="1"/>
      <c r="AY246" s="1"/>
      <c r="AZ246" s="392"/>
      <c r="BB246" s="231"/>
    </row>
    <row r="247" spans="2:54" x14ac:dyDescent="0.25">
      <c r="B247" s="231"/>
      <c r="I247" s="392"/>
      <c r="K247" s="231"/>
      <c r="X247" s="1"/>
      <c r="Y247" s="1"/>
      <c r="Z247" s="1"/>
      <c r="AA247" s="1"/>
      <c r="AB247" s="392"/>
      <c r="AD247" s="231"/>
      <c r="AM247" s="231"/>
      <c r="AW247" s="1"/>
      <c r="AX247" s="1"/>
      <c r="AY247" s="1"/>
      <c r="AZ247" s="392"/>
      <c r="BB247" s="231"/>
    </row>
    <row r="248" spans="2:54" x14ac:dyDescent="0.25">
      <c r="B248" s="231"/>
      <c r="I248" s="392"/>
      <c r="K248" s="231"/>
      <c r="X248" s="1"/>
      <c r="Y248" s="1"/>
      <c r="Z248" s="1"/>
      <c r="AA248" s="1"/>
      <c r="AB248" s="392"/>
      <c r="AD248" s="231"/>
      <c r="AM248" s="231"/>
      <c r="AW248" s="1"/>
      <c r="AX248" s="1"/>
      <c r="AY248" s="1"/>
      <c r="AZ248" s="392"/>
      <c r="BB248" s="231"/>
    </row>
    <row r="249" spans="2:54" x14ac:dyDescent="0.25">
      <c r="B249" s="231"/>
      <c r="I249" s="392"/>
      <c r="K249" s="231"/>
      <c r="X249" s="1"/>
      <c r="Y249" s="1"/>
      <c r="Z249" s="1"/>
      <c r="AA249" s="1"/>
      <c r="AB249" s="392"/>
      <c r="AD249" s="231"/>
      <c r="AM249" s="231"/>
      <c r="AW249" s="1"/>
      <c r="AX249" s="1"/>
      <c r="AY249" s="1"/>
      <c r="AZ249" s="392"/>
      <c r="BB249" s="231"/>
    </row>
    <row r="250" spans="2:54" x14ac:dyDescent="0.25">
      <c r="B250" s="231"/>
      <c r="I250" s="392"/>
      <c r="K250" s="231"/>
      <c r="X250" s="1"/>
      <c r="Y250" s="1"/>
      <c r="Z250" s="1"/>
      <c r="AA250" s="1"/>
      <c r="AB250" s="392"/>
      <c r="AD250" s="231"/>
      <c r="AM250" s="231"/>
      <c r="AW250" s="1"/>
      <c r="AX250" s="1"/>
      <c r="AY250" s="1"/>
      <c r="AZ250" s="392"/>
      <c r="BB250" s="231"/>
    </row>
    <row r="251" spans="2:54" x14ac:dyDescent="0.25">
      <c r="B251" s="231"/>
      <c r="I251" s="392"/>
      <c r="K251" s="231"/>
      <c r="X251" s="1"/>
      <c r="Y251" s="1"/>
      <c r="Z251" s="1"/>
      <c r="AA251" s="1"/>
      <c r="AB251" s="392"/>
      <c r="AD251" s="231"/>
      <c r="AM251" s="231"/>
      <c r="AW251" s="1"/>
      <c r="AX251" s="1"/>
      <c r="AY251" s="1"/>
      <c r="AZ251" s="392"/>
      <c r="BB251" s="231"/>
    </row>
    <row r="252" spans="2:54" x14ac:dyDescent="0.25">
      <c r="B252" s="231"/>
      <c r="I252" s="392"/>
      <c r="K252" s="231"/>
      <c r="X252" s="1"/>
      <c r="Y252" s="1"/>
      <c r="Z252" s="1"/>
      <c r="AA252" s="1"/>
      <c r="AB252" s="392"/>
      <c r="AD252" s="231"/>
      <c r="AM252" s="231"/>
      <c r="AW252" s="1"/>
      <c r="AX252" s="1"/>
      <c r="AY252" s="1"/>
      <c r="AZ252" s="392"/>
      <c r="BB252" s="231"/>
    </row>
    <row r="253" spans="2:54" x14ac:dyDescent="0.25">
      <c r="B253" s="231"/>
      <c r="I253" s="392"/>
      <c r="K253" s="231"/>
      <c r="X253" s="1"/>
      <c r="Y253" s="1"/>
      <c r="Z253" s="1"/>
      <c r="AA253" s="1"/>
      <c r="AB253" s="392"/>
      <c r="AD253" s="231"/>
      <c r="AM253" s="231"/>
      <c r="AW253" s="1"/>
      <c r="AX253" s="1"/>
      <c r="AY253" s="1"/>
      <c r="AZ253" s="392"/>
      <c r="BB253" s="231"/>
    </row>
    <row r="254" spans="2:54" x14ac:dyDescent="0.25">
      <c r="B254" s="231"/>
      <c r="I254" s="392"/>
      <c r="K254" s="231"/>
      <c r="X254" s="1"/>
      <c r="Y254" s="1"/>
      <c r="Z254" s="1"/>
      <c r="AA254" s="1"/>
      <c r="AB254" s="392"/>
      <c r="AD254" s="231"/>
      <c r="AM254" s="231"/>
      <c r="AW254" s="1"/>
      <c r="AX254" s="1"/>
      <c r="AY254" s="1"/>
      <c r="AZ254" s="392"/>
      <c r="BB254" s="231"/>
    </row>
    <row r="255" spans="2:54" x14ac:dyDescent="0.25">
      <c r="B255" s="231"/>
      <c r="I255" s="392"/>
      <c r="K255" s="231"/>
      <c r="X255" s="1"/>
      <c r="Y255" s="1"/>
      <c r="Z255" s="1"/>
      <c r="AA255" s="1"/>
      <c r="AB255" s="392"/>
      <c r="AD255" s="231"/>
      <c r="AM255" s="231"/>
      <c r="AW255" s="1"/>
      <c r="AX255" s="1"/>
      <c r="AY255" s="1"/>
      <c r="AZ255" s="392"/>
      <c r="BB255" s="231"/>
    </row>
    <row r="256" spans="2:54" x14ac:dyDescent="0.25">
      <c r="B256" s="231"/>
      <c r="I256" s="392"/>
      <c r="K256" s="231"/>
      <c r="X256" s="1"/>
      <c r="Y256" s="1"/>
      <c r="Z256" s="1"/>
      <c r="AA256" s="1"/>
      <c r="AB256" s="392"/>
      <c r="AD256" s="231"/>
      <c r="AM256" s="231"/>
      <c r="AW256" s="1"/>
      <c r="AX256" s="1"/>
      <c r="AY256" s="1"/>
      <c r="AZ256" s="392"/>
      <c r="BB256" s="231"/>
    </row>
    <row r="257" spans="2:54" x14ac:dyDescent="0.25">
      <c r="B257" s="231"/>
      <c r="I257" s="392"/>
      <c r="K257" s="231"/>
      <c r="X257" s="1"/>
      <c r="Y257" s="1"/>
      <c r="Z257" s="1"/>
      <c r="AA257" s="1"/>
      <c r="AB257" s="392"/>
      <c r="AD257" s="231"/>
      <c r="AM257" s="231"/>
      <c r="AW257" s="1"/>
      <c r="AX257" s="1"/>
      <c r="AY257" s="1"/>
      <c r="AZ257" s="392"/>
      <c r="BB257" s="231"/>
    </row>
    <row r="258" spans="2:54" x14ac:dyDescent="0.25">
      <c r="B258" s="231"/>
      <c r="I258" s="392"/>
      <c r="K258" s="231"/>
      <c r="X258" s="1"/>
      <c r="Y258" s="1"/>
      <c r="Z258" s="1"/>
      <c r="AA258" s="1"/>
      <c r="AB258" s="392"/>
      <c r="AD258" s="231"/>
      <c r="AM258" s="231"/>
      <c r="AW258" s="1"/>
      <c r="AX258" s="1"/>
      <c r="AY258" s="1"/>
      <c r="AZ258" s="392"/>
      <c r="BB258" s="231"/>
    </row>
    <row r="259" spans="2:54" x14ac:dyDescent="0.25">
      <c r="B259" s="231"/>
      <c r="I259" s="392"/>
      <c r="K259" s="231"/>
      <c r="X259" s="1"/>
      <c r="Y259" s="1"/>
      <c r="Z259" s="1"/>
      <c r="AA259" s="1"/>
      <c r="AB259" s="392"/>
      <c r="AD259" s="231"/>
      <c r="AM259" s="231"/>
      <c r="AW259" s="1"/>
      <c r="AX259" s="1"/>
      <c r="AY259" s="1"/>
      <c r="AZ259" s="392"/>
      <c r="BB259" s="231"/>
    </row>
    <row r="260" spans="2:54" x14ac:dyDescent="0.25">
      <c r="B260" s="231"/>
      <c r="I260" s="392"/>
      <c r="K260" s="231"/>
      <c r="X260" s="1"/>
      <c r="Y260" s="1"/>
      <c r="Z260" s="1"/>
      <c r="AA260" s="1"/>
      <c r="AB260" s="392"/>
      <c r="AD260" s="231"/>
      <c r="AM260" s="231"/>
      <c r="AW260" s="1"/>
      <c r="AX260" s="1"/>
      <c r="AY260" s="1"/>
      <c r="AZ260" s="392"/>
      <c r="BB260" s="231"/>
    </row>
    <row r="261" spans="2:54" x14ac:dyDescent="0.25">
      <c r="B261" s="231"/>
      <c r="I261" s="392"/>
      <c r="K261" s="231"/>
      <c r="X261" s="1"/>
      <c r="Y261" s="1"/>
      <c r="Z261" s="1"/>
      <c r="AA261" s="1"/>
      <c r="AB261" s="392"/>
      <c r="AD261" s="231"/>
      <c r="AM261" s="231"/>
      <c r="AW261" s="1"/>
      <c r="AX261" s="1"/>
      <c r="AY261" s="1"/>
      <c r="AZ261" s="392"/>
      <c r="BB261" s="231"/>
    </row>
    <row r="262" spans="2:54" x14ac:dyDescent="0.25">
      <c r="B262" s="231"/>
      <c r="I262" s="392"/>
      <c r="K262" s="231"/>
      <c r="X262" s="1"/>
      <c r="Y262" s="1"/>
      <c r="Z262" s="1"/>
      <c r="AA262" s="1"/>
      <c r="AB262" s="392"/>
      <c r="AD262" s="231"/>
      <c r="AM262" s="231"/>
      <c r="AW262" s="1"/>
      <c r="AX262" s="1"/>
      <c r="AY262" s="1"/>
      <c r="AZ262" s="392"/>
      <c r="BB262" s="231"/>
    </row>
    <row r="263" spans="2:54" x14ac:dyDescent="0.25">
      <c r="B263" s="231"/>
      <c r="I263" s="392"/>
      <c r="K263" s="231"/>
      <c r="X263" s="1"/>
      <c r="Y263" s="1"/>
      <c r="Z263" s="1"/>
      <c r="AA263" s="1"/>
      <c r="AB263" s="392"/>
      <c r="AD263" s="231"/>
      <c r="AM263" s="231"/>
      <c r="AW263" s="1"/>
      <c r="AX263" s="1"/>
      <c r="AY263" s="1"/>
      <c r="AZ263" s="392"/>
      <c r="BB263" s="231"/>
    </row>
    <row r="264" spans="2:54" x14ac:dyDescent="0.25">
      <c r="B264" s="231"/>
      <c r="I264" s="392"/>
      <c r="K264" s="231"/>
      <c r="X264" s="1"/>
      <c r="Y264" s="1"/>
      <c r="Z264" s="1"/>
      <c r="AA264" s="1"/>
      <c r="AB264" s="392"/>
      <c r="AD264" s="231"/>
      <c r="AM264" s="231"/>
      <c r="AW264" s="1"/>
      <c r="AX264" s="1"/>
      <c r="AY264" s="1"/>
      <c r="AZ264" s="392"/>
      <c r="BB264" s="231"/>
    </row>
    <row r="265" spans="2:54" x14ac:dyDescent="0.25">
      <c r="B265" s="231"/>
      <c r="I265" s="392"/>
      <c r="K265" s="231"/>
      <c r="X265" s="1"/>
      <c r="Y265" s="1"/>
      <c r="Z265" s="1"/>
      <c r="AA265" s="1"/>
      <c r="AB265" s="392"/>
      <c r="AD265" s="231"/>
      <c r="AM265" s="231"/>
      <c r="AW265" s="1"/>
      <c r="AX265" s="1"/>
      <c r="AY265" s="1"/>
      <c r="AZ265" s="392"/>
      <c r="BB265" s="231"/>
    </row>
    <row r="266" spans="2:54" x14ac:dyDescent="0.25">
      <c r="B266" s="231"/>
      <c r="I266" s="392"/>
      <c r="K266" s="231"/>
      <c r="X266" s="1"/>
      <c r="Y266" s="1"/>
      <c r="Z266" s="1"/>
      <c r="AA266" s="1"/>
      <c r="AB266" s="392"/>
      <c r="AD266" s="231"/>
      <c r="AM266" s="231"/>
      <c r="AW266" s="1"/>
      <c r="AX266" s="1"/>
      <c r="AY266" s="1"/>
      <c r="AZ266" s="392"/>
      <c r="BB266" s="231"/>
    </row>
    <row r="267" spans="2:54" x14ac:dyDescent="0.25">
      <c r="B267" s="231"/>
      <c r="I267" s="392"/>
      <c r="K267" s="231"/>
      <c r="X267" s="1"/>
      <c r="Y267" s="1"/>
      <c r="Z267" s="1"/>
      <c r="AA267" s="1"/>
      <c r="AB267" s="392"/>
      <c r="AD267" s="231"/>
      <c r="AM267" s="231"/>
      <c r="AW267" s="1"/>
      <c r="AX267" s="1"/>
      <c r="AY267" s="1"/>
      <c r="AZ267" s="392"/>
      <c r="BB267" s="231"/>
    </row>
    <row r="268" spans="2:54" x14ac:dyDescent="0.25">
      <c r="B268" s="231"/>
      <c r="I268" s="392"/>
      <c r="K268" s="231"/>
      <c r="X268" s="1"/>
      <c r="Y268" s="1"/>
      <c r="Z268" s="1"/>
      <c r="AA268" s="1"/>
      <c r="AB268" s="392"/>
      <c r="AD268" s="231"/>
      <c r="AM268" s="231"/>
      <c r="AW268" s="1"/>
      <c r="AX268" s="1"/>
      <c r="AY268" s="1"/>
      <c r="AZ268" s="392"/>
      <c r="BB268" s="231"/>
    </row>
    <row r="269" spans="2:54" x14ac:dyDescent="0.25">
      <c r="B269" s="231"/>
      <c r="I269" s="392"/>
      <c r="K269" s="231"/>
      <c r="X269" s="1"/>
      <c r="Y269" s="1"/>
      <c r="Z269" s="1"/>
      <c r="AA269" s="1"/>
      <c r="AB269" s="392"/>
      <c r="AD269" s="231"/>
      <c r="AM269" s="231"/>
      <c r="AW269" s="1"/>
      <c r="AX269" s="1"/>
      <c r="AY269" s="1"/>
      <c r="AZ269" s="392"/>
      <c r="BB269" s="231"/>
    </row>
    <row r="270" spans="2:54" x14ac:dyDescent="0.25">
      <c r="B270" s="231"/>
      <c r="I270" s="392"/>
      <c r="K270" s="231"/>
      <c r="X270" s="1"/>
      <c r="Y270" s="1"/>
      <c r="Z270" s="1"/>
      <c r="AA270" s="1"/>
      <c r="AB270" s="392"/>
      <c r="AD270" s="231"/>
      <c r="AM270" s="231"/>
      <c r="AW270" s="1"/>
      <c r="AX270" s="1"/>
      <c r="AY270" s="1"/>
      <c r="AZ270" s="392"/>
      <c r="BB270" s="231"/>
    </row>
    <row r="271" spans="2:54" x14ac:dyDescent="0.25">
      <c r="B271" s="231"/>
      <c r="I271" s="392"/>
      <c r="K271" s="231"/>
      <c r="X271" s="1"/>
      <c r="Y271" s="1"/>
      <c r="Z271" s="1"/>
      <c r="AA271" s="1"/>
      <c r="AB271" s="392"/>
      <c r="AD271" s="231"/>
      <c r="AM271" s="231"/>
      <c r="AW271" s="1"/>
      <c r="AX271" s="1"/>
      <c r="AY271" s="1"/>
      <c r="AZ271" s="392"/>
      <c r="BB271" s="231"/>
    </row>
    <row r="272" spans="2:54" x14ac:dyDescent="0.25">
      <c r="B272" s="231"/>
      <c r="I272" s="392"/>
      <c r="K272" s="231"/>
      <c r="X272" s="1"/>
      <c r="Y272" s="1"/>
      <c r="Z272" s="1"/>
      <c r="AA272" s="1"/>
      <c r="AB272" s="392"/>
      <c r="AD272" s="231"/>
      <c r="AM272" s="231"/>
      <c r="AW272" s="1"/>
      <c r="AX272" s="1"/>
      <c r="AY272" s="1"/>
      <c r="AZ272" s="392"/>
      <c r="BB272" s="231"/>
    </row>
    <row r="273" spans="2:54" x14ac:dyDescent="0.25">
      <c r="B273" s="231"/>
      <c r="I273" s="392"/>
      <c r="K273" s="231"/>
      <c r="X273" s="1"/>
      <c r="Y273" s="1"/>
      <c r="Z273" s="1"/>
      <c r="AA273" s="1"/>
      <c r="AB273" s="392"/>
      <c r="AD273" s="231"/>
      <c r="AM273" s="231"/>
      <c r="AW273" s="1"/>
      <c r="AX273" s="1"/>
      <c r="AY273" s="1"/>
      <c r="AZ273" s="392"/>
      <c r="BB273" s="231"/>
    </row>
    <row r="274" spans="2:54" x14ac:dyDescent="0.25">
      <c r="B274" s="231"/>
      <c r="I274" s="392"/>
      <c r="K274" s="231"/>
      <c r="X274" s="1"/>
      <c r="Y274" s="1"/>
      <c r="Z274" s="1"/>
      <c r="AA274" s="1"/>
      <c r="AB274" s="392"/>
      <c r="AD274" s="231"/>
      <c r="AM274" s="231"/>
      <c r="AW274" s="1"/>
      <c r="AX274" s="1"/>
      <c r="AY274" s="1"/>
      <c r="AZ274" s="392"/>
      <c r="BB274" s="231"/>
    </row>
    <row r="275" spans="2:54" x14ac:dyDescent="0.25">
      <c r="B275" s="231"/>
      <c r="I275" s="392"/>
      <c r="K275" s="231"/>
      <c r="X275" s="1"/>
      <c r="Y275" s="1"/>
      <c r="Z275" s="1"/>
      <c r="AA275" s="1"/>
      <c r="AB275" s="392"/>
      <c r="AD275" s="231"/>
      <c r="AM275" s="231"/>
      <c r="AW275" s="1"/>
      <c r="AX275" s="1"/>
      <c r="AY275" s="1"/>
      <c r="AZ275" s="392"/>
      <c r="BB275" s="231"/>
    </row>
    <row r="276" spans="2:54" x14ac:dyDescent="0.25">
      <c r="B276" s="231"/>
      <c r="I276" s="392"/>
      <c r="K276" s="231"/>
      <c r="X276" s="1"/>
      <c r="Y276" s="1"/>
      <c r="Z276" s="1"/>
      <c r="AA276" s="1"/>
      <c r="AB276" s="392"/>
      <c r="AD276" s="231"/>
      <c r="AM276" s="231"/>
      <c r="AW276" s="1"/>
      <c r="AX276" s="1"/>
      <c r="AY276" s="1"/>
      <c r="AZ276" s="392"/>
      <c r="BB276" s="231"/>
    </row>
    <row r="277" spans="2:54" x14ac:dyDescent="0.25">
      <c r="B277" s="231"/>
      <c r="I277" s="392"/>
      <c r="K277" s="231"/>
      <c r="X277" s="1"/>
      <c r="Y277" s="1"/>
      <c r="Z277" s="1"/>
      <c r="AA277" s="1"/>
      <c r="AB277" s="392"/>
      <c r="AD277" s="231"/>
      <c r="AM277" s="231"/>
      <c r="AW277" s="1"/>
      <c r="AX277" s="1"/>
      <c r="AY277" s="1"/>
      <c r="AZ277" s="392"/>
      <c r="BB277" s="231"/>
    </row>
    <row r="278" spans="2:54" x14ac:dyDescent="0.25">
      <c r="B278" s="231"/>
      <c r="I278" s="392"/>
      <c r="K278" s="231"/>
      <c r="X278" s="1"/>
      <c r="Y278" s="1"/>
      <c r="Z278" s="1"/>
      <c r="AA278" s="1"/>
      <c r="AB278" s="392"/>
      <c r="AD278" s="231"/>
      <c r="AM278" s="231"/>
      <c r="AW278" s="1"/>
      <c r="AX278" s="1"/>
      <c r="AY278" s="1"/>
      <c r="AZ278" s="392"/>
      <c r="BB278" s="231"/>
    </row>
    <row r="279" spans="2:54" x14ac:dyDescent="0.25">
      <c r="B279" s="231"/>
      <c r="I279" s="392"/>
      <c r="K279" s="231"/>
      <c r="X279" s="1"/>
      <c r="Y279" s="1"/>
      <c r="Z279" s="1"/>
      <c r="AA279" s="1"/>
      <c r="AB279" s="392"/>
      <c r="AD279" s="231"/>
      <c r="AM279" s="231"/>
      <c r="AW279" s="1"/>
      <c r="AX279" s="1"/>
      <c r="AY279" s="1"/>
      <c r="AZ279" s="392"/>
      <c r="BB279" s="231"/>
    </row>
    <row r="280" spans="2:54" x14ac:dyDescent="0.25">
      <c r="B280" s="231"/>
      <c r="I280" s="392"/>
      <c r="K280" s="231"/>
      <c r="X280" s="1"/>
      <c r="Y280" s="1"/>
      <c r="Z280" s="1"/>
      <c r="AA280" s="1"/>
      <c r="AB280" s="392"/>
      <c r="AD280" s="231"/>
      <c r="AM280" s="231"/>
      <c r="AW280" s="1"/>
      <c r="AX280" s="1"/>
      <c r="AY280" s="1"/>
      <c r="AZ280" s="392"/>
      <c r="BB280" s="231"/>
    </row>
    <row r="281" spans="2:54" x14ac:dyDescent="0.25">
      <c r="B281" s="231"/>
      <c r="I281" s="392"/>
      <c r="K281" s="231"/>
      <c r="X281" s="1"/>
      <c r="Y281" s="1"/>
      <c r="Z281" s="1"/>
      <c r="AA281" s="1"/>
      <c r="AB281" s="392"/>
      <c r="AD281" s="231"/>
      <c r="AM281" s="231"/>
      <c r="AW281" s="1"/>
      <c r="AX281" s="1"/>
      <c r="AY281" s="1"/>
      <c r="AZ281" s="392"/>
      <c r="BB281" s="231"/>
    </row>
    <row r="282" spans="2:54" x14ac:dyDescent="0.25">
      <c r="B282" s="231"/>
      <c r="I282" s="392"/>
      <c r="K282" s="231"/>
      <c r="X282" s="1"/>
      <c r="Y282" s="1"/>
      <c r="Z282" s="1"/>
      <c r="AA282" s="1"/>
      <c r="AB282" s="392"/>
      <c r="AD282" s="231"/>
      <c r="AM282" s="231"/>
      <c r="AW282" s="1"/>
      <c r="AX282" s="1"/>
      <c r="AY282" s="1"/>
      <c r="AZ282" s="392"/>
      <c r="BB282" s="231"/>
    </row>
    <row r="283" spans="2:54" x14ac:dyDescent="0.25">
      <c r="B283" s="231"/>
      <c r="I283" s="392"/>
      <c r="K283" s="231"/>
      <c r="X283" s="1"/>
      <c r="Y283" s="1"/>
      <c r="Z283" s="1"/>
      <c r="AA283" s="1"/>
      <c r="AB283" s="392"/>
      <c r="AD283" s="231"/>
      <c r="AM283" s="231"/>
      <c r="AW283" s="1"/>
      <c r="AX283" s="1"/>
      <c r="AY283" s="1"/>
      <c r="AZ283" s="392"/>
      <c r="BB283" s="231"/>
    </row>
    <row r="284" spans="2:54" x14ac:dyDescent="0.25">
      <c r="B284" s="231"/>
      <c r="I284" s="392"/>
      <c r="K284" s="231"/>
      <c r="X284" s="1"/>
      <c r="Y284" s="1"/>
      <c r="Z284" s="1"/>
      <c r="AA284" s="1"/>
      <c r="AB284" s="392"/>
      <c r="AD284" s="231"/>
      <c r="AM284" s="231"/>
      <c r="AW284" s="1"/>
      <c r="AX284" s="1"/>
      <c r="AY284" s="1"/>
      <c r="AZ284" s="392"/>
      <c r="BB284" s="231"/>
    </row>
    <row r="285" spans="2:54" x14ac:dyDescent="0.25">
      <c r="B285" s="231"/>
      <c r="I285" s="392"/>
      <c r="K285" s="231"/>
      <c r="X285" s="1"/>
      <c r="Y285" s="1"/>
      <c r="Z285" s="1"/>
      <c r="AA285" s="1"/>
      <c r="AB285" s="392"/>
      <c r="AD285" s="231"/>
      <c r="AM285" s="231"/>
      <c r="AW285" s="1"/>
      <c r="AX285" s="1"/>
      <c r="AY285" s="1"/>
      <c r="AZ285" s="392"/>
      <c r="BB285" s="231"/>
    </row>
    <row r="286" spans="2:54" x14ac:dyDescent="0.25">
      <c r="B286" s="231"/>
      <c r="I286" s="392"/>
      <c r="K286" s="231"/>
      <c r="X286" s="1"/>
      <c r="Y286" s="1"/>
      <c r="Z286" s="1"/>
      <c r="AA286" s="1"/>
      <c r="AB286" s="392"/>
      <c r="AD286" s="231"/>
      <c r="AM286" s="231"/>
      <c r="AW286" s="1"/>
      <c r="AX286" s="1"/>
      <c r="AY286" s="1"/>
      <c r="AZ286" s="392"/>
      <c r="BB286" s="231"/>
    </row>
    <row r="287" spans="2:54" x14ac:dyDescent="0.25">
      <c r="B287" s="231"/>
      <c r="I287" s="392"/>
      <c r="K287" s="231"/>
      <c r="X287" s="1"/>
      <c r="Y287" s="1"/>
      <c r="Z287" s="1"/>
      <c r="AA287" s="1"/>
      <c r="AB287" s="392"/>
      <c r="AD287" s="231"/>
      <c r="AM287" s="231"/>
      <c r="AW287" s="1"/>
      <c r="AX287" s="1"/>
      <c r="AY287" s="1"/>
      <c r="AZ287" s="392"/>
      <c r="BB287" s="231"/>
    </row>
    <row r="288" spans="2:54" x14ac:dyDescent="0.25">
      <c r="B288" s="231"/>
      <c r="I288" s="392"/>
      <c r="K288" s="231"/>
      <c r="X288" s="1"/>
      <c r="Y288" s="1"/>
      <c r="Z288" s="1"/>
      <c r="AA288" s="1"/>
      <c r="AB288" s="392"/>
      <c r="AD288" s="231"/>
      <c r="AM288" s="231"/>
      <c r="AW288" s="1"/>
      <c r="AX288" s="1"/>
      <c r="AY288" s="1"/>
      <c r="AZ288" s="392"/>
      <c r="BB288" s="231"/>
    </row>
    <row r="289" spans="2:54" x14ac:dyDescent="0.25">
      <c r="B289" s="231"/>
      <c r="I289" s="392"/>
      <c r="K289" s="231"/>
      <c r="X289" s="1"/>
      <c r="Y289" s="1"/>
      <c r="Z289" s="1"/>
      <c r="AA289" s="1"/>
      <c r="AB289" s="392"/>
      <c r="AD289" s="231"/>
      <c r="AM289" s="231"/>
      <c r="AW289" s="1"/>
      <c r="AX289" s="1"/>
      <c r="AY289" s="1"/>
      <c r="AZ289" s="392"/>
      <c r="BB289" s="231"/>
    </row>
    <row r="290" spans="2:54" x14ac:dyDescent="0.25">
      <c r="B290" s="231"/>
      <c r="I290" s="392"/>
      <c r="K290" s="231"/>
      <c r="X290" s="1"/>
      <c r="Y290" s="1"/>
      <c r="Z290" s="1"/>
      <c r="AA290" s="1"/>
      <c r="AB290" s="392"/>
      <c r="AD290" s="231"/>
      <c r="AM290" s="231"/>
      <c r="AW290" s="1"/>
      <c r="AX290" s="1"/>
      <c r="AY290" s="1"/>
      <c r="AZ290" s="392"/>
      <c r="BB290" s="231"/>
    </row>
    <row r="291" spans="2:54" x14ac:dyDescent="0.25">
      <c r="B291" s="231"/>
      <c r="I291" s="392"/>
      <c r="K291" s="231"/>
      <c r="X291" s="1"/>
      <c r="Y291" s="1"/>
      <c r="Z291" s="1"/>
      <c r="AA291" s="1"/>
      <c r="AB291" s="392"/>
      <c r="AD291" s="231"/>
      <c r="AM291" s="231"/>
      <c r="AW291" s="1"/>
      <c r="AX291" s="1"/>
      <c r="AY291" s="1"/>
      <c r="AZ291" s="392"/>
      <c r="BB291" s="231"/>
    </row>
    <row r="292" spans="2:54" x14ac:dyDescent="0.25">
      <c r="B292" s="231"/>
      <c r="I292" s="392"/>
      <c r="K292" s="231"/>
      <c r="X292" s="1"/>
      <c r="Y292" s="1"/>
      <c r="Z292" s="1"/>
      <c r="AA292" s="1"/>
      <c r="AB292" s="392"/>
      <c r="AD292" s="231"/>
      <c r="AM292" s="231"/>
      <c r="AW292" s="1"/>
      <c r="AX292" s="1"/>
      <c r="AY292" s="1"/>
      <c r="AZ292" s="392"/>
      <c r="BB292" s="231"/>
    </row>
    <row r="293" spans="2:54" x14ac:dyDescent="0.25">
      <c r="B293" s="231"/>
      <c r="I293" s="392"/>
      <c r="K293" s="231"/>
      <c r="X293" s="1"/>
      <c r="Y293" s="1"/>
      <c r="Z293" s="1"/>
      <c r="AA293" s="1"/>
      <c r="AB293" s="392"/>
      <c r="AD293" s="231"/>
      <c r="AM293" s="231"/>
      <c r="AW293" s="1"/>
      <c r="AX293" s="1"/>
      <c r="AY293" s="1"/>
      <c r="AZ293" s="392"/>
      <c r="BB293" s="231"/>
    </row>
    <row r="294" spans="2:54" x14ac:dyDescent="0.25">
      <c r="B294" s="231"/>
      <c r="I294" s="392"/>
      <c r="K294" s="231"/>
      <c r="X294" s="1"/>
      <c r="Y294" s="1"/>
      <c r="Z294" s="1"/>
      <c r="AA294" s="1"/>
      <c r="AB294" s="392"/>
      <c r="AD294" s="231"/>
      <c r="AM294" s="231"/>
      <c r="AW294" s="1"/>
      <c r="AX294" s="1"/>
      <c r="AY294" s="1"/>
      <c r="AZ294" s="392"/>
      <c r="BB294" s="231"/>
    </row>
    <row r="295" spans="2:54" x14ac:dyDescent="0.25">
      <c r="B295" s="231"/>
      <c r="I295" s="392"/>
      <c r="K295" s="231"/>
      <c r="X295" s="1"/>
      <c r="Y295" s="1"/>
      <c r="Z295" s="1"/>
      <c r="AA295" s="1"/>
      <c r="AB295" s="392"/>
      <c r="AD295" s="231"/>
      <c r="AM295" s="231"/>
      <c r="AW295" s="1"/>
      <c r="AX295" s="1"/>
      <c r="AY295" s="1"/>
      <c r="AZ295" s="392"/>
      <c r="BB295" s="231"/>
    </row>
    <row r="296" spans="2:54" x14ac:dyDescent="0.25">
      <c r="B296" s="231"/>
      <c r="I296" s="392"/>
      <c r="K296" s="231"/>
      <c r="X296" s="1"/>
      <c r="Y296" s="1"/>
      <c r="Z296" s="1"/>
      <c r="AA296" s="1"/>
      <c r="AB296" s="392"/>
      <c r="AD296" s="231"/>
      <c r="AM296" s="231"/>
      <c r="AW296" s="1"/>
      <c r="AX296" s="1"/>
      <c r="AY296" s="1"/>
      <c r="AZ296" s="392"/>
      <c r="BB296" s="231"/>
    </row>
    <row r="297" spans="2:54" x14ac:dyDescent="0.25">
      <c r="B297" s="231"/>
      <c r="I297" s="392"/>
      <c r="K297" s="231"/>
      <c r="X297" s="1"/>
      <c r="Y297" s="1"/>
      <c r="Z297" s="1"/>
      <c r="AA297" s="1"/>
      <c r="AB297" s="392"/>
      <c r="AD297" s="231"/>
      <c r="AM297" s="231"/>
      <c r="AW297" s="1"/>
      <c r="AX297" s="1"/>
      <c r="AY297" s="1"/>
      <c r="AZ297" s="392"/>
      <c r="BB297" s="231"/>
    </row>
    <row r="298" spans="2:54" x14ac:dyDescent="0.25">
      <c r="B298" s="231"/>
      <c r="I298" s="392"/>
      <c r="K298" s="231"/>
      <c r="X298" s="1"/>
      <c r="Y298" s="1"/>
      <c r="Z298" s="1"/>
      <c r="AA298" s="1"/>
      <c r="AB298" s="392"/>
      <c r="AD298" s="231"/>
      <c r="AM298" s="231"/>
      <c r="AW298" s="1"/>
      <c r="AX298" s="1"/>
      <c r="AY298" s="1"/>
      <c r="AZ298" s="392"/>
      <c r="BB298" s="231"/>
    </row>
    <row r="299" spans="2:54" x14ac:dyDescent="0.25">
      <c r="B299" s="231"/>
      <c r="I299" s="392"/>
      <c r="K299" s="231"/>
      <c r="X299" s="1"/>
      <c r="Y299" s="1"/>
      <c r="Z299" s="1"/>
      <c r="AA299" s="1"/>
      <c r="AB299" s="392"/>
      <c r="AD299" s="231"/>
      <c r="AM299" s="231"/>
      <c r="AW299" s="1"/>
      <c r="AX299" s="1"/>
      <c r="AY299" s="1"/>
      <c r="AZ299" s="392"/>
      <c r="BB299" s="231"/>
    </row>
    <row r="300" spans="2:54" x14ac:dyDescent="0.25">
      <c r="B300" s="231"/>
      <c r="I300" s="392"/>
      <c r="K300" s="231"/>
      <c r="X300" s="1"/>
      <c r="Y300" s="1"/>
      <c r="Z300" s="1"/>
      <c r="AA300" s="1"/>
      <c r="AB300" s="392"/>
      <c r="AD300" s="231"/>
      <c r="AM300" s="231"/>
      <c r="AW300" s="1"/>
      <c r="AX300" s="1"/>
      <c r="AY300" s="1"/>
      <c r="AZ300" s="392"/>
      <c r="BB300" s="231"/>
    </row>
    <row r="301" spans="2:54" x14ac:dyDescent="0.25">
      <c r="B301" s="231"/>
      <c r="I301" s="392"/>
      <c r="K301" s="231"/>
      <c r="X301" s="1"/>
      <c r="Y301" s="1"/>
      <c r="Z301" s="1"/>
      <c r="AA301" s="1"/>
      <c r="AB301" s="392"/>
      <c r="AD301" s="231"/>
      <c r="AM301" s="231"/>
      <c r="AW301" s="1"/>
      <c r="AX301" s="1"/>
      <c r="AY301" s="1"/>
      <c r="AZ301" s="392"/>
      <c r="BB301" s="231"/>
    </row>
    <row r="302" spans="2:54" x14ac:dyDescent="0.25">
      <c r="B302" s="231"/>
      <c r="I302" s="392"/>
      <c r="K302" s="231"/>
      <c r="X302" s="1"/>
      <c r="Y302" s="1"/>
      <c r="Z302" s="1"/>
      <c r="AA302" s="1"/>
      <c r="AB302" s="392"/>
      <c r="AD302" s="231"/>
      <c r="AM302" s="231"/>
      <c r="AW302" s="1"/>
      <c r="AX302" s="1"/>
      <c r="AY302" s="1"/>
      <c r="AZ302" s="392"/>
      <c r="BB302" s="231"/>
    </row>
    <row r="303" spans="2:54" x14ac:dyDescent="0.25">
      <c r="B303" s="231"/>
      <c r="I303" s="392"/>
      <c r="K303" s="231"/>
      <c r="X303" s="1"/>
      <c r="Y303" s="1"/>
      <c r="Z303" s="1"/>
      <c r="AA303" s="1"/>
      <c r="AB303" s="392"/>
      <c r="AD303" s="231"/>
      <c r="AM303" s="231"/>
      <c r="AW303" s="1"/>
      <c r="AX303" s="1"/>
      <c r="AY303" s="1"/>
      <c r="AZ303" s="392"/>
      <c r="BB303" s="231"/>
    </row>
    <row r="304" spans="2:54" x14ac:dyDescent="0.25">
      <c r="B304" s="231"/>
      <c r="I304" s="392"/>
      <c r="K304" s="231"/>
      <c r="X304" s="1"/>
      <c r="Y304" s="1"/>
      <c r="Z304" s="1"/>
      <c r="AA304" s="1"/>
      <c r="AB304" s="392"/>
      <c r="AD304" s="231"/>
      <c r="AM304" s="231"/>
      <c r="AW304" s="1"/>
      <c r="AX304" s="1"/>
      <c r="AY304" s="1"/>
      <c r="AZ304" s="392"/>
      <c r="BB304" s="231"/>
    </row>
    <row r="305" spans="2:54" x14ac:dyDescent="0.25">
      <c r="B305" s="231"/>
      <c r="I305" s="392"/>
      <c r="K305" s="231"/>
      <c r="X305" s="1"/>
      <c r="Y305" s="1"/>
      <c r="Z305" s="1"/>
      <c r="AA305" s="1"/>
      <c r="AB305" s="392"/>
      <c r="AD305" s="231"/>
      <c r="AM305" s="231"/>
      <c r="AW305" s="1"/>
      <c r="AX305" s="1"/>
      <c r="AY305" s="1"/>
      <c r="AZ305" s="392"/>
      <c r="BB305" s="231"/>
    </row>
    <row r="306" spans="2:54" x14ac:dyDescent="0.25">
      <c r="B306" s="231"/>
      <c r="I306" s="392"/>
      <c r="K306" s="231"/>
      <c r="X306" s="1"/>
      <c r="Y306" s="1"/>
      <c r="Z306" s="1"/>
      <c r="AA306" s="1"/>
      <c r="AB306" s="392"/>
      <c r="AD306" s="231"/>
      <c r="AM306" s="231"/>
      <c r="AW306" s="1"/>
      <c r="AX306" s="1"/>
      <c r="AY306" s="1"/>
      <c r="AZ306" s="392"/>
      <c r="BB306" s="231"/>
    </row>
    <row r="307" spans="2:54" x14ac:dyDescent="0.25">
      <c r="B307" s="231"/>
      <c r="I307" s="392"/>
      <c r="K307" s="231"/>
      <c r="X307" s="1"/>
      <c r="Y307" s="1"/>
      <c r="Z307" s="1"/>
      <c r="AA307" s="1"/>
      <c r="AB307" s="392"/>
      <c r="AD307" s="231"/>
      <c r="AM307" s="231"/>
      <c r="AW307" s="1"/>
      <c r="AX307" s="1"/>
      <c r="AY307" s="1"/>
      <c r="AZ307" s="392"/>
      <c r="BB307" s="231"/>
    </row>
    <row r="308" spans="2:54" x14ac:dyDescent="0.25">
      <c r="B308" s="231"/>
      <c r="I308" s="392"/>
      <c r="K308" s="231"/>
      <c r="X308" s="1"/>
      <c r="Y308" s="1"/>
      <c r="Z308" s="1"/>
      <c r="AA308" s="1"/>
      <c r="AB308" s="392"/>
      <c r="AD308" s="231"/>
      <c r="AM308" s="231"/>
      <c r="AW308" s="1"/>
      <c r="AX308" s="1"/>
      <c r="AY308" s="1"/>
      <c r="AZ308" s="392"/>
      <c r="BB308" s="231"/>
    </row>
    <row r="309" spans="2:54" x14ac:dyDescent="0.25">
      <c r="B309" s="231"/>
      <c r="I309" s="392"/>
      <c r="K309" s="231"/>
      <c r="X309" s="1"/>
      <c r="Y309" s="1"/>
      <c r="Z309" s="1"/>
      <c r="AA309" s="1"/>
      <c r="AB309" s="392"/>
      <c r="AD309" s="231"/>
      <c r="AM309" s="231"/>
      <c r="AW309" s="1"/>
      <c r="AX309" s="1"/>
      <c r="AY309" s="1"/>
      <c r="AZ309" s="392"/>
      <c r="BB309" s="231"/>
    </row>
    <row r="310" spans="2:54" x14ac:dyDescent="0.25">
      <c r="B310" s="231"/>
      <c r="I310" s="392"/>
      <c r="K310" s="231"/>
      <c r="X310" s="1"/>
      <c r="Y310" s="1"/>
      <c r="Z310" s="1"/>
      <c r="AA310" s="1"/>
      <c r="AB310" s="392"/>
      <c r="AD310" s="231"/>
      <c r="AM310" s="231"/>
      <c r="AW310" s="1"/>
      <c r="AX310" s="1"/>
      <c r="AY310" s="1"/>
      <c r="AZ310" s="392"/>
      <c r="BB310" s="231"/>
    </row>
    <row r="311" spans="2:54" x14ac:dyDescent="0.25">
      <c r="B311" s="231"/>
      <c r="I311" s="392"/>
      <c r="K311" s="231"/>
      <c r="X311" s="1"/>
      <c r="Y311" s="1"/>
      <c r="Z311" s="1"/>
      <c r="AA311" s="1"/>
      <c r="AB311" s="392"/>
      <c r="AD311" s="231"/>
      <c r="AM311" s="231"/>
      <c r="AW311" s="1"/>
      <c r="AX311" s="1"/>
      <c r="AY311" s="1"/>
      <c r="AZ311" s="392"/>
      <c r="BB311" s="231"/>
    </row>
    <row r="312" spans="2:54" x14ac:dyDescent="0.25">
      <c r="B312" s="231"/>
      <c r="I312" s="392"/>
      <c r="K312" s="231"/>
      <c r="X312" s="1"/>
      <c r="Y312" s="1"/>
      <c r="Z312" s="1"/>
      <c r="AA312" s="1"/>
      <c r="AB312" s="392"/>
      <c r="AD312" s="231"/>
      <c r="AM312" s="231"/>
      <c r="AW312" s="1"/>
      <c r="AX312" s="1"/>
      <c r="AY312" s="1"/>
      <c r="AZ312" s="392"/>
      <c r="BB312" s="231"/>
    </row>
    <row r="313" spans="2:54" x14ac:dyDescent="0.25">
      <c r="B313" s="231"/>
      <c r="I313" s="392"/>
      <c r="K313" s="231"/>
      <c r="X313" s="1"/>
      <c r="Y313" s="1"/>
      <c r="Z313" s="1"/>
      <c r="AA313" s="1"/>
      <c r="AB313" s="392"/>
      <c r="AD313" s="231"/>
      <c r="AM313" s="231"/>
      <c r="AW313" s="1"/>
      <c r="AX313" s="1"/>
      <c r="AY313" s="1"/>
      <c r="AZ313" s="392"/>
      <c r="BB313" s="231"/>
    </row>
    <row r="314" spans="2:54" x14ac:dyDescent="0.25">
      <c r="B314" s="231"/>
      <c r="I314" s="392"/>
      <c r="K314" s="231"/>
      <c r="X314" s="1"/>
      <c r="Y314" s="1"/>
      <c r="Z314" s="1"/>
      <c r="AA314" s="1"/>
      <c r="AB314" s="392"/>
      <c r="AD314" s="231"/>
      <c r="AM314" s="231"/>
      <c r="AW314" s="1"/>
      <c r="AX314" s="1"/>
      <c r="AY314" s="1"/>
      <c r="AZ314" s="392"/>
      <c r="BB314" s="231"/>
    </row>
    <row r="315" spans="2:54" x14ac:dyDescent="0.25">
      <c r="B315" s="231"/>
      <c r="I315" s="392"/>
      <c r="K315" s="231"/>
      <c r="X315" s="1"/>
      <c r="Y315" s="1"/>
      <c r="Z315" s="1"/>
      <c r="AA315" s="1"/>
      <c r="AB315" s="392"/>
      <c r="AD315" s="231"/>
      <c r="AM315" s="231"/>
      <c r="AW315" s="1"/>
      <c r="AX315" s="1"/>
      <c r="AY315" s="1"/>
      <c r="AZ315" s="392"/>
      <c r="BB315" s="231"/>
    </row>
    <row r="316" spans="2:54" x14ac:dyDescent="0.25">
      <c r="B316" s="231"/>
      <c r="I316" s="392"/>
      <c r="K316" s="231"/>
      <c r="X316" s="1"/>
      <c r="Y316" s="1"/>
      <c r="Z316" s="1"/>
      <c r="AA316" s="1"/>
      <c r="AB316" s="392"/>
      <c r="AD316" s="231"/>
      <c r="AM316" s="231"/>
      <c r="AW316" s="1"/>
      <c r="AX316" s="1"/>
      <c r="AY316" s="1"/>
      <c r="AZ316" s="392"/>
      <c r="BB316" s="231"/>
    </row>
    <row r="317" spans="2:54" x14ac:dyDescent="0.25">
      <c r="B317" s="231"/>
      <c r="I317" s="392"/>
      <c r="K317" s="231"/>
      <c r="X317" s="1"/>
      <c r="Y317" s="1"/>
      <c r="Z317" s="1"/>
      <c r="AA317" s="1"/>
      <c r="AB317" s="392"/>
      <c r="AD317" s="231"/>
      <c r="AM317" s="231"/>
      <c r="AW317" s="1"/>
      <c r="AX317" s="1"/>
      <c r="AY317" s="1"/>
      <c r="AZ317" s="392"/>
      <c r="BB317" s="231"/>
    </row>
    <row r="318" spans="2:54" x14ac:dyDescent="0.25">
      <c r="B318" s="231"/>
      <c r="I318" s="392"/>
      <c r="K318" s="231"/>
      <c r="X318" s="1"/>
      <c r="Y318" s="1"/>
      <c r="Z318" s="1"/>
      <c r="AA318" s="1"/>
      <c r="AB318" s="392"/>
      <c r="AD318" s="231"/>
      <c r="AM318" s="231"/>
      <c r="AW318" s="1"/>
      <c r="AX318" s="1"/>
      <c r="AY318" s="1"/>
      <c r="AZ318" s="392"/>
      <c r="BB318" s="231"/>
    </row>
    <row r="319" spans="2:54" x14ac:dyDescent="0.25">
      <c r="B319" s="231"/>
      <c r="I319" s="392"/>
      <c r="K319" s="231"/>
      <c r="X319" s="1"/>
      <c r="Y319" s="1"/>
      <c r="Z319" s="1"/>
      <c r="AA319" s="1"/>
      <c r="AB319" s="392"/>
      <c r="AD319" s="231"/>
      <c r="AM319" s="231"/>
      <c r="AW319" s="1"/>
      <c r="AX319" s="1"/>
      <c r="AY319" s="1"/>
      <c r="AZ319" s="392"/>
      <c r="BB319" s="231"/>
    </row>
    <row r="320" spans="2:54" x14ac:dyDescent="0.25">
      <c r="B320" s="231"/>
      <c r="I320" s="392"/>
      <c r="K320" s="231"/>
      <c r="X320" s="1"/>
      <c r="Y320" s="1"/>
      <c r="Z320" s="1"/>
      <c r="AA320" s="1"/>
      <c r="AB320" s="392"/>
      <c r="AD320" s="231"/>
      <c r="AM320" s="231"/>
      <c r="AW320" s="1"/>
      <c r="AX320" s="1"/>
      <c r="AY320" s="1"/>
      <c r="AZ320" s="392"/>
      <c r="BB320" s="231"/>
    </row>
    <row r="321" spans="2:54" x14ac:dyDescent="0.25">
      <c r="B321" s="231"/>
      <c r="I321" s="392"/>
      <c r="K321" s="231"/>
      <c r="X321" s="1"/>
      <c r="Y321" s="1"/>
      <c r="Z321" s="1"/>
      <c r="AA321" s="1"/>
      <c r="AB321" s="392"/>
      <c r="AD321" s="231"/>
      <c r="AM321" s="231"/>
      <c r="AW321" s="1"/>
      <c r="AX321" s="1"/>
      <c r="AY321" s="1"/>
      <c r="AZ321" s="392"/>
      <c r="BB321" s="231"/>
    </row>
    <row r="322" spans="2:54" x14ac:dyDescent="0.25">
      <c r="B322" s="231"/>
      <c r="I322" s="392"/>
      <c r="K322" s="231"/>
      <c r="X322" s="1"/>
      <c r="Y322" s="1"/>
      <c r="Z322" s="1"/>
      <c r="AA322" s="1"/>
      <c r="AB322" s="392"/>
      <c r="AD322" s="231"/>
      <c r="AM322" s="231"/>
      <c r="AW322" s="1"/>
      <c r="AX322" s="1"/>
      <c r="AY322" s="1"/>
      <c r="AZ322" s="392"/>
      <c r="BB322" s="231"/>
    </row>
    <row r="323" spans="2:54" x14ac:dyDescent="0.25">
      <c r="B323" s="231"/>
      <c r="I323" s="392"/>
      <c r="K323" s="231"/>
      <c r="X323" s="1"/>
      <c r="Y323" s="1"/>
      <c r="Z323" s="1"/>
      <c r="AA323" s="1"/>
      <c r="AB323" s="392"/>
      <c r="AD323" s="231"/>
      <c r="AM323" s="231"/>
      <c r="AW323" s="1"/>
      <c r="AX323" s="1"/>
      <c r="AY323" s="1"/>
      <c r="AZ323" s="392"/>
      <c r="BB323" s="231"/>
    </row>
    <row r="324" spans="2:54" x14ac:dyDescent="0.25">
      <c r="B324" s="231"/>
      <c r="I324" s="392"/>
      <c r="K324" s="231"/>
      <c r="X324" s="1"/>
      <c r="Y324" s="1"/>
      <c r="Z324" s="1"/>
      <c r="AA324" s="1"/>
      <c r="AB324" s="392"/>
      <c r="AD324" s="231"/>
      <c r="AM324" s="231"/>
      <c r="AW324" s="1"/>
      <c r="AX324" s="1"/>
      <c r="AY324" s="1"/>
      <c r="AZ324" s="392"/>
      <c r="BB324" s="231"/>
    </row>
    <row r="325" spans="2:54" x14ac:dyDescent="0.25">
      <c r="B325" s="231"/>
      <c r="I325" s="392"/>
      <c r="K325" s="231"/>
      <c r="X325" s="1"/>
      <c r="Y325" s="1"/>
      <c r="Z325" s="1"/>
      <c r="AA325" s="1"/>
      <c r="AB325" s="392"/>
      <c r="AD325" s="231"/>
      <c r="AM325" s="231"/>
      <c r="AW325" s="1"/>
      <c r="AX325" s="1"/>
      <c r="AY325" s="1"/>
      <c r="AZ325" s="392"/>
      <c r="BB325" s="231"/>
    </row>
    <row r="326" spans="2:54" x14ac:dyDescent="0.25">
      <c r="B326" s="231"/>
      <c r="I326" s="392"/>
      <c r="K326" s="231"/>
      <c r="X326" s="1"/>
      <c r="Y326" s="1"/>
      <c r="Z326" s="1"/>
      <c r="AA326" s="1"/>
      <c r="AB326" s="392"/>
      <c r="AD326" s="231"/>
      <c r="AM326" s="231"/>
      <c r="AW326" s="1"/>
      <c r="AX326" s="1"/>
      <c r="AY326" s="1"/>
      <c r="AZ326" s="392"/>
      <c r="BB326" s="231"/>
    </row>
    <row r="327" spans="2:54" x14ac:dyDescent="0.25">
      <c r="B327" s="231"/>
      <c r="I327" s="392"/>
      <c r="K327" s="231"/>
      <c r="X327" s="1"/>
      <c r="Y327" s="1"/>
      <c r="Z327" s="1"/>
      <c r="AA327" s="1"/>
      <c r="AB327" s="392"/>
      <c r="AD327" s="231"/>
      <c r="AM327" s="231"/>
      <c r="AW327" s="1"/>
      <c r="AX327" s="1"/>
      <c r="AY327" s="1"/>
      <c r="AZ327" s="392"/>
      <c r="BB327" s="231"/>
    </row>
    <row r="328" spans="2:54" x14ac:dyDescent="0.25">
      <c r="B328" s="231"/>
      <c r="I328" s="392"/>
      <c r="K328" s="231"/>
      <c r="X328" s="1"/>
      <c r="Y328" s="1"/>
      <c r="Z328" s="1"/>
      <c r="AA328" s="1"/>
      <c r="AB328" s="392"/>
      <c r="AD328" s="231"/>
      <c r="AM328" s="231"/>
      <c r="AW328" s="1"/>
      <c r="AX328" s="1"/>
      <c r="AY328" s="1"/>
      <c r="AZ328" s="392"/>
      <c r="BB328" s="231"/>
    </row>
    <row r="329" spans="2:54" x14ac:dyDescent="0.25">
      <c r="B329" s="231"/>
      <c r="I329" s="392"/>
      <c r="K329" s="231"/>
      <c r="X329" s="1"/>
      <c r="Y329" s="1"/>
      <c r="Z329" s="1"/>
      <c r="AA329" s="1"/>
      <c r="AB329" s="392"/>
      <c r="AD329" s="231"/>
      <c r="AM329" s="231"/>
      <c r="AW329" s="1"/>
      <c r="AX329" s="1"/>
      <c r="AY329" s="1"/>
      <c r="AZ329" s="392"/>
      <c r="BB329" s="231"/>
    </row>
    <row r="330" spans="2:54" x14ac:dyDescent="0.25">
      <c r="B330" s="231"/>
      <c r="I330" s="392"/>
      <c r="K330" s="231"/>
      <c r="X330" s="1"/>
      <c r="Y330" s="1"/>
      <c r="Z330" s="1"/>
      <c r="AA330" s="1"/>
      <c r="AB330" s="392"/>
      <c r="AD330" s="231"/>
      <c r="AM330" s="231"/>
      <c r="AW330" s="1"/>
      <c r="AX330" s="1"/>
      <c r="AY330" s="1"/>
      <c r="AZ330" s="392"/>
      <c r="BB330" s="231"/>
    </row>
    <row r="331" spans="2:54" x14ac:dyDescent="0.25">
      <c r="B331" s="231"/>
      <c r="I331" s="392"/>
      <c r="K331" s="231"/>
      <c r="X331" s="1"/>
      <c r="Y331" s="1"/>
      <c r="Z331" s="1"/>
      <c r="AA331" s="1"/>
      <c r="AB331" s="392"/>
      <c r="AD331" s="231"/>
      <c r="AM331" s="231"/>
      <c r="AW331" s="1"/>
      <c r="AX331" s="1"/>
      <c r="AY331" s="1"/>
      <c r="AZ331" s="392"/>
      <c r="BB331" s="231"/>
    </row>
    <row r="332" spans="2:54" x14ac:dyDescent="0.25">
      <c r="B332" s="231"/>
      <c r="I332" s="392"/>
      <c r="K332" s="231"/>
      <c r="X332" s="1"/>
      <c r="Y332" s="1"/>
      <c r="Z332" s="1"/>
      <c r="AA332" s="1"/>
      <c r="AB332" s="392"/>
      <c r="AD332" s="231"/>
      <c r="AM332" s="231"/>
      <c r="AW332" s="1"/>
      <c r="AX332" s="1"/>
      <c r="AY332" s="1"/>
      <c r="AZ332" s="392"/>
      <c r="BB332" s="231"/>
    </row>
    <row r="333" spans="2:54" x14ac:dyDescent="0.25">
      <c r="B333" s="231"/>
      <c r="I333" s="392"/>
      <c r="K333" s="231"/>
      <c r="X333" s="1"/>
      <c r="Y333" s="1"/>
      <c r="Z333" s="1"/>
      <c r="AA333" s="1"/>
      <c r="AB333" s="392"/>
      <c r="AD333" s="231"/>
      <c r="AM333" s="231"/>
      <c r="AW333" s="1"/>
      <c r="AX333" s="1"/>
      <c r="AY333" s="1"/>
      <c r="AZ333" s="392"/>
      <c r="BB333" s="231"/>
    </row>
    <row r="334" spans="2:54" x14ac:dyDescent="0.25">
      <c r="B334" s="231"/>
      <c r="I334" s="392"/>
      <c r="K334" s="231"/>
      <c r="X334" s="1"/>
      <c r="Y334" s="1"/>
      <c r="Z334" s="1"/>
      <c r="AA334" s="1"/>
      <c r="AB334" s="392"/>
      <c r="AD334" s="231"/>
      <c r="AM334" s="231"/>
      <c r="AW334" s="1"/>
      <c r="AX334" s="1"/>
      <c r="AY334" s="1"/>
      <c r="AZ334" s="392"/>
      <c r="BB334" s="231"/>
    </row>
    <row r="335" spans="2:54" x14ac:dyDescent="0.25">
      <c r="B335" s="231"/>
      <c r="I335" s="392"/>
      <c r="K335" s="231"/>
      <c r="X335" s="1"/>
      <c r="Y335" s="1"/>
      <c r="Z335" s="1"/>
      <c r="AA335" s="1"/>
      <c r="AB335" s="392"/>
      <c r="AD335" s="231"/>
      <c r="AM335" s="231"/>
      <c r="AW335" s="1"/>
      <c r="AX335" s="1"/>
      <c r="AY335" s="1"/>
      <c r="AZ335" s="392"/>
      <c r="BB335" s="231"/>
    </row>
    <row r="336" spans="2:54" x14ac:dyDescent="0.25">
      <c r="B336" s="231"/>
      <c r="I336" s="392"/>
      <c r="K336" s="231"/>
      <c r="X336" s="1"/>
      <c r="Y336" s="1"/>
      <c r="Z336" s="1"/>
      <c r="AA336" s="1"/>
      <c r="AB336" s="392"/>
      <c r="AD336" s="231"/>
      <c r="AM336" s="231"/>
      <c r="AW336" s="1"/>
      <c r="AX336" s="1"/>
      <c r="AY336" s="1"/>
      <c r="AZ336" s="392"/>
      <c r="BB336" s="231"/>
    </row>
    <row r="337" spans="2:54" x14ac:dyDescent="0.25">
      <c r="B337" s="231"/>
      <c r="I337" s="392"/>
      <c r="K337" s="231"/>
      <c r="X337" s="1"/>
      <c r="Y337" s="1"/>
      <c r="Z337" s="1"/>
      <c r="AA337" s="1"/>
      <c r="AB337" s="392"/>
      <c r="AD337" s="231"/>
      <c r="AM337" s="231"/>
      <c r="AW337" s="1"/>
      <c r="AX337" s="1"/>
      <c r="AY337" s="1"/>
      <c r="AZ337" s="392"/>
      <c r="BB337" s="231"/>
    </row>
    <row r="338" spans="2:54" x14ac:dyDescent="0.25">
      <c r="B338" s="231"/>
      <c r="I338" s="392"/>
      <c r="K338" s="231"/>
      <c r="X338" s="1"/>
      <c r="Y338" s="1"/>
      <c r="Z338" s="1"/>
      <c r="AA338" s="1"/>
      <c r="AB338" s="392"/>
      <c r="AD338" s="231"/>
      <c r="AM338" s="231"/>
      <c r="AW338" s="1"/>
      <c r="AX338" s="1"/>
      <c r="AY338" s="1"/>
      <c r="AZ338" s="392"/>
      <c r="BB338" s="231"/>
    </row>
    <row r="339" spans="2:54" x14ac:dyDescent="0.25">
      <c r="B339" s="231"/>
      <c r="I339" s="392"/>
      <c r="K339" s="231"/>
      <c r="X339" s="1"/>
      <c r="Y339" s="1"/>
      <c r="Z339" s="1"/>
      <c r="AA339" s="1"/>
      <c r="AB339" s="392"/>
      <c r="AD339" s="231"/>
      <c r="AM339" s="231"/>
      <c r="AW339" s="1"/>
      <c r="AX339" s="1"/>
      <c r="AY339" s="1"/>
      <c r="AZ339" s="392"/>
      <c r="BB339" s="231"/>
    </row>
    <row r="340" spans="2:54" x14ac:dyDescent="0.25">
      <c r="B340" s="231"/>
      <c r="I340" s="392"/>
      <c r="K340" s="231"/>
      <c r="X340" s="1"/>
      <c r="Y340" s="1"/>
      <c r="Z340" s="1"/>
      <c r="AA340" s="1"/>
      <c r="AB340" s="392"/>
      <c r="AD340" s="231"/>
      <c r="AM340" s="231"/>
      <c r="AW340" s="1"/>
      <c r="AX340" s="1"/>
      <c r="AY340" s="1"/>
      <c r="AZ340" s="392"/>
      <c r="BB340" s="231"/>
    </row>
    <row r="341" spans="2:54" x14ac:dyDescent="0.25">
      <c r="B341" s="231"/>
      <c r="I341" s="392"/>
      <c r="K341" s="231"/>
      <c r="X341" s="1"/>
      <c r="Y341" s="1"/>
      <c r="Z341" s="1"/>
      <c r="AA341" s="1"/>
      <c r="AB341" s="392"/>
      <c r="AD341" s="231"/>
      <c r="AM341" s="231"/>
      <c r="AW341" s="1"/>
      <c r="AX341" s="1"/>
      <c r="AY341" s="1"/>
      <c r="AZ341" s="392"/>
      <c r="BB341" s="231"/>
    </row>
    <row r="342" spans="2:54" x14ac:dyDescent="0.25">
      <c r="B342" s="231"/>
      <c r="I342" s="392"/>
      <c r="K342" s="231"/>
      <c r="X342" s="1"/>
      <c r="Y342" s="1"/>
      <c r="Z342" s="1"/>
      <c r="AA342" s="1"/>
      <c r="AB342" s="392"/>
      <c r="AD342" s="231"/>
      <c r="AM342" s="231"/>
      <c r="AW342" s="1"/>
      <c r="AX342" s="1"/>
      <c r="AY342" s="1"/>
      <c r="AZ342" s="392"/>
      <c r="BB342" s="231"/>
    </row>
    <row r="343" spans="2:54" x14ac:dyDescent="0.25">
      <c r="B343" s="231"/>
      <c r="I343" s="392"/>
      <c r="K343" s="231"/>
      <c r="X343" s="1"/>
      <c r="Y343" s="1"/>
      <c r="Z343" s="1"/>
      <c r="AA343" s="1"/>
      <c r="AB343" s="392"/>
      <c r="AD343" s="231"/>
      <c r="AM343" s="231"/>
      <c r="AW343" s="1"/>
      <c r="AX343" s="1"/>
      <c r="AY343" s="1"/>
      <c r="AZ343" s="392"/>
      <c r="BB343" s="231"/>
    </row>
    <row r="344" spans="2:54" x14ac:dyDescent="0.25">
      <c r="B344" s="231"/>
      <c r="I344" s="392"/>
      <c r="K344" s="231"/>
      <c r="X344" s="1"/>
      <c r="Y344" s="1"/>
      <c r="Z344" s="1"/>
      <c r="AA344" s="1"/>
      <c r="AB344" s="392"/>
      <c r="AD344" s="231"/>
      <c r="AM344" s="231"/>
      <c r="AW344" s="1"/>
      <c r="AX344" s="1"/>
      <c r="AY344" s="1"/>
      <c r="AZ344" s="392"/>
      <c r="BB344" s="231"/>
    </row>
    <row r="345" spans="2:54" x14ac:dyDescent="0.25">
      <c r="B345" s="231"/>
      <c r="I345" s="392"/>
      <c r="K345" s="231"/>
      <c r="X345" s="1"/>
      <c r="Y345" s="1"/>
      <c r="Z345" s="1"/>
      <c r="AA345" s="1"/>
      <c r="AB345" s="392"/>
      <c r="AD345" s="231"/>
      <c r="AM345" s="231"/>
      <c r="AW345" s="1"/>
      <c r="AX345" s="1"/>
      <c r="AY345" s="1"/>
      <c r="AZ345" s="392"/>
      <c r="BB345" s="231"/>
    </row>
    <row r="346" spans="2:54" x14ac:dyDescent="0.25">
      <c r="B346" s="231"/>
      <c r="I346" s="392"/>
      <c r="K346" s="231"/>
      <c r="X346" s="1"/>
      <c r="Y346" s="1"/>
      <c r="Z346" s="1"/>
      <c r="AA346" s="1"/>
      <c r="AB346" s="392"/>
      <c r="AD346" s="231"/>
      <c r="AM346" s="231"/>
      <c r="AW346" s="1"/>
      <c r="AX346" s="1"/>
      <c r="AY346" s="1"/>
      <c r="AZ346" s="392"/>
      <c r="BB346" s="231"/>
    </row>
    <row r="347" spans="2:54" x14ac:dyDescent="0.25">
      <c r="B347" s="231"/>
      <c r="I347" s="392"/>
      <c r="K347" s="231"/>
      <c r="X347" s="1"/>
      <c r="Y347" s="1"/>
      <c r="Z347" s="1"/>
      <c r="AA347" s="1"/>
      <c r="AB347" s="392"/>
      <c r="AD347" s="231"/>
      <c r="AM347" s="231"/>
      <c r="AW347" s="1"/>
      <c r="AX347" s="1"/>
      <c r="AY347" s="1"/>
      <c r="AZ347" s="392"/>
      <c r="BB347" s="231"/>
    </row>
    <row r="348" spans="2:54" x14ac:dyDescent="0.25">
      <c r="B348" s="231"/>
      <c r="I348" s="392"/>
      <c r="K348" s="231"/>
      <c r="X348" s="1"/>
      <c r="Y348" s="1"/>
      <c r="Z348" s="1"/>
      <c r="AA348" s="1"/>
      <c r="AB348" s="392"/>
      <c r="AD348" s="231"/>
      <c r="AM348" s="231"/>
      <c r="AW348" s="1"/>
      <c r="AX348" s="1"/>
      <c r="AY348" s="1"/>
      <c r="AZ348" s="392"/>
      <c r="BB348" s="231"/>
    </row>
    <row r="349" spans="2:54" x14ac:dyDescent="0.25">
      <c r="B349" s="231"/>
      <c r="I349" s="392"/>
      <c r="K349" s="231"/>
      <c r="X349" s="1"/>
      <c r="Y349" s="1"/>
      <c r="Z349" s="1"/>
      <c r="AA349" s="1"/>
      <c r="AB349" s="392"/>
      <c r="AD349" s="231"/>
      <c r="AM349" s="231"/>
      <c r="AW349" s="1"/>
      <c r="AX349" s="1"/>
      <c r="AY349" s="1"/>
      <c r="AZ349" s="392"/>
      <c r="BB349" s="231"/>
    </row>
    <row r="350" spans="2:54" x14ac:dyDescent="0.25">
      <c r="B350" s="231"/>
      <c r="I350" s="392"/>
      <c r="K350" s="231"/>
      <c r="X350" s="1"/>
      <c r="Y350" s="1"/>
      <c r="Z350" s="1"/>
      <c r="AA350" s="1"/>
      <c r="AB350" s="392"/>
      <c r="AD350" s="231"/>
      <c r="AM350" s="231"/>
      <c r="AW350" s="1"/>
      <c r="AX350" s="1"/>
      <c r="AY350" s="1"/>
      <c r="AZ350" s="392"/>
      <c r="BB350" s="231"/>
    </row>
    <row r="351" spans="2:54" x14ac:dyDescent="0.25">
      <c r="B351" s="231"/>
      <c r="I351" s="392"/>
      <c r="K351" s="231"/>
      <c r="X351" s="1"/>
      <c r="Y351" s="1"/>
      <c r="Z351" s="1"/>
      <c r="AA351" s="1"/>
      <c r="AB351" s="392"/>
      <c r="AD351" s="231"/>
      <c r="AM351" s="231"/>
      <c r="AW351" s="1"/>
      <c r="AX351" s="1"/>
      <c r="AY351" s="1"/>
      <c r="AZ351" s="392"/>
      <c r="BB351" s="231"/>
    </row>
    <row r="352" spans="2:54" x14ac:dyDescent="0.25">
      <c r="B352" s="231"/>
      <c r="I352" s="392"/>
      <c r="K352" s="231"/>
      <c r="X352" s="1"/>
      <c r="Y352" s="1"/>
      <c r="Z352" s="1"/>
      <c r="AA352" s="1"/>
      <c r="AB352" s="392"/>
      <c r="AD352" s="231"/>
      <c r="AM352" s="231"/>
      <c r="AW352" s="1"/>
      <c r="AX352" s="1"/>
      <c r="AY352" s="1"/>
      <c r="AZ352" s="392"/>
      <c r="BB352" s="231"/>
    </row>
    <row r="353" spans="2:54" x14ac:dyDescent="0.25">
      <c r="B353" s="231"/>
      <c r="I353" s="392"/>
      <c r="K353" s="231"/>
      <c r="X353" s="1"/>
      <c r="Y353" s="1"/>
      <c r="Z353" s="1"/>
      <c r="AA353" s="1"/>
      <c r="AB353" s="392"/>
      <c r="AD353" s="231"/>
      <c r="AM353" s="231"/>
      <c r="AW353" s="1"/>
      <c r="AX353" s="1"/>
      <c r="AY353" s="1"/>
      <c r="AZ353" s="392"/>
      <c r="BB353" s="231"/>
    </row>
    <row r="354" spans="2:54" x14ac:dyDescent="0.25">
      <c r="B354" s="231"/>
      <c r="I354" s="392"/>
      <c r="K354" s="231"/>
      <c r="X354" s="1"/>
      <c r="Y354" s="1"/>
      <c r="Z354" s="1"/>
      <c r="AA354" s="1"/>
      <c r="AB354" s="392"/>
      <c r="AD354" s="231"/>
      <c r="AM354" s="231"/>
      <c r="AW354" s="1"/>
      <c r="AX354" s="1"/>
      <c r="AY354" s="1"/>
      <c r="AZ354" s="392"/>
      <c r="BB354" s="231"/>
    </row>
    <row r="355" spans="2:54" x14ac:dyDescent="0.25">
      <c r="B355" s="231"/>
      <c r="I355" s="392"/>
      <c r="K355" s="231"/>
      <c r="X355" s="1"/>
      <c r="Y355" s="1"/>
      <c r="Z355" s="1"/>
      <c r="AA355" s="1"/>
      <c r="AB355" s="392"/>
      <c r="AD355" s="231"/>
      <c r="AM355" s="231"/>
      <c r="AW355" s="1"/>
      <c r="AX355" s="1"/>
      <c r="AY355" s="1"/>
      <c r="AZ355" s="392"/>
      <c r="BB355" s="231"/>
    </row>
    <row r="356" spans="2:54" x14ac:dyDescent="0.25">
      <c r="B356" s="231"/>
      <c r="I356" s="392"/>
      <c r="K356" s="231"/>
      <c r="X356" s="1"/>
      <c r="Y356" s="1"/>
      <c r="Z356" s="1"/>
      <c r="AA356" s="1"/>
      <c r="AB356" s="392"/>
      <c r="AD356" s="231"/>
      <c r="AM356" s="231"/>
      <c r="AW356" s="1"/>
      <c r="AX356" s="1"/>
      <c r="AY356" s="1"/>
      <c r="AZ356" s="392"/>
      <c r="BB356" s="231"/>
    </row>
    <row r="357" spans="2:54" x14ac:dyDescent="0.25">
      <c r="B357" s="231"/>
      <c r="I357" s="392"/>
      <c r="K357" s="231"/>
      <c r="X357" s="1"/>
      <c r="Y357" s="1"/>
      <c r="Z357" s="1"/>
      <c r="AA357" s="1"/>
      <c r="AB357" s="392"/>
      <c r="AD357" s="231"/>
      <c r="AM357" s="231"/>
      <c r="AW357" s="1"/>
      <c r="AX357" s="1"/>
      <c r="AY357" s="1"/>
      <c r="AZ357" s="392"/>
      <c r="BB357" s="231"/>
    </row>
    <row r="358" spans="2:54" x14ac:dyDescent="0.25">
      <c r="B358" s="231"/>
      <c r="I358" s="392"/>
      <c r="K358" s="231"/>
      <c r="X358" s="1"/>
      <c r="Y358" s="1"/>
      <c r="Z358" s="1"/>
      <c r="AA358" s="1"/>
      <c r="AB358" s="392"/>
      <c r="AD358" s="231"/>
      <c r="AM358" s="231"/>
      <c r="AW358" s="1"/>
      <c r="AX358" s="1"/>
      <c r="AY358" s="1"/>
      <c r="AZ358" s="392"/>
      <c r="BB358" s="231"/>
    </row>
    <row r="359" spans="2:54" x14ac:dyDescent="0.25">
      <c r="B359" s="231"/>
      <c r="I359" s="392"/>
      <c r="K359" s="231"/>
      <c r="X359" s="1"/>
      <c r="Y359" s="1"/>
      <c r="Z359" s="1"/>
      <c r="AA359" s="1"/>
      <c r="AB359" s="392"/>
      <c r="AD359" s="231"/>
      <c r="AM359" s="231"/>
      <c r="AW359" s="1"/>
      <c r="AX359" s="1"/>
      <c r="AY359" s="1"/>
      <c r="AZ359" s="392"/>
      <c r="BB359" s="231"/>
    </row>
    <row r="360" spans="2:54" x14ac:dyDescent="0.25">
      <c r="B360" s="231"/>
      <c r="I360" s="392"/>
      <c r="K360" s="231"/>
      <c r="X360" s="1"/>
      <c r="Y360" s="1"/>
      <c r="Z360" s="1"/>
      <c r="AA360" s="1"/>
      <c r="AB360" s="392"/>
      <c r="AD360" s="231"/>
      <c r="AM360" s="231"/>
      <c r="AW360" s="1"/>
      <c r="AX360" s="1"/>
      <c r="AY360" s="1"/>
      <c r="AZ360" s="392"/>
      <c r="BB360" s="231"/>
    </row>
    <row r="361" spans="2:54" x14ac:dyDescent="0.25">
      <c r="B361" s="231"/>
      <c r="I361" s="392"/>
      <c r="K361" s="231"/>
      <c r="X361" s="1"/>
      <c r="Y361" s="1"/>
      <c r="Z361" s="1"/>
      <c r="AA361" s="1"/>
      <c r="AB361" s="392"/>
      <c r="AD361" s="231"/>
      <c r="AM361" s="231"/>
      <c r="AW361" s="1"/>
      <c r="AX361" s="1"/>
      <c r="AY361" s="1"/>
      <c r="AZ361" s="392"/>
      <c r="BB361" s="231"/>
    </row>
    <row r="362" spans="2:54" x14ac:dyDescent="0.25">
      <c r="B362" s="231"/>
      <c r="I362" s="392"/>
      <c r="K362" s="231"/>
      <c r="X362" s="1"/>
      <c r="Y362" s="1"/>
      <c r="Z362" s="1"/>
      <c r="AA362" s="1"/>
      <c r="AB362" s="392"/>
      <c r="AD362" s="231"/>
      <c r="AM362" s="231"/>
      <c r="AW362" s="1"/>
      <c r="AX362" s="1"/>
      <c r="AY362" s="1"/>
      <c r="AZ362" s="392"/>
      <c r="BB362" s="231"/>
    </row>
    <row r="363" spans="2:54" x14ac:dyDescent="0.25">
      <c r="B363" s="231"/>
      <c r="I363" s="392"/>
      <c r="K363" s="231"/>
      <c r="X363" s="1"/>
      <c r="Y363" s="1"/>
      <c r="Z363" s="1"/>
      <c r="AA363" s="1"/>
      <c r="AB363" s="392"/>
      <c r="AD363" s="231"/>
      <c r="AM363" s="231"/>
      <c r="AW363" s="1"/>
      <c r="AX363" s="1"/>
      <c r="AY363" s="1"/>
      <c r="AZ363" s="392"/>
      <c r="BB363" s="231"/>
    </row>
    <row r="364" spans="2:54" x14ac:dyDescent="0.25">
      <c r="B364" s="231"/>
      <c r="I364" s="392"/>
      <c r="K364" s="231"/>
      <c r="X364" s="1"/>
      <c r="Y364" s="1"/>
      <c r="Z364" s="1"/>
      <c r="AA364" s="1"/>
      <c r="AB364" s="392"/>
      <c r="AD364" s="231"/>
      <c r="AM364" s="231"/>
      <c r="AW364" s="1"/>
      <c r="AX364" s="1"/>
      <c r="AY364" s="1"/>
      <c r="AZ364" s="392"/>
      <c r="BB364" s="231"/>
    </row>
    <row r="365" spans="2:54" x14ac:dyDescent="0.25">
      <c r="B365" s="231"/>
      <c r="I365" s="392"/>
      <c r="K365" s="231"/>
      <c r="X365" s="1"/>
      <c r="Y365" s="1"/>
      <c r="Z365" s="1"/>
      <c r="AA365" s="1"/>
      <c r="AB365" s="392"/>
      <c r="AD365" s="231"/>
      <c r="AM365" s="231"/>
      <c r="AW365" s="1"/>
      <c r="AX365" s="1"/>
      <c r="AY365" s="1"/>
      <c r="AZ365" s="392"/>
      <c r="BB365" s="231"/>
    </row>
    <row r="366" spans="2:54" x14ac:dyDescent="0.25">
      <c r="B366" s="231"/>
      <c r="I366" s="392"/>
      <c r="K366" s="231"/>
      <c r="X366" s="1"/>
      <c r="Y366" s="1"/>
      <c r="Z366" s="1"/>
      <c r="AA366" s="1"/>
      <c r="AB366" s="392"/>
      <c r="AD366" s="231"/>
      <c r="AM366" s="231"/>
      <c r="AW366" s="1"/>
      <c r="AX366" s="1"/>
      <c r="AY366" s="1"/>
      <c r="AZ366" s="392"/>
      <c r="BB366" s="231"/>
    </row>
    <row r="367" spans="2:54" x14ac:dyDescent="0.25">
      <c r="B367" s="231"/>
      <c r="I367" s="392"/>
      <c r="K367" s="231"/>
      <c r="X367" s="1"/>
      <c r="Y367" s="1"/>
      <c r="Z367" s="1"/>
      <c r="AA367" s="1"/>
      <c r="AB367" s="392"/>
      <c r="AD367" s="231"/>
      <c r="AM367" s="231"/>
      <c r="AW367" s="1"/>
      <c r="AX367" s="1"/>
      <c r="AY367" s="1"/>
      <c r="AZ367" s="392"/>
      <c r="BB367" s="231"/>
    </row>
    <row r="368" spans="2:54" x14ac:dyDescent="0.25">
      <c r="B368" s="231"/>
      <c r="I368" s="392"/>
      <c r="K368" s="231"/>
      <c r="X368" s="1"/>
      <c r="Y368" s="1"/>
      <c r="Z368" s="1"/>
      <c r="AA368" s="1"/>
      <c r="AB368" s="392"/>
      <c r="AD368" s="231"/>
      <c r="AM368" s="231"/>
      <c r="AW368" s="1"/>
      <c r="AX368" s="1"/>
      <c r="AY368" s="1"/>
      <c r="AZ368" s="392"/>
      <c r="BB368" s="231"/>
    </row>
    <row r="369" spans="2:54" x14ac:dyDescent="0.25">
      <c r="B369" s="231"/>
      <c r="I369" s="392"/>
      <c r="K369" s="231"/>
      <c r="X369" s="1"/>
      <c r="Y369" s="1"/>
      <c r="Z369" s="1"/>
      <c r="AA369" s="1"/>
      <c r="AB369" s="392"/>
      <c r="AD369" s="231"/>
      <c r="AM369" s="231"/>
      <c r="AW369" s="1"/>
      <c r="AX369" s="1"/>
      <c r="AY369" s="1"/>
      <c r="AZ369" s="392"/>
      <c r="BB369" s="231"/>
    </row>
    <row r="370" spans="2:54" x14ac:dyDescent="0.25">
      <c r="B370" s="231"/>
      <c r="I370" s="392"/>
      <c r="K370" s="231"/>
      <c r="X370" s="1"/>
      <c r="Y370" s="1"/>
      <c r="Z370" s="1"/>
      <c r="AA370" s="1"/>
      <c r="AB370" s="392"/>
      <c r="AD370" s="231"/>
      <c r="AM370" s="231"/>
      <c r="AW370" s="1"/>
      <c r="AX370" s="1"/>
      <c r="AY370" s="1"/>
      <c r="AZ370" s="392"/>
      <c r="BB370" s="231"/>
    </row>
    <row r="371" spans="2:54" x14ac:dyDescent="0.25">
      <c r="B371" s="231"/>
      <c r="I371" s="392"/>
      <c r="K371" s="231"/>
      <c r="X371" s="1"/>
      <c r="Y371" s="1"/>
      <c r="Z371" s="1"/>
      <c r="AA371" s="1"/>
      <c r="AB371" s="392"/>
      <c r="AD371" s="231"/>
      <c r="AM371" s="231"/>
      <c r="AW371" s="1"/>
      <c r="AX371" s="1"/>
      <c r="AY371" s="1"/>
      <c r="AZ371" s="392"/>
      <c r="BB371" s="231"/>
    </row>
    <row r="372" spans="2:54" x14ac:dyDescent="0.25">
      <c r="B372" s="231"/>
      <c r="I372" s="392"/>
      <c r="K372" s="231"/>
      <c r="X372" s="1"/>
      <c r="Y372" s="1"/>
      <c r="Z372" s="1"/>
      <c r="AA372" s="1"/>
      <c r="AB372" s="392"/>
      <c r="AD372" s="231"/>
      <c r="AM372" s="231"/>
      <c r="AW372" s="1"/>
      <c r="AX372" s="1"/>
      <c r="AY372" s="1"/>
      <c r="AZ372" s="392"/>
      <c r="BB372" s="231"/>
    </row>
    <row r="373" spans="2:54" x14ac:dyDescent="0.25">
      <c r="B373" s="231"/>
      <c r="I373" s="392"/>
      <c r="K373" s="231"/>
      <c r="X373" s="1"/>
      <c r="Y373" s="1"/>
      <c r="Z373" s="1"/>
      <c r="AA373" s="1"/>
      <c r="AB373" s="392"/>
      <c r="AD373" s="231"/>
      <c r="AM373" s="231"/>
      <c r="AW373" s="1"/>
      <c r="AX373" s="1"/>
      <c r="AY373" s="1"/>
      <c r="AZ373" s="392"/>
      <c r="BB373" s="231"/>
    </row>
    <row r="374" spans="2:54" x14ac:dyDescent="0.25">
      <c r="B374" s="231"/>
      <c r="I374" s="392"/>
      <c r="K374" s="231"/>
      <c r="X374" s="1"/>
      <c r="Y374" s="1"/>
      <c r="Z374" s="1"/>
      <c r="AA374" s="1"/>
      <c r="AB374" s="392"/>
      <c r="AD374" s="231"/>
      <c r="AM374" s="231"/>
      <c r="AW374" s="1"/>
      <c r="AX374" s="1"/>
      <c r="AY374" s="1"/>
      <c r="AZ374" s="392"/>
      <c r="BB374" s="231"/>
    </row>
    <row r="375" spans="2:54" x14ac:dyDescent="0.25">
      <c r="B375" s="231"/>
      <c r="I375" s="392"/>
      <c r="K375" s="231"/>
      <c r="X375" s="1"/>
      <c r="Y375" s="1"/>
      <c r="Z375" s="1"/>
      <c r="AA375" s="1"/>
      <c r="AB375" s="392"/>
      <c r="AD375" s="231"/>
      <c r="AM375" s="231"/>
      <c r="AW375" s="1"/>
      <c r="AX375" s="1"/>
      <c r="AY375" s="1"/>
      <c r="AZ375" s="392"/>
      <c r="BB375" s="231"/>
    </row>
    <row r="376" spans="2:54" x14ac:dyDescent="0.25">
      <c r="B376" s="231"/>
      <c r="I376" s="392"/>
      <c r="K376" s="231"/>
      <c r="X376" s="1"/>
      <c r="Y376" s="1"/>
      <c r="Z376" s="1"/>
      <c r="AA376" s="1"/>
      <c r="AB376" s="392"/>
      <c r="AD376" s="231"/>
      <c r="AM376" s="231"/>
      <c r="AW376" s="1"/>
      <c r="AX376" s="1"/>
      <c r="AY376" s="1"/>
      <c r="AZ376" s="392"/>
      <c r="BB376" s="231"/>
    </row>
    <row r="377" spans="2:54" x14ac:dyDescent="0.25">
      <c r="B377" s="231"/>
      <c r="I377" s="392"/>
      <c r="K377" s="231"/>
      <c r="X377" s="1"/>
      <c r="Y377" s="1"/>
      <c r="Z377" s="1"/>
      <c r="AA377" s="1"/>
      <c r="AB377" s="392"/>
      <c r="AD377" s="231"/>
      <c r="AM377" s="231"/>
      <c r="AW377" s="1"/>
      <c r="AX377" s="1"/>
      <c r="AY377" s="1"/>
      <c r="AZ377" s="392"/>
      <c r="BB377" s="231"/>
    </row>
    <row r="378" spans="2:54" x14ac:dyDescent="0.25">
      <c r="B378" s="231"/>
      <c r="I378" s="392"/>
      <c r="K378" s="231"/>
      <c r="X378" s="1"/>
      <c r="Y378" s="1"/>
      <c r="Z378" s="1"/>
      <c r="AA378" s="1"/>
      <c r="AB378" s="392"/>
      <c r="AD378" s="231"/>
      <c r="AM378" s="231"/>
      <c r="AW378" s="1"/>
      <c r="AX378" s="1"/>
      <c r="AY378" s="1"/>
      <c r="AZ378" s="392"/>
      <c r="BB378" s="231"/>
    </row>
    <row r="379" spans="2:54" x14ac:dyDescent="0.25">
      <c r="B379" s="231"/>
      <c r="I379" s="392"/>
      <c r="K379" s="231"/>
      <c r="X379" s="1"/>
      <c r="Y379" s="1"/>
      <c r="Z379" s="1"/>
      <c r="AA379" s="1"/>
      <c r="AB379" s="392"/>
      <c r="AD379" s="231"/>
      <c r="AM379" s="231"/>
      <c r="AW379" s="1"/>
      <c r="AX379" s="1"/>
      <c r="AY379" s="1"/>
      <c r="AZ379" s="392"/>
      <c r="BB379" s="231"/>
    </row>
    <row r="380" spans="2:54" x14ac:dyDescent="0.25">
      <c r="B380" s="231"/>
      <c r="I380" s="392"/>
      <c r="K380" s="231"/>
      <c r="X380" s="1"/>
      <c r="Y380" s="1"/>
      <c r="Z380" s="1"/>
      <c r="AA380" s="1"/>
      <c r="AB380" s="392"/>
      <c r="AD380" s="231"/>
      <c r="AM380" s="231"/>
      <c r="AW380" s="1"/>
      <c r="AX380" s="1"/>
      <c r="AY380" s="1"/>
      <c r="AZ380" s="392"/>
      <c r="BB380" s="231"/>
    </row>
    <row r="381" spans="2:54" x14ac:dyDescent="0.25">
      <c r="B381" s="231"/>
      <c r="I381" s="392"/>
      <c r="K381" s="231"/>
      <c r="X381" s="1"/>
      <c r="Y381" s="1"/>
      <c r="Z381" s="1"/>
      <c r="AA381" s="1"/>
      <c r="AB381" s="392"/>
      <c r="AD381" s="231"/>
      <c r="AM381" s="231"/>
      <c r="AW381" s="1"/>
      <c r="AX381" s="1"/>
      <c r="AY381" s="1"/>
      <c r="AZ381" s="392"/>
      <c r="BB381" s="231"/>
    </row>
    <row r="382" spans="2:54" x14ac:dyDescent="0.25">
      <c r="B382" s="231"/>
      <c r="I382" s="392"/>
      <c r="K382" s="231"/>
      <c r="X382" s="1"/>
      <c r="Y382" s="1"/>
      <c r="Z382" s="1"/>
      <c r="AA382" s="1"/>
      <c r="AB382" s="392"/>
      <c r="AD382" s="231"/>
      <c r="AM382" s="231"/>
      <c r="AW382" s="1"/>
      <c r="AX382" s="1"/>
      <c r="AY382" s="1"/>
      <c r="AZ382" s="392"/>
      <c r="BB382" s="231"/>
    </row>
    <row r="383" spans="2:54" x14ac:dyDescent="0.25">
      <c r="B383" s="231"/>
      <c r="I383" s="392"/>
      <c r="K383" s="231"/>
      <c r="X383" s="1"/>
      <c r="Y383" s="1"/>
      <c r="Z383" s="1"/>
      <c r="AA383" s="1"/>
      <c r="AB383" s="392"/>
      <c r="AD383" s="231"/>
      <c r="AM383" s="231"/>
      <c r="AW383" s="1"/>
      <c r="AX383" s="1"/>
      <c r="AY383" s="1"/>
      <c r="AZ383" s="392"/>
      <c r="BB383" s="231"/>
    </row>
    <row r="384" spans="2:54" x14ac:dyDescent="0.25">
      <c r="B384" s="231"/>
      <c r="I384" s="392"/>
      <c r="K384" s="231"/>
      <c r="X384" s="1"/>
      <c r="Y384" s="1"/>
      <c r="Z384" s="1"/>
      <c r="AA384" s="1"/>
      <c r="AB384" s="392"/>
      <c r="AD384" s="231"/>
      <c r="AM384" s="231"/>
      <c r="AW384" s="1"/>
      <c r="AX384" s="1"/>
      <c r="AY384" s="1"/>
      <c r="AZ384" s="392"/>
      <c r="BB384" s="231"/>
    </row>
    <row r="385" spans="2:54" x14ac:dyDescent="0.25">
      <c r="B385" s="231"/>
      <c r="I385" s="392"/>
      <c r="K385" s="231"/>
      <c r="X385" s="1"/>
      <c r="Y385" s="1"/>
      <c r="Z385" s="1"/>
      <c r="AA385" s="1"/>
      <c r="AB385" s="392"/>
      <c r="AD385" s="231"/>
      <c r="AM385" s="231"/>
      <c r="AW385" s="1"/>
      <c r="AX385" s="1"/>
      <c r="AY385" s="1"/>
      <c r="AZ385" s="392"/>
      <c r="BB385" s="231"/>
    </row>
    <row r="386" spans="2:54" x14ac:dyDescent="0.25">
      <c r="B386" s="231"/>
      <c r="I386" s="392"/>
      <c r="K386" s="231"/>
      <c r="X386" s="1"/>
      <c r="Y386" s="1"/>
      <c r="Z386" s="1"/>
      <c r="AA386" s="1"/>
      <c r="AB386" s="392"/>
      <c r="AD386" s="231"/>
      <c r="AM386" s="231"/>
      <c r="AW386" s="1"/>
      <c r="AX386" s="1"/>
      <c r="AY386" s="1"/>
      <c r="AZ386" s="392"/>
      <c r="BB386" s="231"/>
    </row>
    <row r="387" spans="2:54" x14ac:dyDescent="0.25">
      <c r="B387" s="231"/>
      <c r="I387" s="392"/>
      <c r="K387" s="231"/>
      <c r="X387" s="1"/>
      <c r="Y387" s="1"/>
      <c r="Z387" s="1"/>
      <c r="AA387" s="1"/>
      <c r="AB387" s="392"/>
      <c r="AD387" s="231"/>
      <c r="AM387" s="231"/>
      <c r="AW387" s="1"/>
      <c r="AX387" s="1"/>
      <c r="AY387" s="1"/>
      <c r="AZ387" s="392"/>
      <c r="BB387" s="231"/>
    </row>
    <row r="388" spans="2:54" x14ac:dyDescent="0.25">
      <c r="B388" s="231"/>
      <c r="I388" s="392"/>
      <c r="K388" s="231"/>
      <c r="X388" s="1"/>
      <c r="Y388" s="1"/>
      <c r="Z388" s="1"/>
      <c r="AA388" s="1"/>
      <c r="AB388" s="392"/>
      <c r="AD388" s="231"/>
      <c r="AM388" s="231"/>
      <c r="AW388" s="1"/>
      <c r="AX388" s="1"/>
      <c r="AY388" s="1"/>
      <c r="AZ388" s="392"/>
      <c r="BB388" s="231"/>
    </row>
    <row r="389" spans="2:54" x14ac:dyDescent="0.25">
      <c r="B389" s="231"/>
      <c r="I389" s="392"/>
      <c r="K389" s="231"/>
      <c r="X389" s="1"/>
      <c r="Y389" s="1"/>
      <c r="Z389" s="1"/>
      <c r="AA389" s="1"/>
      <c r="AB389" s="392"/>
      <c r="AD389" s="231"/>
      <c r="AM389" s="231"/>
      <c r="AW389" s="1"/>
      <c r="AX389" s="1"/>
      <c r="AY389" s="1"/>
      <c r="AZ389" s="392"/>
      <c r="BB389" s="231"/>
    </row>
    <row r="390" spans="2:54" x14ac:dyDescent="0.25">
      <c r="B390" s="231"/>
      <c r="I390" s="392"/>
      <c r="K390" s="231"/>
      <c r="X390" s="1"/>
      <c r="Y390" s="1"/>
      <c r="Z390" s="1"/>
      <c r="AA390" s="1"/>
      <c r="AB390" s="392"/>
      <c r="AD390" s="231"/>
      <c r="AM390" s="231"/>
      <c r="AW390" s="1"/>
      <c r="AX390" s="1"/>
      <c r="AY390" s="1"/>
      <c r="AZ390" s="392"/>
      <c r="BB390" s="231"/>
    </row>
    <row r="391" spans="2:54" x14ac:dyDescent="0.25">
      <c r="B391" s="231"/>
      <c r="I391" s="392"/>
      <c r="K391" s="231"/>
      <c r="X391" s="1"/>
      <c r="Y391" s="1"/>
      <c r="Z391" s="1"/>
      <c r="AA391" s="1"/>
      <c r="AB391" s="392"/>
      <c r="AD391" s="231"/>
      <c r="AM391" s="231"/>
      <c r="AW391" s="1"/>
      <c r="AX391" s="1"/>
      <c r="AY391" s="1"/>
      <c r="AZ391" s="392"/>
      <c r="BB391" s="231"/>
    </row>
    <row r="392" spans="2:54" x14ac:dyDescent="0.25">
      <c r="B392" s="231"/>
      <c r="I392" s="392"/>
      <c r="K392" s="231"/>
      <c r="X392" s="1"/>
      <c r="Y392" s="1"/>
      <c r="Z392" s="1"/>
      <c r="AA392" s="1"/>
      <c r="AB392" s="392"/>
      <c r="AD392" s="231"/>
      <c r="AM392" s="231"/>
      <c r="AW392" s="1"/>
      <c r="AX392" s="1"/>
      <c r="AY392" s="1"/>
      <c r="AZ392" s="392"/>
      <c r="BB392" s="231"/>
    </row>
    <row r="393" spans="2:54" x14ac:dyDescent="0.25">
      <c r="B393" s="231"/>
      <c r="I393" s="392"/>
      <c r="K393" s="231"/>
      <c r="X393" s="1"/>
      <c r="Y393" s="1"/>
      <c r="Z393" s="1"/>
      <c r="AA393" s="1"/>
      <c r="AB393" s="392"/>
      <c r="AD393" s="231"/>
      <c r="AM393" s="231"/>
      <c r="AW393" s="1"/>
      <c r="AX393" s="1"/>
      <c r="AY393" s="1"/>
      <c r="AZ393" s="392"/>
      <c r="BB393" s="231"/>
    </row>
    <row r="394" spans="2:54" x14ac:dyDescent="0.25">
      <c r="B394" s="231"/>
      <c r="I394" s="392"/>
      <c r="K394" s="231"/>
      <c r="X394" s="1"/>
      <c r="Y394" s="1"/>
      <c r="Z394" s="1"/>
      <c r="AA394" s="1"/>
      <c r="AB394" s="392"/>
      <c r="AD394" s="231"/>
      <c r="AM394" s="231"/>
      <c r="AW394" s="1"/>
      <c r="AX394" s="1"/>
      <c r="AY394" s="1"/>
      <c r="AZ394" s="392"/>
      <c r="BB394" s="231"/>
    </row>
    <row r="395" spans="2:54" x14ac:dyDescent="0.25">
      <c r="B395" s="231"/>
      <c r="I395" s="392"/>
      <c r="K395" s="231"/>
      <c r="X395" s="1"/>
      <c r="Y395" s="1"/>
      <c r="Z395" s="1"/>
      <c r="AA395" s="1"/>
      <c r="AB395" s="392"/>
      <c r="AD395" s="231"/>
      <c r="AM395" s="231"/>
      <c r="AW395" s="1"/>
      <c r="AX395" s="1"/>
      <c r="AY395" s="1"/>
      <c r="AZ395" s="392"/>
      <c r="BB395" s="231"/>
    </row>
    <row r="396" spans="2:54" x14ac:dyDescent="0.25">
      <c r="B396" s="231"/>
      <c r="I396" s="392"/>
      <c r="K396" s="231"/>
      <c r="X396" s="1"/>
      <c r="Y396" s="1"/>
      <c r="Z396" s="1"/>
      <c r="AA396" s="1"/>
      <c r="AB396" s="392"/>
      <c r="AD396" s="231"/>
      <c r="AM396" s="231"/>
      <c r="AW396" s="1"/>
      <c r="AX396" s="1"/>
      <c r="AY396" s="1"/>
      <c r="AZ396" s="392"/>
      <c r="BB396" s="231"/>
    </row>
    <row r="397" spans="2:54" x14ac:dyDescent="0.25">
      <c r="B397" s="231"/>
      <c r="I397" s="392"/>
      <c r="K397" s="231"/>
      <c r="X397" s="1"/>
      <c r="Y397" s="1"/>
      <c r="Z397" s="1"/>
      <c r="AA397" s="1"/>
      <c r="AB397" s="392"/>
      <c r="AD397" s="231"/>
      <c r="AM397" s="231"/>
      <c r="AW397" s="1"/>
      <c r="AX397" s="1"/>
      <c r="AY397" s="1"/>
      <c r="AZ397" s="392"/>
      <c r="BB397" s="231"/>
    </row>
    <row r="398" spans="2:54" x14ac:dyDescent="0.25">
      <c r="B398" s="231"/>
      <c r="I398" s="392"/>
      <c r="K398" s="231"/>
      <c r="X398" s="1"/>
      <c r="Y398" s="1"/>
      <c r="Z398" s="1"/>
      <c r="AA398" s="1"/>
      <c r="AB398" s="392"/>
      <c r="AD398" s="231"/>
      <c r="AM398" s="231"/>
      <c r="AW398" s="1"/>
      <c r="AX398" s="1"/>
      <c r="AY398" s="1"/>
      <c r="AZ398" s="392"/>
      <c r="BB398" s="231"/>
    </row>
    <row r="399" spans="2:54" x14ac:dyDescent="0.25">
      <c r="B399" s="231"/>
      <c r="I399" s="392"/>
      <c r="K399" s="231"/>
      <c r="X399" s="1"/>
      <c r="Y399" s="1"/>
      <c r="Z399" s="1"/>
      <c r="AA399" s="1"/>
      <c r="AB399" s="392"/>
      <c r="AD399" s="231"/>
      <c r="AM399" s="231"/>
      <c r="AW399" s="1"/>
      <c r="AX399" s="1"/>
      <c r="AY399" s="1"/>
      <c r="AZ399" s="392"/>
      <c r="BB399" s="231"/>
    </row>
    <row r="400" spans="2:54" x14ac:dyDescent="0.25">
      <c r="B400" s="231"/>
      <c r="I400" s="392"/>
      <c r="K400" s="231"/>
      <c r="X400" s="1"/>
      <c r="Y400" s="1"/>
      <c r="Z400" s="1"/>
      <c r="AA400" s="1"/>
      <c r="AB400" s="392"/>
      <c r="AD400" s="231"/>
      <c r="AM400" s="231"/>
      <c r="AW400" s="1"/>
      <c r="AX400" s="1"/>
      <c r="AY400" s="1"/>
      <c r="AZ400" s="392"/>
      <c r="BB400" s="231"/>
    </row>
    <row r="401" spans="2:54" x14ac:dyDescent="0.25">
      <c r="B401" s="231"/>
      <c r="I401" s="392"/>
      <c r="K401" s="231"/>
      <c r="X401" s="1"/>
      <c r="Y401" s="1"/>
      <c r="Z401" s="1"/>
      <c r="AA401" s="1"/>
      <c r="AB401" s="392"/>
      <c r="AD401" s="231"/>
      <c r="AM401" s="231"/>
      <c r="AW401" s="1"/>
      <c r="AX401" s="1"/>
      <c r="AY401" s="1"/>
      <c r="AZ401" s="392"/>
      <c r="BB401" s="231"/>
    </row>
    <row r="402" spans="2:54" x14ac:dyDescent="0.25">
      <c r="B402" s="231"/>
      <c r="I402" s="392"/>
      <c r="K402" s="231"/>
      <c r="X402" s="1"/>
      <c r="Y402" s="1"/>
      <c r="Z402" s="1"/>
      <c r="AA402" s="1"/>
      <c r="AB402" s="392"/>
      <c r="AD402" s="231"/>
      <c r="AM402" s="231"/>
      <c r="AW402" s="1"/>
      <c r="AX402" s="1"/>
      <c r="AY402" s="1"/>
      <c r="AZ402" s="392"/>
      <c r="BB402" s="231"/>
    </row>
    <row r="403" spans="2:54" x14ac:dyDescent="0.25">
      <c r="B403" s="231"/>
      <c r="I403" s="392"/>
      <c r="K403" s="231"/>
      <c r="X403" s="1"/>
      <c r="Y403" s="1"/>
      <c r="Z403" s="1"/>
      <c r="AA403" s="1"/>
      <c r="AB403" s="392"/>
      <c r="AD403" s="231"/>
      <c r="AM403" s="231"/>
      <c r="AW403" s="1"/>
      <c r="AX403" s="1"/>
      <c r="AY403" s="1"/>
      <c r="AZ403" s="392"/>
      <c r="BB403" s="231"/>
    </row>
    <row r="404" spans="2:54" x14ac:dyDescent="0.25">
      <c r="B404" s="231"/>
      <c r="I404" s="392"/>
      <c r="K404" s="231"/>
      <c r="X404" s="1"/>
      <c r="Y404" s="1"/>
      <c r="Z404" s="1"/>
      <c r="AA404" s="1"/>
      <c r="AB404" s="392"/>
      <c r="AD404" s="231"/>
      <c r="AM404" s="231"/>
      <c r="AW404" s="1"/>
      <c r="AX404" s="1"/>
      <c r="AY404" s="1"/>
      <c r="AZ404" s="392"/>
      <c r="BB404" s="231"/>
    </row>
    <row r="405" spans="2:54" x14ac:dyDescent="0.25">
      <c r="B405" s="231"/>
      <c r="I405" s="392"/>
      <c r="K405" s="231"/>
      <c r="X405" s="1"/>
      <c r="Y405" s="1"/>
      <c r="Z405" s="1"/>
      <c r="AA405" s="1"/>
      <c r="AB405" s="392"/>
      <c r="AD405" s="231"/>
      <c r="AM405" s="231"/>
      <c r="AW405" s="1"/>
      <c r="AX405" s="1"/>
      <c r="AY405" s="1"/>
      <c r="AZ405" s="392"/>
      <c r="BB405" s="231"/>
    </row>
    <row r="406" spans="2:54" x14ac:dyDescent="0.25">
      <c r="B406" s="231"/>
      <c r="I406" s="392"/>
      <c r="K406" s="231"/>
      <c r="X406" s="1"/>
      <c r="Y406" s="1"/>
      <c r="Z406" s="1"/>
      <c r="AA406" s="1"/>
      <c r="AB406" s="392"/>
      <c r="AD406" s="231"/>
      <c r="AM406" s="231"/>
      <c r="AW406" s="1"/>
      <c r="AX406" s="1"/>
      <c r="AY406" s="1"/>
      <c r="AZ406" s="392"/>
      <c r="BB406" s="231"/>
    </row>
    <row r="407" spans="2:54" x14ac:dyDescent="0.25">
      <c r="B407" s="231"/>
      <c r="I407" s="392"/>
      <c r="K407" s="231"/>
      <c r="X407" s="1"/>
      <c r="Y407" s="1"/>
      <c r="Z407" s="1"/>
      <c r="AA407" s="1"/>
      <c r="AB407" s="392"/>
      <c r="AD407" s="231"/>
      <c r="AM407" s="231"/>
      <c r="AW407" s="1"/>
      <c r="AX407" s="1"/>
      <c r="AY407" s="1"/>
      <c r="AZ407" s="392"/>
      <c r="BB407" s="231"/>
    </row>
    <row r="408" spans="2:54" x14ac:dyDescent="0.25">
      <c r="B408" s="231"/>
      <c r="I408" s="392"/>
      <c r="K408" s="231"/>
      <c r="X408" s="1"/>
      <c r="Y408" s="1"/>
      <c r="Z408" s="1"/>
      <c r="AA408" s="1"/>
      <c r="AB408" s="392"/>
      <c r="AD408" s="231"/>
      <c r="AM408" s="231"/>
      <c r="AW408" s="1"/>
      <c r="AX408" s="1"/>
      <c r="AY408" s="1"/>
      <c r="AZ408" s="392"/>
      <c r="BB408" s="231"/>
    </row>
    <row r="409" spans="2:54" x14ac:dyDescent="0.25">
      <c r="B409" s="231"/>
      <c r="I409" s="392"/>
      <c r="K409" s="231"/>
      <c r="X409" s="1"/>
      <c r="Y409" s="1"/>
      <c r="Z409" s="1"/>
      <c r="AA409" s="1"/>
      <c r="AB409" s="392"/>
      <c r="AD409" s="231"/>
      <c r="AM409" s="231"/>
      <c r="AW409" s="1"/>
      <c r="AX409" s="1"/>
      <c r="AY409" s="1"/>
      <c r="AZ409" s="392"/>
      <c r="BB409" s="231"/>
    </row>
    <row r="410" spans="2:54" x14ac:dyDescent="0.25">
      <c r="B410" s="231"/>
      <c r="I410" s="392"/>
      <c r="K410" s="231"/>
      <c r="X410" s="1"/>
      <c r="Y410" s="1"/>
      <c r="Z410" s="1"/>
      <c r="AA410" s="1"/>
      <c r="AB410" s="392"/>
      <c r="AD410" s="231"/>
      <c r="AM410" s="231"/>
      <c r="AW410" s="1"/>
      <c r="AX410" s="1"/>
      <c r="AY410" s="1"/>
      <c r="AZ410" s="392"/>
      <c r="BB410" s="231"/>
    </row>
    <row r="411" spans="2:54" x14ac:dyDescent="0.25">
      <c r="B411" s="231"/>
      <c r="I411" s="392"/>
      <c r="K411" s="231"/>
      <c r="X411" s="1"/>
      <c r="Y411" s="1"/>
      <c r="Z411" s="1"/>
      <c r="AA411" s="1"/>
      <c r="AB411" s="392"/>
      <c r="AD411" s="231"/>
      <c r="AM411" s="231"/>
      <c r="AW411" s="1"/>
      <c r="AX411" s="1"/>
      <c r="AY411" s="1"/>
      <c r="AZ411" s="392"/>
      <c r="BB411" s="231"/>
    </row>
    <row r="412" spans="2:54" x14ac:dyDescent="0.25">
      <c r="B412" s="231"/>
      <c r="I412" s="392"/>
      <c r="K412" s="231"/>
      <c r="X412" s="1"/>
      <c r="Y412" s="1"/>
      <c r="Z412" s="1"/>
      <c r="AA412" s="1"/>
      <c r="AB412" s="392"/>
      <c r="AD412" s="231"/>
      <c r="AM412" s="231"/>
      <c r="AW412" s="1"/>
      <c r="AX412" s="1"/>
      <c r="AY412" s="1"/>
      <c r="AZ412" s="392"/>
      <c r="BB412" s="231"/>
    </row>
    <row r="413" spans="2:54" x14ac:dyDescent="0.25">
      <c r="B413" s="231"/>
      <c r="I413" s="392"/>
      <c r="K413" s="231"/>
      <c r="X413" s="1"/>
      <c r="Y413" s="1"/>
      <c r="Z413" s="1"/>
      <c r="AA413" s="1"/>
      <c r="AB413" s="392"/>
      <c r="AD413" s="231"/>
      <c r="AM413" s="231"/>
      <c r="AW413" s="1"/>
      <c r="AX413" s="1"/>
      <c r="AY413" s="1"/>
      <c r="AZ413" s="392"/>
      <c r="BB413" s="231"/>
    </row>
    <row r="414" spans="2:54" x14ac:dyDescent="0.25">
      <c r="B414" s="231"/>
      <c r="I414" s="392"/>
      <c r="K414" s="231"/>
      <c r="X414" s="1"/>
      <c r="Y414" s="1"/>
      <c r="Z414" s="1"/>
      <c r="AA414" s="1"/>
      <c r="AB414" s="392"/>
      <c r="AD414" s="231"/>
      <c r="AM414" s="231"/>
      <c r="AW414" s="1"/>
      <c r="AX414" s="1"/>
      <c r="AY414" s="1"/>
      <c r="AZ414" s="392"/>
      <c r="BB414" s="231"/>
    </row>
    <row r="415" spans="2:54" x14ac:dyDescent="0.25">
      <c r="B415" s="231"/>
      <c r="I415" s="392"/>
      <c r="K415" s="231"/>
      <c r="X415" s="1"/>
      <c r="Y415" s="1"/>
      <c r="Z415" s="1"/>
      <c r="AA415" s="1"/>
      <c r="AB415" s="392"/>
      <c r="AD415" s="231"/>
      <c r="AM415" s="231"/>
      <c r="AW415" s="1"/>
      <c r="AX415" s="1"/>
      <c r="AY415" s="1"/>
      <c r="AZ415" s="392"/>
      <c r="BB415" s="231"/>
    </row>
    <row r="416" spans="2:54" x14ac:dyDescent="0.25">
      <c r="B416" s="231"/>
      <c r="I416" s="392"/>
      <c r="K416" s="231"/>
      <c r="X416" s="1"/>
      <c r="Y416" s="1"/>
      <c r="Z416" s="1"/>
      <c r="AA416" s="1"/>
      <c r="AB416" s="392"/>
      <c r="AD416" s="231"/>
      <c r="AM416" s="231"/>
      <c r="AW416" s="1"/>
      <c r="AX416" s="1"/>
      <c r="AY416" s="1"/>
      <c r="AZ416" s="392"/>
      <c r="BB416" s="231"/>
    </row>
    <row r="417" spans="2:54" x14ac:dyDescent="0.25">
      <c r="B417" s="231"/>
      <c r="I417" s="392"/>
      <c r="K417" s="231"/>
      <c r="X417" s="1"/>
      <c r="Y417" s="1"/>
      <c r="Z417" s="1"/>
      <c r="AA417" s="1"/>
      <c r="AB417" s="392"/>
      <c r="AD417" s="231"/>
      <c r="AM417" s="231"/>
      <c r="AW417" s="1"/>
      <c r="AX417" s="1"/>
      <c r="AY417" s="1"/>
      <c r="AZ417" s="392"/>
      <c r="BB417" s="231"/>
    </row>
    <row r="418" spans="2:54" x14ac:dyDescent="0.25">
      <c r="B418" s="231"/>
      <c r="I418" s="392"/>
      <c r="K418" s="231"/>
      <c r="X418" s="1"/>
      <c r="Y418" s="1"/>
      <c r="Z418" s="1"/>
      <c r="AA418" s="1"/>
      <c r="AB418" s="392"/>
      <c r="AD418" s="231"/>
      <c r="AM418" s="231"/>
      <c r="AW418" s="1"/>
      <c r="AX418" s="1"/>
      <c r="AY418" s="1"/>
      <c r="AZ418" s="392"/>
      <c r="BB418" s="231"/>
    </row>
    <row r="419" spans="2:54" x14ac:dyDescent="0.25">
      <c r="B419" s="231"/>
      <c r="I419" s="392"/>
      <c r="K419" s="231"/>
      <c r="X419" s="1"/>
      <c r="Y419" s="1"/>
      <c r="Z419" s="1"/>
      <c r="AA419" s="1"/>
      <c r="AB419" s="392"/>
      <c r="AD419" s="231"/>
      <c r="AM419" s="231"/>
      <c r="AW419" s="1"/>
      <c r="AX419" s="1"/>
      <c r="AY419" s="1"/>
      <c r="AZ419" s="392"/>
      <c r="BB419" s="231"/>
    </row>
    <row r="420" spans="2:54" x14ac:dyDescent="0.25">
      <c r="B420" s="231"/>
      <c r="I420" s="392"/>
      <c r="K420" s="231"/>
      <c r="X420" s="1"/>
      <c r="Y420" s="1"/>
      <c r="Z420" s="1"/>
      <c r="AA420" s="1"/>
      <c r="AB420" s="392"/>
      <c r="AD420" s="231"/>
      <c r="AM420" s="231"/>
      <c r="AW420" s="1"/>
      <c r="AX420" s="1"/>
      <c r="AY420" s="1"/>
      <c r="AZ420" s="392"/>
      <c r="BB420" s="231"/>
    </row>
    <row r="421" spans="2:54" x14ac:dyDescent="0.25">
      <c r="B421" s="231"/>
      <c r="I421" s="392"/>
      <c r="K421" s="231"/>
      <c r="X421" s="1"/>
      <c r="Y421" s="1"/>
      <c r="Z421" s="1"/>
      <c r="AA421" s="1"/>
      <c r="AB421" s="392"/>
      <c r="AD421" s="231"/>
      <c r="AM421" s="231"/>
      <c r="AW421" s="1"/>
      <c r="AX421" s="1"/>
      <c r="AY421" s="1"/>
      <c r="AZ421" s="392"/>
      <c r="BB421" s="231"/>
    </row>
    <row r="422" spans="2:54" x14ac:dyDescent="0.25">
      <c r="B422" s="231"/>
      <c r="I422" s="392"/>
      <c r="K422" s="231"/>
      <c r="X422" s="1"/>
      <c r="Y422" s="1"/>
      <c r="Z422" s="1"/>
      <c r="AA422" s="1"/>
      <c r="AB422" s="392"/>
      <c r="AD422" s="231"/>
      <c r="AM422" s="231"/>
      <c r="AW422" s="1"/>
      <c r="AX422" s="1"/>
      <c r="AY422" s="1"/>
      <c r="AZ422" s="392"/>
      <c r="BB422" s="231"/>
    </row>
    <row r="423" spans="2:54" x14ac:dyDescent="0.25">
      <c r="B423" s="231"/>
      <c r="I423" s="392"/>
      <c r="K423" s="231"/>
      <c r="X423" s="1"/>
      <c r="Y423" s="1"/>
      <c r="Z423" s="1"/>
      <c r="AA423" s="1"/>
      <c r="AB423" s="392"/>
      <c r="AD423" s="231"/>
      <c r="AM423" s="231"/>
      <c r="AW423" s="1"/>
      <c r="AX423" s="1"/>
      <c r="AY423" s="1"/>
      <c r="AZ423" s="392"/>
      <c r="BB423" s="231"/>
    </row>
    <row r="424" spans="2:54" x14ac:dyDescent="0.25">
      <c r="B424" s="231"/>
      <c r="I424" s="392"/>
      <c r="K424" s="231"/>
      <c r="X424" s="1"/>
      <c r="Y424" s="1"/>
      <c r="Z424" s="1"/>
      <c r="AA424" s="1"/>
      <c r="AB424" s="392"/>
      <c r="AD424" s="231"/>
      <c r="AM424" s="231"/>
      <c r="AW424" s="1"/>
      <c r="AX424" s="1"/>
      <c r="AY424" s="1"/>
      <c r="AZ424" s="392"/>
      <c r="BB424" s="231"/>
    </row>
    <row r="425" spans="2:54" x14ac:dyDescent="0.25">
      <c r="B425" s="231"/>
      <c r="I425" s="392"/>
      <c r="K425" s="231"/>
      <c r="X425" s="1"/>
      <c r="Y425" s="1"/>
      <c r="Z425" s="1"/>
      <c r="AA425" s="1"/>
      <c r="AB425" s="392"/>
      <c r="AD425" s="231"/>
      <c r="AM425" s="231"/>
      <c r="AW425" s="1"/>
      <c r="AX425" s="1"/>
      <c r="AY425" s="1"/>
      <c r="AZ425" s="392"/>
      <c r="BB425" s="231"/>
    </row>
    <row r="426" spans="2:54" x14ac:dyDescent="0.25">
      <c r="B426" s="231"/>
      <c r="I426" s="392"/>
      <c r="K426" s="231"/>
      <c r="X426" s="1"/>
      <c r="Y426" s="1"/>
      <c r="Z426" s="1"/>
      <c r="AA426" s="1"/>
      <c r="AB426" s="392"/>
      <c r="AD426" s="231"/>
      <c r="AM426" s="231"/>
      <c r="AW426" s="1"/>
      <c r="AX426" s="1"/>
      <c r="AY426" s="1"/>
      <c r="AZ426" s="392"/>
      <c r="BB426" s="231"/>
    </row>
    <row r="427" spans="2:54" x14ac:dyDescent="0.25">
      <c r="B427" s="231"/>
      <c r="I427" s="392"/>
      <c r="K427" s="231"/>
      <c r="X427" s="1"/>
      <c r="Y427" s="1"/>
      <c r="Z427" s="1"/>
      <c r="AA427" s="1"/>
      <c r="AB427" s="392"/>
      <c r="AD427" s="231"/>
      <c r="AM427" s="231"/>
      <c r="AW427" s="1"/>
      <c r="AX427" s="1"/>
      <c r="AY427" s="1"/>
      <c r="AZ427" s="392"/>
      <c r="BB427" s="231"/>
    </row>
    <row r="428" spans="2:54" x14ac:dyDescent="0.25">
      <c r="B428" s="231"/>
      <c r="I428" s="392"/>
      <c r="K428" s="231"/>
      <c r="X428" s="1"/>
      <c r="Y428" s="1"/>
      <c r="Z428" s="1"/>
      <c r="AA428" s="1"/>
      <c r="AB428" s="392"/>
      <c r="AD428" s="231"/>
      <c r="AM428" s="231"/>
      <c r="AW428" s="1"/>
      <c r="AX428" s="1"/>
      <c r="AY428" s="1"/>
      <c r="AZ428" s="392"/>
      <c r="BB428" s="231"/>
    </row>
    <row r="429" spans="2:54" x14ac:dyDescent="0.25">
      <c r="B429" s="231"/>
      <c r="I429" s="392"/>
      <c r="K429" s="231"/>
      <c r="X429" s="1"/>
      <c r="Y429" s="1"/>
      <c r="Z429" s="1"/>
      <c r="AA429" s="1"/>
      <c r="AB429" s="392"/>
      <c r="AD429" s="231"/>
      <c r="AM429" s="231"/>
      <c r="AW429" s="1"/>
      <c r="AX429" s="1"/>
      <c r="AY429" s="1"/>
      <c r="AZ429" s="392"/>
      <c r="BB429" s="231"/>
    </row>
    <row r="430" spans="2:54" x14ac:dyDescent="0.25">
      <c r="B430" s="231"/>
      <c r="I430" s="392"/>
      <c r="K430" s="231"/>
      <c r="X430" s="1"/>
      <c r="Y430" s="1"/>
      <c r="Z430" s="1"/>
      <c r="AA430" s="1"/>
      <c r="AB430" s="392"/>
      <c r="AD430" s="231"/>
      <c r="AM430" s="231"/>
      <c r="AW430" s="1"/>
      <c r="AX430" s="1"/>
      <c r="AY430" s="1"/>
      <c r="AZ430" s="392"/>
      <c r="BB430" s="231"/>
    </row>
    <row r="431" spans="2:54" x14ac:dyDescent="0.25">
      <c r="B431" s="231"/>
      <c r="I431" s="392"/>
      <c r="K431" s="231"/>
      <c r="X431" s="1"/>
      <c r="Y431" s="1"/>
      <c r="Z431" s="1"/>
      <c r="AA431" s="1"/>
      <c r="AB431" s="392"/>
      <c r="AD431" s="231"/>
      <c r="AM431" s="231"/>
      <c r="AW431" s="1"/>
      <c r="AX431" s="1"/>
      <c r="AY431" s="1"/>
      <c r="AZ431" s="392"/>
      <c r="BB431" s="231"/>
    </row>
    <row r="432" spans="2:54" x14ac:dyDescent="0.25">
      <c r="B432" s="231"/>
      <c r="I432" s="392"/>
      <c r="K432" s="231"/>
      <c r="X432" s="1"/>
      <c r="Y432" s="1"/>
      <c r="Z432" s="1"/>
      <c r="AA432" s="1"/>
      <c r="AB432" s="392"/>
      <c r="AD432" s="231"/>
      <c r="AM432" s="231"/>
      <c r="AW432" s="1"/>
      <c r="AX432" s="1"/>
      <c r="AY432" s="1"/>
      <c r="AZ432" s="392"/>
      <c r="BB432" s="231"/>
    </row>
    <row r="433" spans="2:54" x14ac:dyDescent="0.25">
      <c r="B433" s="231"/>
      <c r="I433" s="392"/>
      <c r="K433" s="231"/>
      <c r="X433" s="1"/>
      <c r="Y433" s="1"/>
      <c r="Z433" s="1"/>
      <c r="AA433" s="1"/>
      <c r="AB433" s="392"/>
      <c r="AD433" s="231"/>
      <c r="AM433" s="231"/>
      <c r="AW433" s="1"/>
      <c r="AX433" s="1"/>
      <c r="AY433" s="1"/>
      <c r="AZ433" s="392"/>
      <c r="BB433" s="231"/>
    </row>
    <row r="434" spans="2:54" x14ac:dyDescent="0.25">
      <c r="B434" s="231"/>
      <c r="I434" s="392"/>
      <c r="K434" s="231"/>
      <c r="X434" s="1"/>
      <c r="Y434" s="1"/>
      <c r="Z434" s="1"/>
      <c r="AA434" s="1"/>
      <c r="AB434" s="392"/>
      <c r="AD434" s="231"/>
      <c r="AM434" s="231"/>
      <c r="AW434" s="1"/>
      <c r="AX434" s="1"/>
      <c r="AY434" s="1"/>
      <c r="AZ434" s="392"/>
      <c r="BB434" s="231"/>
    </row>
    <row r="435" spans="2:54" x14ac:dyDescent="0.25">
      <c r="B435" s="231"/>
      <c r="I435" s="392"/>
      <c r="K435" s="231"/>
      <c r="X435" s="1"/>
      <c r="Y435" s="1"/>
      <c r="Z435" s="1"/>
      <c r="AA435" s="1"/>
      <c r="AB435" s="392"/>
      <c r="AD435" s="231"/>
      <c r="AM435" s="231"/>
      <c r="AW435" s="1"/>
      <c r="AX435" s="1"/>
      <c r="AY435" s="1"/>
      <c r="AZ435" s="392"/>
      <c r="BB435" s="231"/>
    </row>
    <row r="436" spans="2:54" x14ac:dyDescent="0.25">
      <c r="B436" s="231"/>
      <c r="I436" s="392"/>
      <c r="K436" s="231"/>
      <c r="X436" s="1"/>
      <c r="Y436" s="1"/>
      <c r="Z436" s="1"/>
      <c r="AA436" s="1"/>
      <c r="AB436" s="392"/>
      <c r="AD436" s="231"/>
      <c r="AM436" s="231"/>
      <c r="AW436" s="1"/>
      <c r="AX436" s="1"/>
      <c r="AY436" s="1"/>
      <c r="AZ436" s="392"/>
      <c r="BB436" s="231"/>
    </row>
    <row r="437" spans="2:54" x14ac:dyDescent="0.25">
      <c r="B437" s="231"/>
      <c r="I437" s="392"/>
      <c r="K437" s="231"/>
      <c r="X437" s="1"/>
      <c r="Y437" s="1"/>
      <c r="Z437" s="1"/>
      <c r="AA437" s="1"/>
      <c r="AB437" s="392"/>
      <c r="AD437" s="231"/>
      <c r="AM437" s="231"/>
      <c r="AW437" s="1"/>
      <c r="AX437" s="1"/>
      <c r="AY437" s="1"/>
      <c r="AZ437" s="392"/>
      <c r="BB437" s="231"/>
    </row>
    <row r="438" spans="2:54" x14ac:dyDescent="0.25">
      <c r="B438" s="231"/>
      <c r="I438" s="392"/>
      <c r="K438" s="231"/>
      <c r="X438" s="1"/>
      <c r="Y438" s="1"/>
      <c r="Z438" s="1"/>
      <c r="AA438" s="1"/>
      <c r="AB438" s="392"/>
      <c r="AD438" s="231"/>
      <c r="AM438" s="231"/>
      <c r="AW438" s="1"/>
      <c r="AX438" s="1"/>
      <c r="AY438" s="1"/>
      <c r="AZ438" s="392"/>
      <c r="BB438" s="231"/>
    </row>
    <row r="439" spans="2:54" x14ac:dyDescent="0.25">
      <c r="B439" s="231"/>
      <c r="I439" s="392"/>
      <c r="K439" s="231"/>
      <c r="X439" s="1"/>
      <c r="Y439" s="1"/>
      <c r="Z439" s="1"/>
      <c r="AA439" s="1"/>
      <c r="AB439" s="392"/>
      <c r="AD439" s="231"/>
      <c r="AM439" s="231"/>
      <c r="AW439" s="1"/>
      <c r="AX439" s="1"/>
      <c r="AY439" s="1"/>
      <c r="AZ439" s="392"/>
      <c r="BB439" s="231"/>
    </row>
    <row r="440" spans="2:54" x14ac:dyDescent="0.25">
      <c r="B440" s="231"/>
      <c r="I440" s="392"/>
      <c r="K440" s="231"/>
      <c r="X440" s="1"/>
      <c r="Y440" s="1"/>
      <c r="Z440" s="1"/>
      <c r="AA440" s="1"/>
      <c r="AB440" s="392"/>
      <c r="AD440" s="231"/>
      <c r="AM440" s="231"/>
      <c r="AW440" s="1"/>
      <c r="AX440" s="1"/>
      <c r="AY440" s="1"/>
      <c r="AZ440" s="392"/>
      <c r="BB440" s="231"/>
    </row>
    <row r="441" spans="2:54" x14ac:dyDescent="0.25">
      <c r="B441" s="231"/>
      <c r="I441" s="392"/>
      <c r="K441" s="231"/>
      <c r="X441" s="1"/>
      <c r="Y441" s="1"/>
      <c r="Z441" s="1"/>
      <c r="AA441" s="1"/>
      <c r="AB441" s="392"/>
      <c r="AD441" s="231"/>
      <c r="AM441" s="231"/>
      <c r="AW441" s="1"/>
      <c r="AX441" s="1"/>
      <c r="AY441" s="1"/>
      <c r="AZ441" s="392"/>
      <c r="BB441" s="231"/>
    </row>
    <row r="442" spans="2:54" x14ac:dyDescent="0.25">
      <c r="B442" s="231"/>
      <c r="I442" s="392"/>
      <c r="K442" s="231"/>
      <c r="X442" s="1"/>
      <c r="Y442" s="1"/>
      <c r="Z442" s="1"/>
      <c r="AA442" s="1"/>
      <c r="AB442" s="392"/>
      <c r="AD442" s="231"/>
      <c r="AM442" s="231"/>
      <c r="AW442" s="1"/>
      <c r="AX442" s="1"/>
      <c r="AY442" s="1"/>
      <c r="AZ442" s="392"/>
      <c r="BB442" s="231"/>
    </row>
    <row r="443" spans="2:54" x14ac:dyDescent="0.25">
      <c r="B443" s="231"/>
      <c r="I443" s="392"/>
      <c r="K443" s="231"/>
      <c r="X443" s="1"/>
      <c r="Y443" s="1"/>
      <c r="Z443" s="1"/>
      <c r="AA443" s="1"/>
      <c r="AB443" s="392"/>
      <c r="AD443" s="231"/>
      <c r="AM443" s="231"/>
      <c r="AW443" s="1"/>
      <c r="AX443" s="1"/>
      <c r="AY443" s="1"/>
      <c r="AZ443" s="392"/>
      <c r="BB443" s="231"/>
    </row>
    <row r="444" spans="2:54" x14ac:dyDescent="0.25">
      <c r="B444" s="231"/>
      <c r="I444" s="392"/>
      <c r="K444" s="231"/>
      <c r="X444" s="1"/>
      <c r="Y444" s="1"/>
      <c r="Z444" s="1"/>
      <c r="AA444" s="1"/>
      <c r="AB444" s="392"/>
      <c r="AD444" s="231"/>
      <c r="AM444" s="231"/>
      <c r="AW444" s="1"/>
      <c r="AX444" s="1"/>
      <c r="AY444" s="1"/>
      <c r="AZ444" s="392"/>
      <c r="BB444" s="231"/>
    </row>
    <row r="445" spans="2:54" x14ac:dyDescent="0.25">
      <c r="B445" s="231"/>
      <c r="I445" s="392"/>
      <c r="K445" s="231"/>
      <c r="X445" s="1"/>
      <c r="Y445" s="1"/>
      <c r="Z445" s="1"/>
      <c r="AA445" s="1"/>
      <c r="AB445" s="392"/>
      <c r="AD445" s="231"/>
      <c r="AM445" s="231"/>
      <c r="AW445" s="1"/>
      <c r="AX445" s="1"/>
      <c r="AY445" s="1"/>
      <c r="AZ445" s="392"/>
      <c r="BB445" s="231"/>
    </row>
    <row r="446" spans="2:54" x14ac:dyDescent="0.25">
      <c r="B446" s="231"/>
      <c r="I446" s="392"/>
      <c r="K446" s="231"/>
      <c r="X446" s="1"/>
      <c r="Y446" s="1"/>
      <c r="Z446" s="1"/>
      <c r="AA446" s="1"/>
      <c r="AB446" s="392"/>
      <c r="AD446" s="231"/>
      <c r="AM446" s="231"/>
      <c r="AW446" s="1"/>
      <c r="AX446" s="1"/>
      <c r="AY446" s="1"/>
      <c r="AZ446" s="392"/>
      <c r="BB446" s="231"/>
    </row>
    <row r="447" spans="2:54" x14ac:dyDescent="0.25">
      <c r="B447" s="231"/>
      <c r="I447" s="392"/>
      <c r="K447" s="231"/>
      <c r="X447" s="1"/>
      <c r="Y447" s="1"/>
      <c r="Z447" s="1"/>
      <c r="AA447" s="1"/>
      <c r="AB447" s="392"/>
      <c r="AD447" s="231"/>
      <c r="AM447" s="231"/>
      <c r="AW447" s="1"/>
      <c r="AX447" s="1"/>
      <c r="AY447" s="1"/>
      <c r="AZ447" s="392"/>
      <c r="BB447" s="231"/>
    </row>
    <row r="448" spans="2:54" x14ac:dyDescent="0.25">
      <c r="B448" s="231"/>
      <c r="I448" s="392"/>
      <c r="K448" s="231"/>
      <c r="X448" s="1"/>
      <c r="Y448" s="1"/>
      <c r="Z448" s="1"/>
      <c r="AA448" s="1"/>
      <c r="AB448" s="392"/>
      <c r="AD448" s="231"/>
      <c r="AM448" s="231"/>
      <c r="AW448" s="1"/>
      <c r="AX448" s="1"/>
      <c r="AY448" s="1"/>
      <c r="AZ448" s="392"/>
      <c r="BB448" s="231"/>
    </row>
    <row r="449" spans="2:54" x14ac:dyDescent="0.25">
      <c r="B449" s="231"/>
      <c r="I449" s="392"/>
      <c r="K449" s="231"/>
      <c r="X449" s="1"/>
      <c r="Y449" s="1"/>
      <c r="Z449" s="1"/>
      <c r="AA449" s="1"/>
      <c r="AB449" s="392"/>
      <c r="AD449" s="231"/>
      <c r="AM449" s="231"/>
      <c r="AW449" s="1"/>
      <c r="AX449" s="1"/>
      <c r="AY449" s="1"/>
      <c r="AZ449" s="392"/>
      <c r="BB449" s="231"/>
    </row>
    <row r="450" spans="2:54" x14ac:dyDescent="0.25">
      <c r="B450" s="231"/>
      <c r="I450" s="392"/>
      <c r="K450" s="231"/>
      <c r="X450" s="1"/>
      <c r="Y450" s="1"/>
      <c r="Z450" s="1"/>
      <c r="AA450" s="1"/>
      <c r="AB450" s="392"/>
      <c r="AD450" s="231"/>
      <c r="AM450" s="231"/>
      <c r="AW450" s="1"/>
      <c r="AX450" s="1"/>
      <c r="AY450" s="1"/>
      <c r="AZ450" s="392"/>
      <c r="BB450" s="231"/>
    </row>
    <row r="451" spans="2:54" x14ac:dyDescent="0.25">
      <c r="B451" s="231"/>
      <c r="I451" s="392"/>
      <c r="K451" s="231"/>
      <c r="X451" s="1"/>
      <c r="Y451" s="1"/>
      <c r="Z451" s="1"/>
      <c r="AA451" s="1"/>
      <c r="AB451" s="392"/>
      <c r="AD451" s="231"/>
      <c r="AM451" s="231"/>
      <c r="AW451" s="1"/>
      <c r="AX451" s="1"/>
      <c r="AY451" s="1"/>
      <c r="AZ451" s="392"/>
      <c r="BB451" s="231"/>
    </row>
    <row r="452" spans="2:54" x14ac:dyDescent="0.25">
      <c r="B452" s="231"/>
      <c r="I452" s="392"/>
      <c r="K452" s="231"/>
      <c r="X452" s="1"/>
      <c r="Y452" s="1"/>
      <c r="Z452" s="1"/>
      <c r="AA452" s="1"/>
      <c r="AB452" s="392"/>
      <c r="AD452" s="231"/>
      <c r="AM452" s="231"/>
      <c r="AW452" s="1"/>
      <c r="AX452" s="1"/>
      <c r="AY452" s="1"/>
      <c r="AZ452" s="392"/>
      <c r="BB452" s="231"/>
    </row>
    <row r="453" spans="2:54" x14ac:dyDescent="0.25">
      <c r="B453" s="231"/>
      <c r="I453" s="392"/>
      <c r="K453" s="231"/>
      <c r="X453" s="1"/>
      <c r="Y453" s="1"/>
      <c r="Z453" s="1"/>
      <c r="AA453" s="1"/>
      <c r="AB453" s="392"/>
      <c r="AD453" s="231"/>
      <c r="AM453" s="231"/>
      <c r="AW453" s="1"/>
      <c r="AX453" s="1"/>
      <c r="AY453" s="1"/>
      <c r="AZ453" s="392"/>
      <c r="BB453" s="231"/>
    </row>
    <row r="454" spans="2:54" x14ac:dyDescent="0.25">
      <c r="B454" s="231"/>
      <c r="I454" s="392"/>
      <c r="K454" s="231"/>
      <c r="X454" s="1"/>
      <c r="Y454" s="1"/>
      <c r="Z454" s="1"/>
      <c r="AA454" s="1"/>
      <c r="AB454" s="392"/>
      <c r="AD454" s="231"/>
      <c r="AM454" s="231"/>
      <c r="AW454" s="1"/>
      <c r="AX454" s="1"/>
      <c r="AY454" s="1"/>
      <c r="AZ454" s="392"/>
      <c r="BB454" s="231"/>
    </row>
    <row r="455" spans="2:54" x14ac:dyDescent="0.25">
      <c r="B455" s="231"/>
      <c r="I455" s="392"/>
      <c r="K455" s="231"/>
      <c r="X455" s="1"/>
      <c r="Y455" s="1"/>
      <c r="Z455" s="1"/>
      <c r="AA455" s="1"/>
      <c r="AB455" s="392"/>
      <c r="AD455" s="231"/>
      <c r="AM455" s="231"/>
      <c r="AW455" s="1"/>
      <c r="AX455" s="1"/>
      <c r="AY455" s="1"/>
      <c r="AZ455" s="392"/>
      <c r="BB455" s="231"/>
    </row>
    <row r="456" spans="2:54" x14ac:dyDescent="0.25">
      <c r="B456" s="231"/>
      <c r="I456" s="392"/>
      <c r="K456" s="231"/>
      <c r="X456" s="1"/>
      <c r="Y456" s="1"/>
      <c r="Z456" s="1"/>
      <c r="AA456" s="1"/>
      <c r="AB456" s="392"/>
      <c r="AD456" s="231"/>
      <c r="AM456" s="231"/>
      <c r="AW456" s="1"/>
      <c r="AX456" s="1"/>
      <c r="AY456" s="1"/>
      <c r="AZ456" s="392"/>
      <c r="BB456" s="231"/>
    </row>
    <row r="457" spans="2:54" x14ac:dyDescent="0.25">
      <c r="B457" s="231"/>
      <c r="I457" s="392"/>
      <c r="K457" s="231"/>
      <c r="X457" s="1"/>
      <c r="Y457" s="1"/>
      <c r="Z457" s="1"/>
      <c r="AA457" s="1"/>
      <c r="AB457" s="392"/>
      <c r="AD457" s="231"/>
      <c r="AM457" s="231"/>
      <c r="AW457" s="1"/>
      <c r="AX457" s="1"/>
      <c r="AY457" s="1"/>
      <c r="AZ457" s="392"/>
      <c r="BB457" s="231"/>
    </row>
    <row r="458" spans="2:54" x14ac:dyDescent="0.25">
      <c r="B458" s="231"/>
      <c r="I458" s="392"/>
      <c r="K458" s="231"/>
      <c r="X458" s="1"/>
      <c r="Y458" s="1"/>
      <c r="Z458" s="1"/>
      <c r="AA458" s="1"/>
      <c r="AB458" s="392"/>
      <c r="AD458" s="231"/>
      <c r="AM458" s="231"/>
      <c r="AW458" s="1"/>
      <c r="AX458" s="1"/>
      <c r="AY458" s="1"/>
      <c r="AZ458" s="392"/>
      <c r="BB458" s="231"/>
    </row>
    <row r="459" spans="2:54" x14ac:dyDescent="0.25">
      <c r="B459" s="231"/>
      <c r="I459" s="392"/>
      <c r="K459" s="231"/>
      <c r="X459" s="1"/>
      <c r="Y459" s="1"/>
      <c r="Z459" s="1"/>
      <c r="AA459" s="1"/>
      <c r="AB459" s="392"/>
      <c r="AD459" s="231"/>
      <c r="AM459" s="231"/>
      <c r="AW459" s="1"/>
      <c r="AX459" s="1"/>
      <c r="AY459" s="1"/>
      <c r="AZ459" s="392"/>
      <c r="BB459" s="231"/>
    </row>
    <row r="460" spans="2:54" x14ac:dyDescent="0.25">
      <c r="B460" s="231"/>
      <c r="I460" s="392"/>
      <c r="K460" s="231"/>
      <c r="X460" s="1"/>
      <c r="Y460" s="1"/>
      <c r="Z460" s="1"/>
      <c r="AA460" s="1"/>
      <c r="AB460" s="392"/>
      <c r="AD460" s="231"/>
      <c r="AM460" s="231"/>
      <c r="AW460" s="1"/>
      <c r="AX460" s="1"/>
      <c r="AY460" s="1"/>
      <c r="AZ460" s="392"/>
      <c r="BB460" s="231"/>
    </row>
    <row r="461" spans="2:54" x14ac:dyDescent="0.25">
      <c r="B461" s="231"/>
      <c r="I461" s="392"/>
      <c r="K461" s="231"/>
      <c r="X461" s="1"/>
      <c r="Y461" s="1"/>
      <c r="Z461" s="1"/>
      <c r="AA461" s="1"/>
      <c r="AB461" s="392"/>
      <c r="AD461" s="231"/>
      <c r="AM461" s="231"/>
      <c r="AW461" s="1"/>
      <c r="AX461" s="1"/>
      <c r="AY461" s="1"/>
      <c r="AZ461" s="392"/>
      <c r="BB461" s="231"/>
    </row>
    <row r="462" spans="2:54" x14ac:dyDescent="0.25">
      <c r="B462" s="231"/>
      <c r="I462" s="392"/>
      <c r="K462" s="231"/>
      <c r="X462" s="1"/>
      <c r="Y462" s="1"/>
      <c r="Z462" s="1"/>
      <c r="AA462" s="1"/>
      <c r="AB462" s="392"/>
      <c r="AD462" s="231"/>
      <c r="AM462" s="231"/>
      <c r="AW462" s="1"/>
      <c r="AX462" s="1"/>
      <c r="AY462" s="1"/>
      <c r="AZ462" s="392"/>
      <c r="BB462" s="231"/>
    </row>
    <row r="463" spans="2:54" x14ac:dyDescent="0.25">
      <c r="B463" s="231"/>
      <c r="I463" s="392"/>
      <c r="K463" s="231"/>
      <c r="X463" s="1"/>
      <c r="Y463" s="1"/>
      <c r="Z463" s="1"/>
      <c r="AA463" s="1"/>
      <c r="AB463" s="392"/>
      <c r="AD463" s="231"/>
      <c r="AM463" s="231"/>
      <c r="AW463" s="1"/>
      <c r="AX463" s="1"/>
      <c r="AY463" s="1"/>
      <c r="AZ463" s="392"/>
      <c r="BB463" s="231"/>
    </row>
    <row r="464" spans="2:54" x14ac:dyDescent="0.25">
      <c r="B464" s="231"/>
      <c r="I464" s="392"/>
      <c r="K464" s="231"/>
      <c r="X464" s="1"/>
      <c r="Y464" s="1"/>
      <c r="Z464" s="1"/>
      <c r="AA464" s="1"/>
      <c r="AB464" s="392"/>
      <c r="AD464" s="231"/>
      <c r="AM464" s="231"/>
      <c r="AW464" s="1"/>
      <c r="AX464" s="1"/>
      <c r="AY464" s="1"/>
      <c r="AZ464" s="392"/>
      <c r="BB464" s="231"/>
    </row>
    <row r="465" spans="2:54" x14ac:dyDescent="0.25">
      <c r="B465" s="231"/>
      <c r="I465" s="392"/>
      <c r="K465" s="231"/>
      <c r="X465" s="1"/>
      <c r="Y465" s="1"/>
      <c r="Z465" s="1"/>
      <c r="AA465" s="1"/>
      <c r="AB465" s="392"/>
      <c r="AD465" s="231"/>
      <c r="AM465" s="231"/>
      <c r="AW465" s="1"/>
      <c r="AX465" s="1"/>
      <c r="AY465" s="1"/>
      <c r="AZ465" s="392"/>
      <c r="BB465" s="231"/>
    </row>
    <row r="466" spans="2:54" x14ac:dyDescent="0.25">
      <c r="B466" s="231"/>
      <c r="I466" s="392"/>
      <c r="K466" s="231"/>
      <c r="X466" s="1"/>
      <c r="Y466" s="1"/>
      <c r="Z466" s="1"/>
      <c r="AA466" s="1"/>
      <c r="AB466" s="392"/>
      <c r="AD466" s="231"/>
      <c r="AM466" s="231"/>
      <c r="AW466" s="1"/>
      <c r="AX466" s="1"/>
      <c r="AY466" s="1"/>
      <c r="AZ466" s="392"/>
      <c r="BB466" s="231"/>
    </row>
    <row r="467" spans="2:54" x14ac:dyDescent="0.25">
      <c r="B467" s="231"/>
      <c r="I467" s="392"/>
      <c r="K467" s="231"/>
      <c r="X467" s="1"/>
      <c r="Y467" s="1"/>
      <c r="Z467" s="1"/>
      <c r="AA467" s="1"/>
      <c r="AB467" s="392"/>
      <c r="AD467" s="231"/>
      <c r="AM467" s="231"/>
      <c r="AW467" s="1"/>
      <c r="AX467" s="1"/>
      <c r="AY467" s="1"/>
      <c r="AZ467" s="392"/>
      <c r="BB467" s="231"/>
    </row>
    <row r="468" spans="2:54" x14ac:dyDescent="0.25">
      <c r="B468" s="231"/>
      <c r="I468" s="392"/>
      <c r="K468" s="231"/>
      <c r="X468" s="1"/>
      <c r="Y468" s="1"/>
      <c r="Z468" s="1"/>
      <c r="AA468" s="1"/>
      <c r="AB468" s="392"/>
      <c r="AD468" s="231"/>
      <c r="AM468" s="231"/>
      <c r="AW468" s="1"/>
      <c r="AX468" s="1"/>
      <c r="AY468" s="1"/>
      <c r="AZ468" s="392"/>
      <c r="BB468" s="231"/>
    </row>
    <row r="469" spans="2:54" x14ac:dyDescent="0.25">
      <c r="B469" s="231"/>
      <c r="I469" s="392"/>
      <c r="K469" s="231"/>
      <c r="X469" s="1"/>
      <c r="Y469" s="1"/>
      <c r="Z469" s="1"/>
      <c r="AA469" s="1"/>
      <c r="AB469" s="392"/>
      <c r="AD469" s="231"/>
      <c r="AM469" s="231"/>
      <c r="AW469" s="1"/>
      <c r="AX469" s="1"/>
      <c r="AY469" s="1"/>
      <c r="AZ469" s="392"/>
      <c r="BB469" s="231"/>
    </row>
    <row r="470" spans="2:54" x14ac:dyDescent="0.25">
      <c r="B470" s="231"/>
      <c r="I470" s="392"/>
      <c r="K470" s="231"/>
      <c r="X470" s="1"/>
      <c r="Y470" s="1"/>
      <c r="Z470" s="1"/>
      <c r="AA470" s="1"/>
      <c r="AB470" s="392"/>
      <c r="AD470" s="231"/>
      <c r="AM470" s="231"/>
      <c r="AW470" s="1"/>
      <c r="AX470" s="1"/>
      <c r="AY470" s="1"/>
      <c r="AZ470" s="392"/>
      <c r="BB470" s="231"/>
    </row>
    <row r="471" spans="2:54" x14ac:dyDescent="0.25">
      <c r="B471" s="231"/>
      <c r="I471" s="392"/>
      <c r="K471" s="231"/>
      <c r="X471" s="1"/>
      <c r="Y471" s="1"/>
      <c r="Z471" s="1"/>
      <c r="AA471" s="1"/>
      <c r="AB471" s="392"/>
      <c r="AD471" s="231"/>
      <c r="AM471" s="231"/>
      <c r="AW471" s="1"/>
      <c r="AX471" s="1"/>
      <c r="AY471" s="1"/>
      <c r="AZ471" s="392"/>
      <c r="BB471" s="231"/>
    </row>
    <row r="472" spans="2:54" x14ac:dyDescent="0.25">
      <c r="B472" s="231"/>
      <c r="I472" s="392"/>
      <c r="K472" s="231"/>
      <c r="X472" s="1"/>
      <c r="Y472" s="1"/>
      <c r="Z472" s="1"/>
      <c r="AA472" s="1"/>
      <c r="AB472" s="392"/>
      <c r="AD472" s="231"/>
      <c r="AM472" s="231"/>
      <c r="AW472" s="1"/>
      <c r="AX472" s="1"/>
      <c r="AY472" s="1"/>
      <c r="AZ472" s="392"/>
      <c r="BB472" s="231"/>
    </row>
    <row r="473" spans="2:54" x14ac:dyDescent="0.25">
      <c r="B473" s="231"/>
      <c r="I473" s="392"/>
      <c r="K473" s="231"/>
      <c r="X473" s="1"/>
      <c r="Y473" s="1"/>
      <c r="Z473" s="1"/>
      <c r="AA473" s="1"/>
      <c r="AB473" s="392"/>
      <c r="AD473" s="231"/>
      <c r="AM473" s="231"/>
      <c r="AW473" s="1"/>
      <c r="AX473" s="1"/>
      <c r="AY473" s="1"/>
      <c r="AZ473" s="392"/>
      <c r="BB473" s="231"/>
    </row>
    <row r="474" spans="2:54" x14ac:dyDescent="0.25">
      <c r="B474" s="231"/>
      <c r="I474" s="392"/>
      <c r="K474" s="231"/>
      <c r="X474" s="1"/>
      <c r="Y474" s="1"/>
      <c r="Z474" s="1"/>
      <c r="AA474" s="1"/>
      <c r="AB474" s="392"/>
      <c r="AD474" s="231"/>
      <c r="AM474" s="231"/>
      <c r="AW474" s="1"/>
      <c r="AX474" s="1"/>
      <c r="AY474" s="1"/>
      <c r="AZ474" s="392"/>
      <c r="BB474" s="231"/>
    </row>
    <row r="475" spans="2:54" x14ac:dyDescent="0.25">
      <c r="B475" s="231"/>
      <c r="I475" s="392"/>
      <c r="K475" s="231"/>
      <c r="X475" s="1"/>
      <c r="Y475" s="1"/>
      <c r="Z475" s="1"/>
      <c r="AA475" s="1"/>
      <c r="AB475" s="392"/>
      <c r="AD475" s="231"/>
      <c r="AM475" s="231"/>
      <c r="AW475" s="1"/>
      <c r="AX475" s="1"/>
      <c r="AY475" s="1"/>
      <c r="AZ475" s="392"/>
      <c r="BB475" s="231"/>
    </row>
    <row r="476" spans="2:54" x14ac:dyDescent="0.25">
      <c r="B476" s="231"/>
      <c r="I476" s="392"/>
      <c r="K476" s="231"/>
      <c r="X476" s="1"/>
      <c r="Y476" s="1"/>
      <c r="Z476" s="1"/>
      <c r="AA476" s="1"/>
      <c r="AB476" s="392"/>
      <c r="AD476" s="231"/>
      <c r="AM476" s="231"/>
      <c r="AW476" s="1"/>
      <c r="AX476" s="1"/>
      <c r="AY476" s="1"/>
      <c r="AZ476" s="392"/>
      <c r="BB476" s="231"/>
    </row>
    <row r="477" spans="2:54" x14ac:dyDescent="0.25">
      <c r="B477" s="231"/>
      <c r="I477" s="392"/>
      <c r="K477" s="231"/>
      <c r="X477" s="1"/>
      <c r="Y477" s="1"/>
      <c r="Z477" s="1"/>
      <c r="AA477" s="1"/>
      <c r="AB477" s="392"/>
      <c r="AD477" s="231"/>
      <c r="AM477" s="231"/>
      <c r="AW477" s="1"/>
      <c r="AX477" s="1"/>
      <c r="AY477" s="1"/>
      <c r="AZ477" s="392"/>
      <c r="BB477" s="231"/>
    </row>
    <row r="478" spans="2:54" x14ac:dyDescent="0.25">
      <c r="B478" s="231"/>
      <c r="I478" s="392"/>
      <c r="K478" s="231"/>
      <c r="X478" s="1"/>
      <c r="Y478" s="1"/>
      <c r="Z478" s="1"/>
      <c r="AA478" s="1"/>
      <c r="AB478" s="392"/>
      <c r="AD478" s="231"/>
      <c r="AM478" s="231"/>
      <c r="AW478" s="1"/>
      <c r="AX478" s="1"/>
      <c r="AY478" s="1"/>
      <c r="AZ478" s="392"/>
      <c r="BB478" s="231"/>
    </row>
    <row r="479" spans="2:54" x14ac:dyDescent="0.25">
      <c r="B479" s="231"/>
      <c r="I479" s="392"/>
      <c r="K479" s="231"/>
      <c r="X479" s="1"/>
      <c r="Y479" s="1"/>
      <c r="Z479" s="1"/>
      <c r="AA479" s="1"/>
      <c r="AB479" s="392"/>
      <c r="AD479" s="231"/>
      <c r="AM479" s="231"/>
      <c r="AW479" s="1"/>
      <c r="AX479" s="1"/>
      <c r="AY479" s="1"/>
      <c r="AZ479" s="392"/>
      <c r="BB479" s="231"/>
    </row>
    <row r="480" spans="2:54" x14ac:dyDescent="0.25">
      <c r="B480" s="231"/>
      <c r="I480" s="392"/>
      <c r="K480" s="231"/>
      <c r="X480" s="1"/>
      <c r="Y480" s="1"/>
      <c r="Z480" s="1"/>
      <c r="AA480" s="1"/>
      <c r="AB480" s="392"/>
      <c r="AD480" s="231"/>
      <c r="AM480" s="231"/>
      <c r="AW480" s="1"/>
      <c r="AX480" s="1"/>
      <c r="AY480" s="1"/>
      <c r="AZ480" s="392"/>
      <c r="BB480" s="231"/>
    </row>
    <row r="481" spans="2:54" x14ac:dyDescent="0.25">
      <c r="B481" s="231"/>
      <c r="I481" s="392"/>
      <c r="K481" s="231"/>
      <c r="X481" s="1"/>
      <c r="Y481" s="1"/>
      <c r="Z481" s="1"/>
      <c r="AA481" s="1"/>
      <c r="AB481" s="392"/>
      <c r="AD481" s="231"/>
      <c r="AM481" s="231"/>
      <c r="AW481" s="1"/>
      <c r="AX481" s="1"/>
      <c r="AY481" s="1"/>
      <c r="AZ481" s="392"/>
      <c r="BB481" s="231"/>
    </row>
    <row r="482" spans="2:54" x14ac:dyDescent="0.25">
      <c r="B482" s="231"/>
      <c r="I482" s="392"/>
      <c r="K482" s="231"/>
      <c r="X482" s="1"/>
      <c r="Y482" s="1"/>
      <c r="Z482" s="1"/>
      <c r="AA482" s="1"/>
      <c r="AB482" s="392"/>
      <c r="AD482" s="231"/>
      <c r="AM482" s="231"/>
      <c r="AW482" s="1"/>
      <c r="AX482" s="1"/>
      <c r="AY482" s="1"/>
      <c r="AZ482" s="392"/>
      <c r="BB482" s="231"/>
    </row>
    <row r="483" spans="2:54" x14ac:dyDescent="0.25">
      <c r="B483" s="231"/>
      <c r="I483" s="392"/>
      <c r="K483" s="231"/>
      <c r="X483" s="1"/>
      <c r="Y483" s="1"/>
      <c r="Z483" s="1"/>
      <c r="AA483" s="1"/>
      <c r="AB483" s="392"/>
      <c r="AD483" s="231"/>
      <c r="AM483" s="231"/>
      <c r="AW483" s="1"/>
      <c r="AX483" s="1"/>
      <c r="AY483" s="1"/>
      <c r="AZ483" s="392"/>
      <c r="BB483" s="231"/>
    </row>
    <row r="484" spans="2:54" x14ac:dyDescent="0.25">
      <c r="B484" s="231"/>
      <c r="I484" s="392"/>
      <c r="K484" s="231"/>
      <c r="X484" s="1"/>
      <c r="Y484" s="1"/>
      <c r="Z484" s="1"/>
      <c r="AA484" s="1"/>
      <c r="AB484" s="392"/>
      <c r="AD484" s="231"/>
      <c r="AM484" s="231"/>
      <c r="AW484" s="1"/>
      <c r="AX484" s="1"/>
      <c r="AY484" s="1"/>
      <c r="AZ484" s="392"/>
      <c r="BB484" s="231"/>
    </row>
    <row r="485" spans="2:54" x14ac:dyDescent="0.25">
      <c r="B485" s="231"/>
      <c r="I485" s="392"/>
      <c r="K485" s="231"/>
      <c r="X485" s="1"/>
      <c r="Y485" s="1"/>
      <c r="Z485" s="1"/>
      <c r="AA485" s="1"/>
      <c r="AB485" s="392"/>
      <c r="AD485" s="231"/>
      <c r="AM485" s="231"/>
      <c r="AW485" s="1"/>
      <c r="AX485" s="1"/>
      <c r="AY485" s="1"/>
      <c r="AZ485" s="392"/>
      <c r="BB485" s="231"/>
    </row>
    <row r="486" spans="2:54" x14ac:dyDescent="0.25">
      <c r="B486" s="231"/>
      <c r="I486" s="392"/>
      <c r="K486" s="231"/>
      <c r="X486" s="1"/>
      <c r="Y486" s="1"/>
      <c r="Z486" s="1"/>
      <c r="AA486" s="1"/>
      <c r="AB486" s="392"/>
      <c r="AD486" s="231"/>
      <c r="AM486" s="231"/>
      <c r="AW486" s="1"/>
      <c r="AX486" s="1"/>
      <c r="AY486" s="1"/>
      <c r="AZ486" s="392"/>
      <c r="BB486" s="231"/>
    </row>
    <row r="487" spans="2:54" x14ac:dyDescent="0.25">
      <c r="B487" s="231"/>
      <c r="I487" s="392"/>
      <c r="K487" s="231"/>
      <c r="X487" s="1"/>
      <c r="Y487" s="1"/>
      <c r="Z487" s="1"/>
      <c r="AA487" s="1"/>
      <c r="AB487" s="392"/>
      <c r="AD487" s="231"/>
      <c r="AM487" s="231"/>
      <c r="AW487" s="1"/>
      <c r="AX487" s="1"/>
      <c r="AY487" s="1"/>
      <c r="AZ487" s="392"/>
      <c r="BB487" s="231"/>
    </row>
    <row r="488" spans="2:54" x14ac:dyDescent="0.25">
      <c r="B488" s="231"/>
      <c r="I488" s="392"/>
      <c r="K488" s="231"/>
      <c r="X488" s="1"/>
      <c r="Y488" s="1"/>
      <c r="Z488" s="1"/>
      <c r="AA488" s="1"/>
      <c r="AB488" s="392"/>
      <c r="AD488" s="231"/>
      <c r="AM488" s="231"/>
      <c r="AW488" s="1"/>
      <c r="AX488" s="1"/>
      <c r="AY488" s="1"/>
      <c r="AZ488" s="392"/>
      <c r="BB488" s="231"/>
    </row>
    <row r="489" spans="2:54" x14ac:dyDescent="0.25">
      <c r="B489" s="231"/>
      <c r="I489" s="392"/>
      <c r="K489" s="231"/>
      <c r="X489" s="1"/>
      <c r="Y489" s="1"/>
      <c r="Z489" s="1"/>
      <c r="AA489" s="1"/>
      <c r="AB489" s="392"/>
      <c r="AD489" s="231"/>
      <c r="AM489" s="231"/>
      <c r="AW489" s="1"/>
      <c r="AX489" s="1"/>
      <c r="AY489" s="1"/>
      <c r="AZ489" s="392"/>
      <c r="BB489" s="231"/>
    </row>
    <row r="490" spans="2:54" x14ac:dyDescent="0.25">
      <c r="B490" s="231"/>
      <c r="I490" s="392"/>
      <c r="K490" s="231"/>
      <c r="X490" s="1"/>
      <c r="Y490" s="1"/>
      <c r="Z490" s="1"/>
      <c r="AA490" s="1"/>
      <c r="AB490" s="392"/>
      <c r="AD490" s="231"/>
      <c r="AM490" s="231"/>
      <c r="AW490" s="1"/>
      <c r="AX490" s="1"/>
      <c r="AY490" s="1"/>
      <c r="AZ490" s="392"/>
      <c r="BB490" s="231"/>
    </row>
    <row r="491" spans="2:54" x14ac:dyDescent="0.25">
      <c r="B491" s="231"/>
      <c r="I491" s="392"/>
      <c r="K491" s="231"/>
      <c r="X491" s="1"/>
      <c r="Y491" s="1"/>
      <c r="Z491" s="1"/>
      <c r="AA491" s="1"/>
      <c r="AB491" s="392"/>
      <c r="AD491" s="231"/>
      <c r="AM491" s="231"/>
      <c r="AW491" s="1"/>
      <c r="AX491" s="1"/>
      <c r="AY491" s="1"/>
      <c r="AZ491" s="392"/>
      <c r="BB491" s="231"/>
    </row>
    <row r="492" spans="2:54" x14ac:dyDescent="0.25">
      <c r="B492" s="231"/>
      <c r="I492" s="392"/>
      <c r="K492" s="231"/>
      <c r="X492" s="1"/>
      <c r="Y492" s="1"/>
      <c r="Z492" s="1"/>
      <c r="AA492" s="1"/>
      <c r="AB492" s="392"/>
      <c r="AD492" s="231"/>
      <c r="AM492" s="231"/>
      <c r="AW492" s="1"/>
      <c r="AX492" s="1"/>
      <c r="AY492" s="1"/>
      <c r="AZ492" s="392"/>
      <c r="BB492" s="231"/>
    </row>
    <row r="493" spans="2:54" x14ac:dyDescent="0.25">
      <c r="B493" s="231"/>
      <c r="I493" s="392"/>
      <c r="K493" s="231"/>
      <c r="X493" s="1"/>
      <c r="Y493" s="1"/>
      <c r="Z493" s="1"/>
      <c r="AA493" s="1"/>
      <c r="AB493" s="392"/>
      <c r="AD493" s="231"/>
      <c r="AM493" s="231"/>
      <c r="AW493" s="1"/>
      <c r="AX493" s="1"/>
      <c r="AY493" s="1"/>
      <c r="AZ493" s="392"/>
      <c r="BB493" s="231"/>
    </row>
    <row r="494" spans="2:54" x14ac:dyDescent="0.25">
      <c r="B494" s="231"/>
      <c r="I494" s="392"/>
      <c r="K494" s="231"/>
      <c r="X494" s="1"/>
      <c r="Y494" s="1"/>
      <c r="Z494" s="1"/>
      <c r="AA494" s="1"/>
      <c r="AB494" s="392"/>
      <c r="AD494" s="231"/>
      <c r="AM494" s="231"/>
      <c r="AW494" s="1"/>
      <c r="AX494" s="1"/>
      <c r="AY494" s="1"/>
      <c r="AZ494" s="392"/>
      <c r="BB494" s="231"/>
    </row>
    <row r="495" spans="2:54" x14ac:dyDescent="0.25">
      <c r="B495" s="231"/>
      <c r="I495" s="392"/>
      <c r="K495" s="231"/>
      <c r="X495" s="1"/>
      <c r="Y495" s="1"/>
      <c r="Z495" s="1"/>
      <c r="AA495" s="1"/>
      <c r="AB495" s="392"/>
      <c r="AD495" s="231"/>
      <c r="AM495" s="231"/>
      <c r="AW495" s="1"/>
      <c r="AX495" s="1"/>
      <c r="AY495" s="1"/>
      <c r="AZ495" s="392"/>
      <c r="BB495" s="231"/>
    </row>
    <row r="496" spans="2:54" x14ac:dyDescent="0.25">
      <c r="B496" s="231"/>
      <c r="I496" s="392"/>
      <c r="K496" s="231"/>
      <c r="X496" s="1"/>
      <c r="Y496" s="1"/>
      <c r="Z496" s="1"/>
      <c r="AA496" s="1"/>
      <c r="AB496" s="392"/>
      <c r="AD496" s="231"/>
      <c r="AM496" s="231"/>
      <c r="AW496" s="1"/>
      <c r="AX496" s="1"/>
      <c r="AY496" s="1"/>
      <c r="AZ496" s="392"/>
      <c r="BB496" s="231"/>
    </row>
    <row r="497" spans="2:54" x14ac:dyDescent="0.25">
      <c r="B497" s="231"/>
      <c r="I497" s="392"/>
      <c r="K497" s="231"/>
      <c r="X497" s="1"/>
      <c r="Y497" s="1"/>
      <c r="Z497" s="1"/>
      <c r="AA497" s="1"/>
      <c r="AB497" s="392"/>
      <c r="AD497" s="231"/>
      <c r="AM497" s="231"/>
      <c r="AW497" s="1"/>
      <c r="AX497" s="1"/>
      <c r="AY497" s="1"/>
      <c r="AZ497" s="392"/>
      <c r="BB497" s="231"/>
    </row>
    <row r="498" spans="2:54" x14ac:dyDescent="0.25">
      <c r="B498" s="231"/>
      <c r="I498" s="392"/>
      <c r="K498" s="231"/>
      <c r="X498" s="1"/>
      <c r="Y498" s="1"/>
      <c r="Z498" s="1"/>
      <c r="AA498" s="1"/>
      <c r="AB498" s="392"/>
      <c r="AD498" s="231"/>
      <c r="AM498" s="231"/>
      <c r="AW498" s="1"/>
      <c r="AX498" s="1"/>
      <c r="AY498" s="1"/>
      <c r="AZ498" s="392"/>
      <c r="BB498" s="231"/>
    </row>
    <row r="499" spans="2:54" x14ac:dyDescent="0.25">
      <c r="B499" s="231"/>
      <c r="I499" s="392"/>
      <c r="K499" s="231"/>
      <c r="X499" s="1"/>
      <c r="Y499" s="1"/>
      <c r="Z499" s="1"/>
      <c r="AA499" s="1"/>
      <c r="AB499" s="392"/>
      <c r="AD499" s="231"/>
      <c r="AM499" s="231"/>
      <c r="AW499" s="1"/>
      <c r="AX499" s="1"/>
      <c r="AY499" s="1"/>
      <c r="AZ499" s="392"/>
      <c r="BB499" s="231"/>
    </row>
    <row r="500" spans="2:54" x14ac:dyDescent="0.25">
      <c r="B500" s="231"/>
      <c r="I500" s="392"/>
      <c r="K500" s="231"/>
      <c r="X500" s="1"/>
      <c r="Y500" s="1"/>
      <c r="Z500" s="1"/>
      <c r="AA500" s="1"/>
      <c r="AB500" s="392"/>
      <c r="AD500" s="231"/>
      <c r="AM500" s="231"/>
      <c r="AW500" s="1"/>
      <c r="AX500" s="1"/>
      <c r="AY500" s="1"/>
      <c r="AZ500" s="392"/>
      <c r="BB500" s="231"/>
    </row>
    <row r="501" spans="2:54" x14ac:dyDescent="0.25">
      <c r="B501" s="231"/>
      <c r="I501" s="392"/>
      <c r="K501" s="231"/>
      <c r="X501" s="1"/>
      <c r="Y501" s="1"/>
      <c r="Z501" s="1"/>
      <c r="AA501" s="1"/>
      <c r="AB501" s="392"/>
      <c r="AD501" s="231"/>
      <c r="AM501" s="231"/>
      <c r="AW501" s="1"/>
      <c r="AX501" s="1"/>
      <c r="AY501" s="1"/>
      <c r="AZ501" s="392"/>
      <c r="BB501" s="231"/>
    </row>
    <row r="502" spans="2:54" x14ac:dyDescent="0.25">
      <c r="B502" s="231"/>
      <c r="I502" s="392"/>
      <c r="K502" s="231"/>
      <c r="X502" s="1"/>
      <c r="Y502" s="1"/>
      <c r="Z502" s="1"/>
      <c r="AA502" s="1"/>
      <c r="AB502" s="392"/>
      <c r="AD502" s="231"/>
      <c r="AM502" s="231"/>
      <c r="AW502" s="1"/>
      <c r="AX502" s="1"/>
      <c r="AY502" s="1"/>
      <c r="AZ502" s="392"/>
      <c r="BB502" s="231"/>
    </row>
    <row r="503" spans="2:54" x14ac:dyDescent="0.25">
      <c r="B503" s="231"/>
      <c r="I503" s="392"/>
      <c r="K503" s="231"/>
      <c r="X503" s="1"/>
      <c r="Y503" s="1"/>
      <c r="Z503" s="1"/>
      <c r="AA503" s="1"/>
      <c r="AB503" s="392"/>
      <c r="AD503" s="231"/>
      <c r="AM503" s="231"/>
      <c r="AW503" s="1"/>
      <c r="AX503" s="1"/>
      <c r="AY503" s="1"/>
      <c r="AZ503" s="392"/>
      <c r="BB503" s="231"/>
    </row>
    <row r="504" spans="2:54" x14ac:dyDescent="0.25">
      <c r="B504" s="231"/>
      <c r="I504" s="392"/>
      <c r="K504" s="231"/>
      <c r="X504" s="1"/>
      <c r="Y504" s="1"/>
      <c r="Z504" s="1"/>
      <c r="AA504" s="1"/>
      <c r="AB504" s="392"/>
      <c r="AD504" s="231"/>
      <c r="AM504" s="231"/>
      <c r="AW504" s="1"/>
      <c r="AX504" s="1"/>
      <c r="AY504" s="1"/>
      <c r="AZ504" s="392"/>
      <c r="BB504" s="231"/>
    </row>
    <row r="505" spans="2:54" x14ac:dyDescent="0.25">
      <c r="B505" s="231"/>
      <c r="I505" s="392"/>
      <c r="K505" s="231"/>
      <c r="X505" s="1"/>
      <c r="Y505" s="1"/>
      <c r="Z505" s="1"/>
      <c r="AA505" s="1"/>
      <c r="AB505" s="392"/>
      <c r="AD505" s="231"/>
      <c r="AM505" s="231"/>
      <c r="AW505" s="1"/>
      <c r="AX505" s="1"/>
      <c r="AY505" s="1"/>
      <c r="AZ505" s="392"/>
      <c r="BB505" s="231"/>
    </row>
    <row r="506" spans="2:54" x14ac:dyDescent="0.25">
      <c r="B506" s="231"/>
      <c r="I506" s="392"/>
      <c r="K506" s="231"/>
      <c r="X506" s="1"/>
      <c r="Y506" s="1"/>
      <c r="Z506" s="1"/>
      <c r="AA506" s="1"/>
      <c r="AB506" s="392"/>
      <c r="AD506" s="231"/>
      <c r="AM506" s="231"/>
      <c r="AW506" s="1"/>
      <c r="AX506" s="1"/>
      <c r="AY506" s="1"/>
      <c r="AZ506" s="392"/>
      <c r="BB506" s="231"/>
    </row>
    <row r="507" spans="2:54" x14ac:dyDescent="0.25">
      <c r="B507" s="231"/>
      <c r="I507" s="392"/>
      <c r="K507" s="231"/>
      <c r="X507" s="1"/>
      <c r="Y507" s="1"/>
      <c r="Z507" s="1"/>
      <c r="AA507" s="1"/>
      <c r="AB507" s="392"/>
      <c r="AD507" s="231"/>
      <c r="AM507" s="231"/>
      <c r="AW507" s="1"/>
      <c r="AX507" s="1"/>
      <c r="AY507" s="1"/>
      <c r="AZ507" s="392"/>
      <c r="BB507" s="231"/>
    </row>
    <row r="508" spans="2:54" x14ac:dyDescent="0.25">
      <c r="B508" s="231"/>
      <c r="I508" s="392"/>
      <c r="K508" s="231"/>
      <c r="X508" s="1"/>
      <c r="Y508" s="1"/>
      <c r="Z508" s="1"/>
      <c r="AA508" s="1"/>
      <c r="AB508" s="392"/>
      <c r="AD508" s="231"/>
      <c r="AM508" s="231"/>
      <c r="AW508" s="1"/>
      <c r="AX508" s="1"/>
      <c r="AY508" s="1"/>
      <c r="AZ508" s="392"/>
      <c r="BB508" s="231"/>
    </row>
    <row r="509" spans="2:54" x14ac:dyDescent="0.25">
      <c r="B509" s="231"/>
      <c r="I509" s="392"/>
      <c r="K509" s="231"/>
      <c r="X509" s="1"/>
      <c r="Y509" s="1"/>
      <c r="Z509" s="1"/>
      <c r="AA509" s="1"/>
      <c r="AB509" s="392"/>
      <c r="AD509" s="231"/>
      <c r="AM509" s="231"/>
      <c r="AW509" s="1"/>
      <c r="AX509" s="1"/>
      <c r="AY509" s="1"/>
      <c r="AZ509" s="392"/>
      <c r="BB509" s="231"/>
    </row>
    <row r="510" spans="2:54" x14ac:dyDescent="0.25">
      <c r="B510" s="231"/>
      <c r="I510" s="392"/>
      <c r="K510" s="231"/>
      <c r="X510" s="1"/>
      <c r="Y510" s="1"/>
      <c r="Z510" s="1"/>
      <c r="AA510" s="1"/>
      <c r="AB510" s="392"/>
      <c r="AD510" s="231"/>
      <c r="AM510" s="231"/>
      <c r="AW510" s="1"/>
      <c r="AX510" s="1"/>
      <c r="AY510" s="1"/>
      <c r="AZ510" s="392"/>
      <c r="BB510" s="231"/>
    </row>
    <row r="511" spans="2:54" x14ac:dyDescent="0.25">
      <c r="B511" s="231"/>
      <c r="I511" s="392"/>
      <c r="K511" s="231"/>
      <c r="X511" s="1"/>
      <c r="Y511" s="1"/>
      <c r="Z511" s="1"/>
      <c r="AA511" s="1"/>
      <c r="AB511" s="392"/>
      <c r="AD511" s="231"/>
      <c r="AM511" s="231"/>
      <c r="AW511" s="1"/>
      <c r="AX511" s="1"/>
      <c r="AY511" s="1"/>
      <c r="AZ511" s="392"/>
      <c r="BB511" s="231"/>
    </row>
    <row r="512" spans="2:54" x14ac:dyDescent="0.25">
      <c r="B512" s="231"/>
      <c r="I512" s="392"/>
      <c r="K512" s="231"/>
      <c r="X512" s="1"/>
      <c r="Y512" s="1"/>
      <c r="Z512" s="1"/>
      <c r="AA512" s="1"/>
      <c r="AB512" s="392"/>
      <c r="AD512" s="231"/>
      <c r="AM512" s="231"/>
      <c r="AW512" s="1"/>
      <c r="AX512" s="1"/>
      <c r="AY512" s="1"/>
      <c r="AZ512" s="392"/>
      <c r="BB512" s="231"/>
    </row>
    <row r="513" spans="2:54" x14ac:dyDescent="0.25">
      <c r="B513" s="231"/>
      <c r="I513" s="392"/>
      <c r="K513" s="231"/>
      <c r="X513" s="1"/>
      <c r="Y513" s="1"/>
      <c r="Z513" s="1"/>
      <c r="AA513" s="1"/>
      <c r="AB513" s="392"/>
      <c r="AD513" s="231"/>
      <c r="AM513" s="231"/>
      <c r="AW513" s="1"/>
      <c r="AX513" s="1"/>
      <c r="AY513" s="1"/>
      <c r="AZ513" s="392"/>
      <c r="BB513" s="231"/>
    </row>
    <row r="514" spans="2:54" x14ac:dyDescent="0.25">
      <c r="B514" s="231"/>
      <c r="I514" s="392"/>
      <c r="K514" s="231"/>
      <c r="X514" s="1"/>
      <c r="Y514" s="1"/>
      <c r="Z514" s="1"/>
      <c r="AA514" s="1"/>
      <c r="AB514" s="392"/>
      <c r="AD514" s="231"/>
      <c r="AM514" s="231"/>
      <c r="AW514" s="1"/>
      <c r="AX514" s="1"/>
      <c r="AY514" s="1"/>
      <c r="AZ514" s="392"/>
      <c r="BB514" s="231"/>
    </row>
    <row r="515" spans="2:54" x14ac:dyDescent="0.25">
      <c r="B515" s="231"/>
      <c r="I515" s="392"/>
      <c r="K515" s="231"/>
      <c r="X515" s="1"/>
      <c r="Y515" s="1"/>
      <c r="Z515" s="1"/>
      <c r="AA515" s="1"/>
      <c r="AB515" s="392"/>
      <c r="AD515" s="231"/>
      <c r="AM515" s="231"/>
      <c r="AW515" s="1"/>
      <c r="AX515" s="1"/>
      <c r="AY515" s="1"/>
      <c r="AZ515" s="392"/>
      <c r="BB515" s="231"/>
    </row>
    <row r="516" spans="2:54" x14ac:dyDescent="0.25">
      <c r="B516" s="231"/>
      <c r="I516" s="392"/>
      <c r="K516" s="231"/>
      <c r="X516" s="1"/>
      <c r="Y516" s="1"/>
      <c r="Z516" s="1"/>
      <c r="AA516" s="1"/>
      <c r="AB516" s="392"/>
      <c r="AD516" s="231"/>
      <c r="AM516" s="231"/>
      <c r="AW516" s="1"/>
      <c r="AX516" s="1"/>
      <c r="AY516" s="1"/>
      <c r="AZ516" s="392"/>
      <c r="BB516" s="231"/>
    </row>
    <row r="517" spans="2:54" x14ac:dyDescent="0.25">
      <c r="B517" s="231"/>
      <c r="I517" s="392"/>
      <c r="K517" s="231"/>
      <c r="X517" s="1"/>
      <c r="Y517" s="1"/>
      <c r="Z517" s="1"/>
      <c r="AA517" s="1"/>
      <c r="AB517" s="392"/>
      <c r="AD517" s="231"/>
      <c r="AM517" s="231"/>
      <c r="AW517" s="1"/>
      <c r="AX517" s="1"/>
      <c r="AY517" s="1"/>
      <c r="AZ517" s="392"/>
      <c r="BB517" s="231"/>
    </row>
    <row r="518" spans="2:54" x14ac:dyDescent="0.25">
      <c r="B518" s="231"/>
      <c r="I518" s="392"/>
      <c r="K518" s="231"/>
      <c r="X518" s="1"/>
      <c r="Y518" s="1"/>
      <c r="Z518" s="1"/>
      <c r="AA518" s="1"/>
      <c r="AB518" s="392"/>
      <c r="AD518" s="231"/>
      <c r="AM518" s="231"/>
      <c r="AW518" s="1"/>
      <c r="AX518" s="1"/>
      <c r="AY518" s="1"/>
      <c r="AZ518" s="392"/>
      <c r="BB518" s="231"/>
    </row>
    <row r="519" spans="2:54" x14ac:dyDescent="0.25">
      <c r="B519" s="231"/>
      <c r="I519" s="392"/>
      <c r="K519" s="231"/>
      <c r="X519" s="1"/>
      <c r="Y519" s="1"/>
      <c r="Z519" s="1"/>
      <c r="AA519" s="1"/>
      <c r="AB519" s="392"/>
      <c r="AD519" s="231"/>
      <c r="AM519" s="231"/>
      <c r="AW519" s="1"/>
      <c r="AX519" s="1"/>
      <c r="AY519" s="1"/>
      <c r="AZ519" s="392"/>
      <c r="BB519" s="231"/>
    </row>
    <row r="520" spans="2:54" x14ac:dyDescent="0.25">
      <c r="B520" s="231"/>
      <c r="I520" s="392"/>
      <c r="K520" s="231"/>
      <c r="X520" s="1"/>
      <c r="Y520" s="1"/>
      <c r="Z520" s="1"/>
      <c r="AA520" s="1"/>
      <c r="AB520" s="392"/>
      <c r="AD520" s="231"/>
      <c r="AM520" s="231"/>
      <c r="AW520" s="1"/>
      <c r="AX520" s="1"/>
      <c r="AY520" s="1"/>
      <c r="AZ520" s="392"/>
      <c r="BB520" s="231"/>
    </row>
    <row r="521" spans="2:54" x14ac:dyDescent="0.25">
      <c r="B521" s="231"/>
      <c r="I521" s="392"/>
      <c r="K521" s="231"/>
      <c r="X521" s="1"/>
      <c r="Y521" s="1"/>
      <c r="Z521" s="1"/>
      <c r="AA521" s="1"/>
      <c r="AB521" s="392"/>
      <c r="AD521" s="231"/>
      <c r="AM521" s="231"/>
      <c r="AW521" s="1"/>
      <c r="AX521" s="1"/>
      <c r="AY521" s="1"/>
      <c r="AZ521" s="392"/>
      <c r="BB521" s="231"/>
    </row>
    <row r="522" spans="2:54" x14ac:dyDescent="0.25">
      <c r="B522" s="231"/>
      <c r="I522" s="392"/>
      <c r="K522" s="231"/>
      <c r="X522" s="1"/>
      <c r="Y522" s="1"/>
      <c r="Z522" s="1"/>
      <c r="AA522" s="1"/>
      <c r="AB522" s="392"/>
      <c r="AD522" s="231"/>
      <c r="AM522" s="231"/>
      <c r="AW522" s="1"/>
      <c r="AX522" s="1"/>
      <c r="AY522" s="1"/>
      <c r="AZ522" s="392"/>
      <c r="BB522" s="231"/>
    </row>
    <row r="523" spans="2:54" x14ac:dyDescent="0.25">
      <c r="B523" s="231"/>
      <c r="I523" s="392"/>
      <c r="K523" s="231"/>
      <c r="X523" s="1"/>
      <c r="Y523" s="1"/>
      <c r="Z523" s="1"/>
      <c r="AA523" s="1"/>
      <c r="AB523" s="392"/>
      <c r="AD523" s="231"/>
      <c r="AM523" s="231"/>
      <c r="AW523" s="1"/>
      <c r="AX523" s="1"/>
      <c r="AY523" s="1"/>
      <c r="AZ523" s="392"/>
      <c r="BB523" s="231"/>
    </row>
    <row r="524" spans="2:54" x14ac:dyDescent="0.25">
      <c r="B524" s="231"/>
      <c r="I524" s="392"/>
      <c r="K524" s="231"/>
      <c r="X524" s="1"/>
      <c r="Y524" s="1"/>
      <c r="Z524" s="1"/>
      <c r="AA524" s="1"/>
      <c r="AB524" s="392"/>
      <c r="AD524" s="231"/>
      <c r="AM524" s="231"/>
      <c r="AW524" s="1"/>
      <c r="AX524" s="1"/>
      <c r="AY524" s="1"/>
      <c r="AZ524" s="392"/>
      <c r="BB524" s="231"/>
    </row>
    <row r="525" spans="2:54" x14ac:dyDescent="0.25">
      <c r="B525" s="231"/>
      <c r="I525" s="392"/>
      <c r="K525" s="231"/>
      <c r="X525" s="1"/>
      <c r="Y525" s="1"/>
      <c r="Z525" s="1"/>
      <c r="AA525" s="1"/>
      <c r="AB525" s="392"/>
      <c r="AD525" s="231"/>
      <c r="AM525" s="231"/>
      <c r="AW525" s="1"/>
      <c r="AX525" s="1"/>
      <c r="AY525" s="1"/>
      <c r="AZ525" s="392"/>
      <c r="BB525" s="231"/>
    </row>
    <row r="526" spans="2:54" x14ac:dyDescent="0.25">
      <c r="B526" s="231"/>
      <c r="I526" s="392"/>
      <c r="K526" s="231"/>
      <c r="X526" s="1"/>
      <c r="Y526" s="1"/>
      <c r="Z526" s="1"/>
      <c r="AA526" s="1"/>
      <c r="AB526" s="392"/>
      <c r="AD526" s="231"/>
      <c r="AM526" s="231"/>
      <c r="AW526" s="1"/>
      <c r="AX526" s="1"/>
      <c r="AY526" s="1"/>
      <c r="AZ526" s="392"/>
      <c r="BB526" s="231"/>
    </row>
    <row r="527" spans="2:54" x14ac:dyDescent="0.25">
      <c r="B527" s="231"/>
      <c r="I527" s="392"/>
      <c r="K527" s="231"/>
      <c r="X527" s="1"/>
      <c r="Y527" s="1"/>
      <c r="Z527" s="1"/>
      <c r="AA527" s="1"/>
      <c r="AB527" s="392"/>
      <c r="AD527" s="231"/>
      <c r="AM527" s="231"/>
      <c r="AW527" s="1"/>
      <c r="AX527" s="1"/>
      <c r="AY527" s="1"/>
      <c r="AZ527" s="392"/>
      <c r="BB527" s="231"/>
    </row>
    <row r="528" spans="2:54" x14ac:dyDescent="0.25">
      <c r="B528" s="231"/>
      <c r="I528" s="392"/>
      <c r="K528" s="231"/>
      <c r="X528" s="1"/>
      <c r="Y528" s="1"/>
      <c r="Z528" s="1"/>
      <c r="AA528" s="1"/>
      <c r="AB528" s="392"/>
      <c r="AD528" s="231"/>
      <c r="AM528" s="231"/>
      <c r="AW528" s="1"/>
      <c r="AX528" s="1"/>
      <c r="AY528" s="1"/>
      <c r="AZ528" s="392"/>
      <c r="BB528" s="231"/>
    </row>
    <row r="529" spans="2:54" x14ac:dyDescent="0.25">
      <c r="B529" s="231"/>
      <c r="I529" s="392"/>
      <c r="K529" s="231"/>
      <c r="X529" s="1"/>
      <c r="Y529" s="1"/>
      <c r="Z529" s="1"/>
      <c r="AA529" s="1"/>
      <c r="AB529" s="392"/>
      <c r="AD529" s="231"/>
      <c r="AM529" s="231"/>
      <c r="AW529" s="1"/>
      <c r="AX529" s="1"/>
      <c r="AY529" s="1"/>
      <c r="AZ529" s="392"/>
      <c r="BB529" s="231"/>
    </row>
    <row r="530" spans="2:54" x14ac:dyDescent="0.25">
      <c r="B530" s="231"/>
      <c r="I530" s="392"/>
      <c r="K530" s="231"/>
      <c r="X530" s="1"/>
      <c r="Y530" s="1"/>
      <c r="Z530" s="1"/>
      <c r="AA530" s="1"/>
      <c r="AB530" s="392"/>
      <c r="AD530" s="231"/>
      <c r="AM530" s="231"/>
      <c r="AW530" s="1"/>
      <c r="AX530" s="1"/>
      <c r="AY530" s="1"/>
      <c r="AZ530" s="392"/>
      <c r="BB530" s="231"/>
    </row>
    <row r="531" spans="2:54" x14ac:dyDescent="0.25">
      <c r="B531" s="231"/>
      <c r="I531" s="392"/>
      <c r="K531" s="231"/>
      <c r="X531" s="1"/>
      <c r="Y531" s="1"/>
      <c r="Z531" s="1"/>
      <c r="AA531" s="1"/>
      <c r="AB531" s="392"/>
      <c r="AD531" s="231"/>
      <c r="AM531" s="231"/>
      <c r="AW531" s="1"/>
      <c r="AX531" s="1"/>
      <c r="AY531" s="1"/>
      <c r="AZ531" s="392"/>
      <c r="BB531" s="231"/>
    </row>
    <row r="532" spans="2:54" x14ac:dyDescent="0.25">
      <c r="B532" s="231"/>
      <c r="I532" s="392"/>
      <c r="K532" s="231"/>
      <c r="X532" s="1"/>
      <c r="Y532" s="1"/>
      <c r="Z532" s="1"/>
      <c r="AA532" s="1"/>
      <c r="AB532" s="392"/>
      <c r="AD532" s="231"/>
      <c r="AM532" s="231"/>
      <c r="AW532" s="1"/>
      <c r="AX532" s="1"/>
      <c r="AY532" s="1"/>
      <c r="AZ532" s="392"/>
      <c r="BB532" s="231"/>
    </row>
    <row r="533" spans="2:54" x14ac:dyDescent="0.25">
      <c r="B533" s="231"/>
      <c r="I533" s="392"/>
      <c r="K533" s="231"/>
      <c r="X533" s="1"/>
      <c r="Y533" s="1"/>
      <c r="Z533" s="1"/>
      <c r="AA533" s="1"/>
      <c r="AB533" s="392"/>
      <c r="AD533" s="231"/>
      <c r="AM533" s="231"/>
      <c r="AW533" s="1"/>
      <c r="AX533" s="1"/>
      <c r="AY533" s="1"/>
      <c r="AZ533" s="392"/>
      <c r="BB533" s="231"/>
    </row>
    <row r="534" spans="2:54" x14ac:dyDescent="0.25">
      <c r="B534" s="231"/>
      <c r="I534" s="392"/>
      <c r="K534" s="231"/>
      <c r="X534" s="1"/>
      <c r="Y534" s="1"/>
      <c r="Z534" s="1"/>
      <c r="AA534" s="1"/>
      <c r="AB534" s="392"/>
      <c r="AD534" s="231"/>
      <c r="AM534" s="231"/>
      <c r="AW534" s="1"/>
      <c r="AX534" s="1"/>
      <c r="AY534" s="1"/>
      <c r="AZ534" s="392"/>
      <c r="BB534" s="231"/>
    </row>
    <row r="535" spans="2:54" x14ac:dyDescent="0.25">
      <c r="B535" s="231"/>
      <c r="I535" s="392"/>
      <c r="K535" s="231"/>
      <c r="X535" s="1"/>
      <c r="Y535" s="1"/>
      <c r="Z535" s="1"/>
      <c r="AA535" s="1"/>
      <c r="AB535" s="392"/>
      <c r="AD535" s="231"/>
      <c r="AM535" s="231"/>
      <c r="AW535" s="1"/>
      <c r="AX535" s="1"/>
      <c r="AY535" s="1"/>
      <c r="AZ535" s="392"/>
      <c r="BB535" s="231"/>
    </row>
    <row r="536" spans="2:54" x14ac:dyDescent="0.25">
      <c r="B536" s="231"/>
      <c r="I536" s="392"/>
      <c r="K536" s="231"/>
      <c r="X536" s="1"/>
      <c r="Y536" s="1"/>
      <c r="Z536" s="1"/>
      <c r="AA536" s="1"/>
      <c r="AB536" s="392"/>
      <c r="AD536" s="231"/>
      <c r="AM536" s="231"/>
      <c r="AW536" s="1"/>
      <c r="AX536" s="1"/>
      <c r="AY536" s="1"/>
      <c r="AZ536" s="392"/>
      <c r="BB536" s="231"/>
    </row>
    <row r="537" spans="2:54" x14ac:dyDescent="0.25">
      <c r="B537" s="231"/>
      <c r="I537" s="392"/>
      <c r="K537" s="231"/>
      <c r="X537" s="1"/>
      <c r="Y537" s="1"/>
      <c r="Z537" s="1"/>
      <c r="AA537" s="1"/>
      <c r="AB537" s="392"/>
      <c r="AD537" s="231"/>
      <c r="AM537" s="231"/>
      <c r="AW537" s="1"/>
      <c r="AX537" s="1"/>
      <c r="AY537" s="1"/>
      <c r="AZ537" s="392"/>
      <c r="BB537" s="231"/>
    </row>
    <row r="538" spans="2:54" x14ac:dyDescent="0.25">
      <c r="B538" s="231"/>
      <c r="I538" s="392"/>
      <c r="K538" s="231"/>
      <c r="X538" s="1"/>
      <c r="Y538" s="1"/>
      <c r="Z538" s="1"/>
      <c r="AA538" s="1"/>
      <c r="AB538" s="392"/>
      <c r="AD538" s="231"/>
      <c r="AM538" s="231"/>
      <c r="AW538" s="1"/>
      <c r="AX538" s="1"/>
      <c r="AY538" s="1"/>
      <c r="AZ538" s="392"/>
      <c r="BB538" s="231"/>
    </row>
    <row r="539" spans="2:54" x14ac:dyDescent="0.25">
      <c r="B539" s="231"/>
      <c r="I539" s="392"/>
      <c r="K539" s="231"/>
      <c r="X539" s="1"/>
      <c r="Y539" s="1"/>
      <c r="Z539" s="1"/>
      <c r="AA539" s="1"/>
      <c r="AB539" s="392"/>
      <c r="AD539" s="231"/>
      <c r="AM539" s="231"/>
      <c r="AW539" s="1"/>
      <c r="AX539" s="1"/>
      <c r="AY539" s="1"/>
      <c r="AZ539" s="392"/>
      <c r="BB539" s="231"/>
    </row>
    <row r="540" spans="2:54" x14ac:dyDescent="0.25">
      <c r="B540" s="231"/>
      <c r="I540" s="392"/>
      <c r="K540" s="231"/>
      <c r="X540" s="1"/>
      <c r="Y540" s="1"/>
      <c r="Z540" s="1"/>
      <c r="AA540" s="1"/>
      <c r="AB540" s="392"/>
      <c r="AD540" s="231"/>
      <c r="AM540" s="231"/>
      <c r="AW540" s="1"/>
      <c r="AX540" s="1"/>
      <c r="AY540" s="1"/>
      <c r="AZ540" s="392"/>
      <c r="BB540" s="231"/>
    </row>
    <row r="541" spans="2:54" x14ac:dyDescent="0.25">
      <c r="B541" s="231"/>
      <c r="I541" s="392"/>
      <c r="K541" s="231"/>
      <c r="X541" s="1"/>
      <c r="Y541" s="1"/>
      <c r="Z541" s="1"/>
      <c r="AA541" s="1"/>
      <c r="AB541" s="392"/>
      <c r="AD541" s="231"/>
      <c r="AM541" s="231"/>
      <c r="AW541" s="1"/>
      <c r="AX541" s="1"/>
      <c r="AY541" s="1"/>
      <c r="AZ541" s="392"/>
      <c r="BB541" s="231"/>
    </row>
    <row r="542" spans="2:54" x14ac:dyDescent="0.25">
      <c r="B542" s="231"/>
      <c r="I542" s="392"/>
      <c r="K542" s="231"/>
      <c r="X542" s="1"/>
      <c r="Y542" s="1"/>
      <c r="Z542" s="1"/>
      <c r="AA542" s="1"/>
      <c r="AB542" s="392"/>
      <c r="AD542" s="231"/>
      <c r="AM542" s="231"/>
      <c r="AW542" s="1"/>
      <c r="AX542" s="1"/>
      <c r="AY542" s="1"/>
      <c r="AZ542" s="392"/>
      <c r="BB542" s="231"/>
    </row>
    <row r="543" spans="2:54" x14ac:dyDescent="0.25">
      <c r="B543" s="231"/>
      <c r="I543" s="392"/>
      <c r="K543" s="231"/>
      <c r="X543" s="1"/>
      <c r="Y543" s="1"/>
      <c r="Z543" s="1"/>
      <c r="AA543" s="1"/>
      <c r="AB543" s="392"/>
      <c r="AD543" s="231"/>
      <c r="AM543" s="231"/>
      <c r="AW543" s="1"/>
      <c r="AX543" s="1"/>
      <c r="AY543" s="1"/>
      <c r="AZ543" s="392"/>
      <c r="BB543" s="231"/>
    </row>
    <row r="544" spans="2:54" x14ac:dyDescent="0.25">
      <c r="B544" s="231"/>
      <c r="I544" s="392"/>
      <c r="K544" s="231"/>
      <c r="X544" s="1"/>
      <c r="Y544" s="1"/>
      <c r="Z544" s="1"/>
      <c r="AA544" s="1"/>
      <c r="AB544" s="392"/>
      <c r="AD544" s="231"/>
      <c r="AM544" s="231"/>
      <c r="AW544" s="1"/>
      <c r="AX544" s="1"/>
      <c r="AY544" s="1"/>
      <c r="AZ544" s="392"/>
      <c r="BB544" s="231"/>
    </row>
    <row r="545" spans="2:54" x14ac:dyDescent="0.25">
      <c r="B545" s="231"/>
      <c r="I545" s="392"/>
      <c r="K545" s="231"/>
      <c r="X545" s="1"/>
      <c r="Y545" s="1"/>
      <c r="Z545" s="1"/>
      <c r="AA545" s="1"/>
      <c r="AB545" s="392"/>
      <c r="AD545" s="231"/>
      <c r="AM545" s="231"/>
      <c r="AW545" s="1"/>
      <c r="AX545" s="1"/>
      <c r="AY545" s="1"/>
      <c r="AZ545" s="392"/>
      <c r="BB545" s="231"/>
    </row>
    <row r="546" spans="2:54" x14ac:dyDescent="0.25">
      <c r="B546" s="231"/>
      <c r="I546" s="392"/>
      <c r="K546" s="231"/>
      <c r="X546" s="1"/>
      <c r="Y546" s="1"/>
      <c r="Z546" s="1"/>
      <c r="AA546" s="1"/>
      <c r="AB546" s="392"/>
      <c r="AD546" s="231"/>
      <c r="AM546" s="231"/>
      <c r="AW546" s="1"/>
      <c r="AX546" s="1"/>
      <c r="AY546" s="1"/>
      <c r="AZ546" s="392"/>
      <c r="BB546" s="231"/>
    </row>
    <row r="547" spans="2:54" x14ac:dyDescent="0.25">
      <c r="B547" s="231"/>
      <c r="I547" s="392"/>
      <c r="K547" s="231"/>
      <c r="X547" s="1"/>
      <c r="Y547" s="1"/>
      <c r="Z547" s="1"/>
      <c r="AA547" s="1"/>
      <c r="AB547" s="392"/>
      <c r="AD547" s="231"/>
      <c r="AM547" s="231"/>
      <c r="AW547" s="1"/>
      <c r="AX547" s="1"/>
      <c r="AY547" s="1"/>
      <c r="AZ547" s="392"/>
      <c r="BB547" s="231"/>
    </row>
    <row r="548" spans="2:54" x14ac:dyDescent="0.25">
      <c r="B548" s="231"/>
      <c r="I548" s="392"/>
      <c r="K548" s="231"/>
      <c r="X548" s="1"/>
      <c r="Y548" s="1"/>
      <c r="Z548" s="1"/>
      <c r="AA548" s="1"/>
      <c r="AB548" s="392"/>
      <c r="AD548" s="231"/>
      <c r="AM548" s="231"/>
      <c r="AW548" s="1"/>
      <c r="AX548" s="1"/>
      <c r="AY548" s="1"/>
      <c r="AZ548" s="392"/>
      <c r="BB548" s="231"/>
    </row>
    <row r="549" spans="2:54" x14ac:dyDescent="0.25">
      <c r="B549" s="231"/>
      <c r="I549" s="392"/>
      <c r="K549" s="231"/>
      <c r="X549" s="1"/>
      <c r="Y549" s="1"/>
      <c r="Z549" s="1"/>
      <c r="AA549" s="1"/>
      <c r="AB549" s="392"/>
      <c r="AD549" s="231"/>
      <c r="AM549" s="231"/>
      <c r="AW549" s="1"/>
      <c r="AX549" s="1"/>
      <c r="AY549" s="1"/>
      <c r="AZ549" s="392"/>
      <c r="BB549" s="231"/>
    </row>
    <row r="550" spans="2:54" x14ac:dyDescent="0.25">
      <c r="B550" s="231"/>
      <c r="I550" s="392"/>
      <c r="K550" s="231"/>
      <c r="X550" s="1"/>
      <c r="Y550" s="1"/>
      <c r="Z550" s="1"/>
      <c r="AA550" s="1"/>
      <c r="AB550" s="392"/>
      <c r="AD550" s="231"/>
      <c r="AM550" s="231"/>
      <c r="AW550" s="1"/>
      <c r="AX550" s="1"/>
      <c r="AY550" s="1"/>
      <c r="AZ550" s="392"/>
      <c r="BB550" s="231"/>
    </row>
    <row r="551" spans="2:54" x14ac:dyDescent="0.25">
      <c r="B551" s="231"/>
      <c r="I551" s="392"/>
      <c r="K551" s="231"/>
      <c r="X551" s="1"/>
      <c r="Y551" s="1"/>
      <c r="Z551" s="1"/>
      <c r="AA551" s="1"/>
      <c r="AB551" s="392"/>
      <c r="AD551" s="231"/>
      <c r="AM551" s="231"/>
      <c r="AW551" s="1"/>
      <c r="AX551" s="1"/>
      <c r="AY551" s="1"/>
      <c r="AZ551" s="392"/>
      <c r="BB551" s="231"/>
    </row>
    <row r="552" spans="2:54" x14ac:dyDescent="0.25">
      <c r="B552" s="231"/>
      <c r="I552" s="392"/>
      <c r="K552" s="231"/>
      <c r="X552" s="1"/>
      <c r="Y552" s="1"/>
      <c r="Z552" s="1"/>
      <c r="AA552" s="1"/>
      <c r="AB552" s="392"/>
      <c r="AD552" s="231"/>
      <c r="AM552" s="231"/>
      <c r="AW552" s="1"/>
      <c r="AX552" s="1"/>
      <c r="AY552" s="1"/>
      <c r="AZ552" s="392"/>
      <c r="BB552" s="231"/>
    </row>
    <row r="553" spans="2:54" x14ac:dyDescent="0.25">
      <c r="B553" s="231"/>
      <c r="I553" s="392"/>
      <c r="K553" s="231"/>
      <c r="X553" s="1"/>
      <c r="Y553" s="1"/>
      <c r="Z553" s="1"/>
      <c r="AA553" s="1"/>
      <c r="AB553" s="392"/>
      <c r="AD553" s="231"/>
      <c r="AM553" s="231"/>
      <c r="AW553" s="1"/>
      <c r="AX553" s="1"/>
      <c r="AY553" s="1"/>
      <c r="AZ553" s="392"/>
      <c r="BB553" s="231"/>
    </row>
    <row r="554" spans="2:54" x14ac:dyDescent="0.25">
      <c r="B554" s="231"/>
      <c r="I554" s="392"/>
      <c r="K554" s="231"/>
      <c r="X554" s="1"/>
      <c r="Y554" s="1"/>
      <c r="Z554" s="1"/>
      <c r="AA554" s="1"/>
      <c r="AB554" s="392"/>
      <c r="AD554" s="231"/>
      <c r="AM554" s="231"/>
      <c r="AW554" s="1"/>
      <c r="AX554" s="1"/>
      <c r="AY554" s="1"/>
      <c r="AZ554" s="392"/>
      <c r="BB554" s="231"/>
    </row>
    <row r="555" spans="2:54" x14ac:dyDescent="0.25">
      <c r="B555" s="231"/>
      <c r="I555" s="392"/>
      <c r="K555" s="231"/>
      <c r="X555" s="1"/>
      <c r="Y555" s="1"/>
      <c r="Z555" s="1"/>
      <c r="AA555" s="1"/>
      <c r="AB555" s="392"/>
      <c r="AD555" s="231"/>
      <c r="AM555" s="231"/>
      <c r="AW555" s="1"/>
      <c r="AX555" s="1"/>
      <c r="AY555" s="1"/>
      <c r="AZ555" s="392"/>
      <c r="BB555" s="231"/>
    </row>
    <row r="556" spans="2:54" x14ac:dyDescent="0.25">
      <c r="B556" s="231"/>
      <c r="I556" s="392"/>
      <c r="K556" s="231"/>
      <c r="X556" s="1"/>
      <c r="Y556" s="1"/>
      <c r="Z556" s="1"/>
      <c r="AA556" s="1"/>
      <c r="AB556" s="392"/>
      <c r="AD556" s="231"/>
      <c r="AM556" s="231"/>
      <c r="AW556" s="1"/>
      <c r="AX556" s="1"/>
      <c r="AY556" s="1"/>
      <c r="AZ556" s="392"/>
      <c r="BB556" s="231"/>
    </row>
    <row r="557" spans="2:54" x14ac:dyDescent="0.25">
      <c r="B557" s="231"/>
      <c r="I557" s="392"/>
      <c r="K557" s="231"/>
      <c r="X557" s="1"/>
      <c r="Y557" s="1"/>
      <c r="Z557" s="1"/>
      <c r="AA557" s="1"/>
      <c r="AB557" s="392"/>
      <c r="AD557" s="231"/>
      <c r="AM557" s="231"/>
      <c r="AW557" s="1"/>
      <c r="AX557" s="1"/>
      <c r="AY557" s="1"/>
      <c r="AZ557" s="392"/>
      <c r="BB557" s="231"/>
    </row>
    <row r="558" spans="2:54" x14ac:dyDescent="0.25">
      <c r="B558" s="231"/>
      <c r="I558" s="392"/>
      <c r="K558" s="231"/>
      <c r="X558" s="1"/>
      <c r="Y558" s="1"/>
      <c r="Z558" s="1"/>
      <c r="AA558" s="1"/>
      <c r="AB558" s="392"/>
      <c r="AD558" s="231"/>
      <c r="AM558" s="231"/>
      <c r="AW558" s="1"/>
      <c r="AX558" s="1"/>
      <c r="AY558" s="1"/>
      <c r="AZ558" s="392"/>
      <c r="BB558" s="231"/>
    </row>
    <row r="559" spans="2:54" x14ac:dyDescent="0.25">
      <c r="B559" s="231"/>
      <c r="I559" s="392"/>
      <c r="K559" s="231"/>
      <c r="X559" s="1"/>
      <c r="Y559" s="1"/>
      <c r="Z559" s="1"/>
      <c r="AA559" s="1"/>
      <c r="AB559" s="392"/>
      <c r="AD559" s="231"/>
      <c r="AM559" s="231"/>
      <c r="AW559" s="1"/>
      <c r="AX559" s="1"/>
      <c r="AY559" s="1"/>
      <c r="AZ559" s="392"/>
      <c r="BB559" s="231"/>
    </row>
    <row r="560" spans="2:54" x14ac:dyDescent="0.25">
      <c r="B560" s="231"/>
      <c r="I560" s="392"/>
      <c r="K560" s="231"/>
      <c r="X560" s="1"/>
      <c r="Y560" s="1"/>
      <c r="Z560" s="1"/>
      <c r="AA560" s="1"/>
      <c r="AB560" s="392"/>
      <c r="AD560" s="231"/>
      <c r="AM560" s="231"/>
      <c r="AW560" s="1"/>
      <c r="AX560" s="1"/>
      <c r="AY560" s="1"/>
      <c r="AZ560" s="392"/>
      <c r="BB560" s="231"/>
    </row>
    <row r="561" spans="2:54" x14ac:dyDescent="0.25">
      <c r="B561" s="231"/>
      <c r="I561" s="392"/>
      <c r="K561" s="231"/>
      <c r="X561" s="1"/>
      <c r="Y561" s="1"/>
      <c r="Z561" s="1"/>
      <c r="AA561" s="1"/>
      <c r="AB561" s="392"/>
      <c r="AD561" s="231"/>
      <c r="AM561" s="231"/>
      <c r="AW561" s="1"/>
      <c r="AX561" s="1"/>
      <c r="AY561" s="1"/>
      <c r="AZ561" s="392"/>
      <c r="BB561" s="231"/>
    </row>
    <row r="562" spans="2:54" x14ac:dyDescent="0.25">
      <c r="B562" s="231"/>
      <c r="I562" s="392"/>
      <c r="K562" s="231"/>
      <c r="X562" s="1"/>
      <c r="Y562" s="1"/>
      <c r="Z562" s="1"/>
      <c r="AA562" s="1"/>
      <c r="AB562" s="392"/>
      <c r="AD562" s="231"/>
      <c r="AM562" s="231"/>
      <c r="AW562" s="1"/>
      <c r="AX562" s="1"/>
      <c r="AY562" s="1"/>
      <c r="AZ562" s="392"/>
      <c r="BB562" s="231"/>
    </row>
    <row r="563" spans="2:54" x14ac:dyDescent="0.25">
      <c r="B563" s="231"/>
      <c r="I563" s="392"/>
      <c r="K563" s="231"/>
      <c r="X563" s="1"/>
      <c r="Y563" s="1"/>
      <c r="Z563" s="1"/>
      <c r="AA563" s="1"/>
      <c r="AB563" s="392"/>
      <c r="AD563" s="231"/>
      <c r="AM563" s="231"/>
      <c r="AW563" s="1"/>
      <c r="AX563" s="1"/>
      <c r="AY563" s="1"/>
      <c r="AZ563" s="392"/>
      <c r="BB563" s="231"/>
    </row>
    <row r="564" spans="2:54" x14ac:dyDescent="0.25">
      <c r="B564" s="231"/>
      <c r="I564" s="392"/>
      <c r="K564" s="231"/>
      <c r="X564" s="1"/>
      <c r="Y564" s="1"/>
      <c r="Z564" s="1"/>
      <c r="AA564" s="1"/>
      <c r="AB564" s="392"/>
      <c r="AD564" s="231"/>
      <c r="AM564" s="231"/>
      <c r="AW564" s="1"/>
      <c r="AX564" s="1"/>
      <c r="AY564" s="1"/>
      <c r="AZ564" s="392"/>
      <c r="BB564" s="231"/>
    </row>
    <row r="565" spans="2:54" x14ac:dyDescent="0.25">
      <c r="B565" s="231"/>
      <c r="I565" s="392"/>
      <c r="K565" s="231"/>
      <c r="X565" s="1"/>
      <c r="Y565" s="1"/>
      <c r="Z565" s="1"/>
      <c r="AA565" s="1"/>
      <c r="AB565" s="392"/>
      <c r="AD565" s="231"/>
      <c r="AM565" s="231"/>
      <c r="AW565" s="1"/>
      <c r="AX565" s="1"/>
      <c r="AY565" s="1"/>
      <c r="AZ565" s="392"/>
      <c r="BB565" s="231"/>
    </row>
    <row r="566" spans="2:54" x14ac:dyDescent="0.25">
      <c r="B566" s="231"/>
      <c r="I566" s="392"/>
      <c r="K566" s="231"/>
      <c r="X566" s="1"/>
      <c r="Y566" s="1"/>
      <c r="Z566" s="1"/>
      <c r="AA566" s="1"/>
      <c r="AB566" s="392"/>
      <c r="AD566" s="231"/>
      <c r="AM566" s="231"/>
      <c r="AW566" s="1"/>
      <c r="AX566" s="1"/>
      <c r="AY566" s="1"/>
      <c r="AZ566" s="392"/>
      <c r="BB566" s="231"/>
    </row>
    <row r="567" spans="2:54" x14ac:dyDescent="0.25">
      <c r="B567" s="231"/>
      <c r="I567" s="392"/>
      <c r="K567" s="231"/>
      <c r="X567" s="1"/>
      <c r="Y567" s="1"/>
      <c r="Z567" s="1"/>
      <c r="AA567" s="1"/>
      <c r="AB567" s="392"/>
      <c r="AD567" s="231"/>
      <c r="AM567" s="231"/>
      <c r="AW567" s="1"/>
      <c r="AX567" s="1"/>
      <c r="AY567" s="1"/>
      <c r="AZ567" s="392"/>
      <c r="BB567" s="231"/>
    </row>
    <row r="568" spans="2:54" x14ac:dyDescent="0.25">
      <c r="B568" s="231"/>
      <c r="I568" s="392"/>
      <c r="K568" s="231"/>
      <c r="X568" s="1"/>
      <c r="Y568" s="1"/>
      <c r="Z568" s="1"/>
      <c r="AA568" s="1"/>
      <c r="AB568" s="392"/>
      <c r="AD568" s="231"/>
      <c r="AM568" s="231"/>
      <c r="AW568" s="1"/>
      <c r="AX568" s="1"/>
      <c r="AY568" s="1"/>
      <c r="AZ568" s="392"/>
      <c r="BB568" s="231"/>
    </row>
    <row r="569" spans="2:54" x14ac:dyDescent="0.25">
      <c r="B569" s="231"/>
      <c r="I569" s="392"/>
      <c r="K569" s="231"/>
      <c r="X569" s="1"/>
      <c r="Y569" s="1"/>
      <c r="Z569" s="1"/>
      <c r="AA569" s="1"/>
      <c r="AB569" s="392"/>
      <c r="AD569" s="231"/>
      <c r="AM569" s="231"/>
      <c r="AW569" s="1"/>
      <c r="AX569" s="1"/>
      <c r="AY569" s="1"/>
      <c r="AZ569" s="392"/>
      <c r="BB569" s="231"/>
    </row>
    <row r="570" spans="2:54" x14ac:dyDescent="0.25">
      <c r="B570" s="231"/>
      <c r="I570" s="392"/>
      <c r="K570" s="231"/>
      <c r="X570" s="1"/>
      <c r="Y570" s="1"/>
      <c r="Z570" s="1"/>
      <c r="AA570" s="1"/>
      <c r="AB570" s="392"/>
      <c r="AD570" s="231"/>
      <c r="AM570" s="231"/>
      <c r="AW570" s="1"/>
      <c r="AX570" s="1"/>
      <c r="AY570" s="1"/>
      <c r="AZ570" s="392"/>
      <c r="BB570" s="231"/>
    </row>
    <row r="571" spans="2:54" x14ac:dyDescent="0.25">
      <c r="B571" s="231"/>
      <c r="I571" s="392"/>
      <c r="K571" s="231"/>
      <c r="X571" s="1"/>
      <c r="Y571" s="1"/>
      <c r="Z571" s="1"/>
      <c r="AA571" s="1"/>
      <c r="AB571" s="392"/>
      <c r="AD571" s="231"/>
      <c r="AM571" s="231"/>
      <c r="AW571" s="1"/>
      <c r="AX571" s="1"/>
      <c r="AY571" s="1"/>
      <c r="AZ571" s="392"/>
      <c r="BB571" s="231"/>
    </row>
    <row r="572" spans="2:54" x14ac:dyDescent="0.25">
      <c r="B572" s="231"/>
      <c r="I572" s="392"/>
      <c r="K572" s="231"/>
      <c r="X572" s="1"/>
      <c r="Y572" s="1"/>
      <c r="Z572" s="1"/>
      <c r="AA572" s="1"/>
      <c r="AB572" s="392"/>
      <c r="AD572" s="231"/>
      <c r="AM572" s="231"/>
      <c r="AW572" s="1"/>
      <c r="AX572" s="1"/>
      <c r="AY572" s="1"/>
      <c r="AZ572" s="392"/>
      <c r="BB572" s="231"/>
    </row>
    <row r="573" spans="2:54" x14ac:dyDescent="0.25">
      <c r="B573" s="231"/>
      <c r="I573" s="392"/>
      <c r="K573" s="231"/>
      <c r="X573" s="1"/>
      <c r="Y573" s="1"/>
      <c r="Z573" s="1"/>
      <c r="AA573" s="1"/>
      <c r="AB573" s="392"/>
      <c r="AD573" s="231"/>
      <c r="AM573" s="231"/>
      <c r="AW573" s="1"/>
      <c r="AX573" s="1"/>
      <c r="AY573" s="1"/>
      <c r="AZ573" s="392"/>
      <c r="BB573" s="231"/>
    </row>
    <row r="574" spans="2:54" x14ac:dyDescent="0.25">
      <c r="B574" s="231"/>
      <c r="I574" s="392"/>
      <c r="K574" s="231"/>
      <c r="X574" s="1"/>
      <c r="Y574" s="1"/>
      <c r="Z574" s="1"/>
      <c r="AA574" s="1"/>
      <c r="AB574" s="392"/>
      <c r="AD574" s="231"/>
      <c r="AM574" s="231"/>
      <c r="AW574" s="1"/>
      <c r="AX574" s="1"/>
      <c r="AY574" s="1"/>
      <c r="AZ574" s="392"/>
      <c r="BB574" s="231"/>
    </row>
    <row r="575" spans="2:54" x14ac:dyDescent="0.25">
      <c r="B575" s="231"/>
      <c r="I575" s="392"/>
      <c r="K575" s="231"/>
      <c r="X575" s="1"/>
      <c r="Y575" s="1"/>
      <c r="Z575" s="1"/>
      <c r="AA575" s="1"/>
      <c r="AB575" s="392"/>
      <c r="AD575" s="231"/>
      <c r="AM575" s="231"/>
      <c r="AW575" s="1"/>
      <c r="AX575" s="1"/>
      <c r="AY575" s="1"/>
      <c r="AZ575" s="392"/>
      <c r="BB575" s="231"/>
    </row>
    <row r="576" spans="2:54" x14ac:dyDescent="0.25">
      <c r="B576" s="231"/>
      <c r="I576" s="392"/>
      <c r="K576" s="231"/>
      <c r="X576" s="1"/>
      <c r="Y576" s="1"/>
      <c r="Z576" s="1"/>
      <c r="AA576" s="1"/>
      <c r="AB576" s="392"/>
      <c r="AD576" s="231"/>
      <c r="AM576" s="231"/>
      <c r="AW576" s="1"/>
      <c r="AX576" s="1"/>
      <c r="AY576" s="1"/>
      <c r="AZ576" s="392"/>
      <c r="BB576" s="231"/>
    </row>
    <row r="577" spans="2:54" x14ac:dyDescent="0.25">
      <c r="B577" s="231"/>
      <c r="I577" s="392"/>
      <c r="K577" s="231"/>
      <c r="X577" s="1"/>
      <c r="Y577" s="1"/>
      <c r="Z577" s="1"/>
      <c r="AA577" s="1"/>
      <c r="AB577" s="392"/>
      <c r="AD577" s="231"/>
      <c r="AM577" s="231"/>
      <c r="AW577" s="1"/>
      <c r="AX577" s="1"/>
      <c r="AY577" s="1"/>
      <c r="AZ577" s="392"/>
      <c r="BB577" s="231"/>
    </row>
    <row r="578" spans="2:54" x14ac:dyDescent="0.25">
      <c r="B578" s="231"/>
      <c r="I578" s="392"/>
      <c r="K578" s="231"/>
      <c r="X578" s="1"/>
      <c r="Y578" s="1"/>
      <c r="Z578" s="1"/>
      <c r="AA578" s="1"/>
      <c r="AB578" s="392"/>
      <c r="AD578" s="231"/>
      <c r="AM578" s="231"/>
      <c r="AW578" s="1"/>
      <c r="AX578" s="1"/>
      <c r="AY578" s="1"/>
      <c r="AZ578" s="392"/>
      <c r="BB578" s="231"/>
    </row>
    <row r="579" spans="2:54" x14ac:dyDescent="0.25">
      <c r="B579" s="231"/>
      <c r="I579" s="392"/>
      <c r="K579" s="231"/>
      <c r="X579" s="1"/>
      <c r="Y579" s="1"/>
      <c r="Z579" s="1"/>
      <c r="AA579" s="1"/>
      <c r="AB579" s="392"/>
      <c r="AD579" s="231"/>
      <c r="AM579" s="231"/>
      <c r="AW579" s="1"/>
      <c r="AX579" s="1"/>
      <c r="AY579" s="1"/>
      <c r="AZ579" s="392"/>
      <c r="BB579" s="231"/>
    </row>
    <row r="580" spans="2:54" x14ac:dyDescent="0.25">
      <c r="B580" s="231"/>
      <c r="I580" s="392"/>
      <c r="K580" s="231"/>
      <c r="X580" s="1"/>
      <c r="Y580" s="1"/>
      <c r="Z580" s="1"/>
      <c r="AA580" s="1"/>
      <c r="AB580" s="392"/>
      <c r="AD580" s="231"/>
      <c r="AM580" s="231"/>
      <c r="AW580" s="1"/>
      <c r="AX580" s="1"/>
      <c r="AY580" s="1"/>
      <c r="AZ580" s="392"/>
      <c r="BB580" s="231"/>
    </row>
    <row r="581" spans="2:54" x14ac:dyDescent="0.25">
      <c r="B581" s="231"/>
      <c r="I581" s="392"/>
      <c r="K581" s="231"/>
      <c r="X581" s="1"/>
      <c r="Y581" s="1"/>
      <c r="Z581" s="1"/>
      <c r="AA581" s="1"/>
      <c r="AB581" s="392"/>
      <c r="AD581" s="231"/>
      <c r="AM581" s="231"/>
      <c r="AW581" s="1"/>
      <c r="AX581" s="1"/>
      <c r="AY581" s="1"/>
      <c r="AZ581" s="392"/>
      <c r="BB581" s="231"/>
    </row>
    <row r="582" spans="2:54" x14ac:dyDescent="0.25">
      <c r="B582" s="231"/>
      <c r="I582" s="392"/>
      <c r="K582" s="231"/>
      <c r="X582" s="1"/>
      <c r="Y582" s="1"/>
      <c r="Z582" s="1"/>
      <c r="AA582" s="1"/>
      <c r="AB582" s="392"/>
      <c r="AD582" s="231"/>
      <c r="AM582" s="231"/>
      <c r="AW582" s="1"/>
      <c r="AX582" s="1"/>
      <c r="AY582" s="1"/>
      <c r="AZ582" s="392"/>
      <c r="BB582" s="231"/>
    </row>
    <row r="583" spans="2:54" x14ac:dyDescent="0.25">
      <c r="B583" s="231"/>
      <c r="I583" s="392"/>
      <c r="K583" s="231"/>
      <c r="X583" s="1"/>
      <c r="Y583" s="1"/>
      <c r="Z583" s="1"/>
      <c r="AA583" s="1"/>
      <c r="AB583" s="392"/>
      <c r="AD583" s="231"/>
      <c r="AM583" s="231"/>
      <c r="AW583" s="1"/>
      <c r="AX583" s="1"/>
      <c r="AY583" s="1"/>
      <c r="AZ583" s="392"/>
      <c r="BB583" s="231"/>
    </row>
    <row r="584" spans="2:54" x14ac:dyDescent="0.25">
      <c r="B584" s="231"/>
      <c r="I584" s="392"/>
      <c r="K584" s="231"/>
      <c r="X584" s="1"/>
      <c r="Y584" s="1"/>
      <c r="Z584" s="1"/>
      <c r="AA584" s="1"/>
      <c r="AB584" s="392"/>
      <c r="AD584" s="231"/>
      <c r="AM584" s="231"/>
      <c r="AW584" s="1"/>
      <c r="AX584" s="1"/>
      <c r="AY584" s="1"/>
      <c r="AZ584" s="392"/>
      <c r="BB584" s="231"/>
    </row>
    <row r="585" spans="2:54" x14ac:dyDescent="0.25">
      <c r="B585" s="231"/>
      <c r="I585" s="392"/>
      <c r="K585" s="231"/>
      <c r="X585" s="1"/>
      <c r="Y585" s="1"/>
      <c r="Z585" s="1"/>
      <c r="AA585" s="1"/>
      <c r="AB585" s="392"/>
      <c r="AD585" s="231"/>
      <c r="AM585" s="231"/>
      <c r="AW585" s="1"/>
      <c r="AX585" s="1"/>
      <c r="AY585" s="1"/>
      <c r="AZ585" s="392"/>
      <c r="BB585" s="231"/>
    </row>
    <row r="586" spans="2:54" x14ac:dyDescent="0.25">
      <c r="B586" s="231"/>
      <c r="I586" s="392"/>
      <c r="K586" s="231"/>
      <c r="X586" s="1"/>
      <c r="Y586" s="1"/>
      <c r="Z586" s="1"/>
      <c r="AA586" s="1"/>
      <c r="AB586" s="392"/>
      <c r="AD586" s="231"/>
      <c r="AM586" s="231"/>
      <c r="AW586" s="1"/>
      <c r="AX586" s="1"/>
      <c r="AY586" s="1"/>
      <c r="AZ586" s="392"/>
      <c r="BB586" s="231"/>
    </row>
    <row r="587" spans="2:54" x14ac:dyDescent="0.25">
      <c r="B587" s="231"/>
      <c r="I587" s="392"/>
      <c r="K587" s="231"/>
      <c r="X587" s="1"/>
      <c r="Y587" s="1"/>
      <c r="Z587" s="1"/>
      <c r="AA587" s="1"/>
      <c r="AB587" s="392"/>
      <c r="AD587" s="231"/>
      <c r="AM587" s="231"/>
      <c r="AW587" s="1"/>
      <c r="AX587" s="1"/>
      <c r="AY587" s="1"/>
      <c r="AZ587" s="392"/>
      <c r="BB587" s="231"/>
    </row>
    <row r="588" spans="2:54" x14ac:dyDescent="0.25">
      <c r="B588" s="231"/>
      <c r="I588" s="392"/>
      <c r="K588" s="231"/>
      <c r="X588" s="1"/>
      <c r="Y588" s="1"/>
      <c r="Z588" s="1"/>
      <c r="AA588" s="1"/>
      <c r="AB588" s="392"/>
      <c r="AD588" s="231"/>
      <c r="AM588" s="231"/>
      <c r="AW588" s="1"/>
      <c r="AX588" s="1"/>
      <c r="AY588" s="1"/>
      <c r="AZ588" s="392"/>
      <c r="BB588" s="231"/>
    </row>
    <row r="589" spans="2:54" x14ac:dyDescent="0.25">
      <c r="B589" s="231"/>
      <c r="I589" s="392"/>
      <c r="K589" s="231"/>
      <c r="X589" s="1"/>
      <c r="Y589" s="1"/>
      <c r="Z589" s="1"/>
      <c r="AA589" s="1"/>
      <c r="AB589" s="392"/>
      <c r="AD589" s="231"/>
      <c r="AM589" s="231"/>
      <c r="AW589" s="1"/>
      <c r="AX589" s="1"/>
      <c r="AY589" s="1"/>
      <c r="AZ589" s="392"/>
      <c r="BB589" s="231"/>
    </row>
    <row r="590" spans="2:54" x14ac:dyDescent="0.25">
      <c r="B590" s="231"/>
      <c r="I590" s="392"/>
      <c r="K590" s="231"/>
      <c r="X590" s="1"/>
      <c r="Y590" s="1"/>
      <c r="Z590" s="1"/>
      <c r="AA590" s="1"/>
      <c r="AB590" s="392"/>
      <c r="AD590" s="231"/>
      <c r="AM590" s="231"/>
      <c r="AW590" s="1"/>
      <c r="AX590" s="1"/>
      <c r="AY590" s="1"/>
      <c r="AZ590" s="392"/>
      <c r="BB590" s="231"/>
    </row>
    <row r="591" spans="2:54" x14ac:dyDescent="0.25">
      <c r="B591" s="231"/>
      <c r="I591" s="392"/>
      <c r="K591" s="231"/>
      <c r="X591" s="1"/>
      <c r="Y591" s="1"/>
      <c r="Z591" s="1"/>
      <c r="AA591" s="1"/>
      <c r="AB591" s="392"/>
      <c r="AD591" s="231"/>
      <c r="AM591" s="231"/>
      <c r="AW591" s="1"/>
      <c r="AX591" s="1"/>
      <c r="AY591" s="1"/>
      <c r="AZ591" s="392"/>
      <c r="BB591" s="231"/>
    </row>
    <row r="592" spans="2:54" x14ac:dyDescent="0.25">
      <c r="B592" s="231"/>
      <c r="I592" s="392"/>
      <c r="K592" s="231"/>
      <c r="X592" s="1"/>
      <c r="Y592" s="1"/>
      <c r="Z592" s="1"/>
      <c r="AA592" s="1"/>
      <c r="AB592" s="392"/>
      <c r="AD592" s="231"/>
      <c r="AM592" s="231"/>
      <c r="AW592" s="1"/>
      <c r="AX592" s="1"/>
      <c r="AY592" s="1"/>
      <c r="AZ592" s="392"/>
      <c r="BB592" s="231"/>
    </row>
    <row r="593" spans="2:54" x14ac:dyDescent="0.25">
      <c r="B593" s="231"/>
      <c r="I593" s="392"/>
      <c r="K593" s="231"/>
      <c r="X593" s="1"/>
      <c r="Y593" s="1"/>
      <c r="Z593" s="1"/>
      <c r="AA593" s="1"/>
      <c r="AB593" s="392"/>
      <c r="AD593" s="231"/>
      <c r="AM593" s="231"/>
      <c r="AW593" s="1"/>
      <c r="AX593" s="1"/>
      <c r="AY593" s="1"/>
      <c r="AZ593" s="392"/>
      <c r="BB593" s="231"/>
    </row>
    <row r="594" spans="2:54" x14ac:dyDescent="0.25">
      <c r="B594" s="231"/>
      <c r="I594" s="392"/>
      <c r="K594" s="231"/>
      <c r="X594" s="1"/>
      <c r="Y594" s="1"/>
      <c r="Z594" s="1"/>
      <c r="AA594" s="1"/>
      <c r="AB594" s="392"/>
      <c r="AD594" s="231"/>
      <c r="AM594" s="231"/>
      <c r="AW594" s="1"/>
      <c r="AX594" s="1"/>
      <c r="AY594" s="1"/>
      <c r="AZ594" s="392"/>
      <c r="BB594" s="231"/>
    </row>
    <row r="595" spans="2:54" x14ac:dyDescent="0.25">
      <c r="B595" s="231"/>
      <c r="I595" s="392"/>
      <c r="K595" s="231"/>
      <c r="X595" s="1"/>
      <c r="Y595" s="1"/>
      <c r="Z595" s="1"/>
      <c r="AA595" s="1"/>
      <c r="AB595" s="392"/>
      <c r="AD595" s="231"/>
      <c r="AM595" s="231"/>
      <c r="AW595" s="1"/>
      <c r="AX595" s="1"/>
      <c r="AY595" s="1"/>
      <c r="AZ595" s="392"/>
      <c r="BB595" s="231"/>
    </row>
    <row r="596" spans="2:54" x14ac:dyDescent="0.25">
      <c r="B596" s="231"/>
      <c r="I596" s="392"/>
      <c r="K596" s="231"/>
      <c r="X596" s="1"/>
      <c r="Y596" s="1"/>
      <c r="Z596" s="1"/>
      <c r="AA596" s="1"/>
      <c r="AB596" s="392"/>
      <c r="AD596" s="231"/>
      <c r="AM596" s="231"/>
      <c r="AW596" s="1"/>
      <c r="AX596" s="1"/>
      <c r="AY596" s="1"/>
      <c r="AZ596" s="392"/>
      <c r="BB596" s="231"/>
    </row>
    <row r="597" spans="2:54" x14ac:dyDescent="0.25">
      <c r="B597" s="231"/>
      <c r="I597" s="392"/>
      <c r="K597" s="231"/>
      <c r="X597" s="1"/>
      <c r="Y597" s="1"/>
      <c r="Z597" s="1"/>
      <c r="AA597" s="1"/>
      <c r="AB597" s="392"/>
      <c r="AD597" s="231"/>
      <c r="AM597" s="231"/>
      <c r="AW597" s="1"/>
      <c r="AX597" s="1"/>
      <c r="AY597" s="1"/>
      <c r="AZ597" s="392"/>
      <c r="BB597" s="231"/>
    </row>
    <row r="598" spans="2:54" x14ac:dyDescent="0.25">
      <c r="B598" s="231"/>
      <c r="I598" s="392"/>
      <c r="K598" s="231"/>
      <c r="X598" s="1"/>
      <c r="Y598" s="1"/>
      <c r="Z598" s="1"/>
      <c r="AA598" s="1"/>
      <c r="AB598" s="392"/>
      <c r="AD598" s="231"/>
      <c r="AM598" s="231"/>
      <c r="AW598" s="1"/>
      <c r="AX598" s="1"/>
      <c r="AY598" s="1"/>
      <c r="AZ598" s="392"/>
      <c r="BB598" s="231"/>
    </row>
    <row r="599" spans="2:54" x14ac:dyDescent="0.25">
      <c r="B599" s="231"/>
      <c r="I599" s="392"/>
      <c r="K599" s="231"/>
      <c r="X599" s="1"/>
      <c r="Y599" s="1"/>
      <c r="Z599" s="1"/>
      <c r="AA599" s="1"/>
      <c r="AB599" s="392"/>
      <c r="AD599" s="231"/>
      <c r="AM599" s="231"/>
      <c r="AW599" s="1"/>
      <c r="AX599" s="1"/>
      <c r="AY599" s="1"/>
      <c r="AZ599" s="392"/>
      <c r="BB599" s="231"/>
    </row>
    <row r="600" spans="2:54" x14ac:dyDescent="0.25">
      <c r="B600" s="231"/>
      <c r="I600" s="392"/>
      <c r="K600" s="231"/>
      <c r="X600" s="1"/>
      <c r="Y600" s="1"/>
      <c r="Z600" s="1"/>
      <c r="AA600" s="1"/>
      <c r="AB600" s="392"/>
      <c r="AD600" s="231"/>
      <c r="AM600" s="231"/>
      <c r="AW600" s="1"/>
      <c r="AX600" s="1"/>
      <c r="AY600" s="1"/>
      <c r="AZ600" s="392"/>
      <c r="BB600" s="231"/>
    </row>
    <row r="601" spans="2:54" x14ac:dyDescent="0.25">
      <c r="B601" s="231"/>
      <c r="I601" s="392"/>
      <c r="K601" s="231"/>
      <c r="X601" s="1"/>
      <c r="Y601" s="1"/>
      <c r="Z601" s="1"/>
      <c r="AA601" s="1"/>
      <c r="AB601" s="392"/>
      <c r="AD601" s="231"/>
      <c r="AM601" s="231"/>
      <c r="AW601" s="1"/>
      <c r="AX601" s="1"/>
      <c r="AY601" s="1"/>
      <c r="AZ601" s="392"/>
      <c r="BB601" s="231"/>
    </row>
    <row r="602" spans="2:54" x14ac:dyDescent="0.25">
      <c r="B602" s="231"/>
      <c r="I602" s="392"/>
      <c r="K602" s="231"/>
      <c r="X602" s="1"/>
      <c r="Y602" s="1"/>
      <c r="Z602" s="1"/>
      <c r="AA602" s="1"/>
      <c r="AB602" s="392"/>
      <c r="AD602" s="231"/>
      <c r="AM602" s="231"/>
      <c r="AW602" s="1"/>
      <c r="AX602" s="1"/>
      <c r="AY602" s="1"/>
      <c r="AZ602" s="392"/>
      <c r="BB602" s="231"/>
    </row>
    <row r="603" spans="2:54" x14ac:dyDescent="0.25">
      <c r="B603" s="231"/>
      <c r="I603" s="392"/>
      <c r="K603" s="231"/>
      <c r="X603" s="1"/>
      <c r="Y603" s="1"/>
      <c r="Z603" s="1"/>
      <c r="AA603" s="1"/>
      <c r="AB603" s="392"/>
      <c r="AD603" s="231"/>
      <c r="AM603" s="231"/>
      <c r="AW603" s="1"/>
      <c r="AX603" s="1"/>
      <c r="AY603" s="1"/>
      <c r="AZ603" s="392"/>
      <c r="BB603" s="231"/>
    </row>
    <row r="604" spans="2:54" x14ac:dyDescent="0.25">
      <c r="B604" s="231"/>
      <c r="I604" s="392"/>
      <c r="K604" s="231"/>
      <c r="X604" s="1"/>
      <c r="Y604" s="1"/>
      <c r="Z604" s="1"/>
      <c r="AA604" s="1"/>
      <c r="AB604" s="392"/>
      <c r="AD604" s="231"/>
      <c r="AM604" s="231"/>
      <c r="AW604" s="1"/>
      <c r="AX604" s="1"/>
      <c r="AY604" s="1"/>
      <c r="AZ604" s="392"/>
      <c r="BB604" s="231"/>
    </row>
    <row r="605" spans="2:54" x14ac:dyDescent="0.25">
      <c r="B605" s="231"/>
      <c r="I605" s="392"/>
      <c r="K605" s="231"/>
      <c r="X605" s="1"/>
      <c r="Y605" s="1"/>
      <c r="Z605" s="1"/>
      <c r="AA605" s="1"/>
      <c r="AB605" s="392"/>
      <c r="AD605" s="231"/>
      <c r="AM605" s="231"/>
      <c r="AW605" s="1"/>
      <c r="AX605" s="1"/>
      <c r="AY605" s="1"/>
      <c r="AZ605" s="392"/>
      <c r="BB605" s="231"/>
    </row>
    <row r="606" spans="2:54" x14ac:dyDescent="0.25">
      <c r="B606" s="231"/>
      <c r="I606" s="392"/>
      <c r="K606" s="231"/>
      <c r="X606" s="1"/>
      <c r="Y606" s="1"/>
      <c r="Z606" s="1"/>
      <c r="AA606" s="1"/>
      <c r="AB606" s="392"/>
      <c r="AD606" s="231"/>
      <c r="AM606" s="231"/>
      <c r="AW606" s="1"/>
      <c r="AX606" s="1"/>
      <c r="AY606" s="1"/>
      <c r="AZ606" s="392"/>
      <c r="BB606" s="231"/>
    </row>
    <row r="607" spans="2:54" x14ac:dyDescent="0.25">
      <c r="B607" s="231"/>
      <c r="I607" s="392"/>
      <c r="K607" s="231"/>
      <c r="X607" s="1"/>
      <c r="Y607" s="1"/>
      <c r="Z607" s="1"/>
      <c r="AA607" s="1"/>
      <c r="AB607" s="392"/>
      <c r="AD607" s="231"/>
      <c r="AM607" s="231"/>
      <c r="AW607" s="1"/>
      <c r="AX607" s="1"/>
      <c r="AY607" s="1"/>
      <c r="AZ607" s="392"/>
      <c r="BB607" s="231"/>
    </row>
    <row r="608" spans="2:54" x14ac:dyDescent="0.25">
      <c r="B608" s="231"/>
      <c r="I608" s="392"/>
      <c r="K608" s="231"/>
      <c r="X608" s="1"/>
      <c r="Y608" s="1"/>
      <c r="Z608" s="1"/>
      <c r="AA608" s="1"/>
      <c r="AB608" s="392"/>
      <c r="AD608" s="231"/>
      <c r="AM608" s="231"/>
      <c r="AW608" s="1"/>
      <c r="AX608" s="1"/>
      <c r="AY608" s="1"/>
      <c r="AZ608" s="392"/>
      <c r="BB608" s="231"/>
    </row>
    <row r="609" spans="2:54" x14ac:dyDescent="0.25">
      <c r="B609" s="231"/>
      <c r="I609" s="392"/>
      <c r="K609" s="231"/>
      <c r="X609" s="1"/>
      <c r="Y609" s="1"/>
      <c r="Z609" s="1"/>
      <c r="AA609" s="1"/>
      <c r="AB609" s="392"/>
      <c r="AD609" s="231"/>
      <c r="AM609" s="231"/>
      <c r="AW609" s="1"/>
      <c r="AX609" s="1"/>
      <c r="AY609" s="1"/>
      <c r="AZ609" s="392"/>
      <c r="BB609" s="231"/>
    </row>
    <row r="610" spans="2:54" x14ac:dyDescent="0.25">
      <c r="B610" s="231"/>
      <c r="I610" s="392"/>
      <c r="K610" s="231"/>
      <c r="X610" s="1"/>
      <c r="Y610" s="1"/>
      <c r="Z610" s="1"/>
      <c r="AA610" s="1"/>
      <c r="AB610" s="392"/>
      <c r="AD610" s="231"/>
      <c r="AM610" s="231"/>
      <c r="AW610" s="1"/>
      <c r="AX610" s="1"/>
      <c r="AY610" s="1"/>
      <c r="AZ610" s="392"/>
      <c r="BB610" s="231"/>
    </row>
    <row r="611" spans="2:54" x14ac:dyDescent="0.25">
      <c r="B611" s="231"/>
      <c r="I611" s="392"/>
      <c r="K611" s="231"/>
      <c r="X611" s="1"/>
      <c r="Y611" s="1"/>
      <c r="Z611" s="1"/>
      <c r="AA611" s="1"/>
      <c r="AB611" s="392"/>
      <c r="AD611" s="231"/>
      <c r="AM611" s="231"/>
      <c r="AW611" s="1"/>
      <c r="AX611" s="1"/>
      <c r="AY611" s="1"/>
      <c r="AZ611" s="392"/>
      <c r="BB611" s="231"/>
    </row>
    <row r="612" spans="2:54" x14ac:dyDescent="0.25">
      <c r="B612" s="231"/>
      <c r="I612" s="392"/>
      <c r="K612" s="231"/>
      <c r="X612" s="1"/>
      <c r="Y612" s="1"/>
      <c r="Z612" s="1"/>
      <c r="AA612" s="1"/>
      <c r="AB612" s="392"/>
      <c r="AD612" s="231"/>
      <c r="AM612" s="231"/>
      <c r="AW612" s="1"/>
      <c r="AX612" s="1"/>
      <c r="AY612" s="1"/>
      <c r="AZ612" s="392"/>
      <c r="BB612" s="231"/>
    </row>
    <row r="613" spans="2:54" x14ac:dyDescent="0.25">
      <c r="B613" s="231"/>
      <c r="I613" s="392"/>
      <c r="K613" s="231"/>
      <c r="X613" s="1"/>
      <c r="Y613" s="1"/>
      <c r="Z613" s="1"/>
      <c r="AA613" s="1"/>
      <c r="AB613" s="392"/>
      <c r="AD613" s="231"/>
      <c r="AM613" s="231"/>
      <c r="AW613" s="1"/>
      <c r="AX613" s="1"/>
      <c r="AY613" s="1"/>
      <c r="AZ613" s="392"/>
      <c r="BB613" s="231"/>
    </row>
    <row r="614" spans="2:54" x14ac:dyDescent="0.25">
      <c r="B614" s="231"/>
      <c r="I614" s="392"/>
      <c r="K614" s="231"/>
      <c r="X614" s="1"/>
      <c r="Y614" s="1"/>
      <c r="Z614" s="1"/>
      <c r="AA614" s="1"/>
      <c r="AB614" s="392"/>
      <c r="AD614" s="231"/>
      <c r="AM614" s="231"/>
      <c r="AW614" s="1"/>
      <c r="AX614" s="1"/>
      <c r="AY614" s="1"/>
      <c r="AZ614" s="392"/>
      <c r="BB614" s="231"/>
    </row>
    <row r="615" spans="2:54" x14ac:dyDescent="0.25">
      <c r="B615" s="231"/>
      <c r="I615" s="392"/>
      <c r="K615" s="231"/>
      <c r="X615" s="1"/>
      <c r="Y615" s="1"/>
      <c r="Z615" s="1"/>
      <c r="AA615" s="1"/>
      <c r="AB615" s="392"/>
      <c r="AD615" s="231"/>
      <c r="AM615" s="231"/>
      <c r="AW615" s="1"/>
      <c r="AX615" s="1"/>
      <c r="AY615" s="1"/>
      <c r="AZ615" s="392"/>
      <c r="BB615" s="231"/>
    </row>
    <row r="616" spans="2:54" x14ac:dyDescent="0.25">
      <c r="B616" s="231"/>
      <c r="I616" s="392"/>
      <c r="K616" s="231"/>
      <c r="X616" s="1"/>
      <c r="Y616" s="1"/>
      <c r="Z616" s="1"/>
      <c r="AA616" s="1"/>
      <c r="AB616" s="392"/>
      <c r="AD616" s="231"/>
      <c r="AM616" s="231"/>
      <c r="AW616" s="1"/>
      <c r="AX616" s="1"/>
      <c r="AY616" s="1"/>
      <c r="AZ616" s="392"/>
      <c r="BB616" s="231"/>
    </row>
    <row r="617" spans="2:54" x14ac:dyDescent="0.25">
      <c r="B617" s="231"/>
      <c r="I617" s="392"/>
      <c r="K617" s="231"/>
      <c r="X617" s="1"/>
      <c r="Y617" s="1"/>
      <c r="Z617" s="1"/>
      <c r="AA617" s="1"/>
      <c r="AB617" s="392"/>
      <c r="AD617" s="231"/>
      <c r="AM617" s="231"/>
      <c r="AW617" s="1"/>
      <c r="AX617" s="1"/>
      <c r="AY617" s="1"/>
      <c r="AZ617" s="392"/>
      <c r="BB617" s="231"/>
    </row>
    <row r="618" spans="2:54" x14ac:dyDescent="0.25">
      <c r="B618" s="231"/>
      <c r="I618" s="392"/>
      <c r="K618" s="231"/>
      <c r="X618" s="1"/>
      <c r="Y618" s="1"/>
      <c r="Z618" s="1"/>
      <c r="AA618" s="1"/>
      <c r="AB618" s="392"/>
      <c r="AD618" s="231"/>
      <c r="AM618" s="231"/>
      <c r="AW618" s="1"/>
      <c r="AX618" s="1"/>
      <c r="AY618" s="1"/>
      <c r="AZ618" s="392"/>
      <c r="BB618" s="231"/>
    </row>
    <row r="619" spans="2:54" x14ac:dyDescent="0.25">
      <c r="B619" s="231"/>
      <c r="I619" s="392"/>
      <c r="K619" s="231"/>
      <c r="X619" s="1"/>
      <c r="Y619" s="1"/>
      <c r="Z619" s="1"/>
      <c r="AA619" s="1"/>
      <c r="AB619" s="392"/>
      <c r="AD619" s="231"/>
      <c r="AM619" s="231"/>
      <c r="AW619" s="1"/>
      <c r="AX619" s="1"/>
      <c r="AY619" s="1"/>
      <c r="AZ619" s="392"/>
      <c r="BB619" s="231"/>
    </row>
    <row r="620" spans="2:54" x14ac:dyDescent="0.25">
      <c r="B620" s="231"/>
      <c r="I620" s="392"/>
      <c r="K620" s="231"/>
      <c r="X620" s="1"/>
      <c r="Y620" s="1"/>
      <c r="Z620" s="1"/>
      <c r="AA620" s="1"/>
      <c r="AB620" s="392"/>
      <c r="AD620" s="231"/>
      <c r="AM620" s="231"/>
      <c r="AW620" s="1"/>
      <c r="AX620" s="1"/>
      <c r="AY620" s="1"/>
      <c r="AZ620" s="392"/>
      <c r="BB620" s="231"/>
    </row>
    <row r="621" spans="2:54" x14ac:dyDescent="0.25">
      <c r="B621" s="231"/>
      <c r="I621" s="392"/>
      <c r="K621" s="231"/>
      <c r="X621" s="1"/>
      <c r="Y621" s="1"/>
      <c r="Z621" s="1"/>
      <c r="AA621" s="1"/>
      <c r="AB621" s="392"/>
      <c r="AD621" s="231"/>
      <c r="AM621" s="231"/>
      <c r="AW621" s="1"/>
      <c r="AX621" s="1"/>
      <c r="AY621" s="1"/>
      <c r="AZ621" s="392"/>
      <c r="BB621" s="231"/>
    </row>
    <row r="622" spans="2:54" x14ac:dyDescent="0.25">
      <c r="B622" s="231"/>
      <c r="I622" s="392"/>
      <c r="K622" s="231"/>
      <c r="X622" s="1"/>
      <c r="Y622" s="1"/>
      <c r="Z622" s="1"/>
      <c r="AA622" s="1"/>
      <c r="AB622" s="392"/>
      <c r="AD622" s="231"/>
      <c r="AM622" s="231"/>
      <c r="AW622" s="1"/>
      <c r="AX622" s="1"/>
      <c r="AY622" s="1"/>
      <c r="AZ622" s="392"/>
      <c r="BB622" s="231"/>
    </row>
    <row r="623" spans="2:54" x14ac:dyDescent="0.25">
      <c r="B623" s="231"/>
      <c r="I623" s="392"/>
      <c r="K623" s="231"/>
      <c r="X623" s="1"/>
      <c r="Y623" s="1"/>
      <c r="Z623" s="1"/>
      <c r="AA623" s="1"/>
      <c r="AB623" s="392"/>
      <c r="AD623" s="231"/>
      <c r="AM623" s="231"/>
      <c r="AW623" s="1"/>
      <c r="AX623" s="1"/>
      <c r="AY623" s="1"/>
      <c r="AZ623" s="392"/>
      <c r="BB623" s="231"/>
    </row>
    <row r="624" spans="2:54" x14ac:dyDescent="0.25">
      <c r="B624" s="231"/>
      <c r="I624" s="392"/>
      <c r="K624" s="231"/>
      <c r="X624" s="1"/>
      <c r="Y624" s="1"/>
      <c r="Z624" s="1"/>
      <c r="AA624" s="1"/>
      <c r="AB624" s="392"/>
      <c r="AD624" s="231"/>
      <c r="AM624" s="231"/>
      <c r="AW624" s="1"/>
      <c r="AX624" s="1"/>
      <c r="AY624" s="1"/>
      <c r="AZ624" s="392"/>
      <c r="BB624" s="231"/>
    </row>
    <row r="625" spans="2:54" x14ac:dyDescent="0.25">
      <c r="B625" s="231"/>
      <c r="I625" s="392"/>
      <c r="K625" s="231"/>
      <c r="X625" s="1"/>
      <c r="Y625" s="1"/>
      <c r="Z625" s="1"/>
      <c r="AA625" s="1"/>
      <c r="AB625" s="392"/>
      <c r="AD625" s="231"/>
      <c r="AM625" s="231"/>
      <c r="AW625" s="1"/>
      <c r="AX625" s="1"/>
      <c r="AY625" s="1"/>
      <c r="AZ625" s="392"/>
      <c r="BB625" s="231"/>
    </row>
    <row r="626" spans="2:54" x14ac:dyDescent="0.25">
      <c r="B626" s="231"/>
      <c r="I626" s="392"/>
      <c r="K626" s="231"/>
      <c r="X626" s="1"/>
      <c r="Y626" s="1"/>
      <c r="Z626" s="1"/>
      <c r="AA626" s="1"/>
      <c r="AB626" s="392"/>
      <c r="AD626" s="231"/>
      <c r="AM626" s="231"/>
      <c r="AW626" s="1"/>
      <c r="AX626" s="1"/>
      <c r="AY626" s="1"/>
      <c r="AZ626" s="392"/>
      <c r="BB626" s="231"/>
    </row>
    <row r="627" spans="2:54" x14ac:dyDescent="0.25">
      <c r="B627" s="231"/>
      <c r="I627" s="392"/>
      <c r="K627" s="231"/>
      <c r="X627" s="1"/>
      <c r="Y627" s="1"/>
      <c r="Z627" s="1"/>
      <c r="AA627" s="1"/>
      <c r="AB627" s="392"/>
      <c r="AD627" s="231"/>
      <c r="AM627" s="231"/>
      <c r="AW627" s="1"/>
      <c r="AX627" s="1"/>
      <c r="AY627" s="1"/>
      <c r="AZ627" s="392"/>
      <c r="BB627" s="231"/>
    </row>
    <row r="628" spans="2:54" x14ac:dyDescent="0.25">
      <c r="B628" s="231"/>
      <c r="I628" s="392"/>
      <c r="K628" s="231"/>
      <c r="X628" s="1"/>
      <c r="Y628" s="1"/>
      <c r="Z628" s="1"/>
      <c r="AA628" s="1"/>
      <c r="AB628" s="392"/>
      <c r="AD628" s="231"/>
      <c r="AM628" s="231"/>
      <c r="AW628" s="1"/>
      <c r="AX628" s="1"/>
      <c r="AY628" s="1"/>
      <c r="AZ628" s="392"/>
      <c r="BB628" s="231"/>
    </row>
    <row r="629" spans="2:54" x14ac:dyDescent="0.25">
      <c r="B629" s="231"/>
      <c r="I629" s="392"/>
      <c r="K629" s="231"/>
      <c r="X629" s="1"/>
      <c r="Y629" s="1"/>
      <c r="Z629" s="1"/>
      <c r="AA629" s="1"/>
      <c r="AB629" s="392"/>
      <c r="AD629" s="231"/>
      <c r="AM629" s="231"/>
      <c r="AW629" s="1"/>
      <c r="AX629" s="1"/>
      <c r="AY629" s="1"/>
      <c r="AZ629" s="392"/>
      <c r="BB629" s="231"/>
    </row>
    <row r="630" spans="2:54" x14ac:dyDescent="0.25">
      <c r="B630" s="231"/>
      <c r="I630" s="392"/>
      <c r="K630" s="231"/>
      <c r="X630" s="1"/>
      <c r="Y630" s="1"/>
      <c r="Z630" s="1"/>
      <c r="AA630" s="1"/>
      <c r="AB630" s="392"/>
      <c r="AD630" s="231"/>
      <c r="AM630" s="231"/>
      <c r="AW630" s="1"/>
      <c r="AX630" s="1"/>
      <c r="AY630" s="1"/>
      <c r="AZ630" s="392"/>
      <c r="BB630" s="231"/>
    </row>
    <row r="631" spans="2:54" x14ac:dyDescent="0.25">
      <c r="B631" s="231"/>
      <c r="I631" s="392"/>
      <c r="K631" s="231"/>
      <c r="X631" s="1"/>
      <c r="Y631" s="1"/>
      <c r="Z631" s="1"/>
      <c r="AA631" s="1"/>
      <c r="AB631" s="392"/>
      <c r="AD631" s="231"/>
      <c r="AM631" s="231"/>
      <c r="AW631" s="1"/>
      <c r="AX631" s="1"/>
      <c r="AY631" s="1"/>
      <c r="AZ631" s="392"/>
      <c r="BB631" s="231"/>
    </row>
    <row r="632" spans="2:54" x14ac:dyDescent="0.25">
      <c r="B632" s="231"/>
      <c r="I632" s="392"/>
      <c r="K632" s="231"/>
      <c r="X632" s="1"/>
      <c r="Y632" s="1"/>
      <c r="Z632" s="1"/>
      <c r="AA632" s="1"/>
      <c r="AB632" s="392"/>
      <c r="AD632" s="231"/>
      <c r="AM632" s="231"/>
      <c r="AW632" s="1"/>
      <c r="AX632" s="1"/>
      <c r="AY632" s="1"/>
      <c r="AZ632" s="392"/>
      <c r="BB632" s="231"/>
    </row>
    <row r="633" spans="2:54" x14ac:dyDescent="0.25">
      <c r="B633" s="231"/>
      <c r="I633" s="392"/>
      <c r="K633" s="231"/>
      <c r="X633" s="1"/>
      <c r="Y633" s="1"/>
      <c r="Z633" s="1"/>
      <c r="AA633" s="1"/>
      <c r="AB633" s="392"/>
      <c r="AD633" s="231"/>
      <c r="AM633" s="231"/>
      <c r="AW633" s="1"/>
      <c r="AX633" s="1"/>
      <c r="AY633" s="1"/>
      <c r="AZ633" s="392"/>
      <c r="BB633" s="231"/>
    </row>
    <row r="634" spans="2:54" x14ac:dyDescent="0.25">
      <c r="B634" s="231"/>
      <c r="I634" s="392"/>
      <c r="K634" s="231"/>
      <c r="X634" s="1"/>
      <c r="Y634" s="1"/>
      <c r="Z634" s="1"/>
      <c r="AA634" s="1"/>
      <c r="AB634" s="392"/>
      <c r="AD634" s="231"/>
      <c r="AM634" s="231"/>
      <c r="AW634" s="1"/>
      <c r="AX634" s="1"/>
      <c r="AY634" s="1"/>
      <c r="AZ634" s="392"/>
      <c r="BB634" s="231"/>
    </row>
    <row r="635" spans="2:54" x14ac:dyDescent="0.25">
      <c r="B635" s="231"/>
      <c r="I635" s="392"/>
      <c r="K635" s="231"/>
      <c r="X635" s="1"/>
      <c r="Y635" s="1"/>
      <c r="Z635" s="1"/>
      <c r="AA635" s="1"/>
      <c r="AB635" s="392"/>
      <c r="AD635" s="231"/>
      <c r="AM635" s="231"/>
      <c r="AW635" s="1"/>
      <c r="AX635" s="1"/>
      <c r="AY635" s="1"/>
      <c r="AZ635" s="392"/>
      <c r="BB635" s="231"/>
    </row>
    <row r="636" spans="2:54" x14ac:dyDescent="0.25">
      <c r="B636" s="231"/>
      <c r="I636" s="392"/>
      <c r="K636" s="231"/>
      <c r="X636" s="1"/>
      <c r="Y636" s="1"/>
      <c r="Z636" s="1"/>
      <c r="AA636" s="1"/>
      <c r="AB636" s="392"/>
      <c r="AD636" s="231"/>
      <c r="AM636" s="231"/>
      <c r="AW636" s="1"/>
      <c r="AX636" s="1"/>
      <c r="AY636" s="1"/>
      <c r="AZ636" s="392"/>
      <c r="BB636" s="231"/>
    </row>
    <row r="637" spans="2:54" x14ac:dyDescent="0.25">
      <c r="B637" s="231"/>
      <c r="I637" s="392"/>
      <c r="K637" s="231"/>
      <c r="X637" s="1"/>
      <c r="Y637" s="1"/>
      <c r="Z637" s="1"/>
      <c r="AA637" s="1"/>
      <c r="AB637" s="392"/>
      <c r="AD637" s="231"/>
      <c r="AM637" s="231"/>
      <c r="AW637" s="1"/>
      <c r="AX637" s="1"/>
      <c r="AY637" s="1"/>
      <c r="AZ637" s="392"/>
      <c r="BB637" s="231"/>
    </row>
    <row r="638" spans="2:54" x14ac:dyDescent="0.25">
      <c r="B638" s="231"/>
      <c r="I638" s="392"/>
      <c r="K638" s="231"/>
      <c r="X638" s="1"/>
      <c r="Y638" s="1"/>
      <c r="Z638" s="1"/>
      <c r="AA638" s="1"/>
      <c r="AB638" s="392"/>
      <c r="AD638" s="231"/>
      <c r="AM638" s="231"/>
      <c r="AW638" s="1"/>
      <c r="AX638" s="1"/>
      <c r="AY638" s="1"/>
      <c r="AZ638" s="392"/>
      <c r="BB638" s="231"/>
    </row>
    <row r="639" spans="2:54" x14ac:dyDescent="0.25">
      <c r="B639" s="231"/>
      <c r="I639" s="392"/>
      <c r="K639" s="231"/>
      <c r="X639" s="1"/>
      <c r="Y639" s="1"/>
      <c r="Z639" s="1"/>
      <c r="AA639" s="1"/>
      <c r="AB639" s="392"/>
      <c r="AD639" s="231"/>
      <c r="AM639" s="231"/>
      <c r="AW639" s="1"/>
      <c r="AX639" s="1"/>
      <c r="AY639" s="1"/>
      <c r="AZ639" s="392"/>
      <c r="BB639" s="231"/>
    </row>
    <row r="640" spans="2:54" x14ac:dyDescent="0.25">
      <c r="B640" s="231"/>
      <c r="I640" s="392"/>
      <c r="K640" s="231"/>
      <c r="X640" s="1"/>
      <c r="Y640" s="1"/>
      <c r="Z640" s="1"/>
      <c r="AA640" s="1"/>
      <c r="AB640" s="392"/>
      <c r="AD640" s="231"/>
      <c r="AM640" s="231"/>
      <c r="AW640" s="1"/>
      <c r="AX640" s="1"/>
      <c r="AY640" s="1"/>
      <c r="AZ640" s="392"/>
      <c r="BB640" s="231"/>
    </row>
    <row r="641" spans="2:54" x14ac:dyDescent="0.25">
      <c r="B641" s="231"/>
      <c r="I641" s="392"/>
      <c r="K641" s="231"/>
      <c r="X641" s="1"/>
      <c r="Y641" s="1"/>
      <c r="Z641" s="1"/>
      <c r="AA641" s="1"/>
      <c r="AB641" s="392"/>
      <c r="AD641" s="231"/>
      <c r="AM641" s="231"/>
      <c r="AW641" s="1"/>
      <c r="AX641" s="1"/>
      <c r="AY641" s="1"/>
      <c r="AZ641" s="392"/>
      <c r="BB641" s="231"/>
    </row>
    <row r="642" spans="2:54" x14ac:dyDescent="0.25">
      <c r="B642" s="231"/>
      <c r="I642" s="392"/>
      <c r="K642" s="231"/>
      <c r="X642" s="1"/>
      <c r="Y642" s="1"/>
      <c r="Z642" s="1"/>
      <c r="AA642" s="1"/>
      <c r="AB642" s="392"/>
      <c r="AD642" s="231"/>
      <c r="AM642" s="231"/>
      <c r="AW642" s="1"/>
      <c r="AX642" s="1"/>
      <c r="AY642" s="1"/>
      <c r="AZ642" s="392"/>
      <c r="BB642" s="231"/>
    </row>
    <row r="643" spans="2:54" x14ac:dyDescent="0.25">
      <c r="B643" s="231"/>
      <c r="I643" s="392"/>
      <c r="K643" s="231"/>
      <c r="X643" s="1"/>
      <c r="Y643" s="1"/>
      <c r="Z643" s="1"/>
      <c r="AA643" s="1"/>
      <c r="AB643" s="392"/>
      <c r="AD643" s="231"/>
      <c r="AM643" s="231"/>
      <c r="AW643" s="1"/>
      <c r="AX643" s="1"/>
      <c r="AY643" s="1"/>
      <c r="AZ643" s="392"/>
      <c r="BB643" s="231"/>
    </row>
    <row r="644" spans="2:54" x14ac:dyDescent="0.25">
      <c r="B644" s="231"/>
      <c r="I644" s="392"/>
      <c r="K644" s="231"/>
      <c r="X644" s="1"/>
      <c r="Y644" s="1"/>
      <c r="Z644" s="1"/>
      <c r="AA644" s="1"/>
      <c r="AB644" s="392"/>
      <c r="AD644" s="231"/>
      <c r="AM644" s="231"/>
      <c r="AW644" s="1"/>
      <c r="AX644" s="1"/>
      <c r="AY644" s="1"/>
      <c r="AZ644" s="392"/>
      <c r="BB644" s="231"/>
    </row>
    <row r="645" spans="2:54" x14ac:dyDescent="0.25">
      <c r="B645" s="231"/>
      <c r="I645" s="392"/>
      <c r="K645" s="231"/>
      <c r="X645" s="1"/>
      <c r="Y645" s="1"/>
      <c r="Z645" s="1"/>
      <c r="AA645" s="1"/>
      <c r="AB645" s="392"/>
      <c r="AD645" s="231"/>
      <c r="AM645" s="231"/>
      <c r="AW645" s="1"/>
      <c r="AX645" s="1"/>
      <c r="AY645" s="1"/>
      <c r="AZ645" s="392"/>
      <c r="BB645" s="231"/>
    </row>
    <row r="646" spans="2:54" x14ac:dyDescent="0.25">
      <c r="B646" s="231"/>
      <c r="I646" s="392"/>
      <c r="K646" s="231"/>
      <c r="X646" s="1"/>
      <c r="Y646" s="1"/>
      <c r="Z646" s="1"/>
      <c r="AA646" s="1"/>
      <c r="AB646" s="392"/>
      <c r="AD646" s="231"/>
      <c r="AM646" s="231"/>
      <c r="AW646" s="1"/>
      <c r="AX646" s="1"/>
      <c r="AY646" s="1"/>
      <c r="AZ646" s="392"/>
      <c r="BB646" s="231"/>
    </row>
    <row r="647" spans="2:54" x14ac:dyDescent="0.25">
      <c r="B647" s="231"/>
      <c r="I647" s="392"/>
      <c r="K647" s="231"/>
      <c r="X647" s="1"/>
      <c r="Y647" s="1"/>
      <c r="Z647" s="1"/>
      <c r="AA647" s="1"/>
      <c r="AB647" s="392"/>
      <c r="AD647" s="231"/>
      <c r="AM647" s="231"/>
      <c r="AW647" s="1"/>
      <c r="AX647" s="1"/>
      <c r="AY647" s="1"/>
      <c r="AZ647" s="392"/>
      <c r="BB647" s="231"/>
    </row>
    <row r="648" spans="2:54" x14ac:dyDescent="0.25">
      <c r="B648" s="231"/>
      <c r="I648" s="392"/>
      <c r="K648" s="231"/>
      <c r="X648" s="1"/>
      <c r="Y648" s="1"/>
      <c r="Z648" s="1"/>
      <c r="AA648" s="1"/>
      <c r="AB648" s="392"/>
      <c r="AD648" s="231"/>
      <c r="AM648" s="231"/>
      <c r="AW648" s="1"/>
      <c r="AX648" s="1"/>
      <c r="AY648" s="1"/>
      <c r="AZ648" s="392"/>
      <c r="BB648" s="231"/>
    </row>
    <row r="649" spans="2:54" x14ac:dyDescent="0.25">
      <c r="B649" s="231"/>
      <c r="I649" s="392"/>
      <c r="K649" s="231"/>
      <c r="X649" s="1"/>
      <c r="Y649" s="1"/>
      <c r="Z649" s="1"/>
      <c r="AA649" s="1"/>
      <c r="AB649" s="392"/>
      <c r="AD649" s="231"/>
      <c r="AM649" s="231"/>
      <c r="AW649" s="1"/>
      <c r="AX649" s="1"/>
      <c r="AY649" s="1"/>
      <c r="AZ649" s="392"/>
      <c r="BB649" s="231"/>
    </row>
    <row r="650" spans="2:54" x14ac:dyDescent="0.25">
      <c r="B650" s="231"/>
      <c r="I650" s="392"/>
      <c r="K650" s="231"/>
      <c r="X650" s="1"/>
      <c r="Y650" s="1"/>
      <c r="Z650" s="1"/>
      <c r="AA650" s="1"/>
      <c r="AB650" s="392"/>
      <c r="AD650" s="231"/>
      <c r="AM650" s="231"/>
      <c r="AW650" s="1"/>
      <c r="AX650" s="1"/>
      <c r="AY650" s="1"/>
      <c r="AZ650" s="392"/>
      <c r="BB650" s="231"/>
    </row>
    <row r="651" spans="2:54" x14ac:dyDescent="0.25">
      <c r="B651" s="231"/>
      <c r="I651" s="392"/>
      <c r="K651" s="231"/>
      <c r="X651" s="1"/>
      <c r="Y651" s="1"/>
      <c r="Z651" s="1"/>
      <c r="AA651" s="1"/>
      <c r="AB651" s="392"/>
      <c r="AD651" s="231"/>
      <c r="AM651" s="231"/>
      <c r="AW651" s="1"/>
      <c r="AX651" s="1"/>
      <c r="AY651" s="1"/>
      <c r="AZ651" s="392"/>
      <c r="BB651" s="231"/>
    </row>
    <row r="652" spans="2:54" x14ac:dyDescent="0.25">
      <c r="B652" s="231"/>
      <c r="I652" s="392"/>
      <c r="K652" s="231"/>
      <c r="X652" s="1"/>
      <c r="Y652" s="1"/>
      <c r="Z652" s="1"/>
      <c r="AA652" s="1"/>
      <c r="AB652" s="392"/>
      <c r="AD652" s="231"/>
      <c r="AM652" s="231"/>
      <c r="AW652" s="1"/>
      <c r="AX652" s="1"/>
      <c r="AY652" s="1"/>
      <c r="AZ652" s="392"/>
      <c r="BB652" s="231"/>
    </row>
    <row r="653" spans="2:54" x14ac:dyDescent="0.25">
      <c r="B653" s="231"/>
      <c r="I653" s="392"/>
      <c r="K653" s="231"/>
      <c r="X653" s="1"/>
      <c r="Y653" s="1"/>
      <c r="Z653" s="1"/>
      <c r="AA653" s="1"/>
      <c r="AB653" s="392"/>
      <c r="AD653" s="231"/>
      <c r="AM653" s="231"/>
      <c r="AW653" s="1"/>
      <c r="AX653" s="1"/>
      <c r="AY653" s="1"/>
      <c r="AZ653" s="392"/>
      <c r="BB653" s="231"/>
    </row>
    <row r="654" spans="2:54" x14ac:dyDescent="0.25">
      <c r="B654" s="231"/>
      <c r="I654" s="392"/>
      <c r="K654" s="231"/>
      <c r="X654" s="1"/>
      <c r="Y654" s="1"/>
      <c r="Z654" s="1"/>
      <c r="AA654" s="1"/>
      <c r="AB654" s="392"/>
      <c r="AD654" s="231"/>
      <c r="AM654" s="231"/>
      <c r="AW654" s="1"/>
      <c r="AX654" s="1"/>
      <c r="AY654" s="1"/>
      <c r="AZ654" s="392"/>
      <c r="BB654" s="231"/>
    </row>
    <row r="655" spans="2:54" x14ac:dyDescent="0.25">
      <c r="B655" s="231"/>
      <c r="I655" s="392"/>
      <c r="K655" s="231"/>
      <c r="X655" s="1"/>
      <c r="Y655" s="1"/>
      <c r="Z655" s="1"/>
      <c r="AA655" s="1"/>
      <c r="AB655" s="392"/>
      <c r="AD655" s="231"/>
      <c r="AM655" s="231"/>
      <c r="AW655" s="1"/>
      <c r="AX655" s="1"/>
      <c r="AY655" s="1"/>
      <c r="AZ655" s="392"/>
      <c r="BB655" s="231"/>
    </row>
    <row r="656" spans="2:54" x14ac:dyDescent="0.25">
      <c r="B656" s="231"/>
      <c r="I656" s="392"/>
      <c r="K656" s="231"/>
      <c r="X656" s="1"/>
      <c r="Y656" s="1"/>
      <c r="Z656" s="1"/>
      <c r="AA656" s="1"/>
      <c r="AB656" s="392"/>
      <c r="AD656" s="231"/>
      <c r="AM656" s="231"/>
      <c r="AW656" s="1"/>
      <c r="AX656" s="1"/>
      <c r="AY656" s="1"/>
      <c r="AZ656" s="392"/>
      <c r="BB656" s="231"/>
    </row>
    <row r="657" spans="2:54" x14ac:dyDescent="0.25">
      <c r="B657" s="231"/>
      <c r="I657" s="392"/>
      <c r="K657" s="231"/>
      <c r="X657" s="1"/>
      <c r="Y657" s="1"/>
      <c r="Z657" s="1"/>
      <c r="AA657" s="1"/>
      <c r="AB657" s="392"/>
      <c r="AD657" s="231"/>
      <c r="AM657" s="231"/>
      <c r="AW657" s="1"/>
      <c r="AX657" s="1"/>
      <c r="AY657" s="1"/>
      <c r="AZ657" s="392"/>
      <c r="BB657" s="231"/>
    </row>
    <row r="658" spans="2:54" x14ac:dyDescent="0.25">
      <c r="B658" s="231"/>
      <c r="I658" s="392"/>
      <c r="K658" s="231"/>
      <c r="X658" s="1"/>
      <c r="Y658" s="1"/>
      <c r="Z658" s="1"/>
      <c r="AA658" s="1"/>
      <c r="AB658" s="392"/>
      <c r="AD658" s="231"/>
      <c r="AM658" s="231"/>
      <c r="AW658" s="1"/>
      <c r="AX658" s="1"/>
      <c r="AY658" s="1"/>
      <c r="AZ658" s="392"/>
      <c r="BB658" s="231"/>
    </row>
    <row r="659" spans="2:54" x14ac:dyDescent="0.25">
      <c r="B659" s="231"/>
      <c r="I659" s="392"/>
      <c r="K659" s="231"/>
      <c r="X659" s="1"/>
      <c r="Y659" s="1"/>
      <c r="Z659" s="1"/>
      <c r="AA659" s="1"/>
      <c r="AB659" s="392"/>
      <c r="AD659" s="231"/>
      <c r="AM659" s="231"/>
      <c r="AW659" s="1"/>
      <c r="AX659" s="1"/>
      <c r="AY659" s="1"/>
      <c r="AZ659" s="392"/>
      <c r="BB659" s="231"/>
    </row>
    <row r="660" spans="2:54" x14ac:dyDescent="0.25">
      <c r="B660" s="231"/>
      <c r="I660" s="392"/>
      <c r="K660" s="231"/>
      <c r="X660" s="1"/>
      <c r="Y660" s="1"/>
      <c r="Z660" s="1"/>
      <c r="AA660" s="1"/>
      <c r="AB660" s="392"/>
      <c r="AD660" s="231"/>
      <c r="AM660" s="231"/>
      <c r="AW660" s="1"/>
      <c r="AX660" s="1"/>
      <c r="AY660" s="1"/>
      <c r="AZ660" s="392"/>
      <c r="BB660" s="231"/>
    </row>
    <row r="661" spans="2:54" x14ac:dyDescent="0.25">
      <c r="B661" s="231"/>
      <c r="I661" s="392"/>
      <c r="K661" s="231"/>
      <c r="X661" s="1"/>
      <c r="Y661" s="1"/>
      <c r="Z661" s="1"/>
      <c r="AA661" s="1"/>
      <c r="AB661" s="392"/>
      <c r="AD661" s="231"/>
      <c r="AM661" s="231"/>
      <c r="AW661" s="1"/>
      <c r="AX661" s="1"/>
      <c r="AY661" s="1"/>
      <c r="AZ661" s="392"/>
      <c r="BB661" s="231"/>
    </row>
    <row r="662" spans="2:54" x14ac:dyDescent="0.25">
      <c r="B662" s="231"/>
      <c r="I662" s="392"/>
      <c r="K662" s="231"/>
      <c r="X662" s="1"/>
      <c r="Y662" s="1"/>
      <c r="Z662" s="1"/>
      <c r="AA662" s="1"/>
      <c r="AB662" s="392"/>
      <c r="AD662" s="231"/>
      <c r="AM662" s="231"/>
      <c r="AW662" s="1"/>
      <c r="AX662" s="1"/>
      <c r="AY662" s="1"/>
      <c r="AZ662" s="392"/>
      <c r="BB662" s="231"/>
    </row>
    <row r="663" spans="2:54" x14ac:dyDescent="0.25">
      <c r="B663" s="231"/>
      <c r="I663" s="392"/>
      <c r="K663" s="231"/>
      <c r="X663" s="1"/>
      <c r="Y663" s="1"/>
      <c r="Z663" s="1"/>
      <c r="AA663" s="1"/>
      <c r="AB663" s="392"/>
      <c r="AD663" s="231"/>
      <c r="AM663" s="231"/>
      <c r="AW663" s="1"/>
      <c r="AX663" s="1"/>
      <c r="AY663" s="1"/>
      <c r="AZ663" s="392"/>
      <c r="BB663" s="231"/>
    </row>
    <row r="664" spans="2:54" x14ac:dyDescent="0.25">
      <c r="B664" s="231"/>
      <c r="I664" s="392"/>
      <c r="K664" s="231"/>
      <c r="X664" s="1"/>
      <c r="Y664" s="1"/>
      <c r="Z664" s="1"/>
      <c r="AA664" s="1"/>
      <c r="AB664" s="392"/>
      <c r="AD664" s="231"/>
      <c r="AM664" s="231"/>
      <c r="AW664" s="1"/>
      <c r="AX664" s="1"/>
      <c r="AY664" s="1"/>
      <c r="AZ664" s="392"/>
      <c r="BB664" s="231"/>
    </row>
    <row r="665" spans="2:54" x14ac:dyDescent="0.25">
      <c r="B665" s="231"/>
      <c r="I665" s="392"/>
      <c r="K665" s="231"/>
      <c r="X665" s="1"/>
      <c r="Y665" s="1"/>
      <c r="Z665" s="1"/>
      <c r="AA665" s="1"/>
      <c r="AB665" s="392"/>
      <c r="AD665" s="231"/>
      <c r="AM665" s="231"/>
      <c r="AW665" s="1"/>
      <c r="AX665" s="1"/>
      <c r="AY665" s="1"/>
      <c r="AZ665" s="392"/>
      <c r="BB665" s="231"/>
    </row>
    <row r="666" spans="2:54" x14ac:dyDescent="0.25">
      <c r="B666" s="231"/>
      <c r="I666" s="392"/>
      <c r="K666" s="231"/>
      <c r="X666" s="1"/>
      <c r="Y666" s="1"/>
      <c r="Z666" s="1"/>
      <c r="AA666" s="1"/>
      <c r="AB666" s="392"/>
      <c r="AD666" s="231"/>
      <c r="AM666" s="231"/>
      <c r="AW666" s="1"/>
      <c r="AX666" s="1"/>
      <c r="AY666" s="1"/>
      <c r="AZ666" s="392"/>
      <c r="BB666" s="231"/>
    </row>
    <row r="667" spans="2:54" x14ac:dyDescent="0.25">
      <c r="B667" s="231"/>
      <c r="I667" s="392"/>
      <c r="K667" s="231"/>
      <c r="X667" s="1"/>
      <c r="Y667" s="1"/>
      <c r="Z667" s="1"/>
      <c r="AA667" s="1"/>
      <c r="AB667" s="392"/>
      <c r="AD667" s="231"/>
      <c r="AM667" s="231"/>
      <c r="AW667" s="1"/>
      <c r="AX667" s="1"/>
      <c r="AY667" s="1"/>
      <c r="AZ667" s="392"/>
      <c r="BB667" s="231"/>
    </row>
    <row r="668" spans="2:54" x14ac:dyDescent="0.25">
      <c r="B668" s="231"/>
      <c r="I668" s="392"/>
      <c r="K668" s="231"/>
      <c r="X668" s="1"/>
      <c r="Y668" s="1"/>
      <c r="Z668" s="1"/>
      <c r="AA668" s="1"/>
      <c r="AB668" s="392"/>
      <c r="AD668" s="231"/>
      <c r="AM668" s="231"/>
      <c r="AW668" s="1"/>
      <c r="AX668" s="1"/>
      <c r="AY668" s="1"/>
      <c r="AZ668" s="392"/>
      <c r="BB668" s="231"/>
    </row>
    <row r="669" spans="2:54" x14ac:dyDescent="0.25">
      <c r="B669" s="231"/>
      <c r="I669" s="392"/>
      <c r="K669" s="231"/>
      <c r="X669" s="1"/>
      <c r="Y669" s="1"/>
      <c r="Z669" s="1"/>
      <c r="AA669" s="1"/>
      <c r="AB669" s="392"/>
      <c r="AD669" s="231"/>
      <c r="AM669" s="231"/>
      <c r="AW669" s="1"/>
      <c r="AX669" s="1"/>
      <c r="AY669" s="1"/>
      <c r="AZ669" s="392"/>
      <c r="BB669" s="231"/>
    </row>
    <row r="670" spans="2:54" x14ac:dyDescent="0.25">
      <c r="B670" s="231"/>
      <c r="I670" s="392"/>
      <c r="K670" s="231"/>
      <c r="X670" s="1"/>
      <c r="Y670" s="1"/>
      <c r="Z670" s="1"/>
      <c r="AA670" s="1"/>
      <c r="AB670" s="392"/>
      <c r="AD670" s="231"/>
      <c r="AM670" s="231"/>
      <c r="AW670" s="1"/>
      <c r="AX670" s="1"/>
      <c r="AY670" s="1"/>
      <c r="AZ670" s="392"/>
      <c r="BB670" s="231"/>
    </row>
    <row r="671" spans="2:54" x14ac:dyDescent="0.25">
      <c r="B671" s="231"/>
      <c r="I671" s="392"/>
      <c r="K671" s="231"/>
      <c r="X671" s="1"/>
      <c r="Y671" s="1"/>
      <c r="Z671" s="1"/>
      <c r="AA671" s="1"/>
      <c r="AB671" s="392"/>
      <c r="AD671" s="231"/>
      <c r="AM671" s="231"/>
      <c r="AW671" s="1"/>
      <c r="AX671" s="1"/>
      <c r="AY671" s="1"/>
      <c r="AZ671" s="392"/>
      <c r="BB671" s="231"/>
    </row>
    <row r="672" spans="2:54" x14ac:dyDescent="0.25">
      <c r="B672" s="231"/>
      <c r="I672" s="392"/>
      <c r="K672" s="231"/>
      <c r="X672" s="1"/>
      <c r="Y672" s="1"/>
      <c r="Z672" s="1"/>
      <c r="AA672" s="1"/>
      <c r="AB672" s="392"/>
      <c r="AD672" s="231"/>
      <c r="AM672" s="231"/>
      <c r="AW672" s="1"/>
      <c r="AX672" s="1"/>
      <c r="AY672" s="1"/>
      <c r="AZ672" s="392"/>
      <c r="BB672" s="231"/>
    </row>
    <row r="673" spans="2:54" x14ac:dyDescent="0.25">
      <c r="B673" s="231"/>
      <c r="I673" s="392"/>
      <c r="K673" s="231"/>
      <c r="X673" s="1"/>
      <c r="Y673" s="1"/>
      <c r="Z673" s="1"/>
      <c r="AA673" s="1"/>
      <c r="AB673" s="392"/>
      <c r="AD673" s="231"/>
      <c r="AM673" s="231"/>
      <c r="AW673" s="1"/>
      <c r="AX673" s="1"/>
      <c r="AY673" s="1"/>
      <c r="AZ673" s="392"/>
      <c r="BB673" s="231"/>
    </row>
    <row r="674" spans="2:54" x14ac:dyDescent="0.25">
      <c r="B674" s="231"/>
      <c r="I674" s="392"/>
      <c r="K674" s="231"/>
      <c r="X674" s="1"/>
      <c r="Y674" s="1"/>
      <c r="Z674" s="1"/>
      <c r="AA674" s="1"/>
      <c r="AB674" s="392"/>
      <c r="AD674" s="231"/>
      <c r="AM674" s="231"/>
      <c r="AW674" s="1"/>
      <c r="AX674" s="1"/>
      <c r="AY674" s="1"/>
      <c r="AZ674" s="392"/>
      <c r="BB674" s="231"/>
    </row>
    <row r="675" spans="2:54" x14ac:dyDescent="0.25">
      <c r="B675" s="231"/>
      <c r="I675" s="392"/>
      <c r="K675" s="231"/>
      <c r="X675" s="1"/>
      <c r="Y675" s="1"/>
      <c r="Z675" s="1"/>
      <c r="AA675" s="1"/>
      <c r="AB675" s="392"/>
      <c r="AD675" s="231"/>
      <c r="AM675" s="231"/>
      <c r="AW675" s="1"/>
      <c r="AX675" s="1"/>
      <c r="AY675" s="1"/>
      <c r="AZ675" s="392"/>
      <c r="BB675" s="231"/>
    </row>
    <row r="676" spans="2:54" x14ac:dyDescent="0.25">
      <c r="B676" s="231"/>
      <c r="I676" s="392"/>
      <c r="K676" s="231"/>
      <c r="X676" s="1"/>
      <c r="Y676" s="1"/>
      <c r="Z676" s="1"/>
      <c r="AA676" s="1"/>
      <c r="AB676" s="392"/>
      <c r="AD676" s="231"/>
      <c r="AM676" s="231"/>
      <c r="AW676" s="1"/>
      <c r="AX676" s="1"/>
      <c r="AY676" s="1"/>
      <c r="AZ676" s="392"/>
      <c r="BB676" s="231"/>
    </row>
    <row r="677" spans="2:54" x14ac:dyDescent="0.25">
      <c r="B677" s="231"/>
      <c r="I677" s="392"/>
      <c r="K677" s="231"/>
      <c r="X677" s="1"/>
      <c r="Y677" s="1"/>
      <c r="Z677" s="1"/>
      <c r="AA677" s="1"/>
      <c r="AB677" s="392"/>
      <c r="AD677" s="231"/>
      <c r="AM677" s="231"/>
      <c r="AW677" s="1"/>
      <c r="AX677" s="1"/>
      <c r="AY677" s="1"/>
      <c r="AZ677" s="392"/>
      <c r="BB677" s="231"/>
    </row>
    <row r="678" spans="2:54" x14ac:dyDescent="0.25">
      <c r="B678" s="231"/>
      <c r="I678" s="392"/>
      <c r="K678" s="231"/>
      <c r="X678" s="1"/>
      <c r="Y678" s="1"/>
      <c r="Z678" s="1"/>
      <c r="AA678" s="1"/>
      <c r="AB678" s="392"/>
      <c r="AD678" s="231"/>
      <c r="AM678" s="231"/>
      <c r="AW678" s="1"/>
      <c r="AX678" s="1"/>
      <c r="AY678" s="1"/>
      <c r="AZ678" s="392"/>
      <c r="BB678" s="231"/>
    </row>
    <row r="679" spans="2:54" x14ac:dyDescent="0.25">
      <c r="B679" s="231"/>
      <c r="I679" s="392"/>
      <c r="K679" s="231"/>
      <c r="X679" s="1"/>
      <c r="Y679" s="1"/>
      <c r="Z679" s="1"/>
      <c r="AA679" s="1"/>
      <c r="AB679" s="392"/>
      <c r="AD679" s="231"/>
      <c r="AM679" s="231"/>
      <c r="AW679" s="1"/>
      <c r="AX679" s="1"/>
      <c r="AY679" s="1"/>
      <c r="AZ679" s="392"/>
      <c r="BB679" s="231"/>
    </row>
    <row r="680" spans="2:54" x14ac:dyDescent="0.25">
      <c r="B680" s="231"/>
      <c r="I680" s="392"/>
      <c r="K680" s="231"/>
      <c r="X680" s="1"/>
      <c r="Y680" s="1"/>
      <c r="Z680" s="1"/>
      <c r="AA680" s="1"/>
      <c r="AB680" s="392"/>
      <c r="AD680" s="231"/>
      <c r="AM680" s="231"/>
      <c r="AW680" s="1"/>
      <c r="AX680" s="1"/>
      <c r="AY680" s="1"/>
      <c r="AZ680" s="392"/>
      <c r="BB680" s="231"/>
    </row>
    <row r="681" spans="2:54" x14ac:dyDescent="0.25">
      <c r="B681" s="231"/>
      <c r="I681" s="392"/>
      <c r="K681" s="231"/>
      <c r="X681" s="1"/>
      <c r="Y681" s="1"/>
      <c r="Z681" s="1"/>
      <c r="AA681" s="1"/>
      <c r="AB681" s="392"/>
      <c r="AD681" s="231"/>
      <c r="AM681" s="231"/>
      <c r="AW681" s="1"/>
      <c r="AX681" s="1"/>
      <c r="AY681" s="1"/>
      <c r="AZ681" s="392"/>
      <c r="BB681" s="231"/>
    </row>
    <row r="682" spans="2:54" x14ac:dyDescent="0.25">
      <c r="B682" s="231"/>
      <c r="I682" s="392"/>
      <c r="K682" s="231"/>
      <c r="X682" s="1"/>
      <c r="Y682" s="1"/>
      <c r="Z682" s="1"/>
      <c r="AA682" s="1"/>
      <c r="AB682" s="392"/>
      <c r="AD682" s="231"/>
      <c r="AM682" s="231"/>
      <c r="AW682" s="1"/>
      <c r="AX682" s="1"/>
      <c r="AY682" s="1"/>
      <c r="AZ682" s="392"/>
      <c r="BB682" s="231"/>
    </row>
    <row r="683" spans="2:54" x14ac:dyDescent="0.25">
      <c r="B683" s="231"/>
      <c r="I683" s="392"/>
      <c r="K683" s="231"/>
      <c r="X683" s="1"/>
      <c r="Y683" s="1"/>
      <c r="Z683" s="1"/>
      <c r="AA683" s="1"/>
      <c r="AB683" s="392"/>
      <c r="AD683" s="231"/>
      <c r="AM683" s="231"/>
      <c r="AW683" s="1"/>
      <c r="AX683" s="1"/>
      <c r="AY683" s="1"/>
      <c r="AZ683" s="392"/>
      <c r="BB683" s="231"/>
    </row>
    <row r="684" spans="2:54" x14ac:dyDescent="0.25">
      <c r="B684" s="231"/>
      <c r="I684" s="392"/>
      <c r="K684" s="231"/>
      <c r="X684" s="1"/>
      <c r="Y684" s="1"/>
      <c r="Z684" s="1"/>
      <c r="AA684" s="1"/>
      <c r="AB684" s="392"/>
      <c r="AD684" s="231"/>
      <c r="AM684" s="231"/>
      <c r="AW684" s="1"/>
      <c r="AX684" s="1"/>
      <c r="AY684" s="1"/>
      <c r="AZ684" s="392"/>
      <c r="BB684" s="231"/>
    </row>
    <row r="685" spans="2:54" x14ac:dyDescent="0.25">
      <c r="B685" s="231"/>
      <c r="I685" s="392"/>
      <c r="K685" s="231"/>
      <c r="X685" s="1"/>
      <c r="Y685" s="1"/>
      <c r="Z685" s="1"/>
      <c r="AA685" s="1"/>
      <c r="AB685" s="392"/>
      <c r="AD685" s="231"/>
      <c r="AM685" s="231"/>
      <c r="AW685" s="1"/>
      <c r="AX685" s="1"/>
      <c r="AY685" s="1"/>
      <c r="AZ685" s="392"/>
      <c r="BB685" s="231"/>
    </row>
    <row r="686" spans="2:54" x14ac:dyDescent="0.25">
      <c r="B686" s="231"/>
      <c r="I686" s="392"/>
      <c r="K686" s="231"/>
      <c r="X686" s="1"/>
      <c r="Y686" s="1"/>
      <c r="Z686" s="1"/>
      <c r="AA686" s="1"/>
      <c r="AB686" s="392"/>
      <c r="AD686" s="231"/>
      <c r="AM686" s="231"/>
      <c r="AW686" s="1"/>
      <c r="AX686" s="1"/>
      <c r="AY686" s="1"/>
      <c r="AZ686" s="392"/>
      <c r="BB686" s="231"/>
    </row>
    <row r="687" spans="2:54" x14ac:dyDescent="0.25">
      <c r="B687" s="231"/>
      <c r="I687" s="392"/>
      <c r="K687" s="231"/>
      <c r="X687" s="1"/>
      <c r="Y687" s="1"/>
      <c r="Z687" s="1"/>
      <c r="AA687" s="1"/>
      <c r="AB687" s="392"/>
      <c r="AD687" s="231"/>
      <c r="AM687" s="231"/>
      <c r="AW687" s="1"/>
      <c r="AX687" s="1"/>
      <c r="AY687" s="1"/>
      <c r="AZ687" s="392"/>
      <c r="BB687" s="231"/>
    </row>
    <row r="688" spans="2:54" x14ac:dyDescent="0.25">
      <c r="B688" s="231"/>
      <c r="I688" s="392"/>
      <c r="K688" s="231"/>
      <c r="X688" s="1"/>
      <c r="Y688" s="1"/>
      <c r="Z688" s="1"/>
      <c r="AA688" s="1"/>
      <c r="AB688" s="392"/>
      <c r="AD688" s="231"/>
      <c r="AM688" s="231"/>
      <c r="AW688" s="1"/>
      <c r="AX688" s="1"/>
      <c r="AY688" s="1"/>
      <c r="AZ688" s="392"/>
      <c r="BB688" s="231"/>
    </row>
    <row r="689" spans="2:54" x14ac:dyDescent="0.25">
      <c r="B689" s="231"/>
      <c r="I689" s="392"/>
      <c r="K689" s="231"/>
      <c r="X689" s="1"/>
      <c r="Y689" s="1"/>
      <c r="Z689" s="1"/>
      <c r="AA689" s="1"/>
      <c r="AB689" s="392"/>
      <c r="AD689" s="231"/>
      <c r="AM689" s="231"/>
      <c r="AW689" s="1"/>
      <c r="AX689" s="1"/>
      <c r="AY689" s="1"/>
      <c r="AZ689" s="392"/>
      <c r="BB689" s="231"/>
    </row>
    <row r="690" spans="2:54" x14ac:dyDescent="0.25">
      <c r="B690" s="231"/>
      <c r="I690" s="392"/>
      <c r="K690" s="231"/>
      <c r="X690" s="1"/>
      <c r="Y690" s="1"/>
      <c r="Z690" s="1"/>
      <c r="AA690" s="1"/>
      <c r="AB690" s="392"/>
      <c r="AD690" s="231"/>
      <c r="AM690" s="231"/>
      <c r="AW690" s="1"/>
      <c r="AX690" s="1"/>
      <c r="AY690" s="1"/>
      <c r="AZ690" s="392"/>
      <c r="BB690" s="231"/>
    </row>
    <row r="691" spans="2:54" x14ac:dyDescent="0.25">
      <c r="B691" s="231"/>
      <c r="I691" s="392"/>
      <c r="K691" s="231"/>
      <c r="X691" s="1"/>
      <c r="Y691" s="1"/>
      <c r="Z691" s="1"/>
      <c r="AA691" s="1"/>
      <c r="AB691" s="392"/>
      <c r="AD691" s="231"/>
      <c r="AM691" s="231"/>
      <c r="AW691" s="1"/>
      <c r="AX691" s="1"/>
      <c r="AY691" s="1"/>
      <c r="AZ691" s="392"/>
      <c r="BB691" s="231"/>
    </row>
    <row r="692" spans="2:54" x14ac:dyDescent="0.25">
      <c r="B692" s="231"/>
      <c r="I692" s="392"/>
      <c r="K692" s="231"/>
      <c r="X692" s="1"/>
      <c r="Y692" s="1"/>
      <c r="Z692" s="1"/>
      <c r="AA692" s="1"/>
      <c r="AB692" s="392"/>
      <c r="AD692" s="231"/>
      <c r="AM692" s="231"/>
      <c r="AW692" s="1"/>
      <c r="AX692" s="1"/>
      <c r="AY692" s="1"/>
      <c r="AZ692" s="392"/>
      <c r="BB692" s="231"/>
    </row>
    <row r="693" spans="2:54" x14ac:dyDescent="0.25">
      <c r="B693" s="231"/>
      <c r="I693" s="392"/>
      <c r="K693" s="231"/>
      <c r="X693" s="1"/>
      <c r="Y693" s="1"/>
      <c r="Z693" s="1"/>
      <c r="AA693" s="1"/>
      <c r="AB693" s="392"/>
      <c r="AD693" s="231"/>
      <c r="AM693" s="231"/>
      <c r="AW693" s="1"/>
      <c r="AX693" s="1"/>
      <c r="AY693" s="1"/>
      <c r="AZ693" s="392"/>
      <c r="BB693" s="231"/>
    </row>
    <row r="694" spans="2:54" x14ac:dyDescent="0.25">
      <c r="B694" s="231"/>
      <c r="I694" s="392"/>
      <c r="K694" s="231"/>
      <c r="X694" s="1"/>
      <c r="Y694" s="1"/>
      <c r="Z694" s="1"/>
      <c r="AA694" s="1"/>
      <c r="AB694" s="392"/>
      <c r="AD694" s="231"/>
      <c r="AM694" s="231"/>
      <c r="AW694" s="1"/>
      <c r="AX694" s="1"/>
      <c r="AY694" s="1"/>
      <c r="AZ694" s="392"/>
      <c r="BB694" s="231"/>
    </row>
    <row r="695" spans="2:54" x14ac:dyDescent="0.25">
      <c r="B695" s="231"/>
      <c r="I695" s="392"/>
      <c r="K695" s="231"/>
      <c r="X695" s="1"/>
      <c r="Y695" s="1"/>
      <c r="Z695" s="1"/>
      <c r="AA695" s="1"/>
      <c r="AB695" s="392"/>
      <c r="AD695" s="231"/>
      <c r="AM695" s="231"/>
      <c r="AW695" s="1"/>
      <c r="AX695" s="1"/>
      <c r="AY695" s="1"/>
      <c r="AZ695" s="392"/>
      <c r="BB695" s="231"/>
    </row>
    <row r="696" spans="2:54" x14ac:dyDescent="0.25">
      <c r="B696" s="231"/>
      <c r="I696" s="392"/>
      <c r="K696" s="231"/>
      <c r="X696" s="1"/>
      <c r="Y696" s="1"/>
      <c r="Z696" s="1"/>
      <c r="AA696" s="1"/>
      <c r="AB696" s="392"/>
      <c r="AD696" s="231"/>
      <c r="AM696" s="231"/>
      <c r="AW696" s="1"/>
      <c r="AX696" s="1"/>
      <c r="AY696" s="1"/>
      <c r="AZ696" s="392"/>
      <c r="BB696" s="231"/>
    </row>
    <row r="697" spans="2:54" x14ac:dyDescent="0.25">
      <c r="B697" s="231"/>
      <c r="I697" s="392"/>
      <c r="K697" s="231"/>
      <c r="X697" s="1"/>
      <c r="Y697" s="1"/>
      <c r="Z697" s="1"/>
      <c r="AA697" s="1"/>
      <c r="AB697" s="392"/>
      <c r="AD697" s="231"/>
      <c r="AM697" s="231"/>
      <c r="AW697" s="1"/>
      <c r="AX697" s="1"/>
      <c r="AY697" s="1"/>
      <c r="AZ697" s="392"/>
      <c r="BB697" s="231"/>
    </row>
    <row r="698" spans="2:54" x14ac:dyDescent="0.25">
      <c r="B698" s="231"/>
      <c r="I698" s="392"/>
      <c r="K698" s="231"/>
      <c r="X698" s="1"/>
      <c r="Y698" s="1"/>
      <c r="Z698" s="1"/>
      <c r="AA698" s="1"/>
      <c r="AB698" s="392"/>
      <c r="AD698" s="231"/>
      <c r="AM698" s="231"/>
      <c r="AW698" s="1"/>
      <c r="AX698" s="1"/>
      <c r="AY698" s="1"/>
      <c r="AZ698" s="392"/>
      <c r="BB698" s="231"/>
    </row>
    <row r="699" spans="2:54" x14ac:dyDescent="0.25">
      <c r="B699" s="231"/>
      <c r="I699" s="392"/>
      <c r="K699" s="231"/>
      <c r="X699" s="1"/>
      <c r="Y699" s="1"/>
      <c r="Z699" s="1"/>
      <c r="AA699" s="1"/>
      <c r="AB699" s="392"/>
      <c r="AD699" s="231"/>
      <c r="AM699" s="231"/>
      <c r="AW699" s="1"/>
      <c r="AX699" s="1"/>
      <c r="AY699" s="1"/>
      <c r="AZ699" s="392"/>
      <c r="BB699" s="231"/>
    </row>
    <row r="700" spans="2:54" x14ac:dyDescent="0.25">
      <c r="B700" s="231"/>
      <c r="I700" s="392"/>
      <c r="K700" s="231"/>
      <c r="X700" s="1"/>
      <c r="Y700" s="1"/>
      <c r="Z700" s="1"/>
      <c r="AA700" s="1"/>
      <c r="AB700" s="392"/>
      <c r="AD700" s="231"/>
      <c r="AM700" s="231"/>
      <c r="AW700" s="1"/>
      <c r="AX700" s="1"/>
      <c r="AY700" s="1"/>
      <c r="AZ700" s="392"/>
      <c r="BB700" s="231"/>
    </row>
    <row r="701" spans="2:54" x14ac:dyDescent="0.25">
      <c r="B701" s="231"/>
      <c r="I701" s="392"/>
      <c r="K701" s="231"/>
      <c r="X701" s="1"/>
      <c r="Y701" s="1"/>
      <c r="Z701" s="1"/>
      <c r="AA701" s="1"/>
      <c r="AB701" s="392"/>
      <c r="AD701" s="231"/>
      <c r="AM701" s="231"/>
      <c r="AW701" s="1"/>
      <c r="AX701" s="1"/>
      <c r="AY701" s="1"/>
      <c r="AZ701" s="392"/>
      <c r="BB701" s="231"/>
    </row>
    <row r="702" spans="2:54" x14ac:dyDescent="0.25">
      <c r="B702" s="231"/>
      <c r="I702" s="392"/>
      <c r="K702" s="231"/>
      <c r="X702" s="1"/>
      <c r="Y702" s="1"/>
      <c r="Z702" s="1"/>
      <c r="AA702" s="1"/>
      <c r="AB702" s="392"/>
      <c r="AD702" s="231"/>
      <c r="AM702" s="231"/>
      <c r="AW702" s="1"/>
      <c r="AX702" s="1"/>
      <c r="AY702" s="1"/>
      <c r="AZ702" s="392"/>
      <c r="BB702" s="231"/>
    </row>
    <row r="703" spans="2:54" x14ac:dyDescent="0.25">
      <c r="B703" s="231"/>
      <c r="I703" s="392"/>
      <c r="K703" s="231"/>
      <c r="X703" s="1"/>
      <c r="Y703" s="1"/>
      <c r="Z703" s="1"/>
      <c r="AA703" s="1"/>
      <c r="AB703" s="392"/>
      <c r="AD703" s="231"/>
      <c r="AM703" s="231"/>
      <c r="AW703" s="1"/>
      <c r="AX703" s="1"/>
      <c r="AY703" s="1"/>
      <c r="AZ703" s="392"/>
      <c r="BB703" s="231"/>
    </row>
    <row r="704" spans="2:54" x14ac:dyDescent="0.25">
      <c r="B704" s="231"/>
      <c r="I704" s="392"/>
      <c r="K704" s="231"/>
      <c r="X704" s="1"/>
      <c r="Y704" s="1"/>
      <c r="Z704" s="1"/>
      <c r="AA704" s="1"/>
      <c r="AB704" s="392"/>
      <c r="AD704" s="231"/>
      <c r="AM704" s="231"/>
      <c r="AW704" s="1"/>
      <c r="AX704" s="1"/>
      <c r="AY704" s="1"/>
      <c r="AZ704" s="392"/>
      <c r="BB704" s="231"/>
    </row>
    <row r="705" spans="2:54" x14ac:dyDescent="0.25">
      <c r="B705" s="231"/>
      <c r="I705" s="392"/>
      <c r="K705" s="231"/>
      <c r="X705" s="1"/>
      <c r="Y705" s="1"/>
      <c r="Z705" s="1"/>
      <c r="AA705" s="1"/>
      <c r="AB705" s="392"/>
      <c r="AD705" s="231"/>
      <c r="AM705" s="231"/>
      <c r="AW705" s="1"/>
      <c r="AX705" s="1"/>
      <c r="AY705" s="1"/>
      <c r="AZ705" s="392"/>
      <c r="BB705" s="231"/>
    </row>
    <row r="706" spans="2:54" x14ac:dyDescent="0.25">
      <c r="B706" s="231"/>
      <c r="I706" s="392"/>
      <c r="K706" s="231"/>
      <c r="X706" s="1"/>
      <c r="Y706" s="1"/>
      <c r="Z706" s="1"/>
      <c r="AA706" s="1"/>
      <c r="AB706" s="392"/>
      <c r="AD706" s="231"/>
      <c r="AM706" s="231"/>
      <c r="AW706" s="1"/>
      <c r="AX706" s="1"/>
      <c r="AY706" s="1"/>
      <c r="AZ706" s="392"/>
      <c r="BB706" s="231"/>
    </row>
    <row r="707" spans="2:54" x14ac:dyDescent="0.25">
      <c r="B707" s="231"/>
      <c r="I707" s="392"/>
      <c r="K707" s="231"/>
      <c r="X707" s="1"/>
      <c r="Y707" s="1"/>
      <c r="Z707" s="1"/>
      <c r="AA707" s="1"/>
      <c r="AB707" s="392"/>
      <c r="AD707" s="231"/>
      <c r="AM707" s="231"/>
      <c r="AW707" s="1"/>
      <c r="AX707" s="1"/>
      <c r="AY707" s="1"/>
      <c r="AZ707" s="392"/>
      <c r="BB707" s="231"/>
    </row>
    <row r="708" spans="2:54" x14ac:dyDescent="0.25">
      <c r="B708" s="231"/>
      <c r="I708" s="392"/>
      <c r="K708" s="231"/>
      <c r="X708" s="1"/>
      <c r="Y708" s="1"/>
      <c r="Z708" s="1"/>
      <c r="AA708" s="1"/>
      <c r="AB708" s="392"/>
      <c r="AD708" s="231"/>
      <c r="AM708" s="231"/>
      <c r="AW708" s="1"/>
      <c r="AX708" s="1"/>
      <c r="AY708" s="1"/>
      <c r="AZ708" s="392"/>
      <c r="BB708" s="231"/>
    </row>
    <row r="709" spans="2:54" x14ac:dyDescent="0.25">
      <c r="B709" s="231"/>
      <c r="I709" s="392"/>
      <c r="K709" s="231"/>
      <c r="X709" s="1"/>
      <c r="Y709" s="1"/>
      <c r="Z709" s="1"/>
      <c r="AA709" s="1"/>
      <c r="AB709" s="392"/>
      <c r="AD709" s="231"/>
      <c r="AM709" s="231"/>
      <c r="AW709" s="1"/>
      <c r="AX709" s="1"/>
      <c r="AY709" s="1"/>
      <c r="AZ709" s="392"/>
      <c r="BB709" s="231"/>
    </row>
    <row r="710" spans="2:54" x14ac:dyDescent="0.25">
      <c r="B710" s="231"/>
      <c r="I710" s="392"/>
      <c r="K710" s="231"/>
      <c r="X710" s="1"/>
      <c r="Y710" s="1"/>
      <c r="Z710" s="1"/>
      <c r="AA710" s="1"/>
      <c r="AB710" s="392"/>
      <c r="AD710" s="231"/>
      <c r="AM710" s="231"/>
      <c r="AW710" s="1"/>
      <c r="AX710" s="1"/>
      <c r="AY710" s="1"/>
      <c r="AZ710" s="392"/>
      <c r="BB710" s="231"/>
    </row>
    <row r="711" spans="2:54" x14ac:dyDescent="0.25">
      <c r="B711" s="231"/>
      <c r="I711" s="392"/>
      <c r="K711" s="231"/>
      <c r="X711" s="1"/>
      <c r="Y711" s="1"/>
      <c r="Z711" s="1"/>
      <c r="AA711" s="1"/>
      <c r="AB711" s="392"/>
      <c r="AD711" s="231"/>
      <c r="AM711" s="231"/>
      <c r="AW711" s="1"/>
      <c r="AX711" s="1"/>
      <c r="AY711" s="1"/>
      <c r="AZ711" s="392"/>
      <c r="BB711" s="231"/>
    </row>
    <row r="712" spans="2:54" x14ac:dyDescent="0.25">
      <c r="B712" s="231"/>
      <c r="I712" s="392"/>
      <c r="K712" s="231"/>
      <c r="X712" s="1"/>
      <c r="Y712" s="1"/>
      <c r="Z712" s="1"/>
      <c r="AA712" s="1"/>
      <c r="AB712" s="392"/>
      <c r="AD712" s="231"/>
      <c r="AM712" s="231"/>
      <c r="AW712" s="1"/>
      <c r="AX712" s="1"/>
      <c r="AY712" s="1"/>
      <c r="AZ712" s="392"/>
      <c r="BB712" s="231"/>
    </row>
    <row r="713" spans="2:54" x14ac:dyDescent="0.25">
      <c r="B713" s="231"/>
      <c r="I713" s="392"/>
      <c r="K713" s="231"/>
      <c r="X713" s="1"/>
      <c r="Y713" s="1"/>
      <c r="Z713" s="1"/>
      <c r="AA713" s="1"/>
      <c r="AB713" s="392"/>
      <c r="AD713" s="231"/>
      <c r="AM713" s="231"/>
      <c r="AW713" s="1"/>
      <c r="AX713" s="1"/>
      <c r="AY713" s="1"/>
      <c r="AZ713" s="392"/>
      <c r="BB713" s="231"/>
    </row>
    <row r="714" spans="2:54" x14ac:dyDescent="0.25">
      <c r="B714" s="231"/>
      <c r="I714" s="392"/>
      <c r="K714" s="231"/>
      <c r="X714" s="1"/>
      <c r="Y714" s="1"/>
      <c r="Z714" s="1"/>
      <c r="AA714" s="1"/>
      <c r="AB714" s="392"/>
      <c r="AD714" s="231"/>
      <c r="AM714" s="231"/>
      <c r="AW714" s="1"/>
      <c r="AX714" s="1"/>
      <c r="AY714" s="1"/>
      <c r="AZ714" s="392"/>
      <c r="BB714" s="231"/>
    </row>
    <row r="715" spans="2:54" x14ac:dyDescent="0.25">
      <c r="B715" s="231"/>
      <c r="I715" s="392"/>
      <c r="K715" s="231"/>
      <c r="X715" s="1"/>
      <c r="Y715" s="1"/>
      <c r="Z715" s="1"/>
      <c r="AA715" s="1"/>
      <c r="AB715" s="392"/>
      <c r="AD715" s="231"/>
      <c r="AM715" s="231"/>
      <c r="AW715" s="1"/>
      <c r="AX715" s="1"/>
      <c r="AY715" s="1"/>
      <c r="AZ715" s="392"/>
      <c r="BB715" s="231"/>
    </row>
    <row r="716" spans="2:54" x14ac:dyDescent="0.25">
      <c r="B716" s="231"/>
      <c r="I716" s="392"/>
      <c r="K716" s="231"/>
      <c r="X716" s="1"/>
      <c r="Y716" s="1"/>
      <c r="Z716" s="1"/>
      <c r="AA716" s="1"/>
      <c r="AB716" s="392"/>
      <c r="AD716" s="231"/>
      <c r="AM716" s="231"/>
      <c r="AW716" s="1"/>
      <c r="AX716" s="1"/>
      <c r="AY716" s="1"/>
      <c r="AZ716" s="392"/>
      <c r="BB716" s="231"/>
    </row>
    <row r="717" spans="2:54" x14ac:dyDescent="0.25">
      <c r="B717" s="231"/>
      <c r="I717" s="392"/>
      <c r="K717" s="231"/>
      <c r="X717" s="1"/>
      <c r="Y717" s="1"/>
      <c r="Z717" s="1"/>
      <c r="AA717" s="1"/>
      <c r="AB717" s="392"/>
      <c r="AD717" s="231"/>
      <c r="AM717" s="231"/>
      <c r="AW717" s="1"/>
      <c r="AX717" s="1"/>
      <c r="AY717" s="1"/>
      <c r="AZ717" s="392"/>
      <c r="BB717" s="231"/>
    </row>
    <row r="718" spans="2:54" x14ac:dyDescent="0.25">
      <c r="B718" s="231"/>
      <c r="I718" s="392"/>
      <c r="K718" s="231"/>
      <c r="X718" s="1"/>
      <c r="Y718" s="1"/>
      <c r="Z718" s="1"/>
      <c r="AA718" s="1"/>
      <c r="AB718" s="392"/>
      <c r="AD718" s="231"/>
      <c r="AM718" s="231"/>
      <c r="AW718" s="1"/>
      <c r="AX718" s="1"/>
      <c r="AY718" s="1"/>
      <c r="AZ718" s="392"/>
      <c r="BB718" s="231"/>
    </row>
    <row r="719" spans="2:54" x14ac:dyDescent="0.25">
      <c r="B719" s="231"/>
      <c r="I719" s="392"/>
      <c r="K719" s="231"/>
      <c r="X719" s="1"/>
      <c r="Y719" s="1"/>
      <c r="Z719" s="1"/>
      <c r="AA719" s="1"/>
      <c r="AB719" s="392"/>
      <c r="AD719" s="231"/>
      <c r="AM719" s="231"/>
      <c r="AW719" s="1"/>
      <c r="AX719" s="1"/>
      <c r="AY719" s="1"/>
      <c r="AZ719" s="392"/>
      <c r="BB719" s="231"/>
    </row>
    <row r="720" spans="2:54" x14ac:dyDescent="0.25">
      <c r="B720" s="231"/>
      <c r="I720" s="392"/>
      <c r="K720" s="231"/>
      <c r="X720" s="1"/>
      <c r="Y720" s="1"/>
      <c r="Z720" s="1"/>
      <c r="AA720" s="1"/>
      <c r="AB720" s="392"/>
      <c r="AD720" s="231"/>
      <c r="AM720" s="231"/>
      <c r="AW720" s="1"/>
      <c r="AX720" s="1"/>
      <c r="AY720" s="1"/>
      <c r="AZ720" s="392"/>
      <c r="BB720" s="231"/>
    </row>
    <row r="721" spans="2:54" x14ac:dyDescent="0.25">
      <c r="B721" s="231"/>
      <c r="I721" s="392"/>
      <c r="K721" s="231"/>
      <c r="X721" s="1"/>
      <c r="Y721" s="1"/>
      <c r="Z721" s="1"/>
      <c r="AA721" s="1"/>
      <c r="AB721" s="392"/>
      <c r="AD721" s="231"/>
      <c r="AM721" s="231"/>
      <c r="AW721" s="1"/>
      <c r="AX721" s="1"/>
      <c r="AY721" s="1"/>
      <c r="AZ721" s="392"/>
      <c r="BB721" s="231"/>
    </row>
    <row r="722" spans="2:54" x14ac:dyDescent="0.25">
      <c r="B722" s="231"/>
      <c r="I722" s="392"/>
      <c r="K722" s="231"/>
      <c r="X722" s="1"/>
      <c r="Y722" s="1"/>
      <c r="Z722" s="1"/>
      <c r="AA722" s="1"/>
      <c r="AB722" s="392"/>
      <c r="AD722" s="231"/>
      <c r="AM722" s="231"/>
      <c r="AW722" s="1"/>
      <c r="AX722" s="1"/>
      <c r="AY722" s="1"/>
      <c r="AZ722" s="392"/>
      <c r="BB722" s="231"/>
    </row>
    <row r="723" spans="2:54" x14ac:dyDescent="0.25">
      <c r="B723" s="231"/>
      <c r="I723" s="392"/>
      <c r="K723" s="231"/>
      <c r="X723" s="1"/>
      <c r="Y723" s="1"/>
      <c r="Z723" s="1"/>
      <c r="AA723" s="1"/>
      <c r="AB723" s="392"/>
      <c r="AD723" s="231"/>
      <c r="AM723" s="231"/>
      <c r="AW723" s="1"/>
      <c r="AX723" s="1"/>
      <c r="AY723" s="1"/>
      <c r="AZ723" s="392"/>
      <c r="BB723" s="231"/>
    </row>
    <row r="724" spans="2:54" x14ac:dyDescent="0.25">
      <c r="B724" s="231"/>
      <c r="I724" s="392"/>
      <c r="K724" s="231"/>
      <c r="X724" s="1"/>
      <c r="Y724" s="1"/>
      <c r="Z724" s="1"/>
      <c r="AA724" s="1"/>
      <c r="AB724" s="392"/>
      <c r="AD724" s="231"/>
      <c r="AM724" s="231"/>
      <c r="AW724" s="1"/>
      <c r="AX724" s="1"/>
      <c r="AY724" s="1"/>
      <c r="AZ724" s="392"/>
      <c r="BB724" s="231"/>
    </row>
    <row r="725" spans="2:54" x14ac:dyDescent="0.25">
      <c r="B725" s="231"/>
      <c r="I725" s="392"/>
      <c r="K725" s="231"/>
      <c r="X725" s="1"/>
      <c r="Y725" s="1"/>
      <c r="Z725" s="1"/>
      <c r="AA725" s="1"/>
      <c r="AB725" s="392"/>
      <c r="AD725" s="231"/>
      <c r="AM725" s="231"/>
      <c r="AW725" s="1"/>
      <c r="AX725" s="1"/>
      <c r="AY725" s="1"/>
      <c r="AZ725" s="392"/>
      <c r="BB725" s="231"/>
    </row>
    <row r="726" spans="2:54" x14ac:dyDescent="0.25">
      <c r="B726" s="231"/>
      <c r="I726" s="392"/>
      <c r="K726" s="231"/>
      <c r="X726" s="1"/>
      <c r="Y726" s="1"/>
      <c r="Z726" s="1"/>
      <c r="AA726" s="1"/>
      <c r="AB726" s="392"/>
      <c r="AD726" s="231"/>
      <c r="AM726" s="231"/>
      <c r="AW726" s="1"/>
      <c r="AX726" s="1"/>
      <c r="AY726" s="1"/>
      <c r="AZ726" s="392"/>
      <c r="BB726" s="231"/>
    </row>
    <row r="727" spans="2:54" x14ac:dyDescent="0.25">
      <c r="B727" s="231"/>
      <c r="I727" s="392"/>
      <c r="K727" s="231"/>
      <c r="X727" s="1"/>
      <c r="Y727" s="1"/>
      <c r="Z727" s="1"/>
      <c r="AA727" s="1"/>
      <c r="AB727" s="392"/>
      <c r="AD727" s="231"/>
      <c r="AM727" s="231"/>
      <c r="AW727" s="1"/>
      <c r="AX727" s="1"/>
      <c r="AY727" s="1"/>
      <c r="AZ727" s="392"/>
      <c r="BB727" s="231"/>
    </row>
    <row r="728" spans="2:54" x14ac:dyDescent="0.25">
      <c r="B728" s="231"/>
      <c r="I728" s="392"/>
      <c r="K728" s="231"/>
      <c r="X728" s="1"/>
      <c r="Y728" s="1"/>
      <c r="Z728" s="1"/>
      <c r="AA728" s="1"/>
      <c r="AB728" s="392"/>
      <c r="AD728" s="231"/>
      <c r="AM728" s="231"/>
      <c r="AW728" s="1"/>
      <c r="AX728" s="1"/>
      <c r="AY728" s="1"/>
      <c r="AZ728" s="392"/>
      <c r="BB728" s="231"/>
    </row>
    <row r="729" spans="2:54" x14ac:dyDescent="0.25">
      <c r="B729" s="231"/>
      <c r="I729" s="392"/>
      <c r="K729" s="231"/>
      <c r="X729" s="1"/>
      <c r="Y729" s="1"/>
      <c r="Z729" s="1"/>
      <c r="AA729" s="1"/>
      <c r="AB729" s="392"/>
      <c r="AD729" s="231"/>
      <c r="AM729" s="231"/>
      <c r="AW729" s="1"/>
      <c r="AX729" s="1"/>
      <c r="AY729" s="1"/>
      <c r="AZ729" s="392"/>
      <c r="BB729" s="231"/>
    </row>
    <row r="730" spans="2:54" x14ac:dyDescent="0.25">
      <c r="B730" s="231"/>
      <c r="I730" s="392"/>
      <c r="K730" s="231"/>
      <c r="X730" s="1"/>
      <c r="Y730" s="1"/>
      <c r="Z730" s="1"/>
      <c r="AA730" s="1"/>
      <c r="AB730" s="392"/>
      <c r="AD730" s="231"/>
      <c r="AM730" s="231"/>
      <c r="AW730" s="1"/>
      <c r="AX730" s="1"/>
      <c r="AY730" s="1"/>
      <c r="AZ730" s="392"/>
      <c r="BB730" s="231"/>
    </row>
    <row r="731" spans="2:54" x14ac:dyDescent="0.25">
      <c r="B731" s="231"/>
      <c r="I731" s="392"/>
      <c r="K731" s="231"/>
      <c r="X731" s="1"/>
      <c r="Y731" s="1"/>
      <c r="Z731" s="1"/>
      <c r="AA731" s="1"/>
      <c r="AB731" s="392"/>
      <c r="AD731" s="231"/>
      <c r="AM731" s="231"/>
      <c r="AW731" s="1"/>
      <c r="AX731" s="1"/>
      <c r="AY731" s="1"/>
      <c r="AZ731" s="392"/>
      <c r="BB731" s="231"/>
    </row>
    <row r="732" spans="2:54" x14ac:dyDescent="0.25">
      <c r="B732" s="231"/>
      <c r="I732" s="392"/>
      <c r="K732" s="231"/>
      <c r="X732" s="1"/>
      <c r="Y732" s="1"/>
      <c r="Z732" s="1"/>
      <c r="AA732" s="1"/>
      <c r="AB732" s="392"/>
      <c r="AD732" s="231"/>
      <c r="AM732" s="231"/>
      <c r="AW732" s="1"/>
      <c r="AX732" s="1"/>
      <c r="AY732" s="1"/>
      <c r="AZ732" s="392"/>
      <c r="BB732" s="231"/>
    </row>
    <row r="733" spans="2:54" x14ac:dyDescent="0.25">
      <c r="B733" s="231"/>
      <c r="I733" s="392"/>
      <c r="K733" s="231"/>
      <c r="X733" s="1"/>
      <c r="Y733" s="1"/>
      <c r="Z733" s="1"/>
      <c r="AA733" s="1"/>
      <c r="AB733" s="392"/>
      <c r="AD733" s="231"/>
      <c r="AM733" s="231"/>
      <c r="AW733" s="1"/>
      <c r="AX733" s="1"/>
      <c r="AY733" s="1"/>
      <c r="AZ733" s="392"/>
      <c r="BB733" s="231"/>
    </row>
    <row r="734" spans="2:54" x14ac:dyDescent="0.25">
      <c r="B734" s="231"/>
      <c r="I734" s="392"/>
      <c r="K734" s="231"/>
      <c r="X734" s="1"/>
      <c r="Y734" s="1"/>
      <c r="Z734" s="1"/>
      <c r="AA734" s="1"/>
      <c r="AB734" s="392"/>
      <c r="AD734" s="231"/>
      <c r="AM734" s="231"/>
      <c r="AW734" s="1"/>
      <c r="AX734" s="1"/>
      <c r="AY734" s="1"/>
      <c r="AZ734" s="392"/>
      <c r="BB734" s="231"/>
    </row>
    <row r="735" spans="2:54" x14ac:dyDescent="0.25">
      <c r="B735" s="231"/>
      <c r="I735" s="392"/>
      <c r="K735" s="231"/>
      <c r="X735" s="1"/>
      <c r="Y735" s="1"/>
      <c r="Z735" s="1"/>
      <c r="AA735" s="1"/>
      <c r="AB735" s="392"/>
      <c r="AD735" s="231"/>
      <c r="AM735" s="231"/>
      <c r="AW735" s="1"/>
      <c r="AX735" s="1"/>
      <c r="AY735" s="1"/>
      <c r="AZ735" s="392"/>
      <c r="BB735" s="231"/>
    </row>
    <row r="736" spans="2:54" x14ac:dyDescent="0.25">
      <c r="B736" s="231"/>
      <c r="I736" s="392"/>
      <c r="K736" s="231"/>
      <c r="X736" s="1"/>
      <c r="Y736" s="1"/>
      <c r="Z736" s="1"/>
      <c r="AA736" s="1"/>
      <c r="AB736" s="392"/>
      <c r="AD736" s="231"/>
      <c r="AM736" s="231"/>
      <c r="AW736" s="1"/>
      <c r="AX736" s="1"/>
      <c r="AY736" s="1"/>
      <c r="AZ736" s="392"/>
      <c r="BB736" s="231"/>
    </row>
    <row r="737" spans="2:54" x14ac:dyDescent="0.25">
      <c r="B737" s="231"/>
      <c r="I737" s="392"/>
      <c r="K737" s="231"/>
      <c r="X737" s="1"/>
      <c r="Y737" s="1"/>
      <c r="Z737" s="1"/>
      <c r="AA737" s="1"/>
      <c r="AB737" s="392"/>
      <c r="AD737" s="231"/>
      <c r="AM737" s="231"/>
      <c r="AW737" s="1"/>
      <c r="AX737" s="1"/>
      <c r="AY737" s="1"/>
      <c r="AZ737" s="392"/>
      <c r="BB737" s="231"/>
    </row>
    <row r="738" spans="2:54" x14ac:dyDescent="0.25">
      <c r="B738" s="231"/>
      <c r="I738" s="392"/>
      <c r="K738" s="231"/>
      <c r="X738" s="1"/>
      <c r="Y738" s="1"/>
      <c r="Z738" s="1"/>
      <c r="AA738" s="1"/>
      <c r="AB738" s="392"/>
      <c r="AD738" s="231"/>
      <c r="AM738" s="231"/>
      <c r="AW738" s="1"/>
      <c r="AX738" s="1"/>
      <c r="AY738" s="1"/>
      <c r="AZ738" s="392"/>
      <c r="BB738" s="231"/>
    </row>
    <row r="739" spans="2:54" x14ac:dyDescent="0.25">
      <c r="B739" s="231"/>
      <c r="I739" s="392"/>
      <c r="K739" s="231"/>
      <c r="X739" s="1"/>
      <c r="Y739" s="1"/>
      <c r="Z739" s="1"/>
      <c r="AA739" s="1"/>
      <c r="AB739" s="392"/>
      <c r="AD739" s="231"/>
      <c r="AM739" s="231"/>
      <c r="AW739" s="1"/>
      <c r="AX739" s="1"/>
      <c r="AY739" s="1"/>
      <c r="AZ739" s="392"/>
      <c r="BB739" s="231"/>
    </row>
    <row r="740" spans="2:54" x14ac:dyDescent="0.25">
      <c r="B740" s="231"/>
      <c r="I740" s="392"/>
      <c r="K740" s="231"/>
      <c r="X740" s="1"/>
      <c r="Y740" s="1"/>
      <c r="Z740" s="1"/>
      <c r="AA740" s="1"/>
      <c r="AB740" s="392"/>
      <c r="AD740" s="231"/>
      <c r="AM740" s="231"/>
      <c r="AW740" s="1"/>
      <c r="AX740" s="1"/>
      <c r="AY740" s="1"/>
      <c r="AZ740" s="392"/>
      <c r="BB740" s="231"/>
    </row>
    <row r="741" spans="2:54" x14ac:dyDescent="0.25">
      <c r="B741" s="231"/>
      <c r="I741" s="392"/>
      <c r="K741" s="231"/>
      <c r="X741" s="1"/>
      <c r="Y741" s="1"/>
      <c r="Z741" s="1"/>
      <c r="AA741" s="1"/>
      <c r="AB741" s="392"/>
      <c r="AD741" s="231"/>
      <c r="AM741" s="231"/>
      <c r="AW741" s="1"/>
      <c r="AX741" s="1"/>
      <c r="AY741" s="1"/>
      <c r="AZ741" s="392"/>
      <c r="BB741" s="231"/>
    </row>
    <row r="742" spans="2:54" x14ac:dyDescent="0.25">
      <c r="B742" s="231"/>
      <c r="I742" s="392"/>
      <c r="K742" s="231"/>
      <c r="X742" s="1"/>
      <c r="Y742" s="1"/>
      <c r="Z742" s="1"/>
      <c r="AA742" s="1"/>
      <c r="AB742" s="392"/>
      <c r="AD742" s="231"/>
      <c r="AM742" s="231"/>
      <c r="AW742" s="1"/>
      <c r="AX742" s="1"/>
      <c r="AY742" s="1"/>
      <c r="AZ742" s="392"/>
      <c r="BB742" s="231"/>
    </row>
    <row r="743" spans="2:54" x14ac:dyDescent="0.25">
      <c r="B743" s="231"/>
      <c r="I743" s="392"/>
      <c r="K743" s="231"/>
      <c r="X743" s="1"/>
      <c r="Y743" s="1"/>
      <c r="Z743" s="1"/>
      <c r="AA743" s="1"/>
      <c r="AB743" s="392"/>
      <c r="AD743" s="231"/>
      <c r="AM743" s="231"/>
      <c r="AW743" s="1"/>
      <c r="AX743" s="1"/>
      <c r="AY743" s="1"/>
      <c r="AZ743" s="392"/>
      <c r="BB743" s="231"/>
    </row>
    <row r="744" spans="2:54" x14ac:dyDescent="0.25">
      <c r="B744" s="231"/>
      <c r="I744" s="392"/>
      <c r="K744" s="231"/>
      <c r="X744" s="1"/>
      <c r="Y744" s="1"/>
      <c r="Z744" s="1"/>
      <c r="AA744" s="1"/>
      <c r="AB744" s="392"/>
      <c r="AD744" s="231"/>
      <c r="AM744" s="231"/>
      <c r="AW744" s="1"/>
      <c r="AX744" s="1"/>
      <c r="AY744" s="1"/>
      <c r="AZ744" s="392"/>
      <c r="BB744" s="231"/>
    </row>
    <row r="745" spans="2:54" x14ac:dyDescent="0.25">
      <c r="B745" s="231"/>
      <c r="I745" s="392"/>
      <c r="K745" s="231"/>
      <c r="X745" s="1"/>
      <c r="Y745" s="1"/>
      <c r="Z745" s="1"/>
      <c r="AA745" s="1"/>
      <c r="AB745" s="392"/>
      <c r="AD745" s="231"/>
      <c r="AM745" s="231"/>
      <c r="AW745" s="1"/>
      <c r="AX745" s="1"/>
      <c r="AY745" s="1"/>
      <c r="AZ745" s="392"/>
      <c r="BB745" s="231"/>
    </row>
    <row r="746" spans="2:54" x14ac:dyDescent="0.25">
      <c r="B746" s="231"/>
      <c r="I746" s="392"/>
      <c r="K746" s="231"/>
      <c r="X746" s="1"/>
      <c r="Y746" s="1"/>
      <c r="Z746" s="1"/>
      <c r="AA746" s="1"/>
      <c r="AB746" s="392"/>
      <c r="AD746" s="231"/>
      <c r="AM746" s="231"/>
      <c r="AW746" s="1"/>
      <c r="AX746" s="1"/>
      <c r="AY746" s="1"/>
      <c r="AZ746" s="392"/>
      <c r="BB746" s="231"/>
    </row>
    <row r="747" spans="2:54" x14ac:dyDescent="0.25">
      <c r="B747" s="231"/>
      <c r="I747" s="392"/>
      <c r="K747" s="231"/>
      <c r="X747" s="1"/>
      <c r="Y747" s="1"/>
      <c r="Z747" s="1"/>
      <c r="AA747" s="1"/>
      <c r="AB747" s="392"/>
      <c r="AD747" s="231"/>
      <c r="AM747" s="231"/>
      <c r="AW747" s="1"/>
      <c r="AX747" s="1"/>
      <c r="AY747" s="1"/>
      <c r="AZ747" s="392"/>
      <c r="BB747" s="231"/>
    </row>
    <row r="748" spans="2:54" x14ac:dyDescent="0.25">
      <c r="B748" s="231"/>
      <c r="I748" s="392"/>
      <c r="K748" s="231"/>
      <c r="X748" s="1"/>
      <c r="Y748" s="1"/>
      <c r="Z748" s="1"/>
      <c r="AA748" s="1"/>
      <c r="AB748" s="392"/>
      <c r="AD748" s="231"/>
      <c r="AM748" s="231"/>
      <c r="AW748" s="1"/>
      <c r="AX748" s="1"/>
      <c r="AY748" s="1"/>
      <c r="AZ748" s="392"/>
      <c r="BB748" s="231"/>
    </row>
    <row r="749" spans="2:54" x14ac:dyDescent="0.25">
      <c r="B749" s="231"/>
      <c r="I749" s="392"/>
      <c r="K749" s="231"/>
      <c r="X749" s="1"/>
      <c r="Y749" s="1"/>
      <c r="Z749" s="1"/>
      <c r="AA749" s="1"/>
      <c r="AB749" s="392"/>
      <c r="AD749" s="231"/>
      <c r="AM749" s="231"/>
      <c r="AW749" s="1"/>
      <c r="AX749" s="1"/>
      <c r="AY749" s="1"/>
      <c r="AZ749" s="392"/>
      <c r="BB749" s="231"/>
    </row>
    <row r="750" spans="2:54" x14ac:dyDescent="0.25">
      <c r="B750" s="231"/>
      <c r="I750" s="392"/>
      <c r="K750" s="231"/>
      <c r="X750" s="1"/>
      <c r="Y750" s="1"/>
      <c r="Z750" s="1"/>
      <c r="AA750" s="1"/>
      <c r="AB750" s="392"/>
      <c r="AD750" s="231"/>
      <c r="AM750" s="231"/>
      <c r="AW750" s="1"/>
      <c r="AX750" s="1"/>
      <c r="AY750" s="1"/>
      <c r="AZ750" s="392"/>
      <c r="BB750" s="231"/>
    </row>
    <row r="751" spans="2:54" x14ac:dyDescent="0.25">
      <c r="B751" s="231"/>
      <c r="I751" s="392"/>
      <c r="K751" s="231"/>
      <c r="X751" s="1"/>
      <c r="Y751" s="1"/>
      <c r="Z751" s="1"/>
      <c r="AA751" s="1"/>
      <c r="AB751" s="392"/>
      <c r="AD751" s="231"/>
      <c r="AM751" s="231"/>
      <c r="AW751" s="1"/>
      <c r="AX751" s="1"/>
      <c r="AY751" s="1"/>
      <c r="AZ751" s="392"/>
      <c r="BB751" s="231"/>
    </row>
    <row r="752" spans="2:54" x14ac:dyDescent="0.25">
      <c r="B752" s="231"/>
      <c r="I752" s="392"/>
      <c r="K752" s="231"/>
      <c r="X752" s="1"/>
      <c r="Y752" s="1"/>
      <c r="Z752" s="1"/>
      <c r="AA752" s="1"/>
      <c r="AB752" s="392"/>
      <c r="AD752" s="231"/>
      <c r="AM752" s="231"/>
      <c r="AW752" s="1"/>
      <c r="AX752" s="1"/>
      <c r="AY752" s="1"/>
      <c r="AZ752" s="392"/>
      <c r="BB752" s="231"/>
    </row>
    <row r="753" spans="2:54" x14ac:dyDescent="0.25">
      <c r="B753" s="231"/>
      <c r="I753" s="392"/>
      <c r="K753" s="231"/>
      <c r="X753" s="1"/>
      <c r="Y753" s="1"/>
      <c r="Z753" s="1"/>
      <c r="AA753" s="1"/>
      <c r="AB753" s="392"/>
      <c r="AD753" s="231"/>
      <c r="AM753" s="231"/>
      <c r="AW753" s="1"/>
      <c r="AX753" s="1"/>
      <c r="AY753" s="1"/>
      <c r="AZ753" s="392"/>
      <c r="BB753" s="231"/>
    </row>
    <row r="754" spans="2:54" x14ac:dyDescent="0.25">
      <c r="B754" s="231"/>
      <c r="I754" s="392"/>
      <c r="K754" s="231"/>
      <c r="X754" s="1"/>
      <c r="Y754" s="1"/>
      <c r="Z754" s="1"/>
      <c r="AA754" s="1"/>
      <c r="AB754" s="392"/>
      <c r="AD754" s="231"/>
      <c r="AM754" s="231"/>
      <c r="AW754" s="1"/>
      <c r="AX754" s="1"/>
      <c r="AY754" s="1"/>
      <c r="AZ754" s="392"/>
      <c r="BB754" s="231"/>
    </row>
    <row r="755" spans="2:54" x14ac:dyDescent="0.25">
      <c r="B755" s="231"/>
      <c r="I755" s="392"/>
      <c r="K755" s="231"/>
      <c r="X755" s="1"/>
      <c r="Y755" s="1"/>
      <c r="Z755" s="1"/>
      <c r="AA755" s="1"/>
      <c r="AB755" s="392"/>
      <c r="AD755" s="231"/>
      <c r="AM755" s="231"/>
      <c r="AW755" s="1"/>
      <c r="AX755" s="1"/>
      <c r="AY755" s="1"/>
      <c r="AZ755" s="392"/>
      <c r="BB755" s="231"/>
    </row>
    <row r="756" spans="2:54" x14ac:dyDescent="0.25">
      <c r="B756" s="231"/>
      <c r="I756" s="392"/>
      <c r="K756" s="231"/>
      <c r="X756" s="1"/>
      <c r="Y756" s="1"/>
      <c r="Z756" s="1"/>
      <c r="AA756" s="1"/>
      <c r="AB756" s="392"/>
      <c r="AD756" s="231"/>
      <c r="AM756" s="231"/>
      <c r="AW756" s="1"/>
      <c r="AX756" s="1"/>
      <c r="AY756" s="1"/>
      <c r="AZ756" s="392"/>
      <c r="BB756" s="231"/>
    </row>
    <row r="757" spans="2:54" x14ac:dyDescent="0.25">
      <c r="B757" s="231"/>
      <c r="I757" s="392"/>
      <c r="K757" s="231"/>
      <c r="X757" s="1"/>
      <c r="Y757" s="1"/>
      <c r="Z757" s="1"/>
      <c r="AA757" s="1"/>
      <c r="AB757" s="392"/>
      <c r="AD757" s="231"/>
      <c r="AM757" s="231"/>
      <c r="AW757" s="1"/>
      <c r="AX757" s="1"/>
      <c r="AY757" s="1"/>
      <c r="AZ757" s="392"/>
      <c r="BB757" s="231"/>
    </row>
    <row r="758" spans="2:54" x14ac:dyDescent="0.25">
      <c r="B758" s="231"/>
      <c r="I758" s="392"/>
      <c r="K758" s="231"/>
      <c r="X758" s="1"/>
      <c r="Y758" s="1"/>
      <c r="Z758" s="1"/>
      <c r="AA758" s="1"/>
      <c r="AB758" s="392"/>
      <c r="AD758" s="231"/>
      <c r="AM758" s="231"/>
      <c r="AW758" s="1"/>
      <c r="AX758" s="1"/>
      <c r="AY758" s="1"/>
      <c r="AZ758" s="392"/>
      <c r="BB758" s="231"/>
    </row>
    <row r="759" spans="2:54" x14ac:dyDescent="0.25">
      <c r="B759" s="231"/>
      <c r="I759" s="392"/>
      <c r="K759" s="231"/>
      <c r="X759" s="1"/>
      <c r="Y759" s="1"/>
      <c r="Z759" s="1"/>
      <c r="AA759" s="1"/>
      <c r="AB759" s="392"/>
      <c r="AD759" s="231"/>
      <c r="AM759" s="231"/>
      <c r="AW759" s="1"/>
      <c r="AX759" s="1"/>
      <c r="AY759" s="1"/>
      <c r="AZ759" s="392"/>
      <c r="BB759" s="231"/>
    </row>
    <row r="760" spans="2:54" x14ac:dyDescent="0.25">
      <c r="B760" s="231"/>
      <c r="I760" s="392"/>
      <c r="K760" s="231"/>
      <c r="X760" s="1"/>
      <c r="Y760" s="1"/>
      <c r="Z760" s="1"/>
      <c r="AA760" s="1"/>
      <c r="AB760" s="392"/>
      <c r="AD760" s="231"/>
      <c r="AM760" s="231"/>
      <c r="AW760" s="1"/>
      <c r="AX760" s="1"/>
      <c r="AY760" s="1"/>
      <c r="AZ760" s="392"/>
      <c r="BB760" s="231"/>
    </row>
    <row r="761" spans="2:54" x14ac:dyDescent="0.25">
      <c r="B761" s="231"/>
      <c r="I761" s="392"/>
      <c r="K761" s="231"/>
      <c r="X761" s="1"/>
      <c r="Y761" s="1"/>
      <c r="Z761" s="1"/>
      <c r="AA761" s="1"/>
      <c r="AB761" s="392"/>
      <c r="AD761" s="231"/>
      <c r="AM761" s="231"/>
      <c r="AW761" s="1"/>
      <c r="AX761" s="1"/>
      <c r="AY761" s="1"/>
      <c r="AZ761" s="392"/>
      <c r="BB761" s="231"/>
    </row>
    <row r="762" spans="2:54" x14ac:dyDescent="0.25">
      <c r="B762" s="231"/>
      <c r="I762" s="392"/>
      <c r="K762" s="231"/>
      <c r="X762" s="1"/>
      <c r="Y762" s="1"/>
      <c r="Z762" s="1"/>
      <c r="AA762" s="1"/>
      <c r="AB762" s="392"/>
      <c r="AD762" s="231"/>
      <c r="AM762" s="231"/>
      <c r="AW762" s="1"/>
      <c r="AX762" s="1"/>
      <c r="AY762" s="1"/>
      <c r="AZ762" s="392"/>
      <c r="BB762" s="231"/>
    </row>
    <row r="763" spans="2:54" x14ac:dyDescent="0.25">
      <c r="B763" s="231"/>
      <c r="I763" s="392"/>
      <c r="K763" s="231"/>
      <c r="X763" s="1"/>
      <c r="Y763" s="1"/>
      <c r="Z763" s="1"/>
      <c r="AA763" s="1"/>
      <c r="AB763" s="392"/>
      <c r="AD763" s="231"/>
      <c r="AM763" s="231"/>
      <c r="AW763" s="1"/>
      <c r="AX763" s="1"/>
      <c r="AY763" s="1"/>
      <c r="AZ763" s="392"/>
      <c r="BB763" s="231"/>
    </row>
    <row r="764" spans="2:54" x14ac:dyDescent="0.25">
      <c r="B764" s="231"/>
      <c r="I764" s="392"/>
      <c r="K764" s="231"/>
      <c r="X764" s="1"/>
      <c r="Y764" s="1"/>
      <c r="Z764" s="1"/>
      <c r="AA764" s="1"/>
      <c r="AB764" s="392"/>
      <c r="AD764" s="231"/>
      <c r="AM764" s="231"/>
      <c r="AW764" s="1"/>
      <c r="AX764" s="1"/>
      <c r="AY764" s="1"/>
      <c r="AZ764" s="392"/>
      <c r="BB764" s="231"/>
    </row>
    <row r="765" spans="2:54" x14ac:dyDescent="0.25">
      <c r="B765" s="231"/>
      <c r="I765" s="392"/>
      <c r="K765" s="231"/>
      <c r="X765" s="1"/>
      <c r="Y765" s="1"/>
      <c r="Z765" s="1"/>
      <c r="AA765" s="1"/>
      <c r="AB765" s="392"/>
      <c r="AD765" s="231"/>
      <c r="AM765" s="231"/>
      <c r="AW765" s="1"/>
      <c r="AX765" s="1"/>
      <c r="AY765" s="1"/>
      <c r="AZ765" s="392"/>
      <c r="BB765" s="231"/>
    </row>
    <row r="766" spans="2:54" x14ac:dyDescent="0.25">
      <c r="B766" s="231"/>
      <c r="I766" s="392"/>
      <c r="K766" s="231"/>
      <c r="X766" s="1"/>
      <c r="Y766" s="1"/>
      <c r="Z766" s="1"/>
      <c r="AA766" s="1"/>
      <c r="AB766" s="392"/>
      <c r="AD766" s="231"/>
      <c r="AM766" s="231"/>
      <c r="AW766" s="1"/>
      <c r="AX766" s="1"/>
      <c r="AY766" s="1"/>
      <c r="AZ766" s="392"/>
      <c r="BB766" s="231"/>
    </row>
    <row r="767" spans="2:54" x14ac:dyDescent="0.25">
      <c r="B767" s="231"/>
      <c r="I767" s="392"/>
      <c r="K767" s="231"/>
      <c r="X767" s="1"/>
      <c r="Y767" s="1"/>
      <c r="Z767" s="1"/>
      <c r="AA767" s="1"/>
      <c r="AB767" s="392"/>
      <c r="AD767" s="231"/>
      <c r="AM767" s="231"/>
      <c r="AW767" s="1"/>
      <c r="AX767" s="1"/>
      <c r="AY767" s="1"/>
      <c r="AZ767" s="392"/>
      <c r="BB767" s="231"/>
    </row>
    <row r="768" spans="2:54" x14ac:dyDescent="0.25">
      <c r="B768" s="231"/>
      <c r="I768" s="392"/>
      <c r="K768" s="231"/>
      <c r="X768" s="1"/>
      <c r="Y768" s="1"/>
      <c r="Z768" s="1"/>
      <c r="AA768" s="1"/>
      <c r="AB768" s="392"/>
      <c r="AD768" s="231"/>
      <c r="AM768" s="231"/>
      <c r="AW768" s="1"/>
      <c r="AX768" s="1"/>
      <c r="AY768" s="1"/>
      <c r="AZ768" s="392"/>
      <c r="BB768" s="231"/>
    </row>
    <row r="769" spans="2:54" x14ac:dyDescent="0.25">
      <c r="B769" s="231"/>
      <c r="I769" s="392"/>
      <c r="K769" s="231"/>
      <c r="X769" s="1"/>
      <c r="Y769" s="1"/>
      <c r="Z769" s="1"/>
      <c r="AA769" s="1"/>
      <c r="AB769" s="392"/>
      <c r="AD769" s="231"/>
      <c r="AM769" s="231"/>
      <c r="AW769" s="1"/>
      <c r="AX769" s="1"/>
      <c r="AY769" s="1"/>
      <c r="AZ769" s="392"/>
      <c r="BB769" s="231"/>
    </row>
    <row r="770" spans="2:54" x14ac:dyDescent="0.25">
      <c r="B770" s="231"/>
      <c r="I770" s="392"/>
      <c r="K770" s="231"/>
      <c r="X770" s="1"/>
      <c r="Y770" s="1"/>
      <c r="Z770" s="1"/>
      <c r="AA770" s="1"/>
      <c r="AB770" s="392"/>
      <c r="AD770" s="231"/>
      <c r="AM770" s="231"/>
      <c r="AW770" s="1"/>
      <c r="AX770" s="1"/>
      <c r="AY770" s="1"/>
      <c r="AZ770" s="392"/>
      <c r="BB770" s="231"/>
    </row>
    <row r="771" spans="2:54" x14ac:dyDescent="0.25">
      <c r="B771" s="231"/>
      <c r="I771" s="392"/>
      <c r="K771" s="231"/>
      <c r="X771" s="1"/>
      <c r="Y771" s="1"/>
      <c r="Z771" s="1"/>
      <c r="AA771" s="1"/>
      <c r="AB771" s="392"/>
      <c r="AD771" s="231"/>
      <c r="AM771" s="231"/>
      <c r="AW771" s="1"/>
      <c r="AX771" s="1"/>
      <c r="AY771" s="1"/>
      <c r="AZ771" s="392"/>
      <c r="BB771" s="231"/>
    </row>
    <row r="772" spans="2:54" x14ac:dyDescent="0.25">
      <c r="B772" s="231"/>
      <c r="I772" s="392"/>
      <c r="K772" s="231"/>
      <c r="X772" s="1"/>
      <c r="Y772" s="1"/>
      <c r="Z772" s="1"/>
      <c r="AA772" s="1"/>
      <c r="AB772" s="392"/>
      <c r="AD772" s="231"/>
      <c r="AM772" s="231"/>
      <c r="AW772" s="1"/>
      <c r="AX772" s="1"/>
      <c r="AY772" s="1"/>
      <c r="AZ772" s="392"/>
      <c r="BB772" s="231"/>
    </row>
    <row r="773" spans="2:54" x14ac:dyDescent="0.25">
      <c r="B773" s="231"/>
      <c r="I773" s="392"/>
      <c r="K773" s="231"/>
      <c r="X773" s="1"/>
      <c r="Y773" s="1"/>
      <c r="Z773" s="1"/>
      <c r="AA773" s="1"/>
      <c r="AB773" s="392"/>
      <c r="AD773" s="231"/>
      <c r="AM773" s="231"/>
      <c r="AW773" s="1"/>
      <c r="AX773" s="1"/>
      <c r="AY773" s="1"/>
      <c r="AZ773" s="392"/>
      <c r="BB773" s="231"/>
    </row>
    <row r="774" spans="2:54" x14ac:dyDescent="0.25">
      <c r="B774" s="231"/>
      <c r="I774" s="392"/>
      <c r="K774" s="231"/>
      <c r="X774" s="1"/>
      <c r="Y774" s="1"/>
      <c r="Z774" s="1"/>
      <c r="AA774" s="1"/>
      <c r="AB774" s="392"/>
      <c r="AD774" s="231"/>
      <c r="AM774" s="231"/>
      <c r="AW774" s="1"/>
      <c r="AX774" s="1"/>
      <c r="AY774" s="1"/>
      <c r="AZ774" s="392"/>
      <c r="BB774" s="231"/>
    </row>
    <row r="775" spans="2:54" x14ac:dyDescent="0.25">
      <c r="B775" s="231"/>
      <c r="I775" s="392"/>
      <c r="K775" s="231"/>
      <c r="X775" s="1"/>
      <c r="Y775" s="1"/>
      <c r="Z775" s="1"/>
      <c r="AA775" s="1"/>
      <c r="AB775" s="392"/>
      <c r="AD775" s="231"/>
      <c r="AM775" s="231"/>
      <c r="AW775" s="1"/>
      <c r="AX775" s="1"/>
      <c r="AY775" s="1"/>
      <c r="AZ775" s="392"/>
      <c r="BB775" s="231"/>
    </row>
    <row r="776" spans="2:54" x14ac:dyDescent="0.25">
      <c r="B776" s="231"/>
      <c r="I776" s="392"/>
      <c r="K776" s="231"/>
      <c r="X776" s="1"/>
      <c r="Y776" s="1"/>
      <c r="Z776" s="1"/>
      <c r="AA776" s="1"/>
      <c r="AB776" s="392"/>
      <c r="AD776" s="231"/>
      <c r="AM776" s="231"/>
      <c r="AW776" s="1"/>
      <c r="AX776" s="1"/>
      <c r="AY776" s="1"/>
      <c r="AZ776" s="392"/>
      <c r="BB776" s="231"/>
    </row>
    <row r="777" spans="2:54" x14ac:dyDescent="0.25">
      <c r="B777" s="231"/>
      <c r="I777" s="392"/>
      <c r="K777" s="231"/>
      <c r="X777" s="1"/>
      <c r="Y777" s="1"/>
      <c r="Z777" s="1"/>
      <c r="AA777" s="1"/>
      <c r="AB777" s="392"/>
      <c r="AD777" s="231"/>
      <c r="AM777" s="231"/>
      <c r="AW777" s="1"/>
      <c r="AX777" s="1"/>
      <c r="AY777" s="1"/>
      <c r="AZ777" s="392"/>
      <c r="BB777" s="231"/>
    </row>
    <row r="778" spans="2:54" x14ac:dyDescent="0.25">
      <c r="B778" s="231"/>
      <c r="I778" s="392"/>
      <c r="K778" s="231"/>
      <c r="X778" s="1"/>
      <c r="Y778" s="1"/>
      <c r="Z778" s="1"/>
      <c r="AA778" s="1"/>
      <c r="AB778" s="392"/>
      <c r="AD778" s="231"/>
      <c r="AM778" s="231"/>
      <c r="AW778" s="1"/>
      <c r="AX778" s="1"/>
      <c r="AY778" s="1"/>
      <c r="AZ778" s="392"/>
      <c r="BB778" s="231"/>
    </row>
    <row r="779" spans="2:54" x14ac:dyDescent="0.25">
      <c r="B779" s="231"/>
      <c r="I779" s="392"/>
      <c r="K779" s="231"/>
      <c r="X779" s="1"/>
      <c r="Y779" s="1"/>
      <c r="Z779" s="1"/>
      <c r="AA779" s="1"/>
      <c r="AB779" s="392"/>
      <c r="AD779" s="231"/>
      <c r="AM779" s="231"/>
      <c r="AW779" s="1"/>
      <c r="AX779" s="1"/>
      <c r="AY779" s="1"/>
      <c r="AZ779" s="392"/>
      <c r="BB779" s="231"/>
    </row>
    <row r="780" spans="2:54" x14ac:dyDescent="0.25">
      <c r="B780" s="231"/>
      <c r="I780" s="392"/>
      <c r="K780" s="231"/>
      <c r="X780" s="1"/>
      <c r="Y780" s="1"/>
      <c r="Z780" s="1"/>
      <c r="AA780" s="1"/>
      <c r="AB780" s="392"/>
      <c r="AD780" s="231"/>
      <c r="AM780" s="231"/>
      <c r="AW780" s="1"/>
      <c r="AX780" s="1"/>
      <c r="AY780" s="1"/>
      <c r="AZ780" s="392"/>
      <c r="BB780" s="231"/>
    </row>
    <row r="781" spans="2:54" x14ac:dyDescent="0.25">
      <c r="B781" s="231"/>
      <c r="I781" s="392"/>
      <c r="K781" s="231"/>
      <c r="X781" s="1"/>
      <c r="Y781" s="1"/>
      <c r="Z781" s="1"/>
      <c r="AA781" s="1"/>
      <c r="AB781" s="392"/>
      <c r="AD781" s="231"/>
      <c r="AM781" s="231"/>
      <c r="AW781" s="1"/>
      <c r="AX781" s="1"/>
      <c r="AY781" s="1"/>
      <c r="AZ781" s="392"/>
      <c r="BB781" s="231"/>
    </row>
    <row r="782" spans="2:54" x14ac:dyDescent="0.25">
      <c r="B782" s="231"/>
      <c r="I782" s="392"/>
      <c r="K782" s="231"/>
      <c r="X782" s="1"/>
      <c r="Y782" s="1"/>
      <c r="Z782" s="1"/>
      <c r="AA782" s="1"/>
      <c r="AB782" s="392"/>
      <c r="AD782" s="231"/>
      <c r="AM782" s="231"/>
      <c r="AW782" s="1"/>
      <c r="AX782" s="1"/>
      <c r="AY782" s="1"/>
      <c r="AZ782" s="392"/>
      <c r="BB782" s="231"/>
    </row>
    <row r="783" spans="2:54" x14ac:dyDescent="0.25">
      <c r="B783" s="231"/>
      <c r="I783" s="392"/>
      <c r="K783" s="231"/>
      <c r="X783" s="1"/>
      <c r="Y783" s="1"/>
      <c r="Z783" s="1"/>
      <c r="AA783" s="1"/>
      <c r="AB783" s="392"/>
      <c r="AD783" s="231"/>
      <c r="AM783" s="231"/>
      <c r="AW783" s="1"/>
      <c r="AX783" s="1"/>
      <c r="AY783" s="1"/>
      <c r="AZ783" s="392"/>
      <c r="BB783" s="231"/>
    </row>
    <row r="784" spans="2:54" x14ac:dyDescent="0.25">
      <c r="B784" s="231"/>
      <c r="I784" s="392"/>
      <c r="K784" s="231"/>
      <c r="X784" s="1"/>
      <c r="Y784" s="1"/>
      <c r="Z784" s="1"/>
      <c r="AA784" s="1"/>
      <c r="AB784" s="392"/>
      <c r="AD784" s="231"/>
      <c r="AM784" s="231"/>
      <c r="AW784" s="1"/>
      <c r="AX784" s="1"/>
      <c r="AY784" s="1"/>
      <c r="AZ784" s="392"/>
      <c r="BB784" s="231"/>
    </row>
    <row r="785" spans="2:54" x14ac:dyDescent="0.25">
      <c r="B785" s="231"/>
      <c r="I785" s="392"/>
      <c r="K785" s="231"/>
      <c r="X785" s="1"/>
      <c r="Y785" s="1"/>
      <c r="Z785" s="1"/>
      <c r="AA785" s="1"/>
      <c r="AB785" s="392"/>
      <c r="AD785" s="231"/>
      <c r="AM785" s="231"/>
      <c r="AW785" s="1"/>
      <c r="AX785" s="1"/>
      <c r="AY785" s="1"/>
      <c r="AZ785" s="392"/>
      <c r="BB785" s="231"/>
    </row>
    <row r="786" spans="2:54" x14ac:dyDescent="0.25">
      <c r="B786" s="231"/>
      <c r="I786" s="392"/>
      <c r="K786" s="231"/>
      <c r="X786" s="1"/>
      <c r="Y786" s="1"/>
      <c r="Z786" s="1"/>
      <c r="AA786" s="1"/>
      <c r="AB786" s="392"/>
      <c r="AD786" s="231"/>
      <c r="AM786" s="231"/>
      <c r="AW786" s="1"/>
      <c r="AX786" s="1"/>
      <c r="AY786" s="1"/>
      <c r="AZ786" s="392"/>
      <c r="BB786" s="231"/>
    </row>
    <row r="787" spans="2:54" x14ac:dyDescent="0.25">
      <c r="B787" s="231"/>
      <c r="I787" s="392"/>
      <c r="K787" s="231"/>
      <c r="X787" s="1"/>
      <c r="Y787" s="1"/>
      <c r="Z787" s="1"/>
      <c r="AA787" s="1"/>
      <c r="AB787" s="392"/>
      <c r="AD787" s="231"/>
      <c r="AM787" s="231"/>
      <c r="AW787" s="1"/>
      <c r="AX787" s="1"/>
      <c r="AY787" s="1"/>
      <c r="AZ787" s="392"/>
      <c r="BB787" s="231"/>
    </row>
    <row r="788" spans="2:54" x14ac:dyDescent="0.25">
      <c r="B788" s="231"/>
      <c r="I788" s="392"/>
      <c r="K788" s="231"/>
      <c r="X788" s="1"/>
      <c r="Y788" s="1"/>
      <c r="Z788" s="1"/>
      <c r="AA788" s="1"/>
      <c r="AB788" s="392"/>
      <c r="AD788" s="231"/>
      <c r="AM788" s="231"/>
      <c r="AW788" s="1"/>
      <c r="AX788" s="1"/>
      <c r="AY788" s="1"/>
      <c r="AZ788" s="392"/>
      <c r="BB788" s="231"/>
    </row>
    <row r="789" spans="2:54" x14ac:dyDescent="0.25">
      <c r="B789" s="231"/>
      <c r="I789" s="392"/>
      <c r="K789" s="231"/>
      <c r="X789" s="1"/>
      <c r="Y789" s="1"/>
      <c r="Z789" s="1"/>
      <c r="AA789" s="1"/>
      <c r="AB789" s="392"/>
      <c r="AD789" s="231"/>
      <c r="AM789" s="231"/>
      <c r="AW789" s="1"/>
      <c r="AX789" s="1"/>
      <c r="AY789" s="1"/>
      <c r="AZ789" s="392"/>
      <c r="BB789" s="231"/>
    </row>
    <row r="790" spans="2:54" x14ac:dyDescent="0.25">
      <c r="B790" s="231"/>
      <c r="I790" s="392"/>
      <c r="K790" s="231"/>
      <c r="X790" s="1"/>
      <c r="Y790" s="1"/>
      <c r="Z790" s="1"/>
      <c r="AA790" s="1"/>
      <c r="AB790" s="392"/>
      <c r="AD790" s="231"/>
      <c r="AM790" s="231"/>
      <c r="AW790" s="1"/>
      <c r="AX790" s="1"/>
      <c r="AY790" s="1"/>
      <c r="AZ790" s="392"/>
      <c r="BB790" s="231"/>
    </row>
    <row r="791" spans="2:54" x14ac:dyDescent="0.25">
      <c r="B791" s="231"/>
      <c r="I791" s="392"/>
      <c r="K791" s="231"/>
      <c r="X791" s="1"/>
      <c r="Y791" s="1"/>
      <c r="Z791" s="1"/>
      <c r="AA791" s="1"/>
      <c r="AB791" s="392"/>
      <c r="AD791" s="231"/>
      <c r="AM791" s="231"/>
      <c r="AW791" s="1"/>
      <c r="AX791" s="1"/>
      <c r="AY791" s="1"/>
      <c r="AZ791" s="392"/>
      <c r="BB791" s="231"/>
    </row>
    <row r="792" spans="2:54" x14ac:dyDescent="0.25">
      <c r="B792" s="231"/>
      <c r="I792" s="392"/>
      <c r="K792" s="231"/>
      <c r="X792" s="1"/>
      <c r="Y792" s="1"/>
      <c r="Z792" s="1"/>
      <c r="AA792" s="1"/>
      <c r="AB792" s="392"/>
      <c r="AD792" s="231"/>
      <c r="AM792" s="231"/>
      <c r="AW792" s="1"/>
      <c r="AX792" s="1"/>
      <c r="AY792" s="1"/>
      <c r="AZ792" s="392"/>
      <c r="BB792" s="231"/>
    </row>
    <row r="793" spans="2:54" x14ac:dyDescent="0.25">
      <c r="B793" s="231"/>
      <c r="I793" s="392"/>
      <c r="K793" s="231"/>
      <c r="X793" s="1"/>
      <c r="Y793" s="1"/>
      <c r="Z793" s="1"/>
      <c r="AA793" s="1"/>
      <c r="AB793" s="392"/>
      <c r="AD793" s="231"/>
      <c r="AM793" s="231"/>
      <c r="AW793" s="1"/>
      <c r="AX793" s="1"/>
      <c r="AY793" s="1"/>
      <c r="AZ793" s="392"/>
      <c r="BB793" s="231"/>
    </row>
    <row r="794" spans="2:54" x14ac:dyDescent="0.25">
      <c r="B794" s="231"/>
      <c r="I794" s="392"/>
      <c r="K794" s="231"/>
      <c r="X794" s="1"/>
      <c r="Y794" s="1"/>
      <c r="Z794" s="1"/>
      <c r="AA794" s="1"/>
      <c r="AB794" s="392"/>
      <c r="AD794" s="231"/>
      <c r="AM794" s="231"/>
      <c r="AW794" s="1"/>
      <c r="AX794" s="1"/>
      <c r="AY794" s="1"/>
      <c r="AZ794" s="392"/>
      <c r="BB794" s="231"/>
    </row>
    <row r="795" spans="2:54" x14ac:dyDescent="0.25">
      <c r="B795" s="231"/>
      <c r="I795" s="392"/>
      <c r="K795" s="231"/>
      <c r="X795" s="1"/>
      <c r="Y795" s="1"/>
      <c r="Z795" s="1"/>
      <c r="AA795" s="1"/>
      <c r="AB795" s="392"/>
      <c r="AD795" s="231"/>
      <c r="AM795" s="231"/>
      <c r="AW795" s="1"/>
      <c r="AX795" s="1"/>
      <c r="AY795" s="1"/>
      <c r="AZ795" s="392"/>
      <c r="BB795" s="231"/>
    </row>
    <row r="796" spans="2:54" x14ac:dyDescent="0.25">
      <c r="B796" s="231"/>
      <c r="I796" s="392"/>
      <c r="K796" s="231"/>
      <c r="X796" s="1"/>
      <c r="Y796" s="1"/>
      <c r="Z796" s="1"/>
      <c r="AA796" s="1"/>
      <c r="AB796" s="392"/>
      <c r="AD796" s="231"/>
      <c r="AM796" s="231"/>
      <c r="AW796" s="1"/>
      <c r="AX796" s="1"/>
      <c r="AY796" s="1"/>
      <c r="AZ796" s="392"/>
      <c r="BB796" s="231"/>
    </row>
    <row r="797" spans="2:54" x14ac:dyDescent="0.25">
      <c r="B797" s="231"/>
      <c r="I797" s="392"/>
      <c r="K797" s="231"/>
      <c r="X797" s="1"/>
      <c r="Y797" s="1"/>
      <c r="Z797" s="1"/>
      <c r="AA797" s="1"/>
      <c r="AB797" s="392"/>
      <c r="AD797" s="231"/>
      <c r="AM797" s="231"/>
      <c r="AW797" s="1"/>
      <c r="AX797" s="1"/>
      <c r="AY797" s="1"/>
      <c r="AZ797" s="392"/>
      <c r="BB797" s="231"/>
    </row>
    <row r="798" spans="2:54" x14ac:dyDescent="0.25">
      <c r="B798" s="231"/>
      <c r="I798" s="392"/>
      <c r="K798" s="231"/>
      <c r="X798" s="1"/>
      <c r="Y798" s="1"/>
      <c r="Z798" s="1"/>
      <c r="AA798" s="1"/>
      <c r="AB798" s="392"/>
      <c r="AD798" s="231"/>
      <c r="AM798" s="231"/>
      <c r="AW798" s="1"/>
      <c r="AX798" s="1"/>
      <c r="AY798" s="1"/>
      <c r="AZ798" s="392"/>
      <c r="BB798" s="231"/>
    </row>
    <row r="799" spans="2:54" x14ac:dyDescent="0.25">
      <c r="B799" s="231"/>
      <c r="I799" s="392"/>
      <c r="K799" s="231"/>
      <c r="X799" s="1"/>
      <c r="Y799" s="1"/>
      <c r="Z799" s="1"/>
      <c r="AA799" s="1"/>
      <c r="AB799" s="392"/>
      <c r="AD799" s="231"/>
      <c r="AM799" s="231"/>
      <c r="AW799" s="1"/>
      <c r="AX799" s="1"/>
      <c r="AY799" s="1"/>
      <c r="AZ799" s="392"/>
      <c r="BB799" s="231"/>
    </row>
    <row r="800" spans="2:54" x14ac:dyDescent="0.25">
      <c r="B800" s="231"/>
      <c r="I800" s="392"/>
      <c r="K800" s="231"/>
      <c r="X800" s="1"/>
      <c r="Y800" s="1"/>
      <c r="Z800" s="1"/>
      <c r="AA800" s="1"/>
      <c r="AB800" s="392"/>
      <c r="AD800" s="231"/>
      <c r="AM800" s="231"/>
      <c r="AW800" s="1"/>
      <c r="AX800" s="1"/>
      <c r="AY800" s="1"/>
      <c r="AZ800" s="392"/>
      <c r="BB800" s="231"/>
    </row>
    <row r="801" spans="2:54" x14ac:dyDescent="0.25">
      <c r="B801" s="231"/>
      <c r="I801" s="392"/>
      <c r="K801" s="231"/>
      <c r="X801" s="1"/>
      <c r="Y801" s="1"/>
      <c r="Z801" s="1"/>
      <c r="AA801" s="1"/>
      <c r="AB801" s="392"/>
      <c r="AD801" s="231"/>
      <c r="AM801" s="231"/>
      <c r="AW801" s="1"/>
      <c r="AX801" s="1"/>
      <c r="AY801" s="1"/>
      <c r="AZ801" s="392"/>
      <c r="BB801" s="231"/>
    </row>
    <row r="802" spans="2:54" x14ac:dyDescent="0.25">
      <c r="B802" s="231"/>
      <c r="I802" s="392"/>
      <c r="K802" s="231"/>
      <c r="X802" s="1"/>
      <c r="Y802" s="1"/>
      <c r="Z802" s="1"/>
      <c r="AA802" s="1"/>
      <c r="AB802" s="392"/>
      <c r="AD802" s="231"/>
      <c r="AM802" s="231"/>
      <c r="AW802" s="1"/>
      <c r="AX802" s="1"/>
      <c r="AY802" s="1"/>
      <c r="AZ802" s="392"/>
      <c r="BB802" s="231"/>
    </row>
    <row r="803" spans="2:54" x14ac:dyDescent="0.25">
      <c r="B803" s="231"/>
      <c r="I803" s="392"/>
      <c r="K803" s="231"/>
      <c r="X803" s="1"/>
      <c r="Y803" s="1"/>
      <c r="Z803" s="1"/>
      <c r="AA803" s="1"/>
      <c r="AB803" s="392"/>
      <c r="AD803" s="231"/>
      <c r="AM803" s="231"/>
      <c r="AW803" s="1"/>
      <c r="AX803" s="1"/>
      <c r="AY803" s="1"/>
      <c r="AZ803" s="392"/>
      <c r="BB803" s="231"/>
    </row>
    <row r="804" spans="2:54" x14ac:dyDescent="0.25">
      <c r="B804" s="231"/>
      <c r="I804" s="392"/>
      <c r="K804" s="231"/>
      <c r="X804" s="1"/>
      <c r="Y804" s="1"/>
      <c r="Z804" s="1"/>
      <c r="AA804" s="1"/>
      <c r="AB804" s="392"/>
      <c r="AD804" s="231"/>
      <c r="AM804" s="231"/>
      <c r="AW804" s="1"/>
      <c r="AX804" s="1"/>
      <c r="AY804" s="1"/>
      <c r="AZ804" s="392"/>
      <c r="BB804" s="231"/>
    </row>
    <row r="805" spans="2:54" x14ac:dyDescent="0.25">
      <c r="B805" s="231"/>
      <c r="I805" s="392"/>
      <c r="K805" s="231"/>
      <c r="X805" s="1"/>
      <c r="Y805" s="1"/>
      <c r="Z805" s="1"/>
      <c r="AA805" s="1"/>
      <c r="AB805" s="392"/>
      <c r="AD805" s="231"/>
      <c r="AM805" s="231"/>
      <c r="AW805" s="1"/>
      <c r="AX805" s="1"/>
      <c r="AY805" s="1"/>
      <c r="AZ805" s="392"/>
      <c r="BB805" s="231"/>
    </row>
    <row r="806" spans="2:54" x14ac:dyDescent="0.25">
      <c r="B806" s="231"/>
      <c r="I806" s="392"/>
      <c r="K806" s="231"/>
      <c r="X806" s="1"/>
      <c r="Y806" s="1"/>
      <c r="Z806" s="1"/>
      <c r="AA806" s="1"/>
      <c r="AB806" s="392"/>
      <c r="AD806" s="231"/>
      <c r="AM806" s="231"/>
      <c r="AW806" s="1"/>
      <c r="AX806" s="1"/>
      <c r="AY806" s="1"/>
      <c r="AZ806" s="392"/>
      <c r="BB806" s="231"/>
    </row>
    <row r="807" spans="2:54" x14ac:dyDescent="0.25">
      <c r="B807" s="231"/>
      <c r="I807" s="392"/>
      <c r="K807" s="231"/>
      <c r="X807" s="1"/>
      <c r="Y807" s="1"/>
      <c r="Z807" s="1"/>
      <c r="AA807" s="1"/>
      <c r="AB807" s="392"/>
      <c r="AD807" s="231"/>
      <c r="AM807" s="231"/>
      <c r="AW807" s="1"/>
      <c r="AX807" s="1"/>
      <c r="AY807" s="1"/>
      <c r="AZ807" s="392"/>
      <c r="BB807" s="231"/>
    </row>
    <row r="808" spans="2:54" x14ac:dyDescent="0.25">
      <c r="B808" s="231"/>
      <c r="I808" s="392"/>
      <c r="K808" s="231"/>
      <c r="X808" s="1"/>
      <c r="Y808" s="1"/>
      <c r="Z808" s="1"/>
      <c r="AA808" s="1"/>
      <c r="AB808" s="392"/>
      <c r="AD808" s="231"/>
      <c r="AM808" s="231"/>
      <c r="AW808" s="1"/>
      <c r="AX808" s="1"/>
      <c r="AY808" s="1"/>
      <c r="AZ808" s="392"/>
      <c r="BB808" s="231"/>
    </row>
    <row r="809" spans="2:54" x14ac:dyDescent="0.25">
      <c r="B809" s="231"/>
      <c r="I809" s="392"/>
      <c r="K809" s="231"/>
      <c r="X809" s="1"/>
      <c r="Y809" s="1"/>
      <c r="Z809" s="1"/>
      <c r="AA809" s="1"/>
      <c r="AB809" s="392"/>
      <c r="AD809" s="231"/>
      <c r="AM809" s="231"/>
      <c r="AW809" s="1"/>
      <c r="AX809" s="1"/>
      <c r="AY809" s="1"/>
      <c r="AZ809" s="392"/>
      <c r="BB809" s="231"/>
    </row>
    <row r="810" spans="2:54" x14ac:dyDescent="0.25">
      <c r="B810" s="231"/>
      <c r="I810" s="392"/>
      <c r="K810" s="231"/>
      <c r="X810" s="1"/>
      <c r="Y810" s="1"/>
      <c r="Z810" s="1"/>
      <c r="AA810" s="1"/>
      <c r="AB810" s="392"/>
      <c r="AD810" s="231"/>
      <c r="AM810" s="231"/>
      <c r="AW810" s="1"/>
      <c r="AX810" s="1"/>
      <c r="AY810" s="1"/>
      <c r="AZ810" s="392"/>
      <c r="BB810" s="231"/>
    </row>
    <row r="811" spans="2:54" x14ac:dyDescent="0.25">
      <c r="B811" s="231"/>
      <c r="I811" s="392"/>
      <c r="K811" s="231"/>
      <c r="X811" s="1"/>
      <c r="Y811" s="1"/>
      <c r="Z811" s="1"/>
      <c r="AA811" s="1"/>
      <c r="AB811" s="392"/>
      <c r="AD811" s="231"/>
      <c r="AM811" s="231"/>
      <c r="AW811" s="1"/>
      <c r="AX811" s="1"/>
      <c r="AY811" s="1"/>
      <c r="AZ811" s="392"/>
      <c r="BB811" s="231"/>
    </row>
    <row r="812" spans="2:54" x14ac:dyDescent="0.25">
      <c r="B812" s="231"/>
      <c r="I812" s="392"/>
      <c r="K812" s="231"/>
      <c r="X812" s="1"/>
      <c r="Y812" s="1"/>
      <c r="Z812" s="1"/>
      <c r="AA812" s="1"/>
      <c r="AB812" s="392"/>
      <c r="AD812" s="231"/>
      <c r="AM812" s="231"/>
      <c r="AW812" s="1"/>
      <c r="AX812" s="1"/>
      <c r="AY812" s="1"/>
      <c r="AZ812" s="392"/>
      <c r="BB812" s="231"/>
    </row>
    <row r="813" spans="2:54" x14ac:dyDescent="0.25">
      <c r="B813" s="231"/>
      <c r="I813" s="392"/>
      <c r="K813" s="231"/>
      <c r="X813" s="1"/>
      <c r="Y813" s="1"/>
      <c r="Z813" s="1"/>
      <c r="AA813" s="1"/>
      <c r="AB813" s="392"/>
      <c r="AD813" s="231"/>
      <c r="AM813" s="231"/>
      <c r="AW813" s="1"/>
      <c r="AX813" s="1"/>
      <c r="AY813" s="1"/>
      <c r="AZ813" s="392"/>
      <c r="BB813" s="231"/>
    </row>
    <row r="814" spans="2:54" x14ac:dyDescent="0.25">
      <c r="B814" s="231"/>
      <c r="I814" s="392"/>
      <c r="K814" s="231"/>
      <c r="X814" s="1"/>
      <c r="Y814" s="1"/>
      <c r="Z814" s="1"/>
      <c r="AA814" s="1"/>
      <c r="AB814" s="392"/>
      <c r="AD814" s="231"/>
      <c r="AM814" s="231"/>
      <c r="AW814" s="1"/>
      <c r="AX814" s="1"/>
      <c r="AY814" s="1"/>
      <c r="AZ814" s="392"/>
      <c r="BB814" s="231"/>
    </row>
    <row r="815" spans="2:54" x14ac:dyDescent="0.25">
      <c r="B815" s="231"/>
      <c r="I815" s="392"/>
      <c r="K815" s="231"/>
      <c r="X815" s="1"/>
      <c r="Y815" s="1"/>
      <c r="Z815" s="1"/>
      <c r="AA815" s="1"/>
      <c r="AB815" s="392"/>
      <c r="AD815" s="231"/>
      <c r="AM815" s="231"/>
      <c r="AW815" s="1"/>
      <c r="AX815" s="1"/>
      <c r="AY815" s="1"/>
      <c r="AZ815" s="392"/>
      <c r="BB815" s="231"/>
    </row>
    <row r="816" spans="2:54" x14ac:dyDescent="0.25">
      <c r="B816" s="231"/>
      <c r="I816" s="392"/>
      <c r="K816" s="231"/>
      <c r="X816" s="1"/>
      <c r="Y816" s="1"/>
      <c r="Z816" s="1"/>
      <c r="AA816" s="1"/>
      <c r="AB816" s="392"/>
      <c r="AD816" s="231"/>
      <c r="AM816" s="231"/>
      <c r="AW816" s="1"/>
      <c r="AX816" s="1"/>
      <c r="AY816" s="1"/>
      <c r="AZ816" s="392"/>
      <c r="BB816" s="231"/>
    </row>
    <row r="817" spans="2:54" x14ac:dyDescent="0.25">
      <c r="B817" s="231"/>
      <c r="I817" s="392"/>
      <c r="K817" s="231"/>
      <c r="X817" s="1"/>
      <c r="Y817" s="1"/>
      <c r="Z817" s="1"/>
      <c r="AA817" s="1"/>
      <c r="AB817" s="392"/>
      <c r="AD817" s="231"/>
      <c r="AM817" s="231"/>
      <c r="AW817" s="1"/>
      <c r="AX817" s="1"/>
      <c r="AY817" s="1"/>
      <c r="AZ817" s="392"/>
      <c r="BB817" s="231"/>
    </row>
    <row r="818" spans="2:54" x14ac:dyDescent="0.25">
      <c r="B818" s="231"/>
      <c r="I818" s="392"/>
      <c r="K818" s="231"/>
      <c r="X818" s="1"/>
      <c r="Y818" s="1"/>
      <c r="Z818" s="1"/>
      <c r="AA818" s="1"/>
      <c r="AB818" s="392"/>
      <c r="AD818" s="231"/>
      <c r="AM818" s="231"/>
      <c r="AW818" s="1"/>
      <c r="AX818" s="1"/>
      <c r="AY818" s="1"/>
      <c r="AZ818" s="392"/>
      <c r="BB818" s="231"/>
    </row>
    <row r="819" spans="2:54" x14ac:dyDescent="0.25">
      <c r="B819" s="231"/>
      <c r="I819" s="392"/>
      <c r="K819" s="231"/>
      <c r="X819" s="1"/>
      <c r="Y819" s="1"/>
      <c r="Z819" s="1"/>
      <c r="AA819" s="1"/>
      <c r="AB819" s="392"/>
      <c r="AD819" s="231"/>
      <c r="AM819" s="231"/>
      <c r="AW819" s="1"/>
      <c r="AX819" s="1"/>
      <c r="AY819" s="1"/>
      <c r="AZ819" s="392"/>
      <c r="BB819" s="231"/>
    </row>
    <row r="820" spans="2:54" x14ac:dyDescent="0.25">
      <c r="B820" s="231"/>
      <c r="I820" s="392"/>
      <c r="K820" s="231"/>
      <c r="X820" s="1"/>
      <c r="Y820" s="1"/>
      <c r="Z820" s="1"/>
      <c r="AA820" s="1"/>
      <c r="AB820" s="392"/>
      <c r="AD820" s="231"/>
      <c r="AM820" s="231"/>
      <c r="AW820" s="1"/>
      <c r="AX820" s="1"/>
      <c r="AY820" s="1"/>
      <c r="AZ820" s="392"/>
      <c r="BB820" s="231"/>
    </row>
    <row r="821" spans="2:54" x14ac:dyDescent="0.25">
      <c r="B821" s="231"/>
      <c r="I821" s="392"/>
      <c r="K821" s="231"/>
      <c r="X821" s="1"/>
      <c r="Y821" s="1"/>
      <c r="Z821" s="1"/>
      <c r="AA821" s="1"/>
      <c r="AB821" s="392"/>
      <c r="AD821" s="231"/>
      <c r="AM821" s="231"/>
      <c r="AW821" s="1"/>
      <c r="AX821" s="1"/>
      <c r="AY821" s="1"/>
      <c r="AZ821" s="392"/>
      <c r="BB821" s="231"/>
    </row>
    <row r="822" spans="2:54" x14ac:dyDescent="0.25">
      <c r="B822" s="231"/>
      <c r="I822" s="392"/>
      <c r="K822" s="231"/>
      <c r="X822" s="1"/>
      <c r="Y822" s="1"/>
      <c r="Z822" s="1"/>
      <c r="AA822" s="1"/>
      <c r="AB822" s="392"/>
      <c r="AD822" s="231"/>
      <c r="AM822" s="231"/>
      <c r="AW822" s="1"/>
      <c r="AX822" s="1"/>
      <c r="AY822" s="1"/>
      <c r="AZ822" s="392"/>
      <c r="BB822" s="231"/>
    </row>
    <row r="823" spans="2:54" x14ac:dyDescent="0.25">
      <c r="B823" s="231"/>
      <c r="I823" s="392"/>
      <c r="K823" s="231"/>
      <c r="X823" s="1"/>
      <c r="Y823" s="1"/>
      <c r="Z823" s="1"/>
      <c r="AA823" s="1"/>
      <c r="AB823" s="392"/>
      <c r="AD823" s="231"/>
      <c r="AM823" s="231"/>
      <c r="AW823" s="1"/>
      <c r="AX823" s="1"/>
      <c r="AY823" s="1"/>
      <c r="AZ823" s="392"/>
      <c r="BB823" s="231"/>
    </row>
    <row r="824" spans="2:54" x14ac:dyDescent="0.25">
      <c r="B824" s="231"/>
      <c r="I824" s="392"/>
      <c r="K824" s="231"/>
      <c r="X824" s="1"/>
      <c r="Y824" s="1"/>
      <c r="Z824" s="1"/>
      <c r="AA824" s="1"/>
      <c r="AB824" s="392"/>
      <c r="AD824" s="231"/>
      <c r="AM824" s="231"/>
      <c r="AW824" s="1"/>
      <c r="AX824" s="1"/>
      <c r="AY824" s="1"/>
      <c r="AZ824" s="392"/>
      <c r="BB824" s="231"/>
    </row>
    <row r="825" spans="2:54" x14ac:dyDescent="0.25">
      <c r="B825" s="231"/>
      <c r="I825" s="392"/>
      <c r="K825" s="231"/>
      <c r="X825" s="1"/>
      <c r="Y825" s="1"/>
      <c r="Z825" s="1"/>
      <c r="AA825" s="1"/>
      <c r="AB825" s="392"/>
      <c r="AD825" s="231"/>
      <c r="AM825" s="231"/>
      <c r="AW825" s="1"/>
      <c r="AX825" s="1"/>
      <c r="AY825" s="1"/>
      <c r="AZ825" s="392"/>
      <c r="BB825" s="231"/>
    </row>
    <row r="826" spans="2:54" x14ac:dyDescent="0.25">
      <c r="B826" s="231"/>
      <c r="I826" s="392"/>
      <c r="K826" s="231"/>
      <c r="X826" s="1"/>
      <c r="Y826" s="1"/>
      <c r="Z826" s="1"/>
      <c r="AA826" s="1"/>
      <c r="AB826" s="392"/>
      <c r="AD826" s="231"/>
      <c r="AM826" s="231"/>
      <c r="AW826" s="1"/>
      <c r="AX826" s="1"/>
      <c r="AY826" s="1"/>
      <c r="AZ826" s="392"/>
      <c r="BB826" s="231"/>
    </row>
    <row r="827" spans="2:54" x14ac:dyDescent="0.25">
      <c r="B827" s="231"/>
      <c r="I827" s="392"/>
      <c r="K827" s="231"/>
      <c r="X827" s="1"/>
      <c r="Y827" s="1"/>
      <c r="Z827" s="1"/>
      <c r="AA827" s="1"/>
      <c r="AB827" s="392"/>
      <c r="AD827" s="231"/>
      <c r="AM827" s="231"/>
      <c r="AW827" s="1"/>
      <c r="AX827" s="1"/>
      <c r="AY827" s="1"/>
      <c r="AZ827" s="392"/>
      <c r="BB827" s="231"/>
    </row>
    <row r="828" spans="2:54" x14ac:dyDescent="0.25">
      <c r="B828" s="231"/>
      <c r="I828" s="392"/>
      <c r="K828" s="231"/>
      <c r="X828" s="1"/>
      <c r="Y828" s="1"/>
      <c r="Z828" s="1"/>
      <c r="AA828" s="1"/>
      <c r="AB828" s="392"/>
      <c r="AD828" s="231"/>
      <c r="AM828" s="231"/>
      <c r="AW828" s="1"/>
      <c r="AX828" s="1"/>
      <c r="AY828" s="1"/>
      <c r="AZ828" s="392"/>
      <c r="BB828" s="231"/>
    </row>
    <row r="829" spans="2:54" x14ac:dyDescent="0.25">
      <c r="B829" s="231"/>
      <c r="I829" s="392"/>
      <c r="K829" s="231"/>
      <c r="X829" s="1"/>
      <c r="Y829" s="1"/>
      <c r="Z829" s="1"/>
      <c r="AA829" s="1"/>
      <c r="AB829" s="392"/>
      <c r="AD829" s="231"/>
      <c r="AM829" s="231"/>
      <c r="AW829" s="1"/>
      <c r="AX829" s="1"/>
      <c r="AY829" s="1"/>
      <c r="AZ829" s="392"/>
      <c r="BB829" s="231"/>
    </row>
    <row r="830" spans="2:54" x14ac:dyDescent="0.25">
      <c r="B830" s="231"/>
      <c r="I830" s="392"/>
      <c r="K830" s="231"/>
      <c r="X830" s="1"/>
      <c r="Y830" s="1"/>
      <c r="Z830" s="1"/>
      <c r="AA830" s="1"/>
      <c r="AB830" s="392"/>
      <c r="AD830" s="231"/>
      <c r="AM830" s="231"/>
      <c r="AW830" s="1"/>
      <c r="AX830" s="1"/>
      <c r="AY830" s="1"/>
      <c r="AZ830" s="392"/>
      <c r="BB830" s="231"/>
    </row>
    <row r="831" spans="2:54" x14ac:dyDescent="0.25">
      <c r="B831" s="231"/>
      <c r="I831" s="392"/>
      <c r="K831" s="231"/>
      <c r="X831" s="1"/>
      <c r="Y831" s="1"/>
      <c r="Z831" s="1"/>
      <c r="AA831" s="1"/>
      <c r="AB831" s="392"/>
      <c r="AD831" s="231"/>
      <c r="AM831" s="231"/>
      <c r="AW831" s="1"/>
      <c r="AX831" s="1"/>
      <c r="AY831" s="1"/>
      <c r="AZ831" s="392"/>
      <c r="BB831" s="231"/>
    </row>
    <row r="832" spans="2:54" x14ac:dyDescent="0.25">
      <c r="B832" s="231"/>
      <c r="I832" s="392"/>
      <c r="K832" s="231"/>
      <c r="X832" s="1"/>
      <c r="Y832" s="1"/>
      <c r="Z832" s="1"/>
      <c r="AA832" s="1"/>
      <c r="AB832" s="392"/>
      <c r="AD832" s="231"/>
      <c r="AM832" s="231"/>
      <c r="AW832" s="1"/>
      <c r="AX832" s="1"/>
      <c r="AY832" s="1"/>
      <c r="AZ832" s="392"/>
      <c r="BB832" s="231"/>
    </row>
    <row r="833" spans="2:54" x14ac:dyDescent="0.25">
      <c r="B833" s="231"/>
      <c r="I833" s="392"/>
      <c r="K833" s="231"/>
      <c r="X833" s="1"/>
      <c r="Y833" s="1"/>
      <c r="Z833" s="1"/>
      <c r="AA833" s="1"/>
      <c r="AB833" s="392"/>
      <c r="AD833" s="231"/>
      <c r="AM833" s="231"/>
      <c r="AW833" s="1"/>
      <c r="AX833" s="1"/>
      <c r="AY833" s="1"/>
      <c r="AZ833" s="392"/>
      <c r="BB833" s="231"/>
    </row>
    <row r="834" spans="2:54" x14ac:dyDescent="0.25">
      <c r="B834" s="231"/>
      <c r="I834" s="392"/>
      <c r="K834" s="231"/>
      <c r="X834" s="1"/>
      <c r="Y834" s="1"/>
      <c r="Z834" s="1"/>
      <c r="AA834" s="1"/>
      <c r="AB834" s="392"/>
      <c r="AD834" s="231"/>
      <c r="AM834" s="231"/>
      <c r="AW834" s="1"/>
      <c r="AX834" s="1"/>
      <c r="AY834" s="1"/>
      <c r="AZ834" s="392"/>
      <c r="BB834" s="231"/>
    </row>
    <row r="835" spans="2:54" x14ac:dyDescent="0.25">
      <c r="B835" s="231"/>
      <c r="I835" s="392"/>
      <c r="K835" s="231"/>
      <c r="X835" s="1"/>
      <c r="Y835" s="1"/>
      <c r="Z835" s="1"/>
      <c r="AA835" s="1"/>
      <c r="AB835" s="392"/>
      <c r="AD835" s="231"/>
      <c r="AM835" s="231"/>
      <c r="AW835" s="1"/>
      <c r="AX835" s="1"/>
      <c r="AY835" s="1"/>
      <c r="AZ835" s="392"/>
      <c r="BB835" s="231"/>
    </row>
    <row r="836" spans="2:54" x14ac:dyDescent="0.25">
      <c r="B836" s="231"/>
      <c r="I836" s="392"/>
      <c r="K836" s="231"/>
      <c r="X836" s="1"/>
      <c r="Y836" s="1"/>
      <c r="Z836" s="1"/>
      <c r="AA836" s="1"/>
      <c r="AB836" s="392"/>
      <c r="AD836" s="231"/>
      <c r="AM836" s="231"/>
      <c r="AW836" s="1"/>
      <c r="AX836" s="1"/>
      <c r="AY836" s="1"/>
      <c r="AZ836" s="392"/>
      <c r="BB836" s="231"/>
    </row>
    <row r="837" spans="2:54" x14ac:dyDescent="0.25">
      <c r="B837" s="231"/>
      <c r="I837" s="392"/>
      <c r="K837" s="231"/>
      <c r="X837" s="1"/>
      <c r="Y837" s="1"/>
      <c r="Z837" s="1"/>
      <c r="AA837" s="1"/>
      <c r="AB837" s="392"/>
      <c r="AD837" s="231"/>
      <c r="AM837" s="231"/>
      <c r="AW837" s="1"/>
      <c r="AX837" s="1"/>
      <c r="AY837" s="1"/>
      <c r="AZ837" s="392"/>
      <c r="BB837" s="231"/>
    </row>
    <row r="838" spans="2:54" x14ac:dyDescent="0.25">
      <c r="B838" s="231"/>
      <c r="I838" s="392"/>
      <c r="K838" s="231"/>
      <c r="X838" s="1"/>
      <c r="Y838" s="1"/>
      <c r="Z838" s="1"/>
      <c r="AA838" s="1"/>
      <c r="AB838" s="392"/>
      <c r="AD838" s="231"/>
      <c r="AM838" s="231"/>
      <c r="AW838" s="1"/>
      <c r="AX838" s="1"/>
      <c r="AY838" s="1"/>
      <c r="AZ838" s="392"/>
      <c r="BB838" s="231"/>
    </row>
    <row r="839" spans="2:54" x14ac:dyDescent="0.25">
      <c r="B839" s="231"/>
      <c r="I839" s="392"/>
      <c r="K839" s="231"/>
      <c r="X839" s="1"/>
      <c r="Y839" s="1"/>
      <c r="Z839" s="1"/>
      <c r="AA839" s="1"/>
      <c r="AB839" s="392"/>
      <c r="AD839" s="231"/>
      <c r="AM839" s="231"/>
      <c r="AW839" s="1"/>
      <c r="AX839" s="1"/>
      <c r="AY839" s="1"/>
      <c r="AZ839" s="392"/>
      <c r="BB839" s="231"/>
    </row>
    <row r="840" spans="2:54" x14ac:dyDescent="0.25">
      <c r="B840" s="231"/>
      <c r="I840" s="392"/>
      <c r="K840" s="231"/>
      <c r="X840" s="1"/>
      <c r="Y840" s="1"/>
      <c r="Z840" s="1"/>
      <c r="AA840" s="1"/>
      <c r="AB840" s="392"/>
      <c r="AD840" s="231"/>
      <c r="AM840" s="231"/>
      <c r="AW840" s="1"/>
      <c r="AX840" s="1"/>
      <c r="AY840" s="1"/>
      <c r="AZ840" s="392"/>
      <c r="BB840" s="231"/>
    </row>
    <row r="841" spans="2:54" x14ac:dyDescent="0.25">
      <c r="B841" s="231"/>
      <c r="I841" s="392"/>
      <c r="K841" s="231"/>
      <c r="X841" s="1"/>
      <c r="Y841" s="1"/>
      <c r="Z841" s="1"/>
      <c r="AA841" s="1"/>
      <c r="AB841" s="392"/>
      <c r="AD841" s="231"/>
      <c r="AM841" s="231"/>
      <c r="AW841" s="1"/>
      <c r="AX841" s="1"/>
      <c r="AY841" s="1"/>
      <c r="AZ841" s="392"/>
      <c r="BB841" s="231"/>
    </row>
    <row r="842" spans="2:54" x14ac:dyDescent="0.25">
      <c r="B842" s="231"/>
      <c r="I842" s="392"/>
      <c r="K842" s="231"/>
      <c r="X842" s="1"/>
      <c r="Y842" s="1"/>
      <c r="Z842" s="1"/>
      <c r="AA842" s="1"/>
      <c r="AB842" s="392"/>
      <c r="AD842" s="231"/>
      <c r="AM842" s="231"/>
      <c r="AW842" s="1"/>
      <c r="AX842" s="1"/>
      <c r="AY842" s="1"/>
      <c r="AZ842" s="392"/>
      <c r="BB842" s="231"/>
    </row>
    <row r="843" spans="2:54" x14ac:dyDescent="0.25">
      <c r="B843" s="231"/>
      <c r="I843" s="392"/>
      <c r="K843" s="231"/>
      <c r="X843" s="1"/>
      <c r="Y843" s="1"/>
      <c r="Z843" s="1"/>
      <c r="AA843" s="1"/>
      <c r="AB843" s="392"/>
      <c r="AD843" s="231"/>
      <c r="AM843" s="231"/>
      <c r="AW843" s="1"/>
      <c r="AX843" s="1"/>
      <c r="AY843" s="1"/>
      <c r="AZ843" s="392"/>
      <c r="BB843" s="231"/>
    </row>
    <row r="844" spans="2:54" x14ac:dyDescent="0.25">
      <c r="B844" s="231"/>
      <c r="I844" s="392"/>
      <c r="K844" s="231"/>
      <c r="X844" s="1"/>
      <c r="Y844" s="1"/>
      <c r="Z844" s="1"/>
      <c r="AA844" s="1"/>
      <c r="AB844" s="392"/>
      <c r="AD844" s="231"/>
      <c r="AM844" s="231"/>
      <c r="AW844" s="1"/>
      <c r="AX844" s="1"/>
      <c r="AY844" s="1"/>
      <c r="AZ844" s="392"/>
      <c r="BB844" s="231"/>
    </row>
    <row r="845" spans="2:54" x14ac:dyDescent="0.25">
      <c r="B845" s="231"/>
      <c r="I845" s="392"/>
      <c r="K845" s="231"/>
      <c r="X845" s="1"/>
      <c r="Y845" s="1"/>
      <c r="Z845" s="1"/>
      <c r="AA845" s="1"/>
      <c r="AB845" s="392"/>
      <c r="AD845" s="231"/>
      <c r="AM845" s="231"/>
      <c r="AW845" s="1"/>
      <c r="AX845" s="1"/>
      <c r="AY845" s="1"/>
      <c r="AZ845" s="392"/>
      <c r="BB845" s="231"/>
    </row>
    <row r="846" spans="2:54" x14ac:dyDescent="0.25">
      <c r="B846" s="231"/>
      <c r="I846" s="392"/>
      <c r="K846" s="231"/>
      <c r="X846" s="1"/>
      <c r="Y846" s="1"/>
      <c r="Z846" s="1"/>
      <c r="AA846" s="1"/>
      <c r="AB846" s="392"/>
      <c r="AD846" s="231"/>
      <c r="AM846" s="231"/>
      <c r="AW846" s="1"/>
      <c r="AX846" s="1"/>
      <c r="AY846" s="1"/>
      <c r="AZ846" s="392"/>
      <c r="BB846" s="231"/>
    </row>
    <row r="847" spans="2:54" x14ac:dyDescent="0.25">
      <c r="B847" s="231"/>
      <c r="I847" s="392"/>
      <c r="K847" s="231"/>
      <c r="X847" s="1"/>
      <c r="Y847" s="1"/>
      <c r="Z847" s="1"/>
      <c r="AA847" s="1"/>
      <c r="AB847" s="392"/>
      <c r="AD847" s="231"/>
      <c r="AM847" s="231"/>
      <c r="AW847" s="1"/>
      <c r="AX847" s="1"/>
      <c r="AY847" s="1"/>
      <c r="AZ847" s="392"/>
      <c r="BB847" s="231"/>
    </row>
    <row r="848" spans="2:54" x14ac:dyDescent="0.25">
      <c r="B848" s="231"/>
      <c r="I848" s="392"/>
      <c r="K848" s="231"/>
      <c r="X848" s="1"/>
      <c r="Y848" s="1"/>
      <c r="Z848" s="1"/>
      <c r="AA848" s="1"/>
      <c r="AB848" s="392"/>
      <c r="AD848" s="231"/>
      <c r="AM848" s="231"/>
      <c r="AW848" s="1"/>
      <c r="AX848" s="1"/>
      <c r="AY848" s="1"/>
      <c r="AZ848" s="392"/>
      <c r="BB848" s="231"/>
    </row>
    <row r="849" spans="2:54" x14ac:dyDescent="0.25">
      <c r="B849" s="231"/>
      <c r="I849" s="392"/>
      <c r="K849" s="231"/>
      <c r="X849" s="1"/>
      <c r="Y849" s="1"/>
      <c r="Z849" s="1"/>
      <c r="AA849" s="1"/>
      <c r="AB849" s="392"/>
      <c r="AD849" s="231"/>
      <c r="AM849" s="231"/>
      <c r="AW849" s="1"/>
      <c r="AX849" s="1"/>
      <c r="AY849" s="1"/>
      <c r="AZ849" s="392"/>
      <c r="BB849" s="231"/>
    </row>
    <row r="850" spans="2:54" x14ac:dyDescent="0.25">
      <c r="B850" s="231"/>
      <c r="I850" s="392"/>
      <c r="K850" s="231"/>
      <c r="X850" s="1"/>
      <c r="Y850" s="1"/>
      <c r="Z850" s="1"/>
      <c r="AA850" s="1"/>
      <c r="AB850" s="392"/>
      <c r="AD850" s="231"/>
      <c r="AM850" s="231"/>
      <c r="AW850" s="1"/>
      <c r="AX850" s="1"/>
      <c r="AY850" s="1"/>
      <c r="AZ850" s="392"/>
      <c r="BB850" s="231"/>
    </row>
    <row r="851" spans="2:54" x14ac:dyDescent="0.25">
      <c r="B851" s="231"/>
      <c r="I851" s="392"/>
      <c r="K851" s="231"/>
      <c r="X851" s="1"/>
      <c r="Y851" s="1"/>
      <c r="Z851" s="1"/>
      <c r="AA851" s="1"/>
      <c r="AB851" s="392"/>
      <c r="AD851" s="231"/>
      <c r="AM851" s="231"/>
      <c r="AW851" s="1"/>
      <c r="AX851" s="1"/>
      <c r="AY851" s="1"/>
      <c r="AZ851" s="392"/>
      <c r="BB851" s="231"/>
    </row>
    <row r="852" spans="2:54" x14ac:dyDescent="0.25">
      <c r="B852" s="231"/>
      <c r="I852" s="392"/>
      <c r="K852" s="231"/>
      <c r="X852" s="1"/>
      <c r="Y852" s="1"/>
      <c r="Z852" s="1"/>
      <c r="AA852" s="1"/>
      <c r="AB852" s="392"/>
      <c r="AD852" s="231"/>
      <c r="AM852" s="231"/>
      <c r="AW852" s="1"/>
      <c r="AX852" s="1"/>
      <c r="AY852" s="1"/>
      <c r="AZ852" s="392"/>
      <c r="BB852" s="231"/>
    </row>
    <row r="853" spans="2:54" x14ac:dyDescent="0.25">
      <c r="B853" s="231"/>
      <c r="I853" s="392"/>
      <c r="K853" s="231"/>
      <c r="X853" s="1"/>
      <c r="Y853" s="1"/>
      <c r="Z853" s="1"/>
      <c r="AA853" s="1"/>
      <c r="AB853" s="392"/>
      <c r="AD853" s="231"/>
      <c r="AM853" s="231"/>
      <c r="AW853" s="1"/>
      <c r="AX853" s="1"/>
      <c r="AY853" s="1"/>
      <c r="AZ853" s="392"/>
      <c r="BB853" s="231"/>
    </row>
    <row r="854" spans="2:54" x14ac:dyDescent="0.25">
      <c r="B854" s="231"/>
      <c r="I854" s="392"/>
      <c r="K854" s="231"/>
      <c r="X854" s="1"/>
      <c r="Y854" s="1"/>
      <c r="Z854" s="1"/>
      <c r="AA854" s="1"/>
      <c r="AB854" s="392"/>
      <c r="AD854" s="231"/>
      <c r="AM854" s="231"/>
      <c r="AW854" s="1"/>
      <c r="AX854" s="1"/>
      <c r="AY854" s="1"/>
      <c r="AZ854" s="392"/>
      <c r="BB854" s="231"/>
    </row>
    <row r="855" spans="2:54" x14ac:dyDescent="0.25">
      <c r="B855" s="231"/>
      <c r="I855" s="392"/>
      <c r="K855" s="231"/>
      <c r="X855" s="1"/>
      <c r="Y855" s="1"/>
      <c r="Z855" s="1"/>
      <c r="AA855" s="1"/>
      <c r="AB855" s="392"/>
      <c r="AD855" s="231"/>
      <c r="AM855" s="231"/>
      <c r="AW855" s="1"/>
      <c r="AX855" s="1"/>
      <c r="AY855" s="1"/>
      <c r="AZ855" s="392"/>
      <c r="BB855" s="231"/>
    </row>
    <row r="856" spans="2:54" x14ac:dyDescent="0.25">
      <c r="B856" s="231"/>
      <c r="I856" s="392"/>
      <c r="K856" s="231"/>
      <c r="X856" s="1"/>
      <c r="Y856" s="1"/>
      <c r="Z856" s="1"/>
      <c r="AA856" s="1"/>
      <c r="AB856" s="392"/>
      <c r="AD856" s="231"/>
      <c r="AM856" s="231"/>
      <c r="AW856" s="1"/>
      <c r="AX856" s="1"/>
      <c r="AY856" s="1"/>
      <c r="AZ856" s="392"/>
      <c r="BB856" s="231"/>
    </row>
    <row r="857" spans="2:54" x14ac:dyDescent="0.25">
      <c r="B857" s="231"/>
      <c r="I857" s="392"/>
      <c r="K857" s="231"/>
      <c r="X857" s="1"/>
      <c r="Y857" s="1"/>
      <c r="Z857" s="1"/>
      <c r="AA857" s="1"/>
      <c r="AB857" s="392"/>
      <c r="AD857" s="231"/>
      <c r="AM857" s="231"/>
      <c r="AW857" s="1"/>
      <c r="AX857" s="1"/>
      <c r="AY857" s="1"/>
      <c r="AZ857" s="392"/>
      <c r="BB857" s="231"/>
    </row>
    <row r="858" spans="2:54" x14ac:dyDescent="0.25">
      <c r="B858" s="231"/>
      <c r="I858" s="392"/>
      <c r="K858" s="231"/>
      <c r="X858" s="1"/>
      <c r="Y858" s="1"/>
      <c r="Z858" s="1"/>
      <c r="AA858" s="1"/>
      <c r="AB858" s="392"/>
      <c r="AD858" s="231"/>
      <c r="AM858" s="231"/>
      <c r="AW858" s="1"/>
      <c r="AX858" s="1"/>
      <c r="AY858" s="1"/>
      <c r="AZ858" s="392"/>
      <c r="BB858" s="231"/>
    </row>
    <row r="859" spans="2:54" x14ac:dyDescent="0.25">
      <c r="B859" s="231"/>
      <c r="I859" s="392"/>
      <c r="K859" s="231"/>
      <c r="X859" s="1"/>
      <c r="Y859" s="1"/>
      <c r="Z859" s="1"/>
      <c r="AA859" s="1"/>
      <c r="AB859" s="392"/>
      <c r="AD859" s="231"/>
      <c r="AM859" s="231"/>
      <c r="AW859" s="1"/>
      <c r="AX859" s="1"/>
      <c r="AY859" s="1"/>
      <c r="AZ859" s="392"/>
      <c r="BB859" s="231"/>
    </row>
    <row r="860" spans="2:54" x14ac:dyDescent="0.25">
      <c r="B860" s="231"/>
      <c r="I860" s="392"/>
      <c r="K860" s="231"/>
      <c r="X860" s="1"/>
      <c r="Y860" s="1"/>
      <c r="Z860" s="1"/>
      <c r="AA860" s="1"/>
      <c r="AB860" s="392"/>
      <c r="AD860" s="231"/>
      <c r="AM860" s="231"/>
      <c r="AW860" s="1"/>
      <c r="AX860" s="1"/>
      <c r="AY860" s="1"/>
      <c r="AZ860" s="392"/>
      <c r="BB860" s="231"/>
    </row>
    <row r="861" spans="2:54" x14ac:dyDescent="0.25">
      <c r="B861" s="231"/>
      <c r="I861" s="392"/>
      <c r="K861" s="231"/>
      <c r="X861" s="1"/>
      <c r="Y861" s="1"/>
      <c r="Z861" s="1"/>
      <c r="AA861" s="1"/>
      <c r="AB861" s="392"/>
      <c r="AD861" s="231"/>
      <c r="AM861" s="231"/>
      <c r="AW861" s="1"/>
      <c r="AX861" s="1"/>
      <c r="AY861" s="1"/>
      <c r="AZ861" s="392"/>
      <c r="BB861" s="231"/>
    </row>
    <row r="862" spans="2:54" x14ac:dyDescent="0.25">
      <c r="B862" s="231"/>
      <c r="I862" s="392"/>
      <c r="K862" s="231"/>
      <c r="X862" s="1"/>
      <c r="Y862" s="1"/>
      <c r="Z862" s="1"/>
      <c r="AA862" s="1"/>
      <c r="AB862" s="392"/>
      <c r="AD862" s="231"/>
      <c r="AM862" s="231"/>
      <c r="AW862" s="1"/>
      <c r="AX862" s="1"/>
      <c r="AY862" s="1"/>
      <c r="AZ862" s="392"/>
      <c r="BB862" s="231"/>
    </row>
    <row r="863" spans="2:54" x14ac:dyDescent="0.25">
      <c r="B863" s="231"/>
      <c r="I863" s="392"/>
      <c r="K863" s="231"/>
      <c r="X863" s="1"/>
      <c r="Y863" s="1"/>
      <c r="Z863" s="1"/>
      <c r="AA863" s="1"/>
      <c r="AB863" s="392"/>
      <c r="AD863" s="231"/>
      <c r="AM863" s="231"/>
      <c r="AW863" s="1"/>
      <c r="AX863" s="1"/>
      <c r="AY863" s="1"/>
      <c r="AZ863" s="392"/>
      <c r="BB863" s="231"/>
    </row>
    <row r="864" spans="2:54" x14ac:dyDescent="0.25">
      <c r="B864" s="231"/>
      <c r="I864" s="392"/>
      <c r="K864" s="231"/>
      <c r="X864" s="1"/>
      <c r="Y864" s="1"/>
      <c r="Z864" s="1"/>
      <c r="AA864" s="1"/>
      <c r="AB864" s="392"/>
      <c r="AD864" s="231"/>
      <c r="AM864" s="231"/>
      <c r="AW864" s="1"/>
      <c r="AX864" s="1"/>
      <c r="AY864" s="1"/>
      <c r="AZ864" s="392"/>
      <c r="BB864" s="231"/>
    </row>
    <row r="865" spans="2:54" x14ac:dyDescent="0.25">
      <c r="B865" s="231"/>
      <c r="I865" s="392"/>
      <c r="K865" s="231"/>
      <c r="X865" s="1"/>
      <c r="Y865" s="1"/>
      <c r="Z865" s="1"/>
      <c r="AA865" s="1"/>
      <c r="AB865" s="392"/>
      <c r="AD865" s="231"/>
      <c r="AM865" s="231"/>
      <c r="AW865" s="1"/>
      <c r="AX865" s="1"/>
      <c r="AY865" s="1"/>
      <c r="AZ865" s="392"/>
      <c r="BB865" s="231"/>
    </row>
    <row r="866" spans="2:54" x14ac:dyDescent="0.25">
      <c r="B866" s="231"/>
      <c r="I866" s="392"/>
      <c r="K866" s="231"/>
      <c r="X866" s="1"/>
      <c r="Y866" s="1"/>
      <c r="Z866" s="1"/>
      <c r="AA866" s="1"/>
      <c r="AB866" s="392"/>
      <c r="AD866" s="231"/>
      <c r="AM866" s="231"/>
      <c r="AW866" s="1"/>
      <c r="AX866" s="1"/>
      <c r="AY866" s="1"/>
      <c r="AZ866" s="392"/>
      <c r="BB866" s="231"/>
    </row>
    <row r="867" spans="2:54" x14ac:dyDescent="0.25">
      <c r="B867" s="231"/>
      <c r="I867" s="392"/>
      <c r="K867" s="231"/>
      <c r="X867" s="1"/>
      <c r="Y867" s="1"/>
      <c r="Z867" s="1"/>
      <c r="AA867" s="1"/>
      <c r="AB867" s="392"/>
      <c r="AD867" s="231"/>
      <c r="AM867" s="231"/>
      <c r="AW867" s="1"/>
      <c r="AX867" s="1"/>
      <c r="AY867" s="1"/>
      <c r="AZ867" s="392"/>
      <c r="BB867" s="231"/>
    </row>
    <row r="868" spans="2:54" x14ac:dyDescent="0.25">
      <c r="B868" s="231"/>
      <c r="I868" s="392"/>
      <c r="K868" s="231"/>
      <c r="X868" s="1"/>
      <c r="Y868" s="1"/>
      <c r="Z868" s="1"/>
      <c r="AA868" s="1"/>
      <c r="AB868" s="392"/>
      <c r="AD868" s="231"/>
      <c r="AM868" s="231"/>
      <c r="AW868" s="1"/>
      <c r="AX868" s="1"/>
      <c r="AY868" s="1"/>
      <c r="AZ868" s="392"/>
      <c r="BB868" s="231"/>
    </row>
    <row r="869" spans="2:54" x14ac:dyDescent="0.25">
      <c r="B869" s="231"/>
      <c r="I869" s="392"/>
      <c r="K869" s="231"/>
      <c r="X869" s="1"/>
      <c r="Y869" s="1"/>
      <c r="Z869" s="1"/>
      <c r="AA869" s="1"/>
      <c r="AB869" s="392"/>
      <c r="AD869" s="231"/>
      <c r="AM869" s="231"/>
      <c r="AW869" s="1"/>
      <c r="AX869" s="1"/>
      <c r="AY869" s="1"/>
      <c r="AZ869" s="392"/>
      <c r="BB869" s="231"/>
    </row>
    <row r="870" spans="2:54" x14ac:dyDescent="0.25">
      <c r="B870" s="231"/>
      <c r="I870" s="392"/>
      <c r="K870" s="231"/>
      <c r="X870" s="1"/>
      <c r="Y870" s="1"/>
      <c r="Z870" s="1"/>
      <c r="AA870" s="1"/>
      <c r="AB870" s="392"/>
      <c r="AD870" s="231"/>
      <c r="AM870" s="231"/>
      <c r="AW870" s="1"/>
      <c r="AX870" s="1"/>
      <c r="AY870" s="1"/>
      <c r="AZ870" s="392"/>
      <c r="BB870" s="231"/>
    </row>
    <row r="871" spans="2:54" x14ac:dyDescent="0.25">
      <c r="B871" s="231"/>
      <c r="I871" s="392"/>
      <c r="K871" s="231"/>
      <c r="X871" s="1"/>
      <c r="Y871" s="1"/>
      <c r="Z871" s="1"/>
      <c r="AA871" s="1"/>
      <c r="AB871" s="392"/>
      <c r="AD871" s="231"/>
      <c r="AM871" s="231"/>
      <c r="AW871" s="1"/>
      <c r="AX871" s="1"/>
      <c r="AY871" s="1"/>
      <c r="AZ871" s="392"/>
      <c r="BB871" s="231"/>
    </row>
    <row r="872" spans="2:54" x14ac:dyDescent="0.25">
      <c r="B872" s="231"/>
      <c r="I872" s="392"/>
      <c r="K872" s="231"/>
      <c r="X872" s="1"/>
      <c r="Y872" s="1"/>
      <c r="Z872" s="1"/>
      <c r="AA872" s="1"/>
      <c r="AB872" s="392"/>
      <c r="AD872" s="231"/>
      <c r="AM872" s="231"/>
      <c r="AW872" s="1"/>
      <c r="AX872" s="1"/>
      <c r="AY872" s="1"/>
      <c r="AZ872" s="392"/>
      <c r="BB872" s="231"/>
    </row>
    <row r="873" spans="2:54" x14ac:dyDescent="0.25">
      <c r="B873" s="231"/>
      <c r="I873" s="392"/>
      <c r="K873" s="231"/>
      <c r="X873" s="1"/>
      <c r="Y873" s="1"/>
      <c r="Z873" s="1"/>
      <c r="AA873" s="1"/>
      <c r="AB873" s="392"/>
      <c r="AD873" s="231"/>
      <c r="AM873" s="231"/>
      <c r="AW873" s="1"/>
      <c r="AX873" s="1"/>
      <c r="AY873" s="1"/>
      <c r="AZ873" s="392"/>
      <c r="BB873" s="231"/>
    </row>
    <row r="874" spans="2:54" x14ac:dyDescent="0.25">
      <c r="B874" s="231"/>
      <c r="I874" s="392"/>
      <c r="K874" s="231"/>
      <c r="X874" s="1"/>
      <c r="Y874" s="1"/>
      <c r="Z874" s="1"/>
      <c r="AA874" s="1"/>
      <c r="AB874" s="392"/>
      <c r="AD874" s="231"/>
      <c r="AM874" s="231"/>
      <c r="AW874" s="1"/>
      <c r="AX874" s="1"/>
      <c r="AY874" s="1"/>
      <c r="AZ874" s="392"/>
      <c r="BB874" s="231"/>
    </row>
    <row r="875" spans="2:54" x14ac:dyDescent="0.25">
      <c r="B875" s="231"/>
      <c r="I875" s="392"/>
      <c r="K875" s="231"/>
      <c r="X875" s="1"/>
      <c r="Y875" s="1"/>
      <c r="Z875" s="1"/>
      <c r="AA875" s="1"/>
      <c r="AB875" s="392"/>
      <c r="AD875" s="231"/>
      <c r="AM875" s="231"/>
      <c r="AW875" s="1"/>
      <c r="AX875" s="1"/>
      <c r="AY875" s="1"/>
      <c r="AZ875" s="392"/>
      <c r="BB875" s="231"/>
    </row>
    <row r="876" spans="2:54" x14ac:dyDescent="0.25">
      <c r="B876" s="231"/>
      <c r="I876" s="392"/>
      <c r="K876" s="231"/>
      <c r="X876" s="1"/>
      <c r="Y876" s="1"/>
      <c r="Z876" s="1"/>
      <c r="AA876" s="1"/>
      <c r="AB876" s="392"/>
      <c r="AD876" s="231"/>
      <c r="AM876" s="231"/>
      <c r="AW876" s="1"/>
      <c r="AX876" s="1"/>
      <c r="AY876" s="1"/>
      <c r="AZ876" s="392"/>
      <c r="BB876" s="231"/>
    </row>
    <row r="877" spans="2:54" x14ac:dyDescent="0.25">
      <c r="B877" s="231"/>
      <c r="I877" s="392"/>
      <c r="K877" s="231"/>
      <c r="X877" s="1"/>
      <c r="Y877" s="1"/>
      <c r="Z877" s="1"/>
      <c r="AA877" s="1"/>
      <c r="AB877" s="392"/>
      <c r="AD877" s="231"/>
      <c r="AM877" s="231"/>
      <c r="AW877" s="1"/>
      <c r="AX877" s="1"/>
      <c r="AY877" s="1"/>
      <c r="AZ877" s="392"/>
      <c r="BB877" s="231"/>
    </row>
    <row r="878" spans="2:54" x14ac:dyDescent="0.25">
      <c r="B878" s="231"/>
      <c r="I878" s="392"/>
      <c r="K878" s="231"/>
      <c r="X878" s="1"/>
      <c r="Y878" s="1"/>
      <c r="Z878" s="1"/>
      <c r="AA878" s="1"/>
      <c r="AB878" s="392"/>
      <c r="AD878" s="231"/>
      <c r="AM878" s="231"/>
      <c r="AW878" s="1"/>
      <c r="AX878" s="1"/>
      <c r="AY878" s="1"/>
      <c r="AZ878" s="392"/>
      <c r="BB878" s="231"/>
    </row>
    <row r="879" spans="2:54" x14ac:dyDescent="0.25">
      <c r="B879" s="231"/>
      <c r="I879" s="392"/>
      <c r="K879" s="231"/>
      <c r="X879" s="1"/>
      <c r="Y879" s="1"/>
      <c r="Z879" s="1"/>
      <c r="AA879" s="1"/>
      <c r="AB879" s="392"/>
      <c r="AD879" s="231"/>
      <c r="AM879" s="231"/>
      <c r="AW879" s="1"/>
      <c r="AX879" s="1"/>
      <c r="AY879" s="1"/>
      <c r="AZ879" s="392"/>
      <c r="BB879" s="231"/>
    </row>
    <row r="880" spans="2:54" x14ac:dyDescent="0.25">
      <c r="B880" s="231"/>
      <c r="I880" s="392"/>
      <c r="K880" s="231"/>
      <c r="X880" s="1"/>
      <c r="Y880" s="1"/>
      <c r="Z880" s="1"/>
      <c r="AA880" s="1"/>
      <c r="AB880" s="392"/>
      <c r="AD880" s="231"/>
      <c r="AM880" s="231"/>
      <c r="AW880" s="1"/>
      <c r="AX880" s="1"/>
      <c r="AY880" s="1"/>
      <c r="AZ880" s="392"/>
      <c r="BB880" s="231"/>
    </row>
    <row r="881" spans="2:54" x14ac:dyDescent="0.25">
      <c r="B881" s="231"/>
      <c r="I881" s="392"/>
      <c r="K881" s="231"/>
      <c r="X881" s="1"/>
      <c r="Y881" s="1"/>
      <c r="Z881" s="1"/>
      <c r="AA881" s="1"/>
      <c r="AB881" s="392"/>
      <c r="AD881" s="231"/>
      <c r="AM881" s="231"/>
      <c r="AW881" s="1"/>
      <c r="AX881" s="1"/>
      <c r="AY881" s="1"/>
      <c r="AZ881" s="392"/>
      <c r="BB881" s="231"/>
    </row>
    <row r="882" spans="2:54" x14ac:dyDescent="0.25">
      <c r="B882" s="231"/>
      <c r="I882" s="392"/>
      <c r="K882" s="231"/>
      <c r="X882" s="1"/>
      <c r="Y882" s="1"/>
      <c r="Z882" s="1"/>
      <c r="AA882" s="1"/>
      <c r="AB882" s="392"/>
      <c r="AD882" s="231"/>
      <c r="AM882" s="231"/>
      <c r="AW882" s="1"/>
      <c r="AX882" s="1"/>
      <c r="AY882" s="1"/>
      <c r="AZ882" s="392"/>
      <c r="BB882" s="231"/>
    </row>
    <row r="883" spans="2:54" x14ac:dyDescent="0.25">
      <c r="B883" s="231"/>
      <c r="I883" s="392"/>
      <c r="K883" s="231"/>
      <c r="X883" s="1"/>
      <c r="Y883" s="1"/>
      <c r="Z883" s="1"/>
      <c r="AA883" s="1"/>
      <c r="AB883" s="392"/>
      <c r="AD883" s="231"/>
      <c r="AM883" s="231"/>
      <c r="AW883" s="1"/>
      <c r="AX883" s="1"/>
      <c r="AY883" s="1"/>
      <c r="AZ883" s="392"/>
      <c r="BB883" s="231"/>
    </row>
    <row r="884" spans="2:54" x14ac:dyDescent="0.25">
      <c r="B884" s="231"/>
      <c r="I884" s="392"/>
      <c r="K884" s="231"/>
      <c r="X884" s="1"/>
      <c r="Y884" s="1"/>
      <c r="Z884" s="1"/>
      <c r="AA884" s="1"/>
      <c r="AB884" s="392"/>
      <c r="AD884" s="231"/>
      <c r="AM884" s="231"/>
      <c r="AW884" s="1"/>
      <c r="AX884" s="1"/>
      <c r="AY884" s="1"/>
      <c r="AZ884" s="392"/>
      <c r="BB884" s="231"/>
    </row>
    <row r="885" spans="2:54" x14ac:dyDescent="0.25">
      <c r="B885" s="231"/>
      <c r="I885" s="392"/>
      <c r="K885" s="231"/>
      <c r="X885" s="1"/>
      <c r="Y885" s="1"/>
      <c r="Z885" s="1"/>
      <c r="AA885" s="1"/>
      <c r="AB885" s="392"/>
      <c r="AD885" s="231"/>
      <c r="AM885" s="231"/>
      <c r="AW885" s="1"/>
      <c r="AX885" s="1"/>
      <c r="AY885" s="1"/>
      <c r="AZ885" s="392"/>
      <c r="BB885" s="231"/>
    </row>
    <row r="886" spans="2:54" x14ac:dyDescent="0.25">
      <c r="B886" s="231"/>
      <c r="I886" s="392"/>
      <c r="K886" s="231"/>
      <c r="X886" s="1"/>
      <c r="Y886" s="1"/>
      <c r="Z886" s="1"/>
      <c r="AA886" s="1"/>
      <c r="AB886" s="392"/>
      <c r="AD886" s="231"/>
      <c r="AM886" s="231"/>
      <c r="AW886" s="1"/>
      <c r="AX886" s="1"/>
      <c r="AY886" s="1"/>
      <c r="AZ886" s="392"/>
      <c r="BB886" s="231"/>
    </row>
    <row r="887" spans="2:54" x14ac:dyDescent="0.25">
      <c r="B887" s="231"/>
      <c r="I887" s="392"/>
      <c r="K887" s="231"/>
      <c r="X887" s="1"/>
      <c r="Y887" s="1"/>
      <c r="Z887" s="1"/>
      <c r="AA887" s="1"/>
      <c r="AB887" s="392"/>
      <c r="AD887" s="231"/>
      <c r="AM887" s="231"/>
      <c r="AW887" s="1"/>
      <c r="AX887" s="1"/>
      <c r="AY887" s="1"/>
      <c r="AZ887" s="392"/>
      <c r="BB887" s="231"/>
    </row>
    <row r="888" spans="2:54" x14ac:dyDescent="0.25">
      <c r="B888" s="231"/>
      <c r="I888" s="392"/>
      <c r="K888" s="231"/>
      <c r="X888" s="1"/>
      <c r="Y888" s="1"/>
      <c r="Z888" s="1"/>
      <c r="AA888" s="1"/>
      <c r="AB888" s="392"/>
      <c r="AD888" s="231"/>
      <c r="AM888" s="231"/>
      <c r="AW888" s="1"/>
      <c r="AX888" s="1"/>
      <c r="AY888" s="1"/>
      <c r="AZ888" s="392"/>
      <c r="BB888" s="231"/>
    </row>
    <row r="889" spans="2:54" x14ac:dyDescent="0.25">
      <c r="B889" s="231"/>
      <c r="I889" s="392"/>
      <c r="K889" s="231"/>
      <c r="X889" s="1"/>
      <c r="Y889" s="1"/>
      <c r="Z889" s="1"/>
      <c r="AA889" s="1"/>
      <c r="AB889" s="392"/>
      <c r="AD889" s="231"/>
      <c r="AM889" s="231"/>
      <c r="AW889" s="1"/>
      <c r="AX889" s="1"/>
      <c r="AY889" s="1"/>
      <c r="AZ889" s="392"/>
      <c r="BB889" s="231"/>
    </row>
    <row r="890" spans="2:54" x14ac:dyDescent="0.25">
      <c r="B890" s="231"/>
      <c r="I890" s="392"/>
      <c r="K890" s="231"/>
      <c r="X890" s="1"/>
      <c r="Y890" s="1"/>
      <c r="Z890" s="1"/>
      <c r="AA890" s="1"/>
      <c r="AB890" s="392"/>
      <c r="AD890" s="231"/>
      <c r="AM890" s="231"/>
      <c r="AW890" s="1"/>
      <c r="AX890" s="1"/>
      <c r="AY890" s="1"/>
      <c r="AZ890" s="392"/>
      <c r="BB890" s="231"/>
    </row>
    <row r="891" spans="2:54" x14ac:dyDescent="0.25">
      <c r="B891" s="231"/>
      <c r="I891" s="392"/>
      <c r="K891" s="231"/>
      <c r="X891" s="1"/>
      <c r="Y891" s="1"/>
      <c r="Z891" s="1"/>
      <c r="AA891" s="1"/>
      <c r="AB891" s="392"/>
      <c r="AD891" s="231"/>
      <c r="AM891" s="231"/>
      <c r="AW891" s="1"/>
      <c r="AX891" s="1"/>
      <c r="AY891" s="1"/>
      <c r="AZ891" s="392"/>
      <c r="BB891" s="231"/>
    </row>
    <row r="892" spans="2:54" x14ac:dyDescent="0.25">
      <c r="B892" s="231"/>
      <c r="I892" s="392"/>
      <c r="K892" s="231"/>
      <c r="X892" s="1"/>
      <c r="Y892" s="1"/>
      <c r="Z892" s="1"/>
      <c r="AA892" s="1"/>
      <c r="AB892" s="392"/>
      <c r="AD892" s="231"/>
      <c r="AM892" s="231"/>
      <c r="AW892" s="1"/>
      <c r="AX892" s="1"/>
      <c r="AY892" s="1"/>
      <c r="AZ892" s="392"/>
      <c r="BB892" s="231"/>
    </row>
    <row r="893" spans="2:54" x14ac:dyDescent="0.25">
      <c r="B893" s="231"/>
      <c r="I893" s="392"/>
      <c r="K893" s="231"/>
      <c r="X893" s="1"/>
      <c r="Y893" s="1"/>
      <c r="Z893" s="1"/>
      <c r="AA893" s="1"/>
      <c r="AB893" s="392"/>
      <c r="AD893" s="231"/>
      <c r="AM893" s="231"/>
      <c r="AW893" s="1"/>
      <c r="AX893" s="1"/>
      <c r="AY893" s="1"/>
      <c r="AZ893" s="392"/>
      <c r="BB893" s="231"/>
    </row>
    <row r="894" spans="2:54" x14ac:dyDescent="0.25">
      <c r="B894" s="231"/>
      <c r="I894" s="392"/>
      <c r="K894" s="231"/>
      <c r="X894" s="1"/>
      <c r="Y894" s="1"/>
      <c r="Z894" s="1"/>
      <c r="AA894" s="1"/>
      <c r="AB894" s="392"/>
      <c r="AD894" s="231"/>
      <c r="AM894" s="231"/>
      <c r="AW894" s="1"/>
      <c r="AX894" s="1"/>
      <c r="AY894" s="1"/>
      <c r="AZ894" s="392"/>
      <c r="BB894" s="231"/>
    </row>
    <row r="895" spans="2:54" x14ac:dyDescent="0.25">
      <c r="B895" s="231"/>
      <c r="I895" s="392"/>
      <c r="K895" s="231"/>
      <c r="X895" s="1"/>
      <c r="Y895" s="1"/>
      <c r="Z895" s="1"/>
      <c r="AA895" s="1"/>
      <c r="AB895" s="392"/>
      <c r="AD895" s="231"/>
      <c r="AM895" s="231"/>
      <c r="AW895" s="1"/>
      <c r="AX895" s="1"/>
      <c r="AY895" s="1"/>
      <c r="AZ895" s="392"/>
      <c r="BB895" s="231"/>
    </row>
    <row r="896" spans="2:54" x14ac:dyDescent="0.25">
      <c r="B896" s="231"/>
      <c r="I896" s="392"/>
      <c r="K896" s="231"/>
      <c r="X896" s="1"/>
      <c r="Y896" s="1"/>
      <c r="Z896" s="1"/>
      <c r="AA896" s="1"/>
      <c r="AB896" s="392"/>
      <c r="AD896" s="231"/>
      <c r="AM896" s="231"/>
      <c r="AW896" s="1"/>
      <c r="AX896" s="1"/>
      <c r="AY896" s="1"/>
      <c r="AZ896" s="392"/>
      <c r="BB896" s="231"/>
    </row>
    <row r="897" spans="2:54" x14ac:dyDescent="0.25">
      <c r="B897" s="231"/>
      <c r="I897" s="392"/>
      <c r="K897" s="231"/>
      <c r="X897" s="1"/>
      <c r="Y897" s="1"/>
      <c r="Z897" s="1"/>
      <c r="AA897" s="1"/>
      <c r="AB897" s="392"/>
      <c r="AD897" s="231"/>
      <c r="AM897" s="231"/>
      <c r="AW897" s="1"/>
      <c r="AX897" s="1"/>
      <c r="AY897" s="1"/>
      <c r="AZ897" s="392"/>
      <c r="BB897" s="231"/>
    </row>
    <row r="898" spans="2:54" x14ac:dyDescent="0.25">
      <c r="B898" s="231"/>
      <c r="I898" s="392"/>
      <c r="K898" s="231"/>
      <c r="X898" s="1"/>
      <c r="Y898" s="1"/>
      <c r="Z898" s="1"/>
      <c r="AA898" s="1"/>
      <c r="AB898" s="392"/>
      <c r="AD898" s="231"/>
      <c r="AM898" s="231"/>
      <c r="AW898" s="1"/>
      <c r="AX898" s="1"/>
      <c r="AY898" s="1"/>
      <c r="AZ898" s="392"/>
      <c r="BB898" s="231"/>
    </row>
    <row r="899" spans="2:54" x14ac:dyDescent="0.25">
      <c r="B899" s="231"/>
      <c r="I899" s="392"/>
      <c r="K899" s="231"/>
      <c r="X899" s="1"/>
      <c r="Y899" s="1"/>
      <c r="Z899" s="1"/>
      <c r="AA899" s="1"/>
      <c r="AB899" s="392"/>
      <c r="AD899" s="231"/>
      <c r="AM899" s="231"/>
      <c r="AW899" s="1"/>
      <c r="AX899" s="1"/>
      <c r="AY899" s="1"/>
      <c r="AZ899" s="392"/>
      <c r="BB899" s="231"/>
    </row>
    <row r="900" spans="2:54" x14ac:dyDescent="0.25">
      <c r="B900" s="231"/>
      <c r="I900" s="392"/>
      <c r="K900" s="231"/>
      <c r="X900" s="1"/>
      <c r="Y900" s="1"/>
      <c r="Z900" s="1"/>
      <c r="AA900" s="1"/>
      <c r="AB900" s="392"/>
      <c r="AD900" s="231"/>
      <c r="AM900" s="231"/>
      <c r="AW900" s="1"/>
      <c r="AX900" s="1"/>
      <c r="AY900" s="1"/>
      <c r="AZ900" s="392"/>
      <c r="BB900" s="231"/>
    </row>
    <row r="901" spans="2:54" x14ac:dyDescent="0.25">
      <c r="B901" s="231"/>
      <c r="I901" s="392"/>
      <c r="K901" s="231"/>
      <c r="X901" s="1"/>
      <c r="Y901" s="1"/>
      <c r="Z901" s="1"/>
      <c r="AA901" s="1"/>
      <c r="AB901" s="392"/>
      <c r="AD901" s="231"/>
      <c r="AM901" s="231"/>
      <c r="AW901" s="1"/>
      <c r="AX901" s="1"/>
      <c r="AY901" s="1"/>
      <c r="AZ901" s="392"/>
      <c r="BB901" s="231"/>
    </row>
    <row r="902" spans="2:54" x14ac:dyDescent="0.25">
      <c r="B902" s="231"/>
      <c r="I902" s="392"/>
      <c r="K902" s="231"/>
      <c r="X902" s="1"/>
      <c r="Y902" s="1"/>
      <c r="Z902" s="1"/>
      <c r="AA902" s="1"/>
      <c r="AB902" s="392"/>
      <c r="AD902" s="231"/>
      <c r="AM902" s="231"/>
      <c r="AW902" s="1"/>
      <c r="AX902" s="1"/>
      <c r="AY902" s="1"/>
      <c r="AZ902" s="392"/>
      <c r="BB902" s="231"/>
    </row>
    <row r="903" spans="2:54" x14ac:dyDescent="0.25">
      <c r="B903" s="231"/>
      <c r="I903" s="392"/>
      <c r="K903" s="231"/>
      <c r="X903" s="1"/>
      <c r="Y903" s="1"/>
      <c r="Z903" s="1"/>
      <c r="AA903" s="1"/>
      <c r="AB903" s="392"/>
      <c r="AD903" s="231"/>
      <c r="AM903" s="231"/>
      <c r="AW903" s="1"/>
      <c r="AX903" s="1"/>
      <c r="AY903" s="1"/>
      <c r="AZ903" s="392"/>
      <c r="BB903" s="231"/>
    </row>
    <row r="904" spans="2:54" x14ac:dyDescent="0.25">
      <c r="B904" s="231"/>
      <c r="I904" s="392"/>
      <c r="K904" s="231"/>
      <c r="X904" s="1"/>
      <c r="Y904" s="1"/>
      <c r="Z904" s="1"/>
      <c r="AA904" s="1"/>
      <c r="AB904" s="392"/>
      <c r="AD904" s="231"/>
      <c r="AM904" s="231"/>
      <c r="AW904" s="1"/>
      <c r="AX904" s="1"/>
      <c r="AY904" s="1"/>
      <c r="AZ904" s="392"/>
      <c r="BB904" s="231"/>
    </row>
    <row r="905" spans="2:54" x14ac:dyDescent="0.25">
      <c r="B905" s="231"/>
      <c r="I905" s="392"/>
      <c r="K905" s="231"/>
      <c r="X905" s="1"/>
      <c r="Y905" s="1"/>
      <c r="Z905" s="1"/>
      <c r="AA905" s="1"/>
      <c r="AB905" s="392"/>
      <c r="AD905" s="231"/>
      <c r="AM905" s="231"/>
      <c r="AW905" s="1"/>
      <c r="AX905" s="1"/>
      <c r="AY905" s="1"/>
      <c r="AZ905" s="392"/>
      <c r="BB905" s="231"/>
    </row>
    <row r="906" spans="2:54" x14ac:dyDescent="0.25">
      <c r="B906" s="231"/>
      <c r="I906" s="392"/>
      <c r="K906" s="231"/>
      <c r="X906" s="1"/>
      <c r="Y906" s="1"/>
      <c r="Z906" s="1"/>
      <c r="AA906" s="1"/>
      <c r="AB906" s="392"/>
      <c r="AD906" s="231"/>
      <c r="AM906" s="231"/>
      <c r="AW906" s="1"/>
      <c r="AX906" s="1"/>
      <c r="AY906" s="1"/>
      <c r="AZ906" s="392"/>
      <c r="BB906" s="231"/>
    </row>
    <row r="907" spans="2:54" x14ac:dyDescent="0.25">
      <c r="B907" s="231"/>
      <c r="I907" s="392"/>
      <c r="K907" s="231"/>
      <c r="X907" s="1"/>
      <c r="Y907" s="1"/>
      <c r="Z907" s="1"/>
      <c r="AA907" s="1"/>
      <c r="AB907" s="392"/>
      <c r="AD907" s="231"/>
      <c r="AM907" s="231"/>
      <c r="AW907" s="1"/>
      <c r="AX907" s="1"/>
      <c r="AY907" s="1"/>
      <c r="AZ907" s="392"/>
      <c r="BB907" s="231"/>
    </row>
    <row r="908" spans="2:54" x14ac:dyDescent="0.25">
      <c r="B908" s="231"/>
      <c r="I908" s="392"/>
      <c r="K908" s="231"/>
      <c r="X908" s="1"/>
      <c r="Y908" s="1"/>
      <c r="Z908" s="1"/>
      <c r="AA908" s="1"/>
      <c r="AB908" s="392"/>
      <c r="AD908" s="231"/>
      <c r="AM908" s="231"/>
      <c r="AW908" s="1"/>
      <c r="AX908" s="1"/>
      <c r="AY908" s="1"/>
      <c r="AZ908" s="392"/>
      <c r="BB908" s="231"/>
    </row>
    <row r="909" spans="2:54" x14ac:dyDescent="0.25">
      <c r="B909" s="231"/>
      <c r="I909" s="392"/>
      <c r="K909" s="231"/>
      <c r="X909" s="1"/>
      <c r="Y909" s="1"/>
      <c r="Z909" s="1"/>
      <c r="AA909" s="1"/>
      <c r="AB909" s="392"/>
      <c r="AD909" s="231"/>
      <c r="AM909" s="231"/>
      <c r="AW909" s="1"/>
      <c r="AX909" s="1"/>
      <c r="AY909" s="1"/>
      <c r="AZ909" s="392"/>
      <c r="BB909" s="231"/>
    </row>
    <row r="910" spans="2:54" x14ac:dyDescent="0.25">
      <c r="B910" s="231"/>
      <c r="I910" s="392"/>
      <c r="K910" s="231"/>
      <c r="X910" s="1"/>
      <c r="Y910" s="1"/>
      <c r="Z910" s="1"/>
      <c r="AA910" s="1"/>
      <c r="AB910" s="392"/>
      <c r="AD910" s="231"/>
      <c r="AM910" s="231"/>
      <c r="AW910" s="1"/>
      <c r="AX910" s="1"/>
      <c r="AY910" s="1"/>
      <c r="AZ910" s="392"/>
      <c r="BB910" s="231"/>
    </row>
    <row r="911" spans="2:54" x14ac:dyDescent="0.25">
      <c r="B911" s="231"/>
      <c r="I911" s="392"/>
      <c r="K911" s="231"/>
      <c r="X911" s="1"/>
      <c r="Y911" s="1"/>
      <c r="Z911" s="1"/>
      <c r="AA911" s="1"/>
      <c r="AB911" s="392"/>
      <c r="AD911" s="231"/>
      <c r="AM911" s="231"/>
      <c r="AW911" s="1"/>
      <c r="AX911" s="1"/>
      <c r="AY911" s="1"/>
      <c r="AZ911" s="392"/>
      <c r="BB911" s="231"/>
    </row>
    <row r="912" spans="2:54" x14ac:dyDescent="0.25">
      <c r="B912" s="231"/>
      <c r="I912" s="392"/>
      <c r="K912" s="231"/>
      <c r="X912" s="1"/>
      <c r="Y912" s="1"/>
      <c r="Z912" s="1"/>
      <c r="AA912" s="1"/>
      <c r="AB912" s="392"/>
      <c r="AD912" s="231"/>
      <c r="AM912" s="231"/>
      <c r="AW912" s="1"/>
      <c r="AX912" s="1"/>
      <c r="AY912" s="1"/>
      <c r="AZ912" s="392"/>
      <c r="BB912" s="231"/>
    </row>
    <row r="913" spans="2:54" x14ac:dyDescent="0.25">
      <c r="B913" s="231"/>
      <c r="I913" s="392"/>
      <c r="K913" s="231"/>
      <c r="X913" s="1"/>
      <c r="Y913" s="1"/>
      <c r="Z913" s="1"/>
      <c r="AA913" s="1"/>
      <c r="AB913" s="392"/>
      <c r="AD913" s="231"/>
      <c r="AM913" s="231"/>
      <c r="AW913" s="1"/>
      <c r="AX913" s="1"/>
      <c r="AY913" s="1"/>
      <c r="AZ913" s="392"/>
      <c r="BB913" s="231"/>
    </row>
    <row r="914" spans="2:54" x14ac:dyDescent="0.25">
      <c r="B914" s="231"/>
      <c r="I914" s="392"/>
      <c r="K914" s="231"/>
      <c r="X914" s="1"/>
      <c r="Y914" s="1"/>
      <c r="Z914" s="1"/>
      <c r="AA914" s="1"/>
      <c r="AB914" s="392"/>
      <c r="AD914" s="231"/>
      <c r="AM914" s="231"/>
      <c r="AW914" s="1"/>
      <c r="AX914" s="1"/>
      <c r="AY914" s="1"/>
      <c r="AZ914" s="392"/>
      <c r="BB914" s="231"/>
    </row>
    <row r="915" spans="2:54" x14ac:dyDescent="0.25">
      <c r="B915" s="231"/>
      <c r="I915" s="392"/>
      <c r="K915" s="231"/>
      <c r="X915" s="1"/>
      <c r="Y915" s="1"/>
      <c r="Z915" s="1"/>
      <c r="AA915" s="1"/>
      <c r="AB915" s="392"/>
      <c r="AD915" s="231"/>
      <c r="AM915" s="231"/>
      <c r="AW915" s="1"/>
      <c r="AX915" s="1"/>
      <c r="AY915" s="1"/>
      <c r="AZ915" s="392"/>
      <c r="BB915" s="231"/>
    </row>
    <row r="916" spans="2:54" x14ac:dyDescent="0.25">
      <c r="B916" s="231"/>
      <c r="I916" s="392"/>
      <c r="K916" s="231"/>
      <c r="X916" s="1"/>
      <c r="Y916" s="1"/>
      <c r="Z916" s="1"/>
      <c r="AA916" s="1"/>
      <c r="AB916" s="392"/>
      <c r="AD916" s="231"/>
      <c r="AM916" s="231"/>
      <c r="AW916" s="1"/>
      <c r="AX916" s="1"/>
      <c r="AY916" s="1"/>
      <c r="AZ916" s="392"/>
      <c r="BB916" s="231"/>
    </row>
    <row r="917" spans="2:54" x14ac:dyDescent="0.25">
      <c r="B917" s="231"/>
      <c r="I917" s="392"/>
      <c r="K917" s="231"/>
      <c r="X917" s="1"/>
      <c r="Y917" s="1"/>
      <c r="Z917" s="1"/>
      <c r="AA917" s="1"/>
      <c r="AB917" s="392"/>
      <c r="AD917" s="231"/>
      <c r="AM917" s="231"/>
      <c r="AW917" s="1"/>
      <c r="AX917" s="1"/>
      <c r="AY917" s="1"/>
      <c r="AZ917" s="392"/>
      <c r="BB917" s="231"/>
    </row>
    <row r="918" spans="2:54" x14ac:dyDescent="0.25">
      <c r="B918" s="231"/>
      <c r="I918" s="392"/>
      <c r="K918" s="231"/>
      <c r="X918" s="1"/>
      <c r="Y918" s="1"/>
      <c r="Z918" s="1"/>
      <c r="AA918" s="1"/>
      <c r="AB918" s="392"/>
      <c r="AD918" s="231"/>
      <c r="AM918" s="231"/>
      <c r="AW918" s="1"/>
      <c r="AX918" s="1"/>
      <c r="AY918" s="1"/>
      <c r="AZ918" s="392"/>
      <c r="BB918" s="231"/>
    </row>
    <row r="919" spans="2:54" x14ac:dyDescent="0.25">
      <c r="B919" s="231"/>
      <c r="I919" s="392"/>
      <c r="K919" s="231"/>
      <c r="X919" s="1"/>
      <c r="Y919" s="1"/>
      <c r="Z919" s="1"/>
      <c r="AA919" s="1"/>
      <c r="AB919" s="392"/>
      <c r="AD919" s="231"/>
      <c r="AM919" s="231"/>
      <c r="AW919" s="1"/>
      <c r="AX919" s="1"/>
      <c r="AY919" s="1"/>
      <c r="AZ919" s="392"/>
      <c r="BB919" s="231"/>
    </row>
    <row r="920" spans="2:54" x14ac:dyDescent="0.25">
      <c r="B920" s="231"/>
      <c r="I920" s="392"/>
      <c r="K920" s="231"/>
      <c r="X920" s="1"/>
      <c r="Y920" s="1"/>
      <c r="Z920" s="1"/>
      <c r="AA920" s="1"/>
      <c r="AB920" s="392"/>
      <c r="AD920" s="231"/>
      <c r="AM920" s="231"/>
      <c r="AW920" s="1"/>
      <c r="AX920" s="1"/>
      <c r="AY920" s="1"/>
      <c r="AZ920" s="392"/>
      <c r="BB920" s="231"/>
    </row>
    <row r="921" spans="2:54" x14ac:dyDescent="0.25">
      <c r="B921" s="231"/>
      <c r="I921" s="392"/>
      <c r="K921" s="231"/>
      <c r="X921" s="1"/>
      <c r="Y921" s="1"/>
      <c r="Z921" s="1"/>
      <c r="AA921" s="1"/>
      <c r="AB921" s="392"/>
      <c r="AD921" s="231"/>
      <c r="AM921" s="231"/>
      <c r="AW921" s="1"/>
      <c r="AX921" s="1"/>
      <c r="AY921" s="1"/>
      <c r="AZ921" s="392"/>
      <c r="BB921" s="231"/>
    </row>
    <row r="922" spans="2:54" x14ac:dyDescent="0.25">
      <c r="B922" s="231"/>
      <c r="I922" s="392"/>
      <c r="K922" s="231"/>
      <c r="X922" s="1"/>
      <c r="Y922" s="1"/>
      <c r="Z922" s="1"/>
      <c r="AA922" s="1"/>
      <c r="AB922" s="392"/>
      <c r="AD922" s="231"/>
      <c r="AM922" s="231"/>
      <c r="AW922" s="1"/>
      <c r="AX922" s="1"/>
      <c r="AY922" s="1"/>
      <c r="AZ922" s="392"/>
      <c r="BB922" s="231"/>
    </row>
    <row r="923" spans="2:54" x14ac:dyDescent="0.25">
      <c r="B923" s="231"/>
      <c r="I923" s="392"/>
      <c r="K923" s="231"/>
      <c r="X923" s="1"/>
      <c r="Y923" s="1"/>
      <c r="Z923" s="1"/>
      <c r="AA923" s="1"/>
      <c r="AB923" s="392"/>
      <c r="AD923" s="231"/>
      <c r="AM923" s="231"/>
      <c r="AW923" s="1"/>
      <c r="AX923" s="1"/>
      <c r="AY923" s="1"/>
      <c r="AZ923" s="392"/>
      <c r="BB923" s="231"/>
    </row>
    <row r="924" spans="2:54" x14ac:dyDescent="0.25">
      <c r="B924" s="231"/>
      <c r="I924" s="392"/>
      <c r="K924" s="231"/>
      <c r="X924" s="1"/>
      <c r="Y924" s="1"/>
      <c r="Z924" s="1"/>
      <c r="AA924" s="1"/>
      <c r="AB924" s="392"/>
      <c r="AD924" s="231"/>
      <c r="AM924" s="231"/>
      <c r="AW924" s="1"/>
      <c r="AX924" s="1"/>
      <c r="AY924" s="1"/>
      <c r="AZ924" s="392"/>
      <c r="BB924" s="231"/>
    </row>
    <row r="925" spans="2:54" x14ac:dyDescent="0.25">
      <c r="B925" s="231"/>
      <c r="I925" s="392"/>
      <c r="K925" s="231"/>
      <c r="X925" s="1"/>
      <c r="Y925" s="1"/>
      <c r="Z925" s="1"/>
      <c r="AA925" s="1"/>
      <c r="AB925" s="392"/>
      <c r="AD925" s="231"/>
      <c r="AM925" s="231"/>
      <c r="AW925" s="1"/>
      <c r="AX925" s="1"/>
      <c r="AY925" s="1"/>
      <c r="AZ925" s="392"/>
      <c r="BB925" s="231"/>
    </row>
    <row r="926" spans="2:54" x14ac:dyDescent="0.25">
      <c r="B926" s="231"/>
      <c r="I926" s="392"/>
      <c r="K926" s="231"/>
      <c r="X926" s="1"/>
      <c r="Y926" s="1"/>
      <c r="Z926" s="1"/>
      <c r="AA926" s="1"/>
      <c r="AB926" s="392"/>
      <c r="AD926" s="231"/>
      <c r="AM926" s="231"/>
      <c r="AW926" s="1"/>
      <c r="AX926" s="1"/>
      <c r="AY926" s="1"/>
      <c r="AZ926" s="392"/>
      <c r="BB926" s="231"/>
    </row>
    <row r="927" spans="2:54" x14ac:dyDescent="0.25">
      <c r="B927" s="231"/>
      <c r="I927" s="392"/>
      <c r="K927" s="231"/>
      <c r="X927" s="1"/>
      <c r="Y927" s="1"/>
      <c r="Z927" s="1"/>
      <c r="AA927" s="1"/>
      <c r="AB927" s="392"/>
      <c r="AD927" s="231"/>
      <c r="AM927" s="231"/>
      <c r="AW927" s="1"/>
      <c r="AX927" s="1"/>
      <c r="AY927" s="1"/>
      <c r="AZ927" s="392"/>
      <c r="BB927" s="231"/>
    </row>
    <row r="928" spans="2:54" x14ac:dyDescent="0.25">
      <c r="B928" s="231"/>
      <c r="I928" s="392"/>
      <c r="K928" s="231"/>
      <c r="X928" s="1"/>
      <c r="Y928" s="1"/>
      <c r="Z928" s="1"/>
      <c r="AA928" s="1"/>
      <c r="AB928" s="392"/>
      <c r="AD928" s="231"/>
      <c r="AM928" s="231"/>
      <c r="AW928" s="1"/>
      <c r="AX928" s="1"/>
      <c r="AY928" s="1"/>
      <c r="AZ928" s="392"/>
      <c r="BB928" s="231"/>
    </row>
    <row r="929" spans="2:54" x14ac:dyDescent="0.25">
      <c r="B929" s="231"/>
      <c r="I929" s="392"/>
      <c r="K929" s="231"/>
      <c r="X929" s="1"/>
      <c r="Y929" s="1"/>
      <c r="Z929" s="1"/>
      <c r="AA929" s="1"/>
      <c r="AB929" s="392"/>
      <c r="AD929" s="231"/>
      <c r="AM929" s="231"/>
      <c r="AW929" s="1"/>
      <c r="AX929" s="1"/>
      <c r="AY929" s="1"/>
      <c r="AZ929" s="392"/>
      <c r="BB929" s="231"/>
    </row>
    <row r="930" spans="2:54" x14ac:dyDescent="0.25">
      <c r="B930" s="231"/>
      <c r="I930" s="392"/>
      <c r="K930" s="231"/>
      <c r="X930" s="1"/>
      <c r="Y930" s="1"/>
      <c r="Z930" s="1"/>
      <c r="AA930" s="1"/>
      <c r="AB930" s="392"/>
      <c r="AD930" s="231"/>
      <c r="AM930" s="231"/>
      <c r="AW930" s="1"/>
      <c r="AX930" s="1"/>
      <c r="AY930" s="1"/>
      <c r="AZ930" s="392"/>
      <c r="BB930" s="231"/>
    </row>
    <row r="931" spans="2:54" x14ac:dyDescent="0.25">
      <c r="B931" s="231"/>
      <c r="I931" s="392"/>
      <c r="K931" s="231"/>
      <c r="X931" s="1"/>
      <c r="Y931" s="1"/>
      <c r="Z931" s="1"/>
      <c r="AA931" s="1"/>
      <c r="AB931" s="392"/>
      <c r="AD931" s="231"/>
      <c r="AM931" s="231"/>
      <c r="AW931" s="1"/>
      <c r="AX931" s="1"/>
      <c r="AY931" s="1"/>
      <c r="AZ931" s="392"/>
      <c r="BB931" s="231"/>
    </row>
    <row r="932" spans="2:54" x14ac:dyDescent="0.25">
      <c r="B932" s="231"/>
      <c r="I932" s="392"/>
      <c r="K932" s="231"/>
      <c r="X932" s="1"/>
      <c r="Y932" s="1"/>
      <c r="Z932" s="1"/>
      <c r="AA932" s="1"/>
      <c r="AB932" s="392"/>
      <c r="AD932" s="231"/>
      <c r="AM932" s="231"/>
      <c r="AW932" s="1"/>
      <c r="AX932" s="1"/>
      <c r="AY932" s="1"/>
      <c r="AZ932" s="392"/>
      <c r="BB932" s="231"/>
    </row>
    <row r="933" spans="2:54" x14ac:dyDescent="0.25">
      <c r="B933" s="231"/>
      <c r="I933" s="392"/>
      <c r="K933" s="231"/>
      <c r="X933" s="1"/>
      <c r="Y933" s="1"/>
      <c r="Z933" s="1"/>
      <c r="AA933" s="1"/>
      <c r="AB933" s="392"/>
      <c r="AD933" s="231"/>
      <c r="AM933" s="231"/>
      <c r="AW933" s="1"/>
      <c r="AX933" s="1"/>
      <c r="AY933" s="1"/>
      <c r="AZ933" s="392"/>
      <c r="BB933" s="231"/>
    </row>
    <row r="934" spans="2:54" x14ac:dyDescent="0.25">
      <c r="B934" s="231"/>
      <c r="I934" s="392"/>
      <c r="K934" s="231"/>
      <c r="X934" s="1"/>
      <c r="Y934" s="1"/>
      <c r="Z934" s="1"/>
      <c r="AA934" s="1"/>
      <c r="AB934" s="392"/>
      <c r="AD934" s="231"/>
      <c r="AM934" s="231"/>
      <c r="AW934" s="1"/>
      <c r="AX934" s="1"/>
      <c r="AY934" s="1"/>
      <c r="AZ934" s="392"/>
      <c r="BB934" s="231"/>
    </row>
    <row r="935" spans="2:54" x14ac:dyDescent="0.25">
      <c r="B935" s="231"/>
      <c r="I935" s="392"/>
      <c r="K935" s="231"/>
      <c r="X935" s="1"/>
      <c r="Y935" s="1"/>
      <c r="Z935" s="1"/>
      <c r="AA935" s="1"/>
      <c r="AB935" s="392"/>
      <c r="AD935" s="231"/>
      <c r="AM935" s="231"/>
      <c r="AW935" s="1"/>
      <c r="AX935" s="1"/>
      <c r="AY935" s="1"/>
      <c r="AZ935" s="392"/>
      <c r="BB935" s="231"/>
    </row>
    <row r="936" spans="2:54" x14ac:dyDescent="0.25">
      <c r="B936" s="231"/>
      <c r="I936" s="392"/>
      <c r="K936" s="231"/>
      <c r="X936" s="1"/>
      <c r="Y936" s="1"/>
      <c r="Z936" s="1"/>
      <c r="AA936" s="1"/>
      <c r="AB936" s="392"/>
      <c r="AD936" s="231"/>
      <c r="AM936" s="231"/>
      <c r="AW936" s="1"/>
      <c r="AX936" s="1"/>
      <c r="AY936" s="1"/>
      <c r="AZ936" s="392"/>
      <c r="BB936" s="231"/>
    </row>
    <row r="937" spans="2:54" x14ac:dyDescent="0.25">
      <c r="B937" s="231"/>
      <c r="I937" s="392"/>
      <c r="K937" s="231"/>
      <c r="X937" s="1"/>
      <c r="Y937" s="1"/>
      <c r="Z937" s="1"/>
      <c r="AA937" s="1"/>
      <c r="AB937" s="392"/>
      <c r="AD937" s="231"/>
      <c r="AM937" s="231"/>
      <c r="AW937" s="1"/>
      <c r="AX937" s="1"/>
      <c r="AY937" s="1"/>
      <c r="AZ937" s="392"/>
      <c r="BB937" s="231"/>
    </row>
    <row r="938" spans="2:54" x14ac:dyDescent="0.25">
      <c r="B938" s="231"/>
      <c r="I938" s="392"/>
      <c r="K938" s="231"/>
      <c r="X938" s="1"/>
      <c r="Y938" s="1"/>
      <c r="Z938" s="1"/>
      <c r="AA938" s="1"/>
      <c r="AB938" s="392"/>
      <c r="AD938" s="231"/>
      <c r="AM938" s="231"/>
      <c r="AW938" s="1"/>
      <c r="AX938" s="1"/>
      <c r="AY938" s="1"/>
      <c r="AZ938" s="392"/>
      <c r="BB938" s="231"/>
    </row>
    <row r="939" spans="2:54" x14ac:dyDescent="0.25">
      <c r="B939" s="231"/>
      <c r="I939" s="392"/>
      <c r="K939" s="231"/>
      <c r="X939" s="1"/>
      <c r="Y939" s="1"/>
      <c r="Z939" s="1"/>
      <c r="AA939" s="1"/>
      <c r="AB939" s="392"/>
      <c r="AD939" s="231"/>
      <c r="AM939" s="231"/>
      <c r="AW939" s="1"/>
      <c r="AX939" s="1"/>
      <c r="AY939" s="1"/>
      <c r="AZ939" s="392"/>
      <c r="BB939" s="231"/>
    </row>
    <row r="940" spans="2:54" x14ac:dyDescent="0.25">
      <c r="B940" s="231"/>
      <c r="I940" s="392"/>
      <c r="K940" s="231"/>
      <c r="X940" s="1"/>
      <c r="Y940" s="1"/>
      <c r="Z940" s="1"/>
      <c r="AA940" s="1"/>
      <c r="AB940" s="392"/>
      <c r="AD940" s="231"/>
      <c r="AM940" s="231"/>
      <c r="AW940" s="1"/>
      <c r="AX940" s="1"/>
      <c r="AY940" s="1"/>
      <c r="AZ940" s="392"/>
      <c r="BB940" s="231"/>
    </row>
    <row r="941" spans="2:54" x14ac:dyDescent="0.25">
      <c r="B941" s="231"/>
      <c r="I941" s="392"/>
      <c r="K941" s="231"/>
      <c r="X941" s="1"/>
      <c r="Y941" s="1"/>
      <c r="Z941" s="1"/>
      <c r="AA941" s="1"/>
      <c r="AB941" s="392"/>
      <c r="AD941" s="231"/>
      <c r="AM941" s="231"/>
      <c r="AW941" s="1"/>
      <c r="AX941" s="1"/>
      <c r="AY941" s="1"/>
      <c r="AZ941" s="392"/>
      <c r="BB941" s="231"/>
    </row>
    <row r="942" spans="2:54" x14ac:dyDescent="0.25">
      <c r="B942" s="231"/>
      <c r="I942" s="392"/>
      <c r="K942" s="231"/>
      <c r="X942" s="1"/>
      <c r="Y942" s="1"/>
      <c r="Z942" s="1"/>
      <c r="AA942" s="1"/>
      <c r="AB942" s="392"/>
      <c r="AD942" s="231"/>
      <c r="AM942" s="231"/>
      <c r="AW942" s="1"/>
      <c r="AX942" s="1"/>
      <c r="AY942" s="1"/>
      <c r="AZ942" s="392"/>
      <c r="BB942" s="231"/>
    </row>
    <row r="943" spans="2:54" x14ac:dyDescent="0.25">
      <c r="B943" s="231"/>
      <c r="I943" s="392"/>
      <c r="K943" s="231"/>
      <c r="X943" s="1"/>
      <c r="Y943" s="1"/>
      <c r="Z943" s="1"/>
      <c r="AA943" s="1"/>
      <c r="AB943" s="392"/>
      <c r="AD943" s="231"/>
      <c r="AM943" s="231"/>
      <c r="AW943" s="1"/>
      <c r="AX943" s="1"/>
      <c r="AY943" s="1"/>
      <c r="AZ943" s="392"/>
      <c r="BB943" s="231"/>
    </row>
    <row r="944" spans="2:54" x14ac:dyDescent="0.25">
      <c r="B944" s="231"/>
      <c r="I944" s="392"/>
      <c r="K944" s="231"/>
      <c r="X944" s="1"/>
      <c r="Y944" s="1"/>
      <c r="Z944" s="1"/>
      <c r="AA944" s="1"/>
      <c r="AB944" s="392"/>
      <c r="AD944" s="231"/>
      <c r="AM944" s="231"/>
      <c r="AW944" s="1"/>
      <c r="AX944" s="1"/>
      <c r="AY944" s="1"/>
      <c r="AZ944" s="392"/>
      <c r="BB944" s="231"/>
    </row>
    <row r="945" spans="2:54" x14ac:dyDescent="0.25">
      <c r="B945" s="231"/>
      <c r="I945" s="392"/>
      <c r="K945" s="231"/>
      <c r="X945" s="1"/>
      <c r="Y945" s="1"/>
      <c r="Z945" s="1"/>
      <c r="AA945" s="1"/>
      <c r="AB945" s="392"/>
      <c r="AD945" s="231"/>
      <c r="AM945" s="231"/>
      <c r="AW945" s="1"/>
      <c r="AX945" s="1"/>
      <c r="AY945" s="1"/>
      <c r="AZ945" s="392"/>
      <c r="BB945" s="231"/>
    </row>
    <row r="946" spans="2:54" x14ac:dyDescent="0.25">
      <c r="B946" s="231"/>
      <c r="I946" s="392"/>
      <c r="K946" s="231"/>
      <c r="X946" s="1"/>
      <c r="Y946" s="1"/>
      <c r="Z946" s="1"/>
      <c r="AA946" s="1"/>
      <c r="AB946" s="392"/>
      <c r="AD946" s="231"/>
      <c r="AM946" s="231"/>
      <c r="AW946" s="1"/>
      <c r="AX946" s="1"/>
      <c r="AY946" s="1"/>
      <c r="AZ946" s="392"/>
      <c r="BB946" s="231"/>
    </row>
    <row r="947" spans="2:54" x14ac:dyDescent="0.25">
      <c r="B947" s="231"/>
      <c r="I947" s="392"/>
      <c r="K947" s="231"/>
      <c r="X947" s="1"/>
      <c r="Y947" s="1"/>
      <c r="Z947" s="1"/>
      <c r="AA947" s="1"/>
      <c r="AB947" s="392"/>
      <c r="AD947" s="231"/>
      <c r="AM947" s="231"/>
      <c r="AW947" s="1"/>
      <c r="AX947" s="1"/>
      <c r="AY947" s="1"/>
      <c r="AZ947" s="392"/>
      <c r="BB947" s="231"/>
    </row>
    <row r="948" spans="2:54" x14ac:dyDescent="0.25">
      <c r="B948" s="231"/>
      <c r="I948" s="392"/>
      <c r="K948" s="231"/>
      <c r="X948" s="1"/>
      <c r="Y948" s="1"/>
      <c r="Z948" s="1"/>
      <c r="AA948" s="1"/>
      <c r="AB948" s="392"/>
      <c r="AD948" s="231"/>
      <c r="AM948" s="231"/>
      <c r="AW948" s="1"/>
      <c r="AX948" s="1"/>
      <c r="AY948" s="1"/>
      <c r="AZ948" s="392"/>
      <c r="BB948" s="231"/>
    </row>
    <row r="949" spans="2:54" x14ac:dyDescent="0.25">
      <c r="B949" s="231"/>
      <c r="I949" s="392"/>
      <c r="K949" s="231"/>
      <c r="X949" s="1"/>
      <c r="Y949" s="1"/>
      <c r="Z949" s="1"/>
      <c r="AA949" s="1"/>
      <c r="AB949" s="392"/>
      <c r="AD949" s="231"/>
      <c r="AM949" s="231"/>
      <c r="AW949" s="1"/>
      <c r="AX949" s="1"/>
      <c r="AY949" s="1"/>
      <c r="AZ949" s="392"/>
      <c r="BB949" s="231"/>
    </row>
    <row r="950" spans="2:54" x14ac:dyDescent="0.25">
      <c r="B950" s="231"/>
      <c r="I950" s="392"/>
      <c r="K950" s="231"/>
      <c r="X950" s="1"/>
      <c r="Y950" s="1"/>
      <c r="Z950" s="1"/>
      <c r="AA950" s="1"/>
      <c r="AB950" s="392"/>
      <c r="AD950" s="231"/>
      <c r="AM950" s="231"/>
      <c r="AW950" s="1"/>
      <c r="AX950" s="1"/>
      <c r="AY950" s="1"/>
      <c r="AZ950" s="392"/>
      <c r="BB950" s="231"/>
    </row>
    <row r="951" spans="2:54" x14ac:dyDescent="0.25">
      <c r="B951" s="231"/>
      <c r="I951" s="392"/>
      <c r="K951" s="231"/>
      <c r="X951" s="1"/>
      <c r="Y951" s="1"/>
      <c r="Z951" s="1"/>
      <c r="AA951" s="1"/>
      <c r="AB951" s="392"/>
      <c r="AD951" s="231"/>
      <c r="AM951" s="231"/>
      <c r="AW951" s="1"/>
      <c r="AX951" s="1"/>
      <c r="AY951" s="1"/>
      <c r="AZ951" s="392"/>
      <c r="BB951" s="231"/>
    </row>
    <row r="952" spans="2:54" x14ac:dyDescent="0.25">
      <c r="B952" s="231"/>
      <c r="I952" s="392"/>
      <c r="K952" s="231"/>
      <c r="X952" s="1"/>
      <c r="Y952" s="1"/>
      <c r="Z952" s="1"/>
      <c r="AA952" s="1"/>
      <c r="AB952" s="392"/>
      <c r="AD952" s="231"/>
      <c r="AM952" s="231"/>
      <c r="AW952" s="1"/>
      <c r="AX952" s="1"/>
      <c r="AY952" s="1"/>
      <c r="AZ952" s="392"/>
      <c r="BB952" s="231"/>
    </row>
    <row r="953" spans="2:54" x14ac:dyDescent="0.25">
      <c r="B953" s="231"/>
      <c r="I953" s="392"/>
      <c r="K953" s="231"/>
      <c r="X953" s="1"/>
      <c r="Y953" s="1"/>
      <c r="Z953" s="1"/>
      <c r="AA953" s="1"/>
      <c r="AB953" s="392"/>
      <c r="AD953" s="231"/>
      <c r="AM953" s="231"/>
      <c r="AW953" s="1"/>
      <c r="AX953" s="1"/>
      <c r="AY953" s="1"/>
      <c r="AZ953" s="392"/>
      <c r="BB953" s="231"/>
    </row>
    <row r="954" spans="2:54" x14ac:dyDescent="0.25">
      <c r="B954" s="231"/>
      <c r="I954" s="392"/>
      <c r="K954" s="231"/>
      <c r="X954" s="1"/>
      <c r="Y954" s="1"/>
      <c r="Z954" s="1"/>
      <c r="AA954" s="1"/>
      <c r="AB954" s="392"/>
      <c r="AD954" s="231"/>
      <c r="AM954" s="231"/>
      <c r="AW954" s="1"/>
      <c r="AX954" s="1"/>
      <c r="AY954" s="1"/>
      <c r="AZ954" s="392"/>
      <c r="BB954" s="231"/>
    </row>
    <row r="955" spans="2:54" x14ac:dyDescent="0.25">
      <c r="B955" s="231"/>
      <c r="I955" s="392"/>
      <c r="K955" s="231"/>
      <c r="X955" s="1"/>
      <c r="Y955" s="1"/>
      <c r="Z955" s="1"/>
      <c r="AA955" s="1"/>
      <c r="AB955" s="392"/>
      <c r="AD955" s="231"/>
      <c r="AM955" s="231"/>
      <c r="AW955" s="1"/>
      <c r="AX955" s="1"/>
      <c r="AY955" s="1"/>
      <c r="AZ955" s="392"/>
      <c r="BB955" s="231"/>
    </row>
    <row r="956" spans="2:54" x14ac:dyDescent="0.25">
      <c r="B956" s="231"/>
      <c r="I956" s="392"/>
      <c r="K956" s="231"/>
      <c r="X956" s="1"/>
      <c r="Y956" s="1"/>
      <c r="Z956" s="1"/>
      <c r="AA956" s="1"/>
      <c r="AB956" s="392"/>
      <c r="AD956" s="231"/>
      <c r="AM956" s="231"/>
      <c r="AW956" s="1"/>
      <c r="AX956" s="1"/>
      <c r="AY956" s="1"/>
      <c r="AZ956" s="392"/>
      <c r="BB956" s="231"/>
    </row>
    <row r="957" spans="2:54" x14ac:dyDescent="0.25">
      <c r="B957" s="231"/>
      <c r="I957" s="392"/>
      <c r="K957" s="231"/>
      <c r="X957" s="1"/>
      <c r="Y957" s="1"/>
      <c r="Z957" s="1"/>
      <c r="AA957" s="1"/>
      <c r="AB957" s="392"/>
      <c r="AD957" s="231"/>
      <c r="AM957" s="231"/>
      <c r="AW957" s="1"/>
      <c r="AX957" s="1"/>
      <c r="AY957" s="1"/>
      <c r="AZ957" s="392"/>
      <c r="BB957" s="231"/>
    </row>
    <row r="958" spans="2:54" x14ac:dyDescent="0.25">
      <c r="B958" s="231"/>
      <c r="I958" s="392"/>
      <c r="K958" s="231"/>
      <c r="X958" s="1"/>
      <c r="Y958" s="1"/>
      <c r="Z958" s="1"/>
      <c r="AA958" s="1"/>
      <c r="AB958" s="392"/>
      <c r="AD958" s="231"/>
      <c r="AM958" s="231"/>
      <c r="AW958" s="1"/>
      <c r="AX958" s="1"/>
      <c r="AY958" s="1"/>
      <c r="AZ958" s="392"/>
      <c r="BB958" s="231"/>
    </row>
    <row r="959" spans="2:54" x14ac:dyDescent="0.25">
      <c r="B959" s="231"/>
      <c r="I959" s="392"/>
      <c r="K959" s="231"/>
      <c r="X959" s="1"/>
      <c r="Y959" s="1"/>
      <c r="Z959" s="1"/>
      <c r="AA959" s="1"/>
      <c r="AB959" s="392"/>
      <c r="AD959" s="231"/>
      <c r="AM959" s="231"/>
      <c r="AW959" s="1"/>
      <c r="AX959" s="1"/>
      <c r="AY959" s="1"/>
      <c r="AZ959" s="392"/>
      <c r="BB959" s="231"/>
    </row>
    <row r="960" spans="2:54" x14ac:dyDescent="0.25">
      <c r="B960" s="231"/>
      <c r="I960" s="392"/>
      <c r="K960" s="231"/>
      <c r="X960" s="1"/>
      <c r="Y960" s="1"/>
      <c r="Z960" s="1"/>
      <c r="AA960" s="1"/>
      <c r="AB960" s="392"/>
      <c r="AD960" s="231"/>
      <c r="AM960" s="231"/>
      <c r="AW960" s="1"/>
      <c r="AX960" s="1"/>
      <c r="AY960" s="1"/>
      <c r="AZ960" s="392"/>
      <c r="BB960" s="231"/>
    </row>
    <row r="961" spans="2:54" x14ac:dyDescent="0.25">
      <c r="B961" s="231"/>
      <c r="I961" s="392"/>
      <c r="K961" s="231"/>
      <c r="X961" s="1"/>
      <c r="Y961" s="1"/>
      <c r="Z961" s="1"/>
      <c r="AA961" s="1"/>
      <c r="AB961" s="392"/>
      <c r="AD961" s="231"/>
      <c r="AM961" s="231"/>
      <c r="AW961" s="1"/>
      <c r="AX961" s="1"/>
      <c r="AY961" s="1"/>
      <c r="AZ961" s="392"/>
      <c r="BB961" s="231"/>
    </row>
    <row r="962" spans="2:54" x14ac:dyDescent="0.25">
      <c r="B962" s="231"/>
      <c r="I962" s="392"/>
      <c r="K962" s="231"/>
      <c r="X962" s="1"/>
      <c r="Y962" s="1"/>
      <c r="Z962" s="1"/>
      <c r="AA962" s="1"/>
      <c r="AB962" s="392"/>
      <c r="AD962" s="231"/>
      <c r="AM962" s="231"/>
      <c r="AW962" s="1"/>
      <c r="AX962" s="1"/>
      <c r="AY962" s="1"/>
      <c r="AZ962" s="392"/>
      <c r="BB962" s="231"/>
    </row>
    <row r="963" spans="2:54" x14ac:dyDescent="0.25">
      <c r="B963" s="231"/>
      <c r="I963" s="392"/>
      <c r="K963" s="231"/>
      <c r="X963" s="1"/>
      <c r="Y963" s="1"/>
      <c r="Z963" s="1"/>
      <c r="AA963" s="1"/>
      <c r="AB963" s="392"/>
      <c r="AD963" s="231"/>
      <c r="AM963" s="231"/>
      <c r="AW963" s="1"/>
      <c r="AX963" s="1"/>
      <c r="AY963" s="1"/>
      <c r="AZ963" s="392"/>
      <c r="BB963" s="231"/>
    </row>
    <row r="964" spans="2:54" x14ac:dyDescent="0.25">
      <c r="B964" s="231"/>
      <c r="I964" s="392"/>
      <c r="K964" s="231"/>
      <c r="X964" s="1"/>
      <c r="Y964" s="1"/>
      <c r="Z964" s="1"/>
      <c r="AA964" s="1"/>
      <c r="AB964" s="392"/>
      <c r="AD964" s="231"/>
      <c r="AM964" s="231"/>
      <c r="AW964" s="1"/>
      <c r="AX964" s="1"/>
      <c r="AY964" s="1"/>
      <c r="AZ964" s="392"/>
      <c r="BB964" s="231"/>
    </row>
    <row r="965" spans="2:54" x14ac:dyDescent="0.25">
      <c r="B965" s="231"/>
      <c r="I965" s="392"/>
      <c r="K965" s="231"/>
      <c r="X965" s="1"/>
      <c r="Y965" s="1"/>
      <c r="Z965" s="1"/>
      <c r="AA965" s="1"/>
      <c r="AB965" s="392"/>
      <c r="AD965" s="231"/>
      <c r="AM965" s="231"/>
      <c r="AW965" s="1"/>
      <c r="AX965" s="1"/>
      <c r="AY965" s="1"/>
      <c r="AZ965" s="392"/>
      <c r="BB965" s="231"/>
    </row>
    <row r="966" spans="2:54" x14ac:dyDescent="0.25">
      <c r="B966" s="231"/>
      <c r="I966" s="392"/>
      <c r="K966" s="231"/>
      <c r="X966" s="1"/>
      <c r="Y966" s="1"/>
      <c r="Z966" s="1"/>
      <c r="AA966" s="1"/>
      <c r="AB966" s="392"/>
      <c r="AD966" s="231"/>
      <c r="AM966" s="231"/>
      <c r="AW966" s="1"/>
      <c r="AX966" s="1"/>
      <c r="AY966" s="1"/>
      <c r="AZ966" s="392"/>
      <c r="BB966" s="231"/>
    </row>
    <row r="967" spans="2:54" x14ac:dyDescent="0.25">
      <c r="B967" s="231"/>
      <c r="I967" s="392"/>
      <c r="K967" s="231"/>
      <c r="X967" s="1"/>
      <c r="Y967" s="1"/>
      <c r="Z967" s="1"/>
      <c r="AA967" s="1"/>
      <c r="AB967" s="392"/>
      <c r="AD967" s="231"/>
      <c r="AM967" s="231"/>
      <c r="AW967" s="1"/>
      <c r="AX967" s="1"/>
      <c r="AY967" s="1"/>
      <c r="AZ967" s="392"/>
      <c r="BB967" s="231"/>
    </row>
    <row r="968" spans="2:54" x14ac:dyDescent="0.25">
      <c r="B968" s="231"/>
      <c r="I968" s="392"/>
      <c r="K968" s="231"/>
      <c r="X968" s="1"/>
      <c r="Y968" s="1"/>
      <c r="Z968" s="1"/>
      <c r="AA968" s="1"/>
      <c r="AB968" s="392"/>
      <c r="AD968" s="231"/>
      <c r="AM968" s="231"/>
      <c r="AW968" s="1"/>
      <c r="AX968" s="1"/>
      <c r="AY968" s="1"/>
      <c r="AZ968" s="392"/>
      <c r="BB968" s="231"/>
    </row>
    <row r="969" spans="2:54" x14ac:dyDescent="0.25">
      <c r="B969" s="231"/>
      <c r="I969" s="392"/>
      <c r="K969" s="231"/>
      <c r="X969" s="1"/>
      <c r="Y969" s="1"/>
      <c r="Z969" s="1"/>
      <c r="AA969" s="1"/>
      <c r="AB969" s="392"/>
      <c r="AD969" s="231"/>
      <c r="AM969" s="231"/>
      <c r="AW969" s="1"/>
      <c r="AX969" s="1"/>
      <c r="AY969" s="1"/>
      <c r="AZ969" s="392"/>
      <c r="BB969" s="231"/>
    </row>
    <row r="970" spans="2:54" x14ac:dyDescent="0.25">
      <c r="B970" s="231"/>
      <c r="I970" s="392"/>
      <c r="K970" s="231"/>
      <c r="X970" s="1"/>
      <c r="Y970" s="1"/>
      <c r="Z970" s="1"/>
      <c r="AA970" s="1"/>
      <c r="AB970" s="392"/>
      <c r="AD970" s="231"/>
      <c r="AM970" s="231"/>
      <c r="AW970" s="1"/>
      <c r="AX970" s="1"/>
      <c r="AY970" s="1"/>
      <c r="AZ970" s="392"/>
      <c r="BB970" s="231"/>
    </row>
    <row r="971" spans="2:54" x14ac:dyDescent="0.25">
      <c r="B971" s="231"/>
      <c r="I971" s="392"/>
      <c r="K971" s="231"/>
      <c r="X971" s="1"/>
      <c r="Y971" s="1"/>
      <c r="Z971" s="1"/>
      <c r="AA971" s="1"/>
      <c r="AB971" s="392"/>
      <c r="AD971" s="231"/>
      <c r="AM971" s="231"/>
      <c r="AW971" s="1"/>
      <c r="AX971" s="1"/>
      <c r="AY971" s="1"/>
      <c r="AZ971" s="392"/>
      <c r="BB971" s="231"/>
    </row>
    <row r="972" spans="2:54" x14ac:dyDescent="0.25">
      <c r="B972" s="231"/>
      <c r="I972" s="392"/>
      <c r="K972" s="231"/>
      <c r="X972" s="1"/>
      <c r="Y972" s="1"/>
      <c r="Z972" s="1"/>
      <c r="AA972" s="1"/>
      <c r="AB972" s="392"/>
      <c r="AD972" s="231"/>
      <c r="AM972" s="231"/>
      <c r="AW972" s="1"/>
      <c r="AX972" s="1"/>
      <c r="AY972" s="1"/>
      <c r="AZ972" s="392"/>
      <c r="BB972" s="231"/>
    </row>
    <row r="973" spans="2:54" x14ac:dyDescent="0.25">
      <c r="B973" s="231"/>
      <c r="I973" s="392"/>
      <c r="K973" s="231"/>
      <c r="X973" s="1"/>
      <c r="Y973" s="1"/>
      <c r="Z973" s="1"/>
      <c r="AA973" s="1"/>
      <c r="AB973" s="392"/>
      <c r="AD973" s="231"/>
      <c r="AM973" s="231"/>
      <c r="AW973" s="1"/>
      <c r="AX973" s="1"/>
      <c r="AY973" s="1"/>
      <c r="AZ973" s="392"/>
      <c r="BB973" s="231"/>
    </row>
    <row r="974" spans="2:54" x14ac:dyDescent="0.25">
      <c r="B974" s="231"/>
      <c r="I974" s="392"/>
      <c r="K974" s="231"/>
      <c r="X974" s="1"/>
      <c r="Y974" s="1"/>
      <c r="Z974" s="1"/>
      <c r="AA974" s="1"/>
      <c r="AB974" s="392"/>
      <c r="AD974" s="231"/>
      <c r="AM974" s="231"/>
      <c r="AW974" s="1"/>
      <c r="AX974" s="1"/>
      <c r="AY974" s="1"/>
      <c r="AZ974" s="392"/>
      <c r="BB974" s="231"/>
    </row>
    <row r="975" spans="2:54" x14ac:dyDescent="0.25">
      <c r="B975" s="231"/>
      <c r="I975" s="392"/>
      <c r="K975" s="231"/>
      <c r="X975" s="1"/>
      <c r="Y975" s="1"/>
      <c r="Z975" s="1"/>
      <c r="AA975" s="1"/>
      <c r="AB975" s="392"/>
      <c r="AD975" s="231"/>
      <c r="AM975" s="231"/>
      <c r="AW975" s="1"/>
      <c r="AX975" s="1"/>
      <c r="AY975" s="1"/>
      <c r="AZ975" s="392"/>
      <c r="BB975" s="231"/>
    </row>
    <row r="976" spans="2:54" x14ac:dyDescent="0.25">
      <c r="B976" s="231"/>
      <c r="I976" s="392"/>
      <c r="K976" s="231"/>
      <c r="X976" s="1"/>
      <c r="Y976" s="1"/>
      <c r="Z976" s="1"/>
      <c r="AA976" s="1"/>
      <c r="AB976" s="392"/>
      <c r="AD976" s="231"/>
      <c r="AM976" s="231"/>
      <c r="AW976" s="1"/>
      <c r="AX976" s="1"/>
      <c r="AY976" s="1"/>
      <c r="AZ976" s="392"/>
      <c r="BB976" s="231"/>
    </row>
    <row r="977" spans="2:54" x14ac:dyDescent="0.25">
      <c r="B977" s="231"/>
      <c r="I977" s="392"/>
      <c r="K977" s="231"/>
      <c r="X977" s="1"/>
      <c r="Y977" s="1"/>
      <c r="Z977" s="1"/>
      <c r="AA977" s="1"/>
      <c r="AB977" s="392"/>
      <c r="AD977" s="231"/>
      <c r="AM977" s="231"/>
      <c r="AW977" s="1"/>
      <c r="AX977" s="1"/>
      <c r="AY977" s="1"/>
      <c r="AZ977" s="392"/>
      <c r="BB977" s="231"/>
    </row>
    <row r="978" spans="2:54" x14ac:dyDescent="0.25">
      <c r="B978" s="231"/>
      <c r="I978" s="392"/>
      <c r="K978" s="231"/>
      <c r="X978" s="1"/>
      <c r="Y978" s="1"/>
      <c r="Z978" s="1"/>
      <c r="AA978" s="1"/>
      <c r="AB978" s="392"/>
      <c r="AD978" s="231"/>
      <c r="AM978" s="231"/>
      <c r="AW978" s="1"/>
      <c r="AX978" s="1"/>
      <c r="AY978" s="1"/>
      <c r="AZ978" s="392"/>
      <c r="BB978" s="231"/>
    </row>
    <row r="979" spans="2:54" x14ac:dyDescent="0.25">
      <c r="B979" s="231"/>
      <c r="I979" s="392"/>
      <c r="K979" s="231"/>
      <c r="X979" s="1"/>
      <c r="Y979" s="1"/>
      <c r="Z979" s="1"/>
      <c r="AA979" s="1"/>
      <c r="AB979" s="392"/>
      <c r="AD979" s="231"/>
      <c r="AM979" s="231"/>
      <c r="AW979" s="1"/>
      <c r="AX979" s="1"/>
      <c r="AY979" s="1"/>
      <c r="AZ979" s="392"/>
      <c r="BB979" s="231"/>
    </row>
    <row r="980" spans="2:54" x14ac:dyDescent="0.25">
      <c r="B980" s="231"/>
      <c r="I980" s="392"/>
      <c r="K980" s="231"/>
      <c r="X980" s="1"/>
      <c r="Y980" s="1"/>
      <c r="Z980" s="1"/>
      <c r="AA980" s="1"/>
      <c r="AB980" s="392"/>
      <c r="AD980" s="231"/>
      <c r="AM980" s="231"/>
      <c r="AW980" s="1"/>
      <c r="AX980" s="1"/>
      <c r="AY980" s="1"/>
      <c r="AZ980" s="392"/>
      <c r="BB980" s="231"/>
    </row>
    <row r="981" spans="2:54" x14ac:dyDescent="0.25">
      <c r="B981" s="231"/>
      <c r="I981" s="392"/>
      <c r="K981" s="231"/>
      <c r="X981" s="1"/>
      <c r="Y981" s="1"/>
      <c r="Z981" s="1"/>
      <c r="AA981" s="1"/>
      <c r="AB981" s="392"/>
      <c r="AD981" s="231"/>
      <c r="AM981" s="231"/>
      <c r="AW981" s="1"/>
      <c r="AX981" s="1"/>
      <c r="AY981" s="1"/>
      <c r="AZ981" s="392"/>
      <c r="BB981" s="231"/>
    </row>
    <row r="982" spans="2:54" x14ac:dyDescent="0.25">
      <c r="B982" s="231"/>
      <c r="I982" s="392"/>
      <c r="K982" s="231"/>
      <c r="X982" s="1"/>
      <c r="Y982" s="1"/>
      <c r="Z982" s="1"/>
      <c r="AA982" s="1"/>
      <c r="AB982" s="392"/>
      <c r="AD982" s="231"/>
      <c r="AM982" s="231"/>
      <c r="AW982" s="1"/>
      <c r="AX982" s="1"/>
      <c r="AY982" s="1"/>
      <c r="AZ982" s="392"/>
      <c r="BB982" s="231"/>
    </row>
    <row r="983" spans="2:54" x14ac:dyDescent="0.25">
      <c r="B983" s="231"/>
      <c r="I983" s="392"/>
      <c r="K983" s="231"/>
      <c r="X983" s="1"/>
      <c r="Y983" s="1"/>
      <c r="Z983" s="1"/>
      <c r="AA983" s="1"/>
      <c r="AB983" s="392"/>
      <c r="AD983" s="231"/>
      <c r="AM983" s="231"/>
      <c r="AW983" s="1"/>
      <c r="AX983" s="1"/>
      <c r="AY983" s="1"/>
      <c r="AZ983" s="392"/>
      <c r="BB983" s="231"/>
    </row>
    <row r="984" spans="2:54" x14ac:dyDescent="0.25">
      <c r="B984" s="231"/>
      <c r="I984" s="392"/>
      <c r="K984" s="231"/>
      <c r="X984" s="1"/>
      <c r="Y984" s="1"/>
      <c r="Z984" s="1"/>
      <c r="AA984" s="1"/>
      <c r="AB984" s="392"/>
      <c r="AD984" s="231"/>
      <c r="AM984" s="231"/>
      <c r="AW984" s="1"/>
      <c r="AX984" s="1"/>
      <c r="AY984" s="1"/>
      <c r="AZ984" s="392"/>
      <c r="BB984" s="231"/>
    </row>
    <row r="985" spans="2:54" x14ac:dyDescent="0.25">
      <c r="B985" s="231"/>
      <c r="I985" s="392"/>
      <c r="K985" s="231"/>
      <c r="X985" s="1"/>
      <c r="Y985" s="1"/>
      <c r="Z985" s="1"/>
      <c r="AA985" s="1"/>
      <c r="AB985" s="392"/>
      <c r="AD985" s="231"/>
      <c r="AM985" s="231"/>
      <c r="AW985" s="1"/>
      <c r="AX985" s="1"/>
      <c r="AY985" s="1"/>
      <c r="AZ985" s="392"/>
      <c r="BB985" s="231"/>
    </row>
    <row r="986" spans="2:54" x14ac:dyDescent="0.25">
      <c r="B986" s="231"/>
      <c r="I986" s="392"/>
      <c r="K986" s="231"/>
      <c r="X986" s="1"/>
      <c r="Y986" s="1"/>
      <c r="Z986" s="1"/>
      <c r="AA986" s="1"/>
      <c r="AB986" s="392"/>
      <c r="AD986" s="231"/>
      <c r="AM986" s="231"/>
      <c r="AW986" s="1"/>
      <c r="AX986" s="1"/>
      <c r="AY986" s="1"/>
      <c r="AZ986" s="392"/>
      <c r="BB986" s="231"/>
    </row>
    <row r="987" spans="2:54" x14ac:dyDescent="0.25">
      <c r="B987" s="231"/>
      <c r="I987" s="392"/>
      <c r="K987" s="231"/>
      <c r="X987" s="1"/>
      <c r="Y987" s="1"/>
      <c r="Z987" s="1"/>
      <c r="AA987" s="1"/>
      <c r="AB987" s="392"/>
      <c r="AD987" s="231"/>
      <c r="AM987" s="231"/>
      <c r="AW987" s="1"/>
      <c r="AX987" s="1"/>
      <c r="AY987" s="1"/>
      <c r="AZ987" s="392"/>
      <c r="BB987" s="231"/>
    </row>
    <row r="988" spans="2:54" x14ac:dyDescent="0.25">
      <c r="B988" s="231"/>
      <c r="I988" s="392"/>
      <c r="K988" s="231"/>
      <c r="X988" s="1"/>
      <c r="Y988" s="1"/>
      <c r="Z988" s="1"/>
      <c r="AA988" s="1"/>
      <c r="AB988" s="392"/>
      <c r="AD988" s="231"/>
      <c r="AM988" s="231"/>
      <c r="AW988" s="1"/>
      <c r="AX988" s="1"/>
      <c r="AY988" s="1"/>
      <c r="AZ988" s="392"/>
      <c r="BB988" s="231"/>
    </row>
    <row r="989" spans="2:54" x14ac:dyDescent="0.25">
      <c r="B989" s="231"/>
      <c r="I989" s="392"/>
      <c r="K989" s="231"/>
      <c r="X989" s="1"/>
      <c r="Y989" s="1"/>
      <c r="Z989" s="1"/>
      <c r="AA989" s="1"/>
      <c r="AB989" s="392"/>
      <c r="AD989" s="231"/>
      <c r="AM989" s="231"/>
      <c r="AW989" s="1"/>
      <c r="AX989" s="1"/>
      <c r="AY989" s="1"/>
      <c r="AZ989" s="392"/>
      <c r="BB989" s="231"/>
    </row>
    <row r="990" spans="2:54" x14ac:dyDescent="0.25">
      <c r="B990" s="231"/>
      <c r="I990" s="392"/>
      <c r="K990" s="231"/>
      <c r="X990" s="1"/>
      <c r="Y990" s="1"/>
      <c r="Z990" s="1"/>
      <c r="AA990" s="1"/>
      <c r="AB990" s="392"/>
      <c r="AD990" s="231"/>
      <c r="AM990" s="231"/>
      <c r="AW990" s="1"/>
      <c r="AX990" s="1"/>
      <c r="AY990" s="1"/>
      <c r="AZ990" s="392"/>
      <c r="BB990" s="231"/>
    </row>
    <row r="991" spans="2:54" x14ac:dyDescent="0.25">
      <c r="B991" s="231"/>
      <c r="I991" s="392"/>
      <c r="K991" s="231"/>
      <c r="X991" s="1"/>
      <c r="Y991" s="1"/>
      <c r="Z991" s="1"/>
      <c r="AA991" s="1"/>
      <c r="AB991" s="392"/>
      <c r="AD991" s="231"/>
      <c r="AM991" s="231"/>
      <c r="AW991" s="1"/>
      <c r="AX991" s="1"/>
      <c r="AY991" s="1"/>
      <c r="AZ991" s="392"/>
      <c r="BB991" s="231"/>
    </row>
    <row r="992" spans="2:54" x14ac:dyDescent="0.25">
      <c r="B992" s="231"/>
      <c r="I992" s="392"/>
      <c r="K992" s="231"/>
      <c r="X992" s="1"/>
      <c r="Y992" s="1"/>
      <c r="Z992" s="1"/>
      <c r="AA992" s="1"/>
      <c r="AB992" s="392"/>
      <c r="AD992" s="231"/>
      <c r="AM992" s="231"/>
      <c r="AW992" s="1"/>
      <c r="AX992" s="1"/>
      <c r="AY992" s="1"/>
      <c r="AZ992" s="392"/>
      <c r="BB992" s="231"/>
    </row>
    <row r="993" spans="2:54" x14ac:dyDescent="0.25">
      <c r="B993" s="231"/>
      <c r="I993" s="392"/>
      <c r="K993" s="231"/>
      <c r="X993" s="1"/>
      <c r="Y993" s="1"/>
      <c r="Z993" s="1"/>
      <c r="AA993" s="1"/>
      <c r="AB993" s="392"/>
      <c r="AD993" s="231"/>
      <c r="AM993" s="231"/>
      <c r="AZ993" s="392"/>
      <c r="BB993" s="231"/>
    </row>
    <row r="994" spans="2:54" x14ac:dyDescent="0.25">
      <c r="B994" s="231"/>
      <c r="I994" s="392"/>
      <c r="K994" s="231"/>
      <c r="X994" s="1"/>
      <c r="Y994" s="1"/>
      <c r="Z994" s="1"/>
      <c r="AA994" s="1"/>
      <c r="AB994" s="392"/>
      <c r="AD994" s="231"/>
      <c r="AM994" s="231"/>
      <c r="AZ994" s="392"/>
      <c r="BB994" s="231"/>
    </row>
    <row r="995" spans="2:54" x14ac:dyDescent="0.25">
      <c r="B995" s="231"/>
      <c r="I995" s="392"/>
      <c r="K995" s="231"/>
      <c r="X995" s="1"/>
      <c r="Y995" s="1"/>
      <c r="Z995" s="1"/>
      <c r="AA995" s="1"/>
      <c r="AB995" s="392"/>
      <c r="AD995" s="231"/>
      <c r="AM995" s="231"/>
      <c r="AZ995" s="392"/>
      <c r="BB995" s="231"/>
    </row>
    <row r="996" spans="2:54" x14ac:dyDescent="0.25">
      <c r="B996" s="231"/>
      <c r="I996" s="392"/>
      <c r="K996" s="231"/>
      <c r="X996" s="1"/>
      <c r="Y996" s="1"/>
      <c r="Z996" s="1"/>
      <c r="AA996" s="1"/>
      <c r="AB996" s="392"/>
      <c r="AD996" s="231"/>
      <c r="AM996" s="231"/>
      <c r="AZ996" s="392"/>
      <c r="BB996" s="231"/>
    </row>
    <row r="997" spans="2:54" x14ac:dyDescent="0.25">
      <c r="B997" s="231"/>
      <c r="I997" s="392"/>
      <c r="K997" s="231"/>
      <c r="X997" s="1"/>
      <c r="Y997" s="1"/>
      <c r="Z997" s="1"/>
      <c r="AA997" s="1"/>
      <c r="AB997" s="392"/>
      <c r="AD997" s="231"/>
      <c r="AM997" s="231"/>
      <c r="AZ997" s="392"/>
      <c r="BB997" s="231"/>
    </row>
    <row r="998" spans="2:54" x14ac:dyDescent="0.25">
      <c r="B998" s="231"/>
      <c r="I998" s="392"/>
      <c r="K998" s="231"/>
      <c r="X998" s="1"/>
      <c r="Y998" s="1"/>
      <c r="Z998" s="1"/>
      <c r="AA998" s="1"/>
      <c r="AB998" s="392"/>
      <c r="AD998" s="231"/>
      <c r="AM998" s="231"/>
      <c r="AZ998" s="392"/>
      <c r="BB998" s="231"/>
    </row>
    <row r="999" spans="2:54" x14ac:dyDescent="0.25">
      <c r="B999" s="231"/>
      <c r="I999" s="392"/>
      <c r="K999" s="231"/>
      <c r="X999" s="1"/>
      <c r="Y999" s="1"/>
      <c r="Z999" s="1"/>
      <c r="AA999" s="1"/>
      <c r="AB999" s="392"/>
      <c r="AD999" s="231"/>
      <c r="AM999" s="231"/>
      <c r="AZ999" s="392"/>
      <c r="BB999" s="231"/>
    </row>
    <row r="1000" spans="2:54" x14ac:dyDescent="0.25">
      <c r="B1000" s="231"/>
      <c r="I1000" s="392"/>
      <c r="K1000" s="231"/>
      <c r="X1000" s="1"/>
      <c r="Y1000" s="1"/>
      <c r="Z1000" s="1"/>
      <c r="AA1000" s="1"/>
      <c r="AB1000" s="392"/>
      <c r="AD1000" s="231"/>
      <c r="AM1000" s="231"/>
      <c r="AZ1000" s="392"/>
      <c r="BB1000" s="231"/>
    </row>
  </sheetData>
  <mergeCells count="10">
    <mergeCell ref="AN3:AV3"/>
    <mergeCell ref="AN5:AP5"/>
    <mergeCell ref="AE3:AL3"/>
    <mergeCell ref="AE5:AG5"/>
    <mergeCell ref="C3:H3"/>
    <mergeCell ref="L3:W3"/>
    <mergeCell ref="L5:O5"/>
    <mergeCell ref="Q5:S5"/>
    <mergeCell ref="U5:V5"/>
    <mergeCell ref="Y5:AA5"/>
  </mergeCells>
  <pageMargins left="0.7" right="0.7" top="0.75" bottom="0.75" header="0.3" footer="0.3"/>
  <ignoredErrors>
    <ignoredError sqref="S12 S14 S16 S18 S20" formula="1"/>
  </ignoredErrors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5C9E-D2B1-4161-A6C7-971EE6F42C3E}">
  <dimension ref="B1:AB1000"/>
  <sheetViews>
    <sheetView showGridLines="0" topLeftCell="K22" zoomScale="70" zoomScaleNormal="70" workbookViewId="0">
      <selection activeCell="O9" sqref="O9"/>
    </sheetView>
  </sheetViews>
  <sheetFormatPr baseColWidth="10" defaultRowHeight="15" x14ac:dyDescent="0.25"/>
  <cols>
    <col min="2" max="2" width="34.85546875" customWidth="1"/>
    <col min="3" max="3" width="21.28515625" customWidth="1"/>
    <col min="4" max="4" width="19.85546875" customWidth="1"/>
    <col min="5" max="5" width="20.7109375" customWidth="1"/>
    <col min="8" max="8" width="11.28515625" customWidth="1"/>
    <col min="9" max="9" width="25.28515625" customWidth="1"/>
    <col min="10" max="10" width="23.85546875" customWidth="1"/>
    <col min="11" max="11" width="21.28515625" customWidth="1"/>
    <col min="12" max="12" width="5.5703125" customWidth="1"/>
    <col min="13" max="13" width="20.28515625" customWidth="1"/>
    <col min="14" max="15" width="11.28515625" customWidth="1"/>
    <col min="16" max="16" width="20.7109375" customWidth="1"/>
    <col min="17" max="17" width="6.5703125" customWidth="1"/>
    <col min="18" max="18" width="22.28515625" customWidth="1"/>
    <col min="19" max="19" width="7.42578125" customWidth="1"/>
    <col min="20" max="20" width="21.7109375" customWidth="1"/>
    <col min="21" max="21" width="21.28515625" customWidth="1"/>
    <col min="22" max="22" width="7.42578125" customWidth="1"/>
    <col min="23" max="23" width="5.7109375" customWidth="1"/>
    <col min="24" max="24" width="22.7109375" customWidth="1"/>
    <col min="25" max="25" width="16.42578125" customWidth="1"/>
    <col min="26" max="26" width="10.7109375" customWidth="1"/>
    <col min="27" max="27" width="8.85546875" customWidth="1"/>
    <col min="28" max="28" width="7.28515625" customWidth="1"/>
  </cols>
  <sheetData>
    <row r="1" spans="2:28" x14ac:dyDescent="0.25">
      <c r="H1" s="473"/>
      <c r="I1" s="1"/>
      <c r="J1" s="1"/>
      <c r="K1" s="1"/>
      <c r="L1" s="1"/>
      <c r="M1" s="1"/>
      <c r="N1" s="1"/>
      <c r="O1" s="1"/>
      <c r="P1" s="1"/>
      <c r="Q1" s="474"/>
      <c r="S1" s="231"/>
      <c r="AA1" s="1"/>
      <c r="AB1" s="392"/>
    </row>
    <row r="2" spans="2:28" x14ac:dyDescent="0.25">
      <c r="H2" s="473"/>
      <c r="I2" s="1"/>
      <c r="J2" s="1"/>
      <c r="K2" s="1"/>
      <c r="L2" s="1"/>
      <c r="M2" s="1"/>
      <c r="N2" s="1"/>
      <c r="O2" s="1"/>
      <c r="P2" s="1"/>
      <c r="Q2" s="474"/>
      <c r="S2" s="231"/>
      <c r="AA2" s="1"/>
      <c r="AB2" s="392"/>
    </row>
    <row r="3" spans="2:28" ht="21" x14ac:dyDescent="0.35">
      <c r="H3" s="475"/>
      <c r="I3" s="739" t="s">
        <v>788</v>
      </c>
      <c r="J3" s="714"/>
      <c r="K3" s="714"/>
      <c r="L3" s="714"/>
      <c r="M3" s="714"/>
      <c r="N3" s="714"/>
      <c r="O3" s="714"/>
      <c r="P3" s="714"/>
      <c r="Q3" s="474"/>
      <c r="S3" s="231"/>
      <c r="T3" s="739" t="s">
        <v>789</v>
      </c>
      <c r="U3" s="714"/>
      <c r="V3" s="714"/>
      <c r="W3" s="714"/>
      <c r="X3" s="714"/>
      <c r="Y3" s="714"/>
      <c r="Z3" s="714"/>
      <c r="AA3" s="401"/>
      <c r="AB3" s="392"/>
    </row>
    <row r="4" spans="2:28" ht="15.75" x14ac:dyDescent="0.25">
      <c r="B4" s="395" t="s">
        <v>804</v>
      </c>
      <c r="C4" s="395"/>
      <c r="D4" s="395"/>
      <c r="E4" s="395"/>
      <c r="H4" s="473"/>
      <c r="I4" s="1"/>
      <c r="J4" s="1"/>
      <c r="K4" s="1"/>
      <c r="L4" s="1"/>
      <c r="M4" s="1"/>
      <c r="N4" s="1"/>
      <c r="O4" s="1"/>
      <c r="P4" s="1"/>
      <c r="Q4" s="474"/>
      <c r="S4" s="231"/>
      <c r="AA4" s="1"/>
      <c r="AB4" s="392"/>
    </row>
    <row r="5" spans="2:28" ht="15.75" x14ac:dyDescent="0.25">
      <c r="H5" s="476"/>
      <c r="I5" s="740" t="s">
        <v>790</v>
      </c>
      <c r="J5" s="712"/>
      <c r="K5" s="712"/>
      <c r="L5" s="712"/>
      <c r="M5" s="712"/>
      <c r="N5" s="712"/>
      <c r="O5" s="712"/>
      <c r="P5" s="446"/>
      <c r="Q5" s="477"/>
      <c r="R5" s="395"/>
      <c r="S5" s="394"/>
      <c r="T5" s="740" t="s">
        <v>790</v>
      </c>
      <c r="U5" s="712"/>
      <c r="V5" s="712"/>
      <c r="W5" s="712"/>
      <c r="X5" s="712"/>
      <c r="Y5" s="712"/>
      <c r="Z5" s="712"/>
      <c r="AA5" s="712"/>
      <c r="AB5" s="396"/>
    </row>
    <row r="6" spans="2:28" x14ac:dyDescent="0.25">
      <c r="B6" s="202" t="s">
        <v>416</v>
      </c>
      <c r="H6" s="473"/>
      <c r="I6" s="1"/>
      <c r="J6" s="1"/>
      <c r="K6" s="1"/>
      <c r="L6" s="1"/>
      <c r="M6" s="1"/>
      <c r="N6" s="1"/>
      <c r="O6" s="1"/>
      <c r="P6" s="1"/>
      <c r="Q6" s="474"/>
      <c r="S6" s="231"/>
      <c r="AA6" s="1"/>
      <c r="AB6" s="392"/>
    </row>
    <row r="7" spans="2:28" x14ac:dyDescent="0.25">
      <c r="B7" s="183" t="s">
        <v>138</v>
      </c>
      <c r="C7" s="448" t="s">
        <v>417</v>
      </c>
      <c r="D7" s="448" t="s">
        <v>418</v>
      </c>
      <c r="E7" s="198" t="s">
        <v>447</v>
      </c>
      <c r="H7" s="473"/>
      <c r="I7" s="202" t="s">
        <v>416</v>
      </c>
      <c r="L7" s="1"/>
      <c r="M7" s="202" t="s">
        <v>416</v>
      </c>
      <c r="P7" s="1"/>
      <c r="Q7" s="474"/>
      <c r="S7" s="231"/>
      <c r="T7" s="202" t="s">
        <v>416</v>
      </c>
      <c r="X7" s="202" t="s">
        <v>416</v>
      </c>
      <c r="Y7" s="202"/>
      <c r="AA7" s="1"/>
      <c r="AB7" s="392"/>
    </row>
    <row r="8" spans="2:28" x14ac:dyDescent="0.25">
      <c r="B8" s="12" t="str">
        <f>PROCESS!D114</f>
        <v>COMPRA-ELC-COL-CAM2</v>
      </c>
      <c r="C8" s="14" t="s">
        <v>115</v>
      </c>
      <c r="D8" s="11" t="str">
        <f>U27</f>
        <v>ELC-COL-CAM2</v>
      </c>
      <c r="E8" s="178">
        <v>1</v>
      </c>
      <c r="H8" s="478"/>
      <c r="I8" s="479" t="s">
        <v>138</v>
      </c>
      <c r="J8" s="480" t="s">
        <v>417</v>
      </c>
      <c r="K8" s="479" t="s">
        <v>535</v>
      </c>
      <c r="L8" s="412"/>
      <c r="M8" s="481" t="s">
        <v>138</v>
      </c>
      <c r="N8" s="480" t="s">
        <v>418</v>
      </c>
      <c r="O8" s="482" t="s">
        <v>447</v>
      </c>
      <c r="P8" s="412"/>
      <c r="Q8" s="474"/>
      <c r="S8" s="231"/>
      <c r="T8" s="483" t="s">
        <v>138</v>
      </c>
      <c r="U8" s="450" t="s">
        <v>417</v>
      </c>
      <c r="V8" s="412"/>
      <c r="X8" s="483" t="s">
        <v>138</v>
      </c>
      <c r="Y8" s="450" t="s">
        <v>418</v>
      </c>
      <c r="Z8" s="451" t="s">
        <v>447</v>
      </c>
      <c r="AA8" s="484"/>
      <c r="AB8" s="485"/>
    </row>
    <row r="9" spans="2:28" x14ac:dyDescent="0.25">
      <c r="B9" s="12" t="str">
        <f>PROCESS!D115</f>
        <v>COMPRA-ELC-COL-CAM3</v>
      </c>
      <c r="C9" s="14" t="s">
        <v>115</v>
      </c>
      <c r="D9" s="11" t="str">
        <f t="shared" ref="D9:D13" si="0">U28</f>
        <v>ELC-COL-CAM3</v>
      </c>
      <c r="E9" s="178">
        <v>1</v>
      </c>
      <c r="H9" s="486"/>
      <c r="I9" s="12" t="str">
        <f>PROCESS!D121</f>
        <v>COL-OIL-CAM2</v>
      </c>
      <c r="J9" s="12" t="s">
        <v>78</v>
      </c>
      <c r="K9" s="487">
        <f>O9</f>
        <v>0.99765025652082218</v>
      </c>
      <c r="L9" s="452"/>
      <c r="M9" s="452" t="str">
        <f>I9</f>
        <v>COL-OIL-CAM2</v>
      </c>
      <c r="N9" s="452" t="s">
        <v>13</v>
      </c>
      <c r="O9" s="407">
        <f>1/(1+DataCAM!P249)</f>
        <v>0.99765025652082218</v>
      </c>
      <c r="P9" s="452"/>
      <c r="Q9" s="474"/>
      <c r="S9" s="231"/>
      <c r="T9" s="12" t="str">
        <f>PROCESS!D127</f>
        <v>COL-GAS-CAM1</v>
      </c>
      <c r="U9" s="12" t="s">
        <v>64</v>
      </c>
      <c r="V9" s="147"/>
      <c r="X9" s="87" t="str">
        <f>PROCESS!D127</f>
        <v>COL-GAS-CAM1</v>
      </c>
      <c r="Y9" s="12" t="s">
        <v>7</v>
      </c>
      <c r="Z9" s="488">
        <f>1/(1+DataCAM!O248)</f>
        <v>0.99765025652082218</v>
      </c>
      <c r="AA9" s="489"/>
      <c r="AB9" s="490"/>
    </row>
    <row r="10" spans="2:28" x14ac:dyDescent="0.25">
      <c r="B10" s="12" t="str">
        <f>PROCESS!D116</f>
        <v>COMPRA-ELC-COL-CAM4</v>
      </c>
      <c r="C10" s="14" t="s">
        <v>115</v>
      </c>
      <c r="D10" s="11" t="str">
        <f t="shared" si="0"/>
        <v>ELC-COL-CAM4</v>
      </c>
      <c r="E10" s="178">
        <v>1</v>
      </c>
      <c r="H10" s="486"/>
      <c r="J10" s="491" t="str">
        <f>D8</f>
        <v>ELC-COL-CAM2</v>
      </c>
      <c r="K10" s="487">
        <f>100%-K9</f>
        <v>2.3497434791778238E-3</v>
      </c>
      <c r="L10" s="452"/>
      <c r="M10" s="452" t="str">
        <f>I11</f>
        <v>COL-OIL-CAM3</v>
      </c>
      <c r="N10" s="452" t="s">
        <v>21</v>
      </c>
      <c r="O10" s="407">
        <f>1/(1+DataCAM!P250)</f>
        <v>0.99765025652082218</v>
      </c>
      <c r="P10" s="452"/>
      <c r="Q10" s="474"/>
      <c r="S10" s="231"/>
      <c r="U10" s="11" t="s">
        <v>232</v>
      </c>
      <c r="V10" s="147"/>
      <c r="X10" s="87" t="str">
        <f>PROCESS!D128</f>
        <v>COL-GAS-CAM2</v>
      </c>
      <c r="Y10" s="12" t="s">
        <v>7</v>
      </c>
      <c r="Z10" s="488">
        <f>1/(1+DataCAM!O249)</f>
        <v>0.99765025652082218</v>
      </c>
      <c r="AA10" s="489"/>
      <c r="AB10" s="490"/>
    </row>
    <row r="11" spans="2:28" x14ac:dyDescent="0.25">
      <c r="B11" s="12" t="str">
        <f>PROCESS!D117</f>
        <v>COMPRA-ELC-COL-CAM5</v>
      </c>
      <c r="C11" s="14" t="s">
        <v>115</v>
      </c>
      <c r="D11" s="11" t="str">
        <f t="shared" si="0"/>
        <v>ELC-COL-CAM5</v>
      </c>
      <c r="E11" s="178">
        <v>1</v>
      </c>
      <c r="H11" s="486"/>
      <c r="I11" s="12" t="str">
        <f>PROCESS!D122</f>
        <v>COL-OIL-CAM3</v>
      </c>
      <c r="J11" s="12" t="s">
        <v>89</v>
      </c>
      <c r="K11" s="487">
        <f>O10</f>
        <v>0.99765025652082218</v>
      </c>
      <c r="L11" s="452"/>
      <c r="M11" s="452" t="str">
        <f>I13</f>
        <v>COL-OIL-CAM4</v>
      </c>
      <c r="N11" s="452" t="s">
        <v>13</v>
      </c>
      <c r="O11" s="407">
        <f>1/(1+DataCAM!P251)</f>
        <v>0.99765025652082218</v>
      </c>
      <c r="P11" s="452"/>
      <c r="Q11" s="474"/>
      <c r="S11" s="231"/>
      <c r="T11" s="12" t="str">
        <f>X10</f>
        <v>COL-GAS-CAM2</v>
      </c>
      <c r="U11" s="12" t="s">
        <v>66</v>
      </c>
      <c r="V11" s="147"/>
      <c r="X11" s="87" t="str">
        <f>PROCESS!D129</f>
        <v>COL-GAS-CAM3</v>
      </c>
      <c r="Y11" s="12" t="s">
        <v>7</v>
      </c>
      <c r="Z11" s="488">
        <f>1/(1+DataCAM!O250)</f>
        <v>0.99765025652082218</v>
      </c>
      <c r="AA11" s="489"/>
      <c r="AB11" s="490"/>
    </row>
    <row r="12" spans="2:28" x14ac:dyDescent="0.25">
      <c r="B12" s="12" t="str">
        <f>PROCESS!D118</f>
        <v>COMPRA-ELC-COL-CAM6</v>
      </c>
      <c r="C12" s="14" t="s">
        <v>115</v>
      </c>
      <c r="D12" s="11" t="str">
        <f t="shared" si="0"/>
        <v>ELC-COL-CAM6</v>
      </c>
      <c r="E12" s="178">
        <v>1</v>
      </c>
      <c r="H12" s="486"/>
      <c r="J12" s="491" t="str">
        <f>D9</f>
        <v>ELC-COL-CAM3</v>
      </c>
      <c r="K12" s="487">
        <f>100%-K11</f>
        <v>2.3497434791778238E-3</v>
      </c>
      <c r="L12" s="452"/>
      <c r="M12" s="452" t="str">
        <f>I15</f>
        <v>COL-OIL-CAM5</v>
      </c>
      <c r="N12" s="452" t="s">
        <v>17</v>
      </c>
      <c r="O12" s="407">
        <f>1/(1+DataCAM!P252)</f>
        <v>0.99765025652082218</v>
      </c>
      <c r="P12" s="452"/>
      <c r="Q12" s="474"/>
      <c r="S12" s="231"/>
      <c r="U12" s="11" t="s">
        <v>233</v>
      </c>
      <c r="V12" s="147"/>
      <c r="X12" s="87" t="str">
        <f>PROCESS!D130</f>
        <v>COL-GAS-CAM4</v>
      </c>
      <c r="Y12" s="12" t="s">
        <v>7</v>
      </c>
      <c r="Z12" s="488">
        <f>1/(1+DataCAM!O251)</f>
        <v>0.99765025652082218</v>
      </c>
      <c r="AA12" s="489"/>
      <c r="AB12" s="490"/>
    </row>
    <row r="13" spans="2:28" x14ac:dyDescent="0.25">
      <c r="B13" s="12" t="str">
        <f>PROCESS!D119</f>
        <v>COMPRA-ELC-COL-CAM7</v>
      </c>
      <c r="C13" s="14" t="s">
        <v>115</v>
      </c>
      <c r="D13" s="11" t="str">
        <f t="shared" si="0"/>
        <v>ELC-COL-CAM7</v>
      </c>
      <c r="E13" s="178">
        <v>1</v>
      </c>
      <c r="H13" s="486"/>
      <c r="I13" s="12" t="str">
        <f>PROCESS!D123</f>
        <v>COL-OIL-CAM4</v>
      </c>
      <c r="J13" s="12" t="s">
        <v>82</v>
      </c>
      <c r="K13" s="487">
        <f>O11</f>
        <v>0.99765025652082218</v>
      </c>
      <c r="L13" s="452"/>
      <c r="M13" s="452" t="str">
        <f>I17</f>
        <v>COL-OIL-CAM6</v>
      </c>
      <c r="N13" s="452" t="s">
        <v>17</v>
      </c>
      <c r="O13" s="407">
        <f>1/(1+DataCAM!P253)</f>
        <v>0.99765025652082218</v>
      </c>
      <c r="P13" s="452"/>
      <c r="Q13" s="474"/>
      <c r="S13" s="231"/>
      <c r="T13" s="12" t="str">
        <f>X11</f>
        <v>COL-GAS-CAM3</v>
      </c>
      <c r="U13" s="12" t="s">
        <v>67</v>
      </c>
      <c r="V13" s="147"/>
      <c r="X13" s="87" t="str">
        <f>PROCESS!D131</f>
        <v>COL-GAS-CAM5</v>
      </c>
      <c r="Y13" s="12" t="s">
        <v>7</v>
      </c>
      <c r="Z13" s="488">
        <f>1/(1+DataCAM!O252)</f>
        <v>0.99765025652082218</v>
      </c>
      <c r="AA13" s="489"/>
      <c r="AB13" s="490"/>
    </row>
    <row r="14" spans="2:28" x14ac:dyDescent="0.25">
      <c r="H14" s="486"/>
      <c r="J14" s="11" t="str">
        <f>D10</f>
        <v>ELC-COL-CAM4</v>
      </c>
      <c r="K14" s="487">
        <f>100%-K13</f>
        <v>2.3497434791778238E-3</v>
      </c>
      <c r="L14" s="452"/>
      <c r="M14" s="452"/>
      <c r="N14" s="452"/>
      <c r="O14" s="452"/>
      <c r="P14" s="452"/>
      <c r="Q14" s="474"/>
      <c r="S14" s="231"/>
      <c r="U14" s="11" t="s">
        <v>234</v>
      </c>
      <c r="V14" s="147"/>
      <c r="X14" s="87" t="str">
        <f>PROCESS!D132</f>
        <v>COL-GAS-CAM6</v>
      </c>
      <c r="Y14" s="12" t="s">
        <v>7</v>
      </c>
      <c r="Z14" s="488">
        <f>1/(1+DataCAM!O253)</f>
        <v>0.99765025652082218</v>
      </c>
      <c r="AA14" s="489"/>
      <c r="AB14" s="490"/>
    </row>
    <row r="15" spans="2:28" x14ac:dyDescent="0.25">
      <c r="H15" s="492"/>
      <c r="I15" s="12" t="str">
        <f>PROCESS!D124</f>
        <v>COL-OIL-CAM5</v>
      </c>
      <c r="J15" s="12" t="s">
        <v>86</v>
      </c>
      <c r="K15" s="487">
        <f>O12</f>
        <v>0.99765025652082218</v>
      </c>
      <c r="L15" s="493"/>
      <c r="M15" s="493"/>
      <c r="N15" s="493"/>
      <c r="O15" s="493"/>
      <c r="P15" s="493"/>
      <c r="Q15" s="474"/>
      <c r="S15" s="231"/>
      <c r="T15" s="12" t="str">
        <f>X12</f>
        <v>COL-GAS-CAM4</v>
      </c>
      <c r="U15" s="12" t="s">
        <v>68</v>
      </c>
      <c r="V15" s="147"/>
      <c r="X15" s="87" t="str">
        <f>PROCESS!D133</f>
        <v>COL-GAS-CAM7</v>
      </c>
      <c r="Y15" s="12" t="s">
        <v>7</v>
      </c>
      <c r="Z15" s="488">
        <f>1/(1+DataCAM!O254)</f>
        <v>0.99765025652082218</v>
      </c>
      <c r="AA15" s="487"/>
      <c r="AB15" s="392"/>
    </row>
    <row r="16" spans="2:28" x14ac:dyDescent="0.25">
      <c r="H16" s="486"/>
      <c r="J16" s="11" t="str">
        <f>D11</f>
        <v>ELC-COL-CAM5</v>
      </c>
      <c r="K16" s="487">
        <f>100%-K15</f>
        <v>2.3497434791778238E-3</v>
      </c>
      <c r="L16" s="452"/>
      <c r="M16" s="452"/>
      <c r="N16" s="452"/>
      <c r="O16" s="452"/>
      <c r="P16" s="452"/>
      <c r="Q16" s="474"/>
      <c r="S16" s="231"/>
      <c r="U16" s="11" t="s">
        <v>235</v>
      </c>
      <c r="V16" s="147"/>
      <c r="AA16" s="1"/>
      <c r="AB16" s="392"/>
    </row>
    <row r="17" spans="2:28" x14ac:dyDescent="0.25">
      <c r="H17" s="486"/>
      <c r="I17" s="12" t="str">
        <f>PROCESS!D125</f>
        <v>COL-OIL-CAM6</v>
      </c>
      <c r="J17" s="12" t="s">
        <v>87</v>
      </c>
      <c r="K17" s="487">
        <f>O13</f>
        <v>0.99765025652082218</v>
      </c>
      <c r="L17" s="452"/>
      <c r="M17" s="452"/>
      <c r="N17" s="452"/>
      <c r="O17" s="452"/>
      <c r="P17" s="452"/>
      <c r="Q17" s="474"/>
      <c r="S17" s="231"/>
      <c r="T17" s="12" t="str">
        <f>X13</f>
        <v>COL-GAS-CAM5</v>
      </c>
      <c r="U17" s="12" t="s">
        <v>71</v>
      </c>
      <c r="V17" s="147"/>
      <c r="AA17" s="1"/>
      <c r="AB17" s="392"/>
    </row>
    <row r="18" spans="2:28" x14ac:dyDescent="0.25">
      <c r="H18" s="486"/>
      <c r="J18" s="11" t="str">
        <f>D12</f>
        <v>ELC-COL-CAM6</v>
      </c>
      <c r="K18" s="487">
        <f>100%-K17</f>
        <v>2.3497434791778238E-3</v>
      </c>
      <c r="L18" s="452"/>
      <c r="M18" s="452"/>
      <c r="N18" s="452"/>
      <c r="O18" s="452"/>
      <c r="P18" s="452"/>
      <c r="Q18" s="474"/>
      <c r="S18" s="231"/>
      <c r="U18" s="11" t="s">
        <v>236</v>
      </c>
      <c r="V18" s="147"/>
      <c r="AA18" s="1"/>
      <c r="AB18" s="392"/>
    </row>
    <row r="19" spans="2:28" x14ac:dyDescent="0.25">
      <c r="B19" s="202" t="s">
        <v>416</v>
      </c>
      <c r="H19" s="486"/>
      <c r="I19" s="452"/>
      <c r="J19" s="452"/>
      <c r="K19" s="452"/>
      <c r="L19" s="452"/>
      <c r="M19" s="452"/>
      <c r="N19" s="452"/>
      <c r="O19" s="452"/>
      <c r="P19" s="452"/>
      <c r="Q19" s="474"/>
      <c r="S19" s="231"/>
      <c r="T19" s="12" t="str">
        <f>X14</f>
        <v>COL-GAS-CAM6</v>
      </c>
      <c r="U19" s="12" t="s">
        <v>74</v>
      </c>
      <c r="V19" s="147"/>
      <c r="AA19" s="1"/>
      <c r="AB19" s="392"/>
    </row>
    <row r="20" spans="2:28" x14ac:dyDescent="0.25">
      <c r="B20" s="411" t="s">
        <v>138</v>
      </c>
      <c r="C20" s="411" t="s">
        <v>418</v>
      </c>
      <c r="D20" s="411" t="s">
        <v>752</v>
      </c>
      <c r="E20" s="411" t="s">
        <v>799</v>
      </c>
      <c r="H20" s="486"/>
      <c r="I20" s="452"/>
      <c r="J20" s="452"/>
      <c r="K20" s="452"/>
      <c r="L20" s="452"/>
      <c r="M20" s="452"/>
      <c r="N20" s="452"/>
      <c r="O20" s="452"/>
      <c r="P20" s="452"/>
      <c r="Q20" s="474"/>
      <c r="S20" s="231"/>
      <c r="U20" s="11" t="s">
        <v>238</v>
      </c>
      <c r="V20" s="147"/>
      <c r="AA20" s="1"/>
      <c r="AB20" s="392"/>
    </row>
    <row r="21" spans="2:28" x14ac:dyDescent="0.25">
      <c r="B21" s="12" t="str">
        <f t="shared" ref="B21:B26" si="1">B8</f>
        <v>COMPRA-ELC-COL-CAM2</v>
      </c>
      <c r="C21" s="12" t="s">
        <v>198</v>
      </c>
      <c r="D21" s="88">
        <v>46.111111111111114</v>
      </c>
      <c r="E21">
        <v>5.83</v>
      </c>
      <c r="H21" s="486"/>
      <c r="I21" s="452"/>
      <c r="J21" s="452"/>
      <c r="K21" s="452"/>
      <c r="L21" s="452"/>
      <c r="M21" s="452"/>
      <c r="N21" s="452"/>
      <c r="O21" s="452"/>
      <c r="P21" s="452"/>
      <c r="Q21" s="474"/>
      <c r="S21" s="231"/>
      <c r="T21" s="12" t="str">
        <f>X15</f>
        <v>COL-GAS-CAM7</v>
      </c>
      <c r="U21" s="12" t="s">
        <v>76</v>
      </c>
      <c r="V21" s="147"/>
      <c r="AA21" s="1"/>
      <c r="AB21" s="392"/>
    </row>
    <row r="22" spans="2:28" x14ac:dyDescent="0.25">
      <c r="B22" s="12" t="str">
        <f t="shared" si="1"/>
        <v>COMPRA-ELC-COL-CAM3</v>
      </c>
      <c r="C22" s="12" t="s">
        <v>201</v>
      </c>
      <c r="D22" s="88">
        <v>46.111111111111114</v>
      </c>
      <c r="E22">
        <v>5.83</v>
      </c>
      <c r="H22" s="486"/>
      <c r="L22" s="452"/>
      <c r="M22" s="452"/>
      <c r="N22" s="452"/>
      <c r="O22" s="452"/>
      <c r="P22" s="452"/>
      <c r="Q22" s="474"/>
      <c r="S22" s="231"/>
      <c r="T22" s="156"/>
      <c r="U22" s="11" t="s">
        <v>238</v>
      </c>
      <c r="V22" s="147"/>
      <c r="AA22" s="1"/>
      <c r="AB22" s="392"/>
    </row>
    <row r="23" spans="2:28" x14ac:dyDescent="0.25">
      <c r="B23" s="12" t="str">
        <f t="shared" si="1"/>
        <v>COMPRA-ELC-COL-CAM4</v>
      </c>
      <c r="C23" s="12" t="s">
        <v>204</v>
      </c>
      <c r="D23" s="88">
        <v>46.111111111111114</v>
      </c>
      <c r="E23">
        <v>5.83</v>
      </c>
      <c r="H23" s="486"/>
      <c r="I23" s="202" t="s">
        <v>416</v>
      </c>
      <c r="M23" s="202" t="s">
        <v>416</v>
      </c>
      <c r="O23" s="452"/>
      <c r="P23" s="452"/>
      <c r="Q23" s="474"/>
      <c r="S23" s="231"/>
      <c r="AA23" s="1"/>
      <c r="AB23" s="392"/>
    </row>
    <row r="24" spans="2:28" x14ac:dyDescent="0.25">
      <c r="B24" s="12" t="str">
        <f t="shared" si="1"/>
        <v>COMPRA-ELC-COL-CAM5</v>
      </c>
      <c r="C24" s="12" t="s">
        <v>207</v>
      </c>
      <c r="D24" s="88">
        <v>46.111111111111114</v>
      </c>
      <c r="E24">
        <v>5.83</v>
      </c>
      <c r="H24" s="473"/>
      <c r="I24" s="411" t="s">
        <v>138</v>
      </c>
      <c r="J24" s="411" t="s">
        <v>418</v>
      </c>
      <c r="K24" s="411" t="s">
        <v>752</v>
      </c>
      <c r="L24" s="1"/>
      <c r="M24" s="183" t="s">
        <v>138</v>
      </c>
      <c r="N24" s="494" t="s">
        <v>744</v>
      </c>
      <c r="O24" s="1"/>
      <c r="P24" s="1"/>
      <c r="Q24" s="474"/>
      <c r="S24" s="231"/>
      <c r="T24" s="202" t="s">
        <v>416</v>
      </c>
      <c r="AA24" s="1"/>
      <c r="AB24" s="392"/>
    </row>
    <row r="25" spans="2:28" x14ac:dyDescent="0.25">
      <c r="B25" s="12" t="str">
        <f t="shared" si="1"/>
        <v>COMPRA-ELC-COL-CAM6</v>
      </c>
      <c r="C25" s="12" t="s">
        <v>210</v>
      </c>
      <c r="D25" s="88">
        <v>46.111111111111114</v>
      </c>
      <c r="E25">
        <v>5.83</v>
      </c>
      <c r="H25" s="473"/>
      <c r="I25" s="452" t="str">
        <f>M25</f>
        <v>COL-OIL-CAM2</v>
      </c>
      <c r="J25" s="1" t="str">
        <f>C21</f>
        <v>CO2e-CAM2</v>
      </c>
      <c r="K25" s="1">
        <v>0.4</v>
      </c>
      <c r="L25" s="1"/>
      <c r="M25" s="497" t="str">
        <f>M9</f>
        <v>COL-OIL-CAM2</v>
      </c>
      <c r="N25" s="226">
        <f>DataCAM!Q249</f>
        <v>0.54679802955665024</v>
      </c>
      <c r="O25" s="1"/>
      <c r="P25" s="1"/>
      <c r="Q25" s="474"/>
      <c r="S25" s="231"/>
      <c r="T25" s="483" t="s">
        <v>138</v>
      </c>
      <c r="U25" s="450" t="s">
        <v>417</v>
      </c>
      <c r="V25" s="495" t="s">
        <v>535</v>
      </c>
      <c r="AA25" s="1"/>
      <c r="AB25" s="392"/>
    </row>
    <row r="26" spans="2:28" x14ac:dyDescent="0.25">
      <c r="B26" s="12" t="str">
        <f t="shared" si="1"/>
        <v>COMPRA-ELC-COL-CAM7</v>
      </c>
      <c r="C26" s="12" t="s">
        <v>213</v>
      </c>
      <c r="D26" s="88">
        <v>46.111111111111114</v>
      </c>
      <c r="E26">
        <v>5.83</v>
      </c>
      <c r="H26" s="478"/>
      <c r="I26" s="452" t="str">
        <f t="shared" ref="I26:I29" si="2">M26</f>
        <v>COL-OIL-CAM3</v>
      </c>
      <c r="J26" s="1" t="str">
        <f t="shared" ref="J26:J29" si="3">C22</f>
        <v>CO2e-CAM3</v>
      </c>
      <c r="K26" s="1">
        <v>0.4</v>
      </c>
      <c r="L26" s="1"/>
      <c r="M26" s="497" t="str">
        <f t="shared" ref="M26:M29" si="4">M10</f>
        <v>COL-OIL-CAM3</v>
      </c>
      <c r="N26" s="226">
        <f>DataCAM!Q250</f>
        <v>1.2857142857142856</v>
      </c>
      <c r="O26" s="412"/>
      <c r="P26" s="412"/>
      <c r="Q26" s="474"/>
      <c r="S26" s="231"/>
      <c r="T26" s="12" t="str">
        <f>X9</f>
        <v>COL-GAS-CAM1</v>
      </c>
      <c r="U26" s="11" t="str">
        <f>COMM!D76</f>
        <v>ELC-COL-CAM1</v>
      </c>
      <c r="V26" s="148">
        <f>100%-Z9</f>
        <v>2.3497434791778238E-3</v>
      </c>
      <c r="AA26" s="1"/>
      <c r="AB26" s="392"/>
    </row>
    <row r="27" spans="2:28" x14ac:dyDescent="0.25">
      <c r="H27" s="496"/>
      <c r="I27" s="452" t="str">
        <f t="shared" si="2"/>
        <v>COL-OIL-CAM4</v>
      </c>
      <c r="J27" s="1" t="str">
        <f t="shared" si="3"/>
        <v>CO2e-CAM4</v>
      </c>
      <c r="K27" s="1">
        <v>0.4</v>
      </c>
      <c r="L27" s="1"/>
      <c r="M27" s="497" t="str">
        <f t="shared" si="4"/>
        <v>COL-OIL-CAM4</v>
      </c>
      <c r="N27" s="226">
        <f>DataCAM!Q251</f>
        <v>0.54679802955665024</v>
      </c>
      <c r="O27" s="209"/>
      <c r="P27" s="209"/>
      <c r="Q27" s="474"/>
      <c r="S27" s="231"/>
      <c r="T27" s="12" t="str">
        <f t="shared" ref="T27:T32" si="5">X10</f>
        <v>COL-GAS-CAM2</v>
      </c>
      <c r="U27" s="11" t="str">
        <f>COMM!D77</f>
        <v>ELC-COL-CAM2</v>
      </c>
      <c r="V27" s="148">
        <f t="shared" ref="V27:V32" si="6">100%-Z10</f>
        <v>2.3497434791778238E-3</v>
      </c>
      <c r="Y27" s="14"/>
      <c r="Z27" s="14" t="s">
        <v>318</v>
      </c>
      <c r="AA27" s="2"/>
      <c r="AB27" s="392"/>
    </row>
    <row r="28" spans="2:28" x14ac:dyDescent="0.25">
      <c r="H28" s="496"/>
      <c r="I28" s="452" t="str">
        <f t="shared" si="2"/>
        <v>COL-OIL-CAM5</v>
      </c>
      <c r="J28" s="1" t="str">
        <f t="shared" si="3"/>
        <v>CO2e-CAM5</v>
      </c>
      <c r="K28" s="1">
        <v>0.4</v>
      </c>
      <c r="L28" s="1"/>
      <c r="M28" s="497" t="str">
        <f t="shared" si="4"/>
        <v>COL-OIL-CAM5</v>
      </c>
      <c r="N28" s="226">
        <f>DataCAM!Q252</f>
        <v>1.2857142857142856</v>
      </c>
      <c r="O28" s="209"/>
      <c r="P28" s="209"/>
      <c r="Q28" s="474"/>
      <c r="S28" s="231"/>
      <c r="T28" s="12" t="str">
        <f t="shared" si="5"/>
        <v>COL-GAS-CAM3</v>
      </c>
      <c r="U28" s="11" t="str">
        <f>COMM!D78</f>
        <v>ELC-COL-CAM3</v>
      </c>
      <c r="V28" s="148">
        <f t="shared" si="6"/>
        <v>2.3497434791778238E-3</v>
      </c>
      <c r="Y28" s="14" t="s">
        <v>751</v>
      </c>
      <c r="Z28" s="410">
        <v>55.539114956987063</v>
      </c>
      <c r="AA28" s="283"/>
      <c r="AB28" s="392"/>
    </row>
    <row r="29" spans="2:28" x14ac:dyDescent="0.25">
      <c r="H29" s="496"/>
      <c r="I29" s="452" t="str">
        <f t="shared" si="2"/>
        <v>COL-OIL-CAM6</v>
      </c>
      <c r="J29" s="1" t="str">
        <f t="shared" si="3"/>
        <v>CO2e-CAM6</v>
      </c>
      <c r="K29" s="1">
        <v>0.4</v>
      </c>
      <c r="L29" s="1"/>
      <c r="M29" s="497" t="str">
        <f t="shared" si="4"/>
        <v>COL-OIL-CAM6</v>
      </c>
      <c r="N29" s="226">
        <f>DataCAM!Q253</f>
        <v>1.2857142857142856</v>
      </c>
      <c r="O29" s="209"/>
      <c r="P29" s="209"/>
      <c r="Q29" s="474"/>
      <c r="S29" s="231"/>
      <c r="T29" s="12" t="str">
        <f t="shared" si="5"/>
        <v>COL-GAS-CAM4</v>
      </c>
      <c r="U29" s="11" t="str">
        <f>COMM!D79</f>
        <v>ELC-COL-CAM4</v>
      </c>
      <c r="V29" s="148">
        <f t="shared" si="6"/>
        <v>2.3497434791778238E-3</v>
      </c>
      <c r="AA29" s="1"/>
      <c r="AB29" s="392"/>
    </row>
    <row r="30" spans="2:28" x14ac:dyDescent="0.25">
      <c r="H30" s="496"/>
      <c r="I30" s="1"/>
      <c r="J30" s="1"/>
      <c r="K30" s="1"/>
      <c r="L30" s="1"/>
      <c r="M30" s="497"/>
      <c r="N30" s="226"/>
      <c r="O30" s="209"/>
      <c r="P30" s="209"/>
      <c r="Q30" s="474"/>
      <c r="S30" s="231"/>
      <c r="T30" s="12" t="str">
        <f t="shared" si="5"/>
        <v>COL-GAS-CAM5</v>
      </c>
      <c r="U30" s="11" t="str">
        <f>COMM!D80</f>
        <v>ELC-COL-CAM5</v>
      </c>
      <c r="V30" s="148">
        <f t="shared" si="6"/>
        <v>2.3497434791778238E-3</v>
      </c>
      <c r="AA30" s="1"/>
      <c r="AB30" s="392"/>
    </row>
    <row r="31" spans="2:28" x14ac:dyDescent="0.25">
      <c r="H31" s="496"/>
      <c r="I31" s="1"/>
      <c r="J31" s="1"/>
      <c r="K31" s="1"/>
      <c r="L31" s="1"/>
      <c r="M31" s="497"/>
      <c r="N31" s="226"/>
      <c r="O31" s="209"/>
      <c r="P31" s="209"/>
      <c r="Q31" s="474"/>
      <c r="S31" s="231"/>
      <c r="T31" s="12" t="str">
        <f t="shared" si="5"/>
        <v>COL-GAS-CAM6</v>
      </c>
      <c r="U31" s="11" t="str">
        <f>COMM!D81</f>
        <v>ELC-COL-CAM6</v>
      </c>
      <c r="V31" s="148">
        <f t="shared" si="6"/>
        <v>2.3497434791778238E-3</v>
      </c>
      <c r="AA31" s="1"/>
      <c r="AB31" s="392"/>
    </row>
    <row r="32" spans="2:28" x14ac:dyDescent="0.25">
      <c r="H32" s="496"/>
      <c r="I32" s="1"/>
      <c r="J32" s="1"/>
      <c r="K32" s="1"/>
      <c r="L32" s="1"/>
      <c r="M32" s="209"/>
      <c r="N32" s="209"/>
      <c r="O32" s="209"/>
      <c r="P32" s="209"/>
      <c r="Q32" s="474"/>
      <c r="S32" s="231"/>
      <c r="T32" s="12" t="str">
        <f t="shared" si="5"/>
        <v>COL-GAS-CAM7</v>
      </c>
      <c r="U32" s="11" t="str">
        <f>COMM!D82</f>
        <v>ELC-COL-CAM7</v>
      </c>
      <c r="V32" s="148">
        <f t="shared" si="6"/>
        <v>2.3497434791778238E-3</v>
      </c>
      <c r="AA32" s="1"/>
      <c r="AB32" s="392"/>
    </row>
    <row r="33" spans="8:28" x14ac:dyDescent="0.25">
      <c r="H33" s="473"/>
      <c r="I33" s="1"/>
      <c r="J33" s="1"/>
      <c r="K33" s="1"/>
      <c r="L33" s="1"/>
      <c r="M33" s="1"/>
      <c r="N33" s="1"/>
      <c r="O33" s="1"/>
      <c r="P33" s="1"/>
      <c r="Q33" s="474"/>
      <c r="S33" s="231"/>
      <c r="AA33" s="1"/>
      <c r="AB33" s="392"/>
    </row>
    <row r="34" spans="8:28" x14ac:dyDescent="0.25">
      <c r="H34" s="473"/>
      <c r="I34" s="1"/>
      <c r="J34" s="1"/>
      <c r="K34" s="1"/>
      <c r="L34" s="1"/>
      <c r="M34" s="1"/>
      <c r="N34" s="1"/>
      <c r="O34" s="1"/>
      <c r="P34" s="1"/>
      <c r="Q34" s="474"/>
      <c r="S34" s="231"/>
      <c r="AA34" s="1"/>
      <c r="AB34" s="392"/>
    </row>
    <row r="35" spans="8:28" x14ac:dyDescent="0.25">
      <c r="H35" s="473"/>
      <c r="I35" s="1"/>
      <c r="J35" s="1"/>
      <c r="K35" s="1"/>
      <c r="L35" s="1"/>
      <c r="M35" s="1"/>
      <c r="N35" s="1"/>
      <c r="O35" s="1"/>
      <c r="P35" s="1"/>
      <c r="Q35" s="474"/>
      <c r="S35" s="231"/>
      <c r="AA35" s="1"/>
      <c r="AB35" s="392"/>
    </row>
    <row r="36" spans="8:28" x14ac:dyDescent="0.25">
      <c r="H36" s="473"/>
      <c r="I36" s="1"/>
      <c r="J36" s="1"/>
      <c r="K36" s="1"/>
      <c r="L36" s="1"/>
      <c r="M36" s="1"/>
      <c r="N36" s="1"/>
      <c r="O36" s="1"/>
      <c r="P36" s="1"/>
      <c r="Q36" s="474"/>
      <c r="S36" s="231"/>
      <c r="AA36" s="1"/>
      <c r="AB36" s="392"/>
    </row>
    <row r="37" spans="8:28" x14ac:dyDescent="0.25">
      <c r="H37" s="473"/>
      <c r="I37" s="1"/>
      <c r="J37" s="1"/>
      <c r="K37" s="1"/>
      <c r="L37" s="1"/>
      <c r="M37" s="1"/>
      <c r="N37" s="1"/>
      <c r="O37" s="1"/>
      <c r="P37" s="1"/>
      <c r="Q37" s="474"/>
      <c r="S37" s="231"/>
      <c r="T37" s="202" t="s">
        <v>416</v>
      </c>
      <c r="X37" s="202" t="s">
        <v>416</v>
      </c>
      <c r="AA37" s="1"/>
      <c r="AB37" s="392"/>
    </row>
    <row r="38" spans="8:28" x14ac:dyDescent="0.25">
      <c r="H38" s="473"/>
      <c r="I38" s="1"/>
      <c r="J38" s="1"/>
      <c r="K38" s="1"/>
      <c r="L38" s="1"/>
      <c r="M38" s="1"/>
      <c r="N38" s="1"/>
      <c r="O38" s="1"/>
      <c r="P38" s="1"/>
      <c r="Q38" s="474"/>
      <c r="S38" s="231"/>
      <c r="T38" s="183" t="s">
        <v>138</v>
      </c>
      <c r="U38" s="494" t="s">
        <v>744</v>
      </c>
      <c r="X38" s="411" t="s">
        <v>138</v>
      </c>
      <c r="Y38" s="411" t="s">
        <v>418</v>
      </c>
      <c r="Z38" s="411" t="s">
        <v>752</v>
      </c>
      <c r="AA38" s="1"/>
      <c r="AB38" s="392"/>
    </row>
    <row r="39" spans="8:28" x14ac:dyDescent="0.25">
      <c r="H39" s="473"/>
      <c r="I39" s="1"/>
      <c r="J39" s="1"/>
      <c r="K39" s="1"/>
      <c r="L39" s="1"/>
      <c r="M39" s="1"/>
      <c r="N39" s="1"/>
      <c r="O39" s="1"/>
      <c r="P39" s="1"/>
      <c r="Q39" s="474"/>
      <c r="S39" s="231"/>
      <c r="T39" s="12" t="str">
        <f>T26</f>
        <v>COL-GAS-CAM1</v>
      </c>
      <c r="U39" s="317">
        <f>DataCAM!$N$248</f>
        <v>0.54679802955665024</v>
      </c>
      <c r="X39" t="str">
        <f>T39</f>
        <v>COL-GAS-CAM1</v>
      </c>
      <c r="Y39" t="s">
        <v>195</v>
      </c>
      <c r="Z39">
        <v>0.4</v>
      </c>
      <c r="AA39" s="1"/>
      <c r="AB39" s="392"/>
    </row>
    <row r="40" spans="8:28" x14ac:dyDescent="0.25">
      <c r="H40" s="473"/>
      <c r="I40" s="1"/>
      <c r="J40" s="1"/>
      <c r="K40" s="1"/>
      <c r="L40" s="1"/>
      <c r="M40" s="1"/>
      <c r="N40" s="1"/>
      <c r="O40" s="1"/>
      <c r="P40" s="1"/>
      <c r="Q40" s="474"/>
      <c r="S40" s="231"/>
      <c r="T40" s="12" t="str">
        <f t="shared" ref="T40:T44" si="7">T27</f>
        <v>COL-GAS-CAM2</v>
      </c>
      <c r="U40" s="317">
        <f>DataCAM!$N$248</f>
        <v>0.54679802955665024</v>
      </c>
      <c r="X40" t="str">
        <f t="shared" ref="X40:X45" si="8">T40</f>
        <v>COL-GAS-CAM2</v>
      </c>
      <c r="Y40" t="str">
        <f>C21</f>
        <v>CO2e-CAM2</v>
      </c>
      <c r="Z40">
        <v>0.4</v>
      </c>
      <c r="AA40" s="1"/>
      <c r="AB40" s="392"/>
    </row>
    <row r="41" spans="8:28" x14ac:dyDescent="0.25">
      <c r="H41" s="473"/>
      <c r="I41" s="1"/>
      <c r="J41" s="1"/>
      <c r="K41" s="1"/>
      <c r="L41" s="1"/>
      <c r="M41" s="1"/>
      <c r="N41" s="1"/>
      <c r="O41" s="1"/>
      <c r="P41" s="1"/>
      <c r="Q41" s="474"/>
      <c r="S41" s="231"/>
      <c r="T41" s="12" t="str">
        <f t="shared" si="7"/>
        <v>COL-GAS-CAM3</v>
      </c>
      <c r="U41" s="317">
        <f>DataCAM!$N$248</f>
        <v>0.54679802955665024</v>
      </c>
      <c r="X41" t="str">
        <f t="shared" si="8"/>
        <v>COL-GAS-CAM3</v>
      </c>
      <c r="Y41" t="str">
        <f t="shared" ref="Y41:Y45" si="9">C22</f>
        <v>CO2e-CAM3</v>
      </c>
      <c r="Z41">
        <v>0.4</v>
      </c>
      <c r="AA41" s="1"/>
      <c r="AB41" s="392"/>
    </row>
    <row r="42" spans="8:28" x14ac:dyDescent="0.25">
      <c r="H42" s="473"/>
      <c r="I42" s="1"/>
      <c r="J42" s="1"/>
      <c r="K42" s="1"/>
      <c r="L42" s="1"/>
      <c r="M42" s="1"/>
      <c r="N42" s="1"/>
      <c r="O42" s="1"/>
      <c r="P42" s="1"/>
      <c r="Q42" s="474"/>
      <c r="S42" s="231"/>
      <c r="T42" s="12" t="str">
        <f t="shared" si="7"/>
        <v>COL-GAS-CAM4</v>
      </c>
      <c r="U42" s="317">
        <f>DataCAM!$N$248</f>
        <v>0.54679802955665024</v>
      </c>
      <c r="X42" t="str">
        <f t="shared" si="8"/>
        <v>COL-GAS-CAM4</v>
      </c>
      <c r="Y42" t="str">
        <f t="shared" si="9"/>
        <v>CO2e-CAM4</v>
      </c>
      <c r="Z42">
        <v>0.4</v>
      </c>
      <c r="AA42" s="1"/>
      <c r="AB42" s="392"/>
    </row>
    <row r="43" spans="8:28" x14ac:dyDescent="0.25">
      <c r="H43" s="473"/>
      <c r="I43" s="1"/>
      <c r="J43" s="1"/>
      <c r="K43" s="1"/>
      <c r="L43" s="1"/>
      <c r="M43" s="1"/>
      <c r="N43" s="1"/>
      <c r="O43" s="1"/>
      <c r="P43" s="1"/>
      <c r="Q43" s="474"/>
      <c r="S43" s="231"/>
      <c r="T43" s="12" t="str">
        <f t="shared" si="7"/>
        <v>COL-GAS-CAM5</v>
      </c>
      <c r="U43" s="317">
        <f>DataCAM!$N$248</f>
        <v>0.54679802955665024</v>
      </c>
      <c r="X43" t="str">
        <f t="shared" si="8"/>
        <v>COL-GAS-CAM5</v>
      </c>
      <c r="Y43" t="str">
        <f t="shared" si="9"/>
        <v>CO2e-CAM5</v>
      </c>
      <c r="Z43">
        <v>0.4</v>
      </c>
      <c r="AA43" s="1"/>
      <c r="AB43" s="392"/>
    </row>
    <row r="44" spans="8:28" x14ac:dyDescent="0.25">
      <c r="H44" s="473"/>
      <c r="I44" s="1"/>
      <c r="J44" s="1"/>
      <c r="K44" s="1"/>
      <c r="L44" s="1"/>
      <c r="M44" s="1"/>
      <c r="N44" s="1"/>
      <c r="O44" s="1"/>
      <c r="P44" s="1"/>
      <c r="Q44" s="474"/>
      <c r="S44" s="231"/>
      <c r="T44" s="12" t="str">
        <f t="shared" si="7"/>
        <v>COL-GAS-CAM6</v>
      </c>
      <c r="U44" s="317">
        <f>DataCAM!$N$248</f>
        <v>0.54679802955665024</v>
      </c>
      <c r="X44" t="str">
        <f t="shared" si="8"/>
        <v>COL-GAS-CAM6</v>
      </c>
      <c r="Y44" t="str">
        <f t="shared" si="9"/>
        <v>CO2e-CAM6</v>
      </c>
      <c r="Z44">
        <v>0.4</v>
      </c>
      <c r="AA44" s="1"/>
      <c r="AB44" s="392"/>
    </row>
    <row r="45" spans="8:28" x14ac:dyDescent="0.25">
      <c r="H45" s="473"/>
      <c r="I45" s="1"/>
      <c r="J45" s="1"/>
      <c r="K45" s="1"/>
      <c r="L45" s="1"/>
      <c r="M45" s="1"/>
      <c r="N45" s="1"/>
      <c r="O45" s="1"/>
      <c r="P45" s="1"/>
      <c r="Q45" s="474"/>
      <c r="S45" s="231"/>
      <c r="T45" s="12" t="str">
        <f>T32</f>
        <v>COL-GAS-CAM7</v>
      </c>
      <c r="U45" s="317">
        <f>DataCAM!$N$248</f>
        <v>0.54679802955665024</v>
      </c>
      <c r="X45" t="str">
        <f t="shared" si="8"/>
        <v>COL-GAS-CAM7</v>
      </c>
      <c r="Y45" t="str">
        <f t="shared" si="9"/>
        <v>CO2e-CAM7</v>
      </c>
      <c r="Z45">
        <v>0.4</v>
      </c>
      <c r="AA45" s="1"/>
      <c r="AB45" s="392"/>
    </row>
    <row r="46" spans="8:28" x14ac:dyDescent="0.25">
      <c r="H46" s="473"/>
      <c r="I46" s="1"/>
      <c r="J46" s="1"/>
      <c r="K46" s="1"/>
      <c r="L46" s="1"/>
      <c r="M46" s="1"/>
      <c r="N46" s="1"/>
      <c r="O46" s="1"/>
      <c r="P46" s="1"/>
      <c r="Q46" s="474"/>
      <c r="S46" s="231"/>
      <c r="T46" s="497"/>
      <c r="U46" s="226"/>
      <c r="AA46" s="1"/>
      <c r="AB46" s="392"/>
    </row>
    <row r="47" spans="8:28" x14ac:dyDescent="0.25">
      <c r="H47" s="473"/>
      <c r="I47" s="1"/>
      <c r="J47" s="1"/>
      <c r="K47" s="1"/>
      <c r="L47" s="1"/>
      <c r="M47" s="1"/>
      <c r="N47" s="1"/>
      <c r="O47" s="1"/>
      <c r="P47" s="1"/>
      <c r="Q47" s="474"/>
      <c r="S47" s="231"/>
      <c r="T47" s="497"/>
      <c r="U47" s="226"/>
      <c r="AA47" s="1"/>
      <c r="AB47" s="392"/>
    </row>
    <row r="48" spans="8:28" x14ac:dyDescent="0.25">
      <c r="H48" s="473"/>
      <c r="I48" s="1"/>
      <c r="J48" s="1"/>
      <c r="K48" s="1"/>
      <c r="L48" s="1"/>
      <c r="M48" s="1"/>
      <c r="N48" s="1"/>
      <c r="O48" s="1"/>
      <c r="P48" s="1"/>
      <c r="Q48" s="474"/>
      <c r="S48" s="231"/>
      <c r="T48" s="497"/>
      <c r="U48" s="226"/>
      <c r="AA48" s="1"/>
      <c r="AB48" s="392"/>
    </row>
    <row r="49" spans="8:28" x14ac:dyDescent="0.25">
      <c r="H49" s="473"/>
      <c r="I49" s="1"/>
      <c r="J49" s="1"/>
      <c r="K49" s="1"/>
      <c r="L49" s="1"/>
      <c r="M49" s="1"/>
      <c r="N49" s="1"/>
      <c r="O49" s="1"/>
      <c r="P49" s="1"/>
      <c r="Q49" s="474"/>
      <c r="S49" s="231"/>
      <c r="T49" s="497"/>
      <c r="U49" s="226"/>
      <c r="AA49" s="1"/>
      <c r="AB49" s="392"/>
    </row>
    <row r="50" spans="8:28" x14ac:dyDescent="0.25">
      <c r="H50" s="473"/>
      <c r="I50" s="1"/>
      <c r="J50" s="1"/>
      <c r="K50" s="1"/>
      <c r="L50" s="1"/>
      <c r="M50" s="1"/>
      <c r="N50" s="1"/>
      <c r="O50" s="1"/>
      <c r="P50" s="1"/>
      <c r="Q50" s="474"/>
      <c r="S50" s="231"/>
      <c r="T50" s="497"/>
      <c r="U50" s="226"/>
      <c r="AA50" s="1"/>
      <c r="AB50" s="392"/>
    </row>
    <row r="51" spans="8:28" x14ac:dyDescent="0.25">
      <c r="H51" s="473"/>
      <c r="I51" s="1"/>
      <c r="J51" s="1"/>
      <c r="K51" s="1"/>
      <c r="L51" s="1"/>
      <c r="M51" s="1"/>
      <c r="N51" s="1"/>
      <c r="O51" s="1"/>
      <c r="P51" s="1"/>
      <c r="Q51" s="474"/>
      <c r="S51" s="231"/>
      <c r="T51" s="497"/>
      <c r="U51" s="226"/>
      <c r="AA51" s="1"/>
      <c r="AB51" s="392"/>
    </row>
    <row r="52" spans="8:28" x14ac:dyDescent="0.25">
      <c r="H52" s="473"/>
      <c r="I52" s="1"/>
      <c r="J52" s="1"/>
      <c r="K52" s="1"/>
      <c r="L52" s="1"/>
      <c r="M52" s="1"/>
      <c r="N52" s="1"/>
      <c r="O52" s="1"/>
      <c r="P52" s="1"/>
      <c r="Q52" s="474"/>
      <c r="S52" s="231"/>
      <c r="T52" s="497"/>
      <c r="U52" s="226"/>
      <c r="AA52" s="1"/>
      <c r="AB52" s="392"/>
    </row>
    <row r="53" spans="8:28" x14ac:dyDescent="0.25">
      <c r="H53" s="473"/>
      <c r="I53" s="1"/>
      <c r="J53" s="1"/>
      <c r="K53" s="1"/>
      <c r="L53" s="1"/>
      <c r="M53" s="1"/>
      <c r="N53" s="1"/>
      <c r="O53" s="1"/>
      <c r="P53" s="1"/>
      <c r="Q53" s="474"/>
      <c r="S53" s="231"/>
      <c r="AA53" s="1"/>
      <c r="AB53" s="392"/>
    </row>
    <row r="54" spans="8:28" x14ac:dyDescent="0.25">
      <c r="H54" s="473"/>
      <c r="I54" s="1"/>
      <c r="J54" s="1"/>
      <c r="K54" s="1"/>
      <c r="L54" s="1"/>
      <c r="M54" s="1"/>
      <c r="N54" s="1"/>
      <c r="O54" s="1"/>
      <c r="P54" s="1"/>
      <c r="Q54" s="474"/>
      <c r="S54" s="231"/>
      <c r="AA54" s="1"/>
      <c r="AB54" s="392"/>
    </row>
    <row r="55" spans="8:28" x14ac:dyDescent="0.25">
      <c r="H55" s="473"/>
      <c r="I55" s="1"/>
      <c r="J55" s="1"/>
      <c r="K55" s="1"/>
      <c r="L55" s="1"/>
      <c r="M55" s="1"/>
      <c r="N55" s="1"/>
      <c r="O55" s="1"/>
      <c r="P55" s="1"/>
      <c r="Q55" s="474"/>
      <c r="S55" s="231"/>
      <c r="AA55" s="1"/>
      <c r="AB55" s="392"/>
    </row>
    <row r="56" spans="8:28" x14ac:dyDescent="0.25">
      <c r="H56" s="473"/>
      <c r="I56" s="1"/>
      <c r="J56" s="1"/>
      <c r="K56" s="1"/>
      <c r="L56" s="1"/>
      <c r="M56" s="1"/>
      <c r="N56" s="1"/>
      <c r="O56" s="1"/>
      <c r="P56" s="1"/>
      <c r="Q56" s="474"/>
      <c r="S56" s="231"/>
      <c r="AA56" s="1"/>
      <c r="AB56" s="392"/>
    </row>
    <row r="57" spans="8:28" x14ac:dyDescent="0.25">
      <c r="H57" s="473"/>
      <c r="I57" s="1"/>
      <c r="J57" s="1"/>
      <c r="K57" s="1"/>
      <c r="L57" s="1"/>
      <c r="M57" s="1"/>
      <c r="N57" s="1"/>
      <c r="O57" s="1"/>
      <c r="P57" s="1"/>
      <c r="Q57" s="474"/>
      <c r="S57" s="231"/>
      <c r="AA57" s="1"/>
      <c r="AB57" s="392"/>
    </row>
    <row r="58" spans="8:28" x14ac:dyDescent="0.25">
      <c r="H58" s="473"/>
      <c r="I58" s="1"/>
      <c r="J58" s="1"/>
      <c r="K58" s="1"/>
      <c r="L58" s="1"/>
      <c r="M58" s="1"/>
      <c r="N58" s="1"/>
      <c r="O58" s="1"/>
      <c r="P58" s="1"/>
      <c r="Q58" s="474"/>
      <c r="S58" s="231"/>
      <c r="AA58" s="1"/>
      <c r="AB58" s="392"/>
    </row>
    <row r="59" spans="8:28" x14ac:dyDescent="0.25">
      <c r="H59" s="473"/>
      <c r="I59" s="1"/>
      <c r="J59" s="1"/>
      <c r="K59" s="1"/>
      <c r="L59" s="1"/>
      <c r="M59" s="1"/>
      <c r="N59" s="1"/>
      <c r="O59" s="1"/>
      <c r="P59" s="1"/>
      <c r="Q59" s="474"/>
      <c r="S59" s="231"/>
      <c r="AA59" s="1"/>
      <c r="AB59" s="392"/>
    </row>
    <row r="60" spans="8:28" x14ac:dyDescent="0.25">
      <c r="H60" s="473"/>
      <c r="I60" s="1"/>
      <c r="J60" s="1"/>
      <c r="K60" s="1"/>
      <c r="L60" s="1"/>
      <c r="M60" s="1"/>
      <c r="N60" s="1"/>
      <c r="O60" s="1"/>
      <c r="P60" s="1"/>
      <c r="Q60" s="474"/>
      <c r="S60" s="231"/>
      <c r="AA60" s="1"/>
      <c r="AB60" s="392"/>
    </row>
    <row r="61" spans="8:28" x14ac:dyDescent="0.25">
      <c r="H61" s="473"/>
      <c r="I61" s="1"/>
      <c r="J61" s="1"/>
      <c r="K61" s="1"/>
      <c r="L61" s="1"/>
      <c r="M61" s="1"/>
      <c r="N61" s="1"/>
      <c r="O61" s="1"/>
      <c r="P61" s="1"/>
      <c r="Q61" s="474"/>
      <c r="S61" s="231"/>
      <c r="AA61" s="1"/>
      <c r="AB61" s="392"/>
    </row>
    <row r="62" spans="8:28" x14ac:dyDescent="0.25">
      <c r="H62" s="473"/>
      <c r="I62" s="1"/>
      <c r="J62" s="1"/>
      <c r="K62" s="1"/>
      <c r="L62" s="1"/>
      <c r="M62" s="1"/>
      <c r="N62" s="1"/>
      <c r="O62" s="1"/>
      <c r="P62" s="1"/>
      <c r="Q62" s="474"/>
      <c r="S62" s="231"/>
      <c r="AA62" s="1"/>
      <c r="AB62" s="392"/>
    </row>
    <row r="63" spans="8:28" x14ac:dyDescent="0.25">
      <c r="H63" s="473"/>
      <c r="I63" s="1"/>
      <c r="J63" s="1"/>
      <c r="K63" s="1"/>
      <c r="L63" s="1"/>
      <c r="M63" s="1"/>
      <c r="N63" s="1"/>
      <c r="O63" s="1"/>
      <c r="P63" s="1"/>
      <c r="Q63" s="474"/>
      <c r="S63" s="231"/>
      <c r="AA63" s="1"/>
      <c r="AB63" s="392"/>
    </row>
    <row r="64" spans="8:28" x14ac:dyDescent="0.25">
      <c r="H64" s="473"/>
      <c r="I64" s="1"/>
      <c r="J64" s="1"/>
      <c r="K64" s="1"/>
      <c r="L64" s="1"/>
      <c r="M64" s="1"/>
      <c r="N64" s="1"/>
      <c r="O64" s="1"/>
      <c r="P64" s="1"/>
      <c r="Q64" s="474"/>
      <c r="S64" s="231"/>
      <c r="AA64" s="1"/>
      <c r="AB64" s="392"/>
    </row>
    <row r="65" spans="8:28" x14ac:dyDescent="0.25">
      <c r="H65" s="473"/>
      <c r="I65" s="1"/>
      <c r="J65" s="1"/>
      <c r="K65" s="1"/>
      <c r="L65" s="1"/>
      <c r="M65" s="1"/>
      <c r="N65" s="1"/>
      <c r="O65" s="1"/>
      <c r="P65" s="1"/>
      <c r="Q65" s="474"/>
      <c r="S65" s="231"/>
      <c r="AA65" s="1"/>
      <c r="AB65" s="392"/>
    </row>
    <row r="66" spans="8:28" x14ac:dyDescent="0.25">
      <c r="H66" s="473"/>
      <c r="I66" s="1"/>
      <c r="J66" s="1"/>
      <c r="K66" s="1"/>
      <c r="L66" s="1"/>
      <c r="M66" s="1"/>
      <c r="N66" s="1"/>
      <c r="O66" s="1"/>
      <c r="P66" s="1"/>
      <c r="Q66" s="474"/>
      <c r="S66" s="231"/>
      <c r="AA66" s="1"/>
      <c r="AB66" s="392"/>
    </row>
    <row r="67" spans="8:28" x14ac:dyDescent="0.25">
      <c r="H67" s="473"/>
      <c r="I67" s="1"/>
      <c r="J67" s="1"/>
      <c r="K67" s="1"/>
      <c r="L67" s="1"/>
      <c r="M67" s="1"/>
      <c r="N67" s="1"/>
      <c r="O67" s="1"/>
      <c r="P67" s="1"/>
      <c r="Q67" s="474"/>
      <c r="S67" s="231"/>
      <c r="AA67" s="1"/>
      <c r="AB67" s="392"/>
    </row>
    <row r="68" spans="8:28" x14ac:dyDescent="0.25">
      <c r="H68" s="473"/>
      <c r="I68" s="1"/>
      <c r="J68" s="1"/>
      <c r="K68" s="1"/>
      <c r="L68" s="1"/>
      <c r="M68" s="1"/>
      <c r="N68" s="1"/>
      <c r="O68" s="1"/>
      <c r="P68" s="1"/>
      <c r="Q68" s="474"/>
      <c r="S68" s="231"/>
      <c r="AA68" s="1"/>
      <c r="AB68" s="392"/>
    </row>
    <row r="69" spans="8:28" x14ac:dyDescent="0.25">
      <c r="H69" s="473"/>
      <c r="I69" s="1"/>
      <c r="J69" s="1"/>
      <c r="K69" s="1"/>
      <c r="L69" s="1"/>
      <c r="M69" s="1"/>
      <c r="N69" s="1"/>
      <c r="O69" s="1"/>
      <c r="P69" s="1"/>
      <c r="Q69" s="474"/>
      <c r="S69" s="231"/>
      <c r="AA69" s="1"/>
      <c r="AB69" s="392"/>
    </row>
    <row r="70" spans="8:28" x14ac:dyDescent="0.25">
      <c r="H70" s="473"/>
      <c r="I70" s="1"/>
      <c r="J70" s="1"/>
      <c r="K70" s="1"/>
      <c r="L70" s="1"/>
      <c r="M70" s="1"/>
      <c r="N70" s="1"/>
      <c r="O70" s="1"/>
      <c r="P70" s="1"/>
      <c r="Q70" s="474"/>
      <c r="S70" s="231"/>
      <c r="AA70" s="1"/>
      <c r="AB70" s="392"/>
    </row>
    <row r="71" spans="8:28" x14ac:dyDescent="0.25">
      <c r="H71" s="473"/>
      <c r="I71" s="1"/>
      <c r="J71" s="1"/>
      <c r="K71" s="1"/>
      <c r="L71" s="1"/>
      <c r="M71" s="1"/>
      <c r="N71" s="1"/>
      <c r="O71" s="1"/>
      <c r="P71" s="1"/>
      <c r="Q71" s="474"/>
      <c r="S71" s="231"/>
      <c r="AA71" s="1"/>
      <c r="AB71" s="392"/>
    </row>
    <row r="72" spans="8:28" x14ac:dyDescent="0.25">
      <c r="H72" s="473"/>
      <c r="I72" s="1"/>
      <c r="J72" s="1"/>
      <c r="K72" s="1"/>
      <c r="L72" s="1"/>
      <c r="M72" s="1"/>
      <c r="N72" s="1"/>
      <c r="O72" s="1"/>
      <c r="P72" s="1"/>
      <c r="Q72" s="474"/>
      <c r="S72" s="231"/>
      <c r="AA72" s="1"/>
      <c r="AB72" s="392"/>
    </row>
    <row r="73" spans="8:28" x14ac:dyDescent="0.25">
      <c r="H73" s="473"/>
      <c r="I73" s="1"/>
      <c r="J73" s="1"/>
      <c r="K73" s="1"/>
      <c r="L73" s="1"/>
      <c r="M73" s="1"/>
      <c r="N73" s="1"/>
      <c r="O73" s="1"/>
      <c r="P73" s="1"/>
      <c r="Q73" s="474"/>
      <c r="S73" s="231"/>
      <c r="AA73" s="1"/>
      <c r="AB73" s="392"/>
    </row>
    <row r="74" spans="8:28" x14ac:dyDescent="0.25">
      <c r="H74" s="473"/>
      <c r="I74" s="1"/>
      <c r="J74" s="1"/>
      <c r="K74" s="1"/>
      <c r="L74" s="1"/>
      <c r="M74" s="1"/>
      <c r="N74" s="1"/>
      <c r="O74" s="1"/>
      <c r="P74" s="1"/>
      <c r="Q74" s="474"/>
      <c r="S74" s="231"/>
      <c r="AA74" s="1"/>
      <c r="AB74" s="392"/>
    </row>
    <row r="75" spans="8:28" x14ac:dyDescent="0.25">
      <c r="H75" s="473"/>
      <c r="I75" s="1"/>
      <c r="J75" s="1"/>
      <c r="K75" s="1"/>
      <c r="L75" s="1"/>
      <c r="M75" s="1"/>
      <c r="N75" s="1"/>
      <c r="O75" s="1"/>
      <c r="P75" s="1"/>
      <c r="Q75" s="474"/>
      <c r="S75" s="231"/>
      <c r="AA75" s="1"/>
      <c r="AB75" s="392"/>
    </row>
    <row r="76" spans="8:28" x14ac:dyDescent="0.25">
      <c r="H76" s="473"/>
      <c r="I76" s="1"/>
      <c r="J76" s="1"/>
      <c r="K76" s="1"/>
      <c r="L76" s="1"/>
      <c r="M76" s="1"/>
      <c r="N76" s="1"/>
      <c r="O76" s="1"/>
      <c r="P76" s="1"/>
      <c r="Q76" s="474"/>
      <c r="S76" s="231"/>
      <c r="AA76" s="1"/>
      <c r="AB76" s="392"/>
    </row>
    <row r="77" spans="8:28" x14ac:dyDescent="0.25">
      <c r="H77" s="473"/>
      <c r="I77" s="1"/>
      <c r="J77" s="1"/>
      <c r="K77" s="1"/>
      <c r="L77" s="1"/>
      <c r="M77" s="1"/>
      <c r="N77" s="1"/>
      <c r="O77" s="1"/>
      <c r="P77" s="1"/>
      <c r="Q77" s="474"/>
      <c r="S77" s="231"/>
      <c r="AA77" s="1"/>
      <c r="AB77" s="392"/>
    </row>
    <row r="78" spans="8:28" x14ac:dyDescent="0.25">
      <c r="H78" s="473"/>
      <c r="I78" s="1"/>
      <c r="J78" s="1"/>
      <c r="K78" s="1"/>
      <c r="L78" s="1"/>
      <c r="M78" s="1"/>
      <c r="N78" s="1"/>
      <c r="O78" s="1"/>
      <c r="P78" s="1"/>
      <c r="Q78" s="474"/>
      <c r="S78" s="231"/>
      <c r="AA78" s="1"/>
      <c r="AB78" s="392"/>
    </row>
    <row r="79" spans="8:28" x14ac:dyDescent="0.25">
      <c r="H79" s="473"/>
      <c r="I79" s="1"/>
      <c r="J79" s="1"/>
      <c r="K79" s="1"/>
      <c r="L79" s="1"/>
      <c r="M79" s="1"/>
      <c r="N79" s="1"/>
      <c r="O79" s="1"/>
      <c r="P79" s="1"/>
      <c r="Q79" s="474"/>
      <c r="S79" s="231"/>
      <c r="AA79" s="1"/>
      <c r="AB79" s="392"/>
    </row>
    <row r="80" spans="8:28" x14ac:dyDescent="0.25">
      <c r="H80" s="473"/>
      <c r="I80" s="1"/>
      <c r="J80" s="1"/>
      <c r="K80" s="1"/>
      <c r="L80" s="1"/>
      <c r="M80" s="1"/>
      <c r="N80" s="1"/>
      <c r="O80" s="1"/>
      <c r="P80" s="1"/>
      <c r="Q80" s="474"/>
      <c r="S80" s="231"/>
      <c r="AA80" s="1"/>
      <c r="AB80" s="392"/>
    </row>
    <row r="81" spans="8:28" x14ac:dyDescent="0.25">
      <c r="H81" s="473"/>
      <c r="I81" s="1"/>
      <c r="J81" s="1"/>
      <c r="K81" s="1"/>
      <c r="L81" s="1"/>
      <c r="M81" s="1"/>
      <c r="N81" s="1"/>
      <c r="O81" s="1"/>
      <c r="P81" s="1"/>
      <c r="Q81" s="474"/>
      <c r="S81" s="231"/>
      <c r="AA81" s="1"/>
      <c r="AB81" s="392"/>
    </row>
    <row r="82" spans="8:28" x14ac:dyDescent="0.25">
      <c r="H82" s="473"/>
      <c r="I82" s="1"/>
      <c r="J82" s="1"/>
      <c r="K82" s="1"/>
      <c r="L82" s="1"/>
      <c r="M82" s="1"/>
      <c r="N82" s="1"/>
      <c r="O82" s="1"/>
      <c r="P82" s="1"/>
      <c r="Q82" s="474"/>
      <c r="S82" s="231"/>
      <c r="AA82" s="1"/>
      <c r="AB82" s="392"/>
    </row>
    <row r="83" spans="8:28" x14ac:dyDescent="0.25">
      <c r="H83" s="473"/>
      <c r="I83" s="1"/>
      <c r="J83" s="1"/>
      <c r="K83" s="1"/>
      <c r="L83" s="1"/>
      <c r="M83" s="1"/>
      <c r="N83" s="1"/>
      <c r="O83" s="1"/>
      <c r="P83" s="1"/>
      <c r="Q83" s="474"/>
      <c r="S83" s="231"/>
      <c r="AA83" s="1"/>
      <c r="AB83" s="392"/>
    </row>
    <row r="84" spans="8:28" x14ac:dyDescent="0.25">
      <c r="H84" s="473"/>
      <c r="I84" s="1"/>
      <c r="J84" s="1"/>
      <c r="K84" s="1"/>
      <c r="L84" s="1"/>
      <c r="M84" s="1"/>
      <c r="N84" s="1"/>
      <c r="O84" s="1"/>
      <c r="P84" s="1"/>
      <c r="Q84" s="474"/>
      <c r="S84" s="231"/>
      <c r="AA84" s="1"/>
      <c r="AB84" s="392"/>
    </row>
    <row r="85" spans="8:28" x14ac:dyDescent="0.25">
      <c r="H85" s="473"/>
      <c r="I85" s="1"/>
      <c r="J85" s="1"/>
      <c r="K85" s="1"/>
      <c r="L85" s="1"/>
      <c r="M85" s="1"/>
      <c r="N85" s="1"/>
      <c r="O85" s="1"/>
      <c r="P85" s="1"/>
      <c r="Q85" s="474"/>
      <c r="S85" s="231"/>
      <c r="AA85" s="1"/>
      <c r="AB85" s="392"/>
    </row>
    <row r="86" spans="8:28" x14ac:dyDescent="0.25">
      <c r="H86" s="473"/>
      <c r="I86" s="1"/>
      <c r="J86" s="1"/>
      <c r="K86" s="1"/>
      <c r="L86" s="1"/>
      <c r="M86" s="1"/>
      <c r="N86" s="1"/>
      <c r="O86" s="1"/>
      <c r="P86" s="1"/>
      <c r="Q86" s="474"/>
      <c r="S86" s="231"/>
      <c r="AA86" s="1"/>
      <c r="AB86" s="392"/>
    </row>
    <row r="87" spans="8:28" x14ac:dyDescent="0.25">
      <c r="H87" s="473"/>
      <c r="I87" s="1"/>
      <c r="J87" s="1"/>
      <c r="K87" s="1"/>
      <c r="L87" s="1"/>
      <c r="M87" s="1"/>
      <c r="N87" s="1"/>
      <c r="O87" s="1"/>
      <c r="P87" s="1"/>
      <c r="Q87" s="474"/>
      <c r="S87" s="231"/>
      <c r="AA87" s="1"/>
      <c r="AB87" s="392"/>
    </row>
    <row r="88" spans="8:28" x14ac:dyDescent="0.25">
      <c r="H88" s="473"/>
      <c r="I88" s="1"/>
      <c r="J88" s="1"/>
      <c r="K88" s="1"/>
      <c r="L88" s="1"/>
      <c r="M88" s="1"/>
      <c r="N88" s="1"/>
      <c r="O88" s="1"/>
      <c r="P88" s="1"/>
      <c r="Q88" s="474"/>
      <c r="S88" s="231"/>
      <c r="AA88" s="1"/>
      <c r="AB88" s="392"/>
    </row>
    <row r="89" spans="8:28" x14ac:dyDescent="0.25">
      <c r="H89" s="473"/>
      <c r="I89" s="1"/>
      <c r="J89" s="1"/>
      <c r="K89" s="1"/>
      <c r="L89" s="1"/>
      <c r="M89" s="1"/>
      <c r="N89" s="1"/>
      <c r="O89" s="1"/>
      <c r="P89" s="1"/>
      <c r="Q89" s="474"/>
      <c r="S89" s="231"/>
      <c r="AA89" s="1"/>
      <c r="AB89" s="392"/>
    </row>
    <row r="90" spans="8:28" x14ac:dyDescent="0.25">
      <c r="H90" s="473"/>
      <c r="I90" s="1"/>
      <c r="J90" s="1"/>
      <c r="K90" s="1"/>
      <c r="L90" s="1"/>
      <c r="M90" s="1"/>
      <c r="N90" s="1"/>
      <c r="O90" s="1"/>
      <c r="P90" s="1"/>
      <c r="Q90" s="474"/>
      <c r="S90" s="231"/>
      <c r="AA90" s="1"/>
      <c r="AB90" s="392"/>
    </row>
    <row r="91" spans="8:28" x14ac:dyDescent="0.25">
      <c r="H91" s="473"/>
      <c r="I91" s="1"/>
      <c r="J91" s="1"/>
      <c r="K91" s="1"/>
      <c r="L91" s="1"/>
      <c r="M91" s="1"/>
      <c r="N91" s="1"/>
      <c r="O91" s="1"/>
      <c r="P91" s="1"/>
      <c r="Q91" s="474"/>
      <c r="S91" s="231"/>
      <c r="AA91" s="1"/>
      <c r="AB91" s="392"/>
    </row>
    <row r="92" spans="8:28" x14ac:dyDescent="0.25">
      <c r="H92" s="473"/>
      <c r="I92" s="1"/>
      <c r="J92" s="1"/>
      <c r="K92" s="1"/>
      <c r="L92" s="1"/>
      <c r="M92" s="1"/>
      <c r="N92" s="1"/>
      <c r="O92" s="1"/>
      <c r="P92" s="1"/>
      <c r="Q92" s="474"/>
      <c r="S92" s="231"/>
      <c r="AA92" s="1"/>
      <c r="AB92" s="392"/>
    </row>
    <row r="93" spans="8:28" x14ac:dyDescent="0.25">
      <c r="H93" s="473"/>
      <c r="I93" s="1"/>
      <c r="J93" s="1"/>
      <c r="K93" s="1"/>
      <c r="L93" s="1"/>
      <c r="M93" s="1"/>
      <c r="N93" s="1"/>
      <c r="O93" s="1"/>
      <c r="P93" s="1"/>
      <c r="Q93" s="474"/>
      <c r="S93" s="231"/>
      <c r="AA93" s="1"/>
      <c r="AB93" s="392"/>
    </row>
    <row r="94" spans="8:28" x14ac:dyDescent="0.25">
      <c r="H94" s="473"/>
      <c r="I94" s="1"/>
      <c r="J94" s="1"/>
      <c r="K94" s="1"/>
      <c r="L94" s="1"/>
      <c r="M94" s="1"/>
      <c r="N94" s="1"/>
      <c r="O94" s="1"/>
      <c r="P94" s="1"/>
      <c r="Q94" s="474"/>
      <c r="S94" s="231"/>
      <c r="AA94" s="1"/>
      <c r="AB94" s="392"/>
    </row>
    <row r="95" spans="8:28" x14ac:dyDescent="0.25">
      <c r="H95" s="473"/>
      <c r="I95" s="1"/>
      <c r="J95" s="1"/>
      <c r="K95" s="1"/>
      <c r="L95" s="1"/>
      <c r="M95" s="1"/>
      <c r="N95" s="1"/>
      <c r="O95" s="1"/>
      <c r="P95" s="1"/>
      <c r="Q95" s="474"/>
      <c r="S95" s="231"/>
      <c r="AA95" s="1"/>
      <c r="AB95" s="392"/>
    </row>
    <row r="96" spans="8:28" x14ac:dyDescent="0.25">
      <c r="H96" s="473"/>
      <c r="I96" s="1"/>
      <c r="J96" s="1"/>
      <c r="K96" s="1"/>
      <c r="L96" s="1"/>
      <c r="M96" s="1"/>
      <c r="N96" s="1"/>
      <c r="O96" s="1"/>
      <c r="P96" s="1"/>
      <c r="Q96" s="474"/>
      <c r="S96" s="231"/>
      <c r="AA96" s="1"/>
      <c r="AB96" s="392"/>
    </row>
    <row r="97" spans="8:28" x14ac:dyDescent="0.25">
      <c r="H97" s="473"/>
      <c r="I97" s="1"/>
      <c r="J97" s="1"/>
      <c r="K97" s="1"/>
      <c r="L97" s="1"/>
      <c r="M97" s="1"/>
      <c r="N97" s="1"/>
      <c r="O97" s="1"/>
      <c r="P97" s="1"/>
      <c r="Q97" s="474"/>
      <c r="S97" s="231"/>
      <c r="AA97" s="1"/>
      <c r="AB97" s="392"/>
    </row>
    <row r="98" spans="8:28" x14ac:dyDescent="0.25">
      <c r="H98" s="473"/>
      <c r="I98" s="1"/>
      <c r="J98" s="1"/>
      <c r="K98" s="1"/>
      <c r="L98" s="1"/>
      <c r="M98" s="1"/>
      <c r="N98" s="1"/>
      <c r="O98" s="1"/>
      <c r="P98" s="1"/>
      <c r="Q98" s="474"/>
      <c r="S98" s="231"/>
      <c r="AA98" s="1"/>
      <c r="AB98" s="392"/>
    </row>
    <row r="99" spans="8:28" x14ac:dyDescent="0.25">
      <c r="H99" s="473"/>
      <c r="I99" s="1"/>
      <c r="J99" s="1"/>
      <c r="K99" s="1"/>
      <c r="L99" s="1"/>
      <c r="M99" s="1"/>
      <c r="N99" s="1"/>
      <c r="O99" s="1"/>
      <c r="P99" s="1"/>
      <c r="Q99" s="474"/>
      <c r="S99" s="231"/>
      <c r="AA99" s="1"/>
      <c r="AB99" s="392"/>
    </row>
    <row r="100" spans="8:28" x14ac:dyDescent="0.25">
      <c r="H100" s="473"/>
      <c r="I100" s="1"/>
      <c r="J100" s="1"/>
      <c r="K100" s="1"/>
      <c r="L100" s="1"/>
      <c r="M100" s="1"/>
      <c r="N100" s="1"/>
      <c r="O100" s="1"/>
      <c r="P100" s="1"/>
      <c r="Q100" s="474"/>
      <c r="S100" s="231"/>
      <c r="AA100" s="1"/>
      <c r="AB100" s="392"/>
    </row>
    <row r="101" spans="8:28" x14ac:dyDescent="0.25">
      <c r="H101" s="473"/>
      <c r="I101" s="1"/>
      <c r="J101" s="1"/>
      <c r="K101" s="1"/>
      <c r="L101" s="1"/>
      <c r="M101" s="1"/>
      <c r="N101" s="1"/>
      <c r="O101" s="1"/>
      <c r="P101" s="1"/>
      <c r="Q101" s="474"/>
      <c r="S101" s="231"/>
      <c r="AA101" s="1"/>
      <c r="AB101" s="392"/>
    </row>
    <row r="102" spans="8:28" x14ac:dyDescent="0.25">
      <c r="H102" s="473"/>
      <c r="I102" s="1"/>
      <c r="J102" s="1"/>
      <c r="K102" s="1"/>
      <c r="L102" s="1"/>
      <c r="M102" s="1"/>
      <c r="N102" s="1"/>
      <c r="O102" s="1"/>
      <c r="P102" s="1"/>
      <c r="Q102" s="474"/>
      <c r="S102" s="231"/>
      <c r="AA102" s="1"/>
      <c r="AB102" s="392"/>
    </row>
    <row r="103" spans="8:28" x14ac:dyDescent="0.25">
      <c r="H103" s="473"/>
      <c r="I103" s="1"/>
      <c r="J103" s="1"/>
      <c r="K103" s="1"/>
      <c r="L103" s="1"/>
      <c r="M103" s="1"/>
      <c r="N103" s="1"/>
      <c r="O103" s="1"/>
      <c r="P103" s="1"/>
      <c r="Q103" s="474"/>
      <c r="S103" s="231"/>
      <c r="AA103" s="1"/>
      <c r="AB103" s="392"/>
    </row>
    <row r="104" spans="8:28" x14ac:dyDescent="0.25">
      <c r="H104" s="473"/>
      <c r="I104" s="1"/>
      <c r="J104" s="1"/>
      <c r="K104" s="1"/>
      <c r="L104" s="1"/>
      <c r="M104" s="1"/>
      <c r="N104" s="1"/>
      <c r="O104" s="1"/>
      <c r="P104" s="1"/>
      <c r="Q104" s="474"/>
      <c r="S104" s="231"/>
      <c r="AA104" s="1"/>
      <c r="AB104" s="392"/>
    </row>
    <row r="105" spans="8:28" x14ac:dyDescent="0.25">
      <c r="H105" s="473"/>
      <c r="I105" s="1"/>
      <c r="J105" s="1"/>
      <c r="K105" s="1"/>
      <c r="L105" s="1"/>
      <c r="M105" s="1"/>
      <c r="N105" s="1"/>
      <c r="O105" s="1"/>
      <c r="P105" s="1"/>
      <c r="Q105" s="474"/>
      <c r="S105" s="231"/>
      <c r="AA105" s="1"/>
      <c r="AB105" s="392"/>
    </row>
    <row r="106" spans="8:28" x14ac:dyDescent="0.25">
      <c r="H106" s="473"/>
      <c r="I106" s="1"/>
      <c r="J106" s="1"/>
      <c r="K106" s="1"/>
      <c r="L106" s="1"/>
      <c r="M106" s="1"/>
      <c r="N106" s="1"/>
      <c r="O106" s="1"/>
      <c r="P106" s="1"/>
      <c r="Q106" s="474"/>
      <c r="S106" s="231"/>
      <c r="AA106" s="1"/>
      <c r="AB106" s="392"/>
    </row>
    <row r="107" spans="8:28" x14ac:dyDescent="0.25">
      <c r="H107" s="473"/>
      <c r="I107" s="1"/>
      <c r="J107" s="1"/>
      <c r="K107" s="1"/>
      <c r="L107" s="1"/>
      <c r="M107" s="1"/>
      <c r="N107" s="1"/>
      <c r="O107" s="1"/>
      <c r="P107" s="1"/>
      <c r="Q107" s="474"/>
      <c r="S107" s="231"/>
      <c r="AA107" s="1"/>
      <c r="AB107" s="392"/>
    </row>
    <row r="108" spans="8:28" x14ac:dyDescent="0.25">
      <c r="H108" s="473"/>
      <c r="I108" s="1"/>
      <c r="J108" s="1"/>
      <c r="K108" s="1"/>
      <c r="L108" s="1"/>
      <c r="M108" s="1"/>
      <c r="N108" s="1"/>
      <c r="O108" s="1"/>
      <c r="P108" s="1"/>
      <c r="Q108" s="474"/>
      <c r="S108" s="231"/>
      <c r="AA108" s="1"/>
      <c r="AB108" s="392"/>
    </row>
    <row r="109" spans="8:28" x14ac:dyDescent="0.25">
      <c r="H109" s="473"/>
      <c r="I109" s="1"/>
      <c r="J109" s="1"/>
      <c r="K109" s="1"/>
      <c r="L109" s="1"/>
      <c r="M109" s="1"/>
      <c r="N109" s="1"/>
      <c r="O109" s="1"/>
      <c r="P109" s="1"/>
      <c r="Q109" s="474"/>
      <c r="S109" s="231"/>
      <c r="AA109" s="1"/>
      <c r="AB109" s="392"/>
    </row>
    <row r="110" spans="8:28" x14ac:dyDescent="0.25">
      <c r="H110" s="473"/>
      <c r="I110" s="1"/>
      <c r="J110" s="1"/>
      <c r="K110" s="1"/>
      <c r="L110" s="1"/>
      <c r="M110" s="1"/>
      <c r="N110" s="1"/>
      <c r="O110" s="1"/>
      <c r="P110" s="1"/>
      <c r="Q110" s="474"/>
      <c r="S110" s="231"/>
      <c r="AA110" s="1"/>
      <c r="AB110" s="392"/>
    </row>
    <row r="111" spans="8:28" x14ac:dyDescent="0.25">
      <c r="H111" s="473"/>
      <c r="I111" s="1"/>
      <c r="J111" s="1"/>
      <c r="K111" s="1"/>
      <c r="L111" s="1"/>
      <c r="M111" s="1"/>
      <c r="N111" s="1"/>
      <c r="O111" s="1"/>
      <c r="P111" s="1"/>
      <c r="Q111" s="474"/>
      <c r="S111" s="231"/>
      <c r="AA111" s="1"/>
      <c r="AB111" s="392"/>
    </row>
    <row r="112" spans="8:28" x14ac:dyDescent="0.25">
      <c r="H112" s="473"/>
      <c r="I112" s="1"/>
      <c r="J112" s="1"/>
      <c r="K112" s="1"/>
      <c r="L112" s="1"/>
      <c r="M112" s="1"/>
      <c r="N112" s="1"/>
      <c r="O112" s="1"/>
      <c r="P112" s="1"/>
      <c r="Q112" s="474"/>
      <c r="S112" s="231"/>
      <c r="AA112" s="1"/>
      <c r="AB112" s="392"/>
    </row>
    <row r="113" spans="8:28" x14ac:dyDescent="0.25">
      <c r="H113" s="473"/>
      <c r="I113" s="1"/>
      <c r="J113" s="1"/>
      <c r="K113" s="1"/>
      <c r="L113" s="1"/>
      <c r="M113" s="1"/>
      <c r="N113" s="1"/>
      <c r="O113" s="1"/>
      <c r="P113" s="1"/>
      <c r="Q113" s="474"/>
      <c r="S113" s="231"/>
      <c r="AA113" s="1"/>
      <c r="AB113" s="392"/>
    </row>
    <row r="114" spans="8:28" x14ac:dyDescent="0.25">
      <c r="H114" s="473"/>
      <c r="I114" s="1"/>
      <c r="J114" s="1"/>
      <c r="K114" s="1"/>
      <c r="L114" s="1"/>
      <c r="M114" s="1"/>
      <c r="N114" s="1"/>
      <c r="O114" s="1"/>
      <c r="P114" s="1"/>
      <c r="Q114" s="474"/>
      <c r="S114" s="231"/>
      <c r="AA114" s="1"/>
      <c r="AB114" s="392"/>
    </row>
    <row r="115" spans="8:28" x14ac:dyDescent="0.25">
      <c r="H115" s="473"/>
      <c r="I115" s="1"/>
      <c r="J115" s="1"/>
      <c r="K115" s="1"/>
      <c r="L115" s="1"/>
      <c r="M115" s="1"/>
      <c r="N115" s="1"/>
      <c r="O115" s="1"/>
      <c r="P115" s="1"/>
      <c r="Q115" s="474"/>
      <c r="S115" s="231"/>
      <c r="AA115" s="1"/>
      <c r="AB115" s="392"/>
    </row>
    <row r="116" spans="8:28" x14ac:dyDescent="0.25">
      <c r="H116" s="473"/>
      <c r="I116" s="1"/>
      <c r="J116" s="1"/>
      <c r="K116" s="1"/>
      <c r="L116" s="1"/>
      <c r="M116" s="1"/>
      <c r="N116" s="1"/>
      <c r="O116" s="1"/>
      <c r="P116" s="1"/>
      <c r="Q116" s="474"/>
      <c r="S116" s="231"/>
      <c r="AA116" s="1"/>
      <c r="AB116" s="392"/>
    </row>
    <row r="117" spans="8:28" x14ac:dyDescent="0.25">
      <c r="H117" s="473"/>
      <c r="I117" s="1"/>
      <c r="J117" s="1"/>
      <c r="K117" s="1"/>
      <c r="L117" s="1"/>
      <c r="M117" s="1"/>
      <c r="N117" s="1"/>
      <c r="O117" s="1"/>
      <c r="P117" s="1"/>
      <c r="Q117" s="474"/>
      <c r="S117" s="231"/>
      <c r="AA117" s="1"/>
      <c r="AB117" s="392"/>
    </row>
    <row r="118" spans="8:28" x14ac:dyDescent="0.25">
      <c r="H118" s="473"/>
      <c r="I118" s="1"/>
      <c r="J118" s="1"/>
      <c r="K118" s="1"/>
      <c r="L118" s="1"/>
      <c r="M118" s="1"/>
      <c r="N118" s="1"/>
      <c r="O118" s="1"/>
      <c r="P118" s="1"/>
      <c r="Q118" s="474"/>
      <c r="S118" s="231"/>
      <c r="AA118" s="1"/>
      <c r="AB118" s="392"/>
    </row>
    <row r="119" spans="8:28" x14ac:dyDescent="0.25">
      <c r="H119" s="473"/>
      <c r="I119" s="1"/>
      <c r="J119" s="1"/>
      <c r="K119" s="1"/>
      <c r="L119" s="1"/>
      <c r="M119" s="1"/>
      <c r="N119" s="1"/>
      <c r="O119" s="1"/>
      <c r="P119" s="1"/>
      <c r="Q119" s="474"/>
      <c r="S119" s="231"/>
      <c r="AA119" s="1"/>
      <c r="AB119" s="392"/>
    </row>
    <row r="120" spans="8:28" x14ac:dyDescent="0.25">
      <c r="H120" s="473"/>
      <c r="I120" s="1"/>
      <c r="J120" s="1"/>
      <c r="K120" s="1"/>
      <c r="L120" s="1"/>
      <c r="M120" s="1"/>
      <c r="N120" s="1"/>
      <c r="O120" s="1"/>
      <c r="P120" s="1"/>
      <c r="Q120" s="474"/>
      <c r="S120" s="231"/>
      <c r="AA120" s="1"/>
      <c r="AB120" s="392"/>
    </row>
    <row r="121" spans="8:28" x14ac:dyDescent="0.25">
      <c r="H121" s="473"/>
      <c r="I121" s="1"/>
      <c r="J121" s="1"/>
      <c r="K121" s="1"/>
      <c r="L121" s="1"/>
      <c r="M121" s="1"/>
      <c r="N121" s="1"/>
      <c r="O121" s="1"/>
      <c r="P121" s="1"/>
      <c r="Q121" s="474"/>
      <c r="S121" s="231"/>
      <c r="AA121" s="1"/>
      <c r="AB121" s="392"/>
    </row>
    <row r="122" spans="8:28" x14ac:dyDescent="0.25">
      <c r="H122" s="473"/>
      <c r="I122" s="1"/>
      <c r="J122" s="1"/>
      <c r="K122" s="1"/>
      <c r="L122" s="1"/>
      <c r="M122" s="1"/>
      <c r="N122" s="1"/>
      <c r="O122" s="1"/>
      <c r="P122" s="1"/>
      <c r="Q122" s="474"/>
      <c r="S122" s="231"/>
      <c r="AA122" s="1"/>
      <c r="AB122" s="392"/>
    </row>
    <row r="123" spans="8:28" x14ac:dyDescent="0.25">
      <c r="H123" s="473"/>
      <c r="I123" s="1"/>
      <c r="J123" s="1"/>
      <c r="K123" s="1"/>
      <c r="L123" s="1"/>
      <c r="M123" s="1"/>
      <c r="N123" s="1"/>
      <c r="O123" s="1"/>
      <c r="P123" s="1"/>
      <c r="Q123" s="474"/>
      <c r="S123" s="231"/>
      <c r="AA123" s="1"/>
      <c r="AB123" s="392"/>
    </row>
    <row r="124" spans="8:28" x14ac:dyDescent="0.25">
      <c r="H124" s="473"/>
      <c r="I124" s="1"/>
      <c r="J124" s="1"/>
      <c r="K124" s="1"/>
      <c r="L124" s="1"/>
      <c r="M124" s="1"/>
      <c r="N124" s="1"/>
      <c r="O124" s="1"/>
      <c r="P124" s="1"/>
      <c r="Q124" s="474"/>
      <c r="S124" s="231"/>
      <c r="AA124" s="1"/>
      <c r="AB124" s="392"/>
    </row>
    <row r="125" spans="8:28" x14ac:dyDescent="0.25">
      <c r="H125" s="473"/>
      <c r="I125" s="1"/>
      <c r="J125" s="1"/>
      <c r="K125" s="1"/>
      <c r="L125" s="1"/>
      <c r="M125" s="1"/>
      <c r="N125" s="1"/>
      <c r="O125" s="1"/>
      <c r="P125" s="1"/>
      <c r="Q125" s="474"/>
      <c r="S125" s="231"/>
      <c r="AA125" s="1"/>
      <c r="AB125" s="392"/>
    </row>
    <row r="126" spans="8:28" x14ac:dyDescent="0.25">
      <c r="H126" s="473"/>
      <c r="I126" s="1"/>
      <c r="J126" s="1"/>
      <c r="K126" s="1"/>
      <c r="L126" s="1"/>
      <c r="M126" s="1"/>
      <c r="N126" s="1"/>
      <c r="O126" s="1"/>
      <c r="P126" s="1"/>
      <c r="Q126" s="474"/>
      <c r="S126" s="231"/>
      <c r="AA126" s="1"/>
      <c r="AB126" s="392"/>
    </row>
    <row r="127" spans="8:28" x14ac:dyDescent="0.25">
      <c r="H127" s="473"/>
      <c r="I127" s="1"/>
      <c r="J127" s="1"/>
      <c r="K127" s="1"/>
      <c r="L127" s="1"/>
      <c r="M127" s="1"/>
      <c r="N127" s="1"/>
      <c r="O127" s="1"/>
      <c r="P127" s="1"/>
      <c r="Q127" s="474"/>
      <c r="S127" s="231"/>
      <c r="AA127" s="1"/>
      <c r="AB127" s="392"/>
    </row>
    <row r="128" spans="8:28" x14ac:dyDescent="0.25">
      <c r="H128" s="473"/>
      <c r="I128" s="1"/>
      <c r="J128" s="1"/>
      <c r="K128" s="1"/>
      <c r="L128" s="1"/>
      <c r="M128" s="1"/>
      <c r="N128" s="1"/>
      <c r="O128" s="1"/>
      <c r="P128" s="1"/>
      <c r="Q128" s="474"/>
      <c r="S128" s="231"/>
      <c r="AA128" s="1"/>
      <c r="AB128" s="392"/>
    </row>
    <row r="129" spans="8:28" x14ac:dyDescent="0.25">
      <c r="H129" s="473"/>
      <c r="I129" s="1"/>
      <c r="J129" s="1"/>
      <c r="K129" s="1"/>
      <c r="L129" s="1"/>
      <c r="M129" s="1"/>
      <c r="N129" s="1"/>
      <c r="O129" s="1"/>
      <c r="P129" s="1"/>
      <c r="Q129" s="474"/>
      <c r="S129" s="231"/>
      <c r="AA129" s="1"/>
      <c r="AB129" s="392"/>
    </row>
    <row r="130" spans="8:28" x14ac:dyDescent="0.25">
      <c r="H130" s="473"/>
      <c r="I130" s="1"/>
      <c r="J130" s="1"/>
      <c r="K130" s="1"/>
      <c r="L130" s="1"/>
      <c r="M130" s="1"/>
      <c r="N130" s="1"/>
      <c r="O130" s="1"/>
      <c r="P130" s="1"/>
      <c r="Q130" s="474"/>
      <c r="S130" s="231"/>
      <c r="AA130" s="1"/>
      <c r="AB130" s="392"/>
    </row>
    <row r="131" spans="8:28" x14ac:dyDescent="0.25">
      <c r="H131" s="473"/>
      <c r="I131" s="1"/>
      <c r="J131" s="1"/>
      <c r="K131" s="1"/>
      <c r="L131" s="1"/>
      <c r="M131" s="1"/>
      <c r="N131" s="1"/>
      <c r="O131" s="1"/>
      <c r="P131" s="1"/>
      <c r="Q131" s="474"/>
      <c r="S131" s="231"/>
      <c r="AA131" s="1"/>
      <c r="AB131" s="392"/>
    </row>
    <row r="132" spans="8:28" x14ac:dyDescent="0.25">
      <c r="H132" s="473"/>
      <c r="I132" s="1"/>
      <c r="J132" s="1"/>
      <c r="K132" s="1"/>
      <c r="L132" s="1"/>
      <c r="M132" s="1"/>
      <c r="N132" s="1"/>
      <c r="O132" s="1"/>
      <c r="P132" s="1"/>
      <c r="Q132" s="474"/>
      <c r="S132" s="231"/>
      <c r="AA132" s="1"/>
      <c r="AB132" s="392"/>
    </row>
    <row r="133" spans="8:28" x14ac:dyDescent="0.25">
      <c r="H133" s="473"/>
      <c r="I133" s="1"/>
      <c r="J133" s="1"/>
      <c r="K133" s="1"/>
      <c r="L133" s="1"/>
      <c r="M133" s="1"/>
      <c r="N133" s="1"/>
      <c r="O133" s="1"/>
      <c r="P133" s="1"/>
      <c r="Q133" s="474"/>
      <c r="S133" s="231"/>
      <c r="AA133" s="1"/>
      <c r="AB133" s="392"/>
    </row>
    <row r="134" spans="8:28" x14ac:dyDescent="0.25">
      <c r="H134" s="473"/>
      <c r="I134" s="1"/>
      <c r="J134" s="1"/>
      <c r="K134" s="1"/>
      <c r="L134" s="1"/>
      <c r="M134" s="1"/>
      <c r="N134" s="1"/>
      <c r="O134" s="1"/>
      <c r="P134" s="1"/>
      <c r="Q134" s="474"/>
      <c r="S134" s="231"/>
      <c r="AA134" s="1"/>
      <c r="AB134" s="392"/>
    </row>
    <row r="135" spans="8:28" x14ac:dyDescent="0.25">
      <c r="H135" s="473"/>
      <c r="I135" s="1"/>
      <c r="J135" s="1"/>
      <c r="K135" s="1"/>
      <c r="L135" s="1"/>
      <c r="M135" s="1"/>
      <c r="N135" s="1"/>
      <c r="O135" s="1"/>
      <c r="P135" s="1"/>
      <c r="Q135" s="474"/>
      <c r="S135" s="231"/>
      <c r="AA135" s="1"/>
      <c r="AB135" s="392"/>
    </row>
    <row r="136" spans="8:28" x14ac:dyDescent="0.25">
      <c r="H136" s="473"/>
      <c r="I136" s="1"/>
      <c r="J136" s="1"/>
      <c r="K136" s="1"/>
      <c r="L136" s="1"/>
      <c r="M136" s="1"/>
      <c r="N136" s="1"/>
      <c r="O136" s="1"/>
      <c r="P136" s="1"/>
      <c r="Q136" s="474"/>
      <c r="S136" s="231"/>
      <c r="AA136" s="1"/>
      <c r="AB136" s="392"/>
    </row>
    <row r="137" spans="8:28" x14ac:dyDescent="0.25">
      <c r="H137" s="473"/>
      <c r="I137" s="1"/>
      <c r="J137" s="1"/>
      <c r="K137" s="1"/>
      <c r="L137" s="1"/>
      <c r="M137" s="1"/>
      <c r="N137" s="1"/>
      <c r="O137" s="1"/>
      <c r="P137" s="1"/>
      <c r="Q137" s="474"/>
      <c r="S137" s="231"/>
      <c r="AA137" s="1"/>
      <c r="AB137" s="392"/>
    </row>
    <row r="138" spans="8:28" x14ac:dyDescent="0.25">
      <c r="H138" s="473"/>
      <c r="I138" s="1"/>
      <c r="J138" s="1"/>
      <c r="K138" s="1"/>
      <c r="L138" s="1"/>
      <c r="M138" s="1"/>
      <c r="N138" s="1"/>
      <c r="O138" s="1"/>
      <c r="P138" s="1"/>
      <c r="Q138" s="474"/>
      <c r="S138" s="231"/>
      <c r="AA138" s="1"/>
      <c r="AB138" s="392"/>
    </row>
    <row r="139" spans="8:28" x14ac:dyDescent="0.25">
      <c r="H139" s="473"/>
      <c r="I139" s="1"/>
      <c r="J139" s="1"/>
      <c r="K139" s="1"/>
      <c r="L139" s="1"/>
      <c r="M139" s="1"/>
      <c r="N139" s="1"/>
      <c r="O139" s="1"/>
      <c r="P139" s="1"/>
      <c r="Q139" s="474"/>
      <c r="S139" s="231"/>
      <c r="AA139" s="1"/>
      <c r="AB139" s="392"/>
    </row>
    <row r="140" spans="8:28" x14ac:dyDescent="0.25">
      <c r="H140" s="473"/>
      <c r="I140" s="1"/>
      <c r="J140" s="1"/>
      <c r="K140" s="1"/>
      <c r="L140" s="1"/>
      <c r="M140" s="1"/>
      <c r="N140" s="1"/>
      <c r="O140" s="1"/>
      <c r="P140" s="1"/>
      <c r="Q140" s="474"/>
      <c r="S140" s="231"/>
      <c r="AA140" s="1"/>
      <c r="AB140" s="392"/>
    </row>
    <row r="141" spans="8:28" x14ac:dyDescent="0.25">
      <c r="H141" s="473"/>
      <c r="I141" s="1"/>
      <c r="J141" s="1"/>
      <c r="K141" s="1"/>
      <c r="L141" s="1"/>
      <c r="M141" s="1"/>
      <c r="N141" s="1"/>
      <c r="O141" s="1"/>
      <c r="P141" s="1"/>
      <c r="Q141" s="474"/>
      <c r="S141" s="231"/>
      <c r="AA141" s="1"/>
      <c r="AB141" s="392"/>
    </row>
    <row r="142" spans="8:28" x14ac:dyDescent="0.25">
      <c r="H142" s="473"/>
      <c r="I142" s="1"/>
      <c r="J142" s="1"/>
      <c r="K142" s="1"/>
      <c r="L142" s="1"/>
      <c r="M142" s="1"/>
      <c r="N142" s="1"/>
      <c r="O142" s="1"/>
      <c r="P142" s="1"/>
      <c r="Q142" s="474"/>
      <c r="S142" s="231"/>
      <c r="AA142" s="1"/>
      <c r="AB142" s="392"/>
    </row>
    <row r="143" spans="8:28" x14ac:dyDescent="0.25">
      <c r="H143" s="473"/>
      <c r="I143" s="1"/>
      <c r="J143" s="1"/>
      <c r="K143" s="1"/>
      <c r="L143" s="1"/>
      <c r="M143" s="1"/>
      <c r="N143" s="1"/>
      <c r="O143" s="1"/>
      <c r="P143" s="1"/>
      <c r="Q143" s="474"/>
      <c r="S143" s="231"/>
      <c r="AA143" s="1"/>
      <c r="AB143" s="392"/>
    </row>
    <row r="144" spans="8:28" x14ac:dyDescent="0.25">
      <c r="H144" s="473"/>
      <c r="I144" s="1"/>
      <c r="J144" s="1"/>
      <c r="K144" s="1"/>
      <c r="L144" s="1"/>
      <c r="M144" s="1"/>
      <c r="N144" s="1"/>
      <c r="O144" s="1"/>
      <c r="P144" s="1"/>
      <c r="Q144" s="474"/>
      <c r="S144" s="231"/>
      <c r="AA144" s="1"/>
      <c r="AB144" s="392"/>
    </row>
    <row r="145" spans="8:28" x14ac:dyDescent="0.25">
      <c r="H145" s="473"/>
      <c r="I145" s="1"/>
      <c r="J145" s="1"/>
      <c r="K145" s="1"/>
      <c r="L145" s="1"/>
      <c r="M145" s="1"/>
      <c r="N145" s="1"/>
      <c r="O145" s="1"/>
      <c r="P145" s="1"/>
      <c r="Q145" s="474"/>
      <c r="S145" s="231"/>
      <c r="AA145" s="1"/>
      <c r="AB145" s="392"/>
    </row>
    <row r="146" spans="8:28" x14ac:dyDescent="0.25">
      <c r="H146" s="473"/>
      <c r="I146" s="1"/>
      <c r="J146" s="1"/>
      <c r="K146" s="1"/>
      <c r="L146" s="1"/>
      <c r="M146" s="1"/>
      <c r="N146" s="1"/>
      <c r="O146" s="1"/>
      <c r="P146" s="1"/>
      <c r="Q146" s="474"/>
      <c r="S146" s="231"/>
      <c r="AA146" s="1"/>
      <c r="AB146" s="392"/>
    </row>
    <row r="147" spans="8:28" x14ac:dyDescent="0.25">
      <c r="H147" s="473"/>
      <c r="I147" s="1"/>
      <c r="J147" s="1"/>
      <c r="K147" s="1"/>
      <c r="L147" s="1"/>
      <c r="M147" s="1"/>
      <c r="N147" s="1"/>
      <c r="O147" s="1"/>
      <c r="P147" s="1"/>
      <c r="Q147" s="474"/>
      <c r="S147" s="231"/>
      <c r="AA147" s="1"/>
      <c r="AB147" s="392"/>
    </row>
    <row r="148" spans="8:28" x14ac:dyDescent="0.25">
      <c r="H148" s="473"/>
      <c r="I148" s="1"/>
      <c r="J148" s="1"/>
      <c r="K148" s="1"/>
      <c r="L148" s="1"/>
      <c r="M148" s="1"/>
      <c r="N148" s="1"/>
      <c r="O148" s="1"/>
      <c r="P148" s="1"/>
      <c r="Q148" s="474"/>
      <c r="S148" s="231"/>
      <c r="AA148" s="1"/>
      <c r="AB148" s="392"/>
    </row>
    <row r="149" spans="8:28" x14ac:dyDescent="0.25">
      <c r="H149" s="473"/>
      <c r="I149" s="1"/>
      <c r="J149" s="1"/>
      <c r="K149" s="1"/>
      <c r="L149" s="1"/>
      <c r="M149" s="1"/>
      <c r="N149" s="1"/>
      <c r="O149" s="1"/>
      <c r="P149" s="1"/>
      <c r="Q149" s="474"/>
      <c r="S149" s="231"/>
      <c r="AA149" s="1"/>
      <c r="AB149" s="392"/>
    </row>
    <row r="150" spans="8:28" x14ac:dyDescent="0.25">
      <c r="H150" s="473"/>
      <c r="I150" s="1"/>
      <c r="J150" s="1"/>
      <c r="K150" s="1"/>
      <c r="L150" s="1"/>
      <c r="M150" s="1"/>
      <c r="N150" s="1"/>
      <c r="O150" s="1"/>
      <c r="P150" s="1"/>
      <c r="Q150" s="474"/>
      <c r="S150" s="231"/>
      <c r="AA150" s="1"/>
      <c r="AB150" s="392"/>
    </row>
    <row r="151" spans="8:28" x14ac:dyDescent="0.25">
      <c r="H151" s="473"/>
      <c r="I151" s="1"/>
      <c r="J151" s="1"/>
      <c r="K151" s="1"/>
      <c r="L151" s="1"/>
      <c r="M151" s="1"/>
      <c r="N151" s="1"/>
      <c r="O151" s="1"/>
      <c r="P151" s="1"/>
      <c r="Q151" s="474"/>
      <c r="S151" s="231"/>
      <c r="AA151" s="1"/>
      <c r="AB151" s="392"/>
    </row>
    <row r="152" spans="8:28" x14ac:dyDescent="0.25">
      <c r="H152" s="473"/>
      <c r="I152" s="1"/>
      <c r="J152" s="1"/>
      <c r="K152" s="1"/>
      <c r="L152" s="1"/>
      <c r="M152" s="1"/>
      <c r="N152" s="1"/>
      <c r="O152" s="1"/>
      <c r="P152" s="1"/>
      <c r="Q152" s="474"/>
      <c r="S152" s="231"/>
      <c r="AA152" s="1"/>
      <c r="AB152" s="392"/>
    </row>
    <row r="153" spans="8:28" x14ac:dyDescent="0.25">
      <c r="H153" s="473"/>
      <c r="I153" s="1"/>
      <c r="J153" s="1"/>
      <c r="K153" s="1"/>
      <c r="L153" s="1"/>
      <c r="M153" s="1"/>
      <c r="N153" s="1"/>
      <c r="O153" s="1"/>
      <c r="P153" s="1"/>
      <c r="Q153" s="474"/>
      <c r="S153" s="231"/>
      <c r="AA153" s="1"/>
      <c r="AB153" s="392"/>
    </row>
    <row r="154" spans="8:28" x14ac:dyDescent="0.25">
      <c r="H154" s="473"/>
      <c r="I154" s="1"/>
      <c r="J154" s="1"/>
      <c r="K154" s="1"/>
      <c r="L154" s="1"/>
      <c r="M154" s="1"/>
      <c r="N154" s="1"/>
      <c r="O154" s="1"/>
      <c r="P154" s="1"/>
      <c r="Q154" s="474"/>
      <c r="S154" s="231"/>
      <c r="AA154" s="1"/>
      <c r="AB154" s="392"/>
    </row>
    <row r="155" spans="8:28" x14ac:dyDescent="0.25">
      <c r="H155" s="473"/>
      <c r="I155" s="1"/>
      <c r="J155" s="1"/>
      <c r="K155" s="1"/>
      <c r="L155" s="1"/>
      <c r="M155" s="1"/>
      <c r="N155" s="1"/>
      <c r="O155" s="1"/>
      <c r="P155" s="1"/>
      <c r="Q155" s="474"/>
      <c r="S155" s="231"/>
      <c r="AA155" s="1"/>
      <c r="AB155" s="392"/>
    </row>
    <row r="156" spans="8:28" x14ac:dyDescent="0.25">
      <c r="H156" s="473"/>
      <c r="I156" s="1"/>
      <c r="J156" s="1"/>
      <c r="K156" s="1"/>
      <c r="L156" s="1"/>
      <c r="M156" s="1"/>
      <c r="N156" s="1"/>
      <c r="O156" s="1"/>
      <c r="P156" s="1"/>
      <c r="Q156" s="474"/>
      <c r="S156" s="231"/>
      <c r="AA156" s="1"/>
      <c r="AB156" s="392"/>
    </row>
    <row r="157" spans="8:28" x14ac:dyDescent="0.25">
      <c r="H157" s="473"/>
      <c r="I157" s="1"/>
      <c r="J157" s="1"/>
      <c r="K157" s="1"/>
      <c r="L157" s="1"/>
      <c r="M157" s="1"/>
      <c r="N157" s="1"/>
      <c r="O157" s="1"/>
      <c r="P157" s="1"/>
      <c r="Q157" s="474"/>
      <c r="S157" s="231"/>
      <c r="AA157" s="1"/>
      <c r="AB157" s="392"/>
    </row>
    <row r="158" spans="8:28" x14ac:dyDescent="0.25">
      <c r="H158" s="473"/>
      <c r="I158" s="1"/>
      <c r="J158" s="1"/>
      <c r="K158" s="1"/>
      <c r="L158" s="1"/>
      <c r="M158" s="1"/>
      <c r="N158" s="1"/>
      <c r="O158" s="1"/>
      <c r="P158" s="1"/>
      <c r="Q158" s="474"/>
      <c r="S158" s="231"/>
      <c r="AA158" s="1"/>
      <c r="AB158" s="392"/>
    </row>
    <row r="159" spans="8:28" x14ac:dyDescent="0.25">
      <c r="H159" s="473"/>
      <c r="I159" s="1"/>
      <c r="J159" s="1"/>
      <c r="K159" s="1"/>
      <c r="L159" s="1"/>
      <c r="M159" s="1"/>
      <c r="N159" s="1"/>
      <c r="O159" s="1"/>
      <c r="P159" s="1"/>
      <c r="Q159" s="474"/>
      <c r="S159" s="231"/>
      <c r="AA159" s="1"/>
      <c r="AB159" s="392"/>
    </row>
    <row r="160" spans="8:28" x14ac:dyDescent="0.25">
      <c r="H160" s="473"/>
      <c r="I160" s="1"/>
      <c r="J160" s="1"/>
      <c r="K160" s="1"/>
      <c r="L160" s="1"/>
      <c r="M160" s="1"/>
      <c r="N160" s="1"/>
      <c r="O160" s="1"/>
      <c r="P160" s="1"/>
      <c r="Q160" s="474"/>
      <c r="S160" s="231"/>
      <c r="AA160" s="1"/>
      <c r="AB160" s="392"/>
    </row>
    <row r="161" spans="8:28" x14ac:dyDescent="0.25">
      <c r="H161" s="473"/>
      <c r="I161" s="1"/>
      <c r="J161" s="1"/>
      <c r="K161" s="1"/>
      <c r="L161" s="1"/>
      <c r="M161" s="1"/>
      <c r="N161" s="1"/>
      <c r="O161" s="1"/>
      <c r="P161" s="1"/>
      <c r="Q161" s="474"/>
      <c r="S161" s="231"/>
      <c r="AA161" s="1"/>
      <c r="AB161" s="392"/>
    </row>
    <row r="162" spans="8:28" x14ac:dyDescent="0.25">
      <c r="H162" s="473"/>
      <c r="I162" s="1"/>
      <c r="J162" s="1"/>
      <c r="K162" s="1"/>
      <c r="L162" s="1"/>
      <c r="M162" s="1"/>
      <c r="N162" s="1"/>
      <c r="O162" s="1"/>
      <c r="P162" s="1"/>
      <c r="Q162" s="474"/>
      <c r="S162" s="231"/>
      <c r="AA162" s="1"/>
      <c r="AB162" s="392"/>
    </row>
    <row r="163" spans="8:28" x14ac:dyDescent="0.25">
      <c r="H163" s="473"/>
      <c r="I163" s="1"/>
      <c r="J163" s="1"/>
      <c r="K163" s="1"/>
      <c r="L163" s="1"/>
      <c r="M163" s="1"/>
      <c r="N163" s="1"/>
      <c r="O163" s="1"/>
      <c r="P163" s="1"/>
      <c r="Q163" s="474"/>
      <c r="S163" s="231"/>
      <c r="AA163" s="1"/>
      <c r="AB163" s="392"/>
    </row>
    <row r="164" spans="8:28" x14ac:dyDescent="0.25">
      <c r="H164" s="473"/>
      <c r="I164" s="1"/>
      <c r="J164" s="1"/>
      <c r="K164" s="1"/>
      <c r="L164" s="1"/>
      <c r="M164" s="1"/>
      <c r="N164" s="1"/>
      <c r="O164" s="1"/>
      <c r="P164" s="1"/>
      <c r="Q164" s="474"/>
      <c r="S164" s="231"/>
      <c r="AA164" s="1"/>
      <c r="AB164" s="392"/>
    </row>
    <row r="165" spans="8:28" x14ac:dyDescent="0.25">
      <c r="H165" s="473"/>
      <c r="I165" s="1"/>
      <c r="J165" s="1"/>
      <c r="K165" s="1"/>
      <c r="L165" s="1"/>
      <c r="M165" s="1"/>
      <c r="N165" s="1"/>
      <c r="O165" s="1"/>
      <c r="P165" s="1"/>
      <c r="Q165" s="474"/>
      <c r="S165" s="231"/>
      <c r="AA165" s="1"/>
      <c r="AB165" s="392"/>
    </row>
    <row r="166" spans="8:28" x14ac:dyDescent="0.25">
      <c r="H166" s="473"/>
      <c r="I166" s="1"/>
      <c r="J166" s="1"/>
      <c r="K166" s="1"/>
      <c r="L166" s="1"/>
      <c r="M166" s="1"/>
      <c r="N166" s="1"/>
      <c r="O166" s="1"/>
      <c r="P166" s="1"/>
      <c r="Q166" s="474"/>
      <c r="S166" s="231"/>
      <c r="AA166" s="1"/>
      <c r="AB166" s="392"/>
    </row>
    <row r="167" spans="8:28" x14ac:dyDescent="0.25">
      <c r="H167" s="473"/>
      <c r="I167" s="1"/>
      <c r="J167" s="1"/>
      <c r="K167" s="1"/>
      <c r="L167" s="1"/>
      <c r="M167" s="1"/>
      <c r="N167" s="1"/>
      <c r="O167" s="1"/>
      <c r="P167" s="1"/>
      <c r="Q167" s="474"/>
      <c r="S167" s="231"/>
      <c r="AA167" s="1"/>
      <c r="AB167" s="392"/>
    </row>
    <row r="168" spans="8:28" x14ac:dyDescent="0.25">
      <c r="H168" s="473"/>
      <c r="I168" s="1"/>
      <c r="J168" s="1"/>
      <c r="K168" s="1"/>
      <c r="L168" s="1"/>
      <c r="M168" s="1"/>
      <c r="N168" s="1"/>
      <c r="O168" s="1"/>
      <c r="P168" s="1"/>
      <c r="Q168" s="474"/>
      <c r="S168" s="231"/>
      <c r="AA168" s="1"/>
      <c r="AB168" s="392"/>
    </row>
    <row r="169" spans="8:28" x14ac:dyDescent="0.25">
      <c r="H169" s="473"/>
      <c r="I169" s="1"/>
      <c r="J169" s="1"/>
      <c r="K169" s="1"/>
      <c r="L169" s="1"/>
      <c r="M169" s="1"/>
      <c r="N169" s="1"/>
      <c r="O169" s="1"/>
      <c r="P169" s="1"/>
      <c r="Q169" s="474"/>
      <c r="S169" s="231"/>
      <c r="AA169" s="1"/>
      <c r="AB169" s="392"/>
    </row>
    <row r="170" spans="8:28" x14ac:dyDescent="0.25">
      <c r="H170" s="473"/>
      <c r="I170" s="1"/>
      <c r="J170" s="1"/>
      <c r="K170" s="1"/>
      <c r="L170" s="1"/>
      <c r="M170" s="1"/>
      <c r="N170" s="1"/>
      <c r="O170" s="1"/>
      <c r="P170" s="1"/>
      <c r="Q170" s="474"/>
      <c r="S170" s="231"/>
      <c r="AA170" s="1"/>
      <c r="AB170" s="392"/>
    </row>
    <row r="171" spans="8:28" x14ac:dyDescent="0.25">
      <c r="H171" s="473"/>
      <c r="I171" s="1"/>
      <c r="J171" s="1"/>
      <c r="K171" s="1"/>
      <c r="L171" s="1"/>
      <c r="M171" s="1"/>
      <c r="N171" s="1"/>
      <c r="O171" s="1"/>
      <c r="P171" s="1"/>
      <c r="Q171" s="474"/>
      <c r="S171" s="231"/>
      <c r="AA171" s="1"/>
      <c r="AB171" s="392"/>
    </row>
    <row r="172" spans="8:28" x14ac:dyDescent="0.25">
      <c r="H172" s="473"/>
      <c r="I172" s="1"/>
      <c r="J172" s="1"/>
      <c r="K172" s="1"/>
      <c r="L172" s="1"/>
      <c r="M172" s="1"/>
      <c r="N172" s="1"/>
      <c r="O172" s="1"/>
      <c r="P172" s="1"/>
      <c r="Q172" s="474"/>
      <c r="S172" s="231"/>
      <c r="AA172" s="1"/>
      <c r="AB172" s="392"/>
    </row>
    <row r="173" spans="8:28" x14ac:dyDescent="0.25">
      <c r="H173" s="473"/>
      <c r="I173" s="1"/>
      <c r="J173" s="1"/>
      <c r="K173" s="1"/>
      <c r="L173" s="1"/>
      <c r="M173" s="1"/>
      <c r="N173" s="1"/>
      <c r="O173" s="1"/>
      <c r="P173" s="1"/>
      <c r="Q173" s="474"/>
      <c r="S173" s="231"/>
      <c r="AA173" s="1"/>
      <c r="AB173" s="392"/>
    </row>
    <row r="174" spans="8:28" x14ac:dyDescent="0.25">
      <c r="H174" s="473"/>
      <c r="I174" s="1"/>
      <c r="J174" s="1"/>
      <c r="K174" s="1"/>
      <c r="L174" s="1"/>
      <c r="M174" s="1"/>
      <c r="N174" s="1"/>
      <c r="O174" s="1"/>
      <c r="P174" s="1"/>
      <c r="Q174" s="474"/>
      <c r="S174" s="231"/>
      <c r="AA174" s="1"/>
      <c r="AB174" s="392"/>
    </row>
    <row r="175" spans="8:28" x14ac:dyDescent="0.25">
      <c r="H175" s="473"/>
      <c r="I175" s="1"/>
      <c r="J175" s="1"/>
      <c r="K175" s="1"/>
      <c r="L175" s="1"/>
      <c r="M175" s="1"/>
      <c r="N175" s="1"/>
      <c r="O175" s="1"/>
      <c r="P175" s="1"/>
      <c r="Q175" s="474"/>
      <c r="S175" s="231"/>
      <c r="AA175" s="1"/>
      <c r="AB175" s="392"/>
    </row>
    <row r="176" spans="8:28" x14ac:dyDescent="0.25">
      <c r="H176" s="473"/>
      <c r="I176" s="1"/>
      <c r="J176" s="1"/>
      <c r="K176" s="1"/>
      <c r="L176" s="1"/>
      <c r="M176" s="1"/>
      <c r="N176" s="1"/>
      <c r="O176" s="1"/>
      <c r="P176" s="1"/>
      <c r="Q176" s="474"/>
      <c r="S176" s="231"/>
      <c r="AA176" s="1"/>
      <c r="AB176" s="392"/>
    </row>
    <row r="177" spans="8:28" x14ac:dyDescent="0.25">
      <c r="H177" s="473"/>
      <c r="I177" s="1"/>
      <c r="J177" s="1"/>
      <c r="K177" s="1"/>
      <c r="L177" s="1"/>
      <c r="M177" s="1"/>
      <c r="N177" s="1"/>
      <c r="O177" s="1"/>
      <c r="P177" s="1"/>
      <c r="Q177" s="474"/>
      <c r="S177" s="231"/>
      <c r="AA177" s="1"/>
      <c r="AB177" s="392"/>
    </row>
    <row r="178" spans="8:28" x14ac:dyDescent="0.25">
      <c r="H178" s="473"/>
      <c r="I178" s="1"/>
      <c r="J178" s="1"/>
      <c r="K178" s="1"/>
      <c r="L178" s="1"/>
      <c r="M178" s="1"/>
      <c r="N178" s="1"/>
      <c r="O178" s="1"/>
      <c r="P178" s="1"/>
      <c r="Q178" s="474"/>
      <c r="S178" s="231"/>
      <c r="AA178" s="1"/>
      <c r="AB178" s="392"/>
    </row>
    <row r="179" spans="8:28" x14ac:dyDescent="0.25">
      <c r="H179" s="473"/>
      <c r="I179" s="1"/>
      <c r="J179" s="1"/>
      <c r="K179" s="1"/>
      <c r="L179" s="1"/>
      <c r="M179" s="1"/>
      <c r="N179" s="1"/>
      <c r="O179" s="1"/>
      <c r="P179" s="1"/>
      <c r="Q179" s="474"/>
      <c r="S179" s="231"/>
      <c r="AA179" s="1"/>
      <c r="AB179" s="392"/>
    </row>
    <row r="180" spans="8:28" x14ac:dyDescent="0.25">
      <c r="H180" s="473"/>
      <c r="I180" s="1"/>
      <c r="J180" s="1"/>
      <c r="K180" s="1"/>
      <c r="L180" s="1"/>
      <c r="M180" s="1"/>
      <c r="N180" s="1"/>
      <c r="O180" s="1"/>
      <c r="P180" s="1"/>
      <c r="Q180" s="474"/>
      <c r="S180" s="231"/>
      <c r="AA180" s="1"/>
      <c r="AB180" s="392"/>
    </row>
    <row r="181" spans="8:28" x14ac:dyDescent="0.25">
      <c r="H181" s="473"/>
      <c r="I181" s="1"/>
      <c r="J181" s="1"/>
      <c r="K181" s="1"/>
      <c r="L181" s="1"/>
      <c r="M181" s="1"/>
      <c r="N181" s="1"/>
      <c r="O181" s="1"/>
      <c r="P181" s="1"/>
      <c r="Q181" s="474"/>
      <c r="S181" s="231"/>
      <c r="AA181" s="1"/>
      <c r="AB181" s="392"/>
    </row>
    <row r="182" spans="8:28" x14ac:dyDescent="0.25">
      <c r="H182" s="473"/>
      <c r="I182" s="1"/>
      <c r="J182" s="1"/>
      <c r="K182" s="1"/>
      <c r="L182" s="1"/>
      <c r="M182" s="1"/>
      <c r="N182" s="1"/>
      <c r="O182" s="1"/>
      <c r="P182" s="1"/>
      <c r="Q182" s="474"/>
      <c r="S182" s="231"/>
      <c r="AA182" s="1"/>
      <c r="AB182" s="392"/>
    </row>
    <row r="183" spans="8:28" x14ac:dyDescent="0.25">
      <c r="H183" s="473"/>
      <c r="I183" s="1"/>
      <c r="J183" s="1"/>
      <c r="K183" s="1"/>
      <c r="L183" s="1"/>
      <c r="M183" s="1"/>
      <c r="N183" s="1"/>
      <c r="O183" s="1"/>
      <c r="P183" s="1"/>
      <c r="Q183" s="474"/>
      <c r="S183" s="231"/>
      <c r="AA183" s="1"/>
      <c r="AB183" s="392"/>
    </row>
    <row r="184" spans="8:28" x14ac:dyDescent="0.25">
      <c r="H184" s="473"/>
      <c r="I184" s="1"/>
      <c r="J184" s="1"/>
      <c r="K184" s="1"/>
      <c r="L184" s="1"/>
      <c r="M184" s="1"/>
      <c r="N184" s="1"/>
      <c r="O184" s="1"/>
      <c r="P184" s="1"/>
      <c r="Q184" s="474"/>
      <c r="S184" s="231"/>
      <c r="AA184" s="1"/>
      <c r="AB184" s="392"/>
    </row>
    <row r="185" spans="8:28" x14ac:dyDescent="0.25">
      <c r="H185" s="473"/>
      <c r="I185" s="1"/>
      <c r="J185" s="1"/>
      <c r="K185" s="1"/>
      <c r="L185" s="1"/>
      <c r="M185" s="1"/>
      <c r="N185" s="1"/>
      <c r="O185" s="1"/>
      <c r="P185" s="1"/>
      <c r="Q185" s="474"/>
      <c r="S185" s="231"/>
      <c r="AA185" s="1"/>
      <c r="AB185" s="392"/>
    </row>
    <row r="186" spans="8:28" x14ac:dyDescent="0.25">
      <c r="H186" s="473"/>
      <c r="I186" s="1"/>
      <c r="J186" s="1"/>
      <c r="K186" s="1"/>
      <c r="L186" s="1"/>
      <c r="M186" s="1"/>
      <c r="N186" s="1"/>
      <c r="O186" s="1"/>
      <c r="P186" s="1"/>
      <c r="Q186" s="474"/>
      <c r="S186" s="231"/>
      <c r="AA186" s="1"/>
      <c r="AB186" s="392"/>
    </row>
    <row r="187" spans="8:28" x14ac:dyDescent="0.25">
      <c r="H187" s="473"/>
      <c r="I187" s="1"/>
      <c r="J187" s="1"/>
      <c r="K187" s="1"/>
      <c r="L187" s="1"/>
      <c r="M187" s="1"/>
      <c r="N187" s="1"/>
      <c r="O187" s="1"/>
      <c r="P187" s="1"/>
      <c r="Q187" s="474"/>
      <c r="S187" s="231"/>
      <c r="AA187" s="1"/>
      <c r="AB187" s="392"/>
    </row>
    <row r="188" spans="8:28" x14ac:dyDescent="0.25">
      <c r="H188" s="473"/>
      <c r="I188" s="1"/>
      <c r="J188" s="1"/>
      <c r="K188" s="1"/>
      <c r="L188" s="1"/>
      <c r="M188" s="1"/>
      <c r="N188" s="1"/>
      <c r="O188" s="1"/>
      <c r="P188" s="1"/>
      <c r="Q188" s="474"/>
      <c r="S188" s="231"/>
      <c r="AA188" s="1"/>
      <c r="AB188" s="392"/>
    </row>
    <row r="189" spans="8:28" x14ac:dyDescent="0.25">
      <c r="H189" s="473"/>
      <c r="I189" s="1"/>
      <c r="J189" s="1"/>
      <c r="K189" s="1"/>
      <c r="L189" s="1"/>
      <c r="M189" s="1"/>
      <c r="N189" s="1"/>
      <c r="O189" s="1"/>
      <c r="P189" s="1"/>
      <c r="Q189" s="474"/>
      <c r="S189" s="231"/>
      <c r="AA189" s="1"/>
      <c r="AB189" s="392"/>
    </row>
    <row r="190" spans="8:28" x14ac:dyDescent="0.25">
      <c r="H190" s="473"/>
      <c r="I190" s="1"/>
      <c r="J190" s="1"/>
      <c r="K190" s="1"/>
      <c r="L190" s="1"/>
      <c r="M190" s="1"/>
      <c r="N190" s="1"/>
      <c r="O190" s="1"/>
      <c r="P190" s="1"/>
      <c r="Q190" s="474"/>
      <c r="S190" s="231"/>
      <c r="AA190" s="1"/>
      <c r="AB190" s="392"/>
    </row>
    <row r="191" spans="8:28" x14ac:dyDescent="0.25">
      <c r="H191" s="473"/>
      <c r="I191" s="1"/>
      <c r="J191" s="1"/>
      <c r="K191" s="1"/>
      <c r="L191" s="1"/>
      <c r="M191" s="1"/>
      <c r="N191" s="1"/>
      <c r="O191" s="1"/>
      <c r="P191" s="1"/>
      <c r="Q191" s="474"/>
      <c r="S191" s="231"/>
      <c r="AA191" s="1"/>
      <c r="AB191" s="392"/>
    </row>
    <row r="192" spans="8:28" x14ac:dyDescent="0.25">
      <c r="H192" s="473"/>
      <c r="I192" s="1"/>
      <c r="J192" s="1"/>
      <c r="K192" s="1"/>
      <c r="L192" s="1"/>
      <c r="M192" s="1"/>
      <c r="N192" s="1"/>
      <c r="O192" s="1"/>
      <c r="P192" s="1"/>
      <c r="Q192" s="474"/>
      <c r="S192" s="231"/>
      <c r="AA192" s="1"/>
      <c r="AB192" s="392"/>
    </row>
    <row r="193" spans="8:28" x14ac:dyDescent="0.25">
      <c r="H193" s="473"/>
      <c r="I193" s="1"/>
      <c r="J193" s="1"/>
      <c r="K193" s="1"/>
      <c r="L193" s="1"/>
      <c r="M193" s="1"/>
      <c r="N193" s="1"/>
      <c r="O193" s="1"/>
      <c r="P193" s="1"/>
      <c r="Q193" s="474"/>
      <c r="S193" s="231"/>
      <c r="AA193" s="1"/>
      <c r="AB193" s="392"/>
    </row>
    <row r="194" spans="8:28" x14ac:dyDescent="0.25">
      <c r="H194" s="473"/>
      <c r="I194" s="1"/>
      <c r="J194" s="1"/>
      <c r="K194" s="1"/>
      <c r="L194" s="1"/>
      <c r="M194" s="1"/>
      <c r="N194" s="1"/>
      <c r="O194" s="1"/>
      <c r="P194" s="1"/>
      <c r="Q194" s="474"/>
      <c r="S194" s="231"/>
      <c r="AA194" s="1"/>
      <c r="AB194" s="392"/>
    </row>
    <row r="195" spans="8:28" x14ac:dyDescent="0.25">
      <c r="H195" s="473"/>
      <c r="I195" s="1"/>
      <c r="J195" s="1"/>
      <c r="K195" s="1"/>
      <c r="L195" s="1"/>
      <c r="M195" s="1"/>
      <c r="N195" s="1"/>
      <c r="O195" s="1"/>
      <c r="P195" s="1"/>
      <c r="Q195" s="474"/>
      <c r="S195" s="231"/>
      <c r="AA195" s="1"/>
      <c r="AB195" s="392"/>
    </row>
    <row r="196" spans="8:28" x14ac:dyDescent="0.25">
      <c r="H196" s="473"/>
      <c r="I196" s="1"/>
      <c r="J196" s="1"/>
      <c r="K196" s="1"/>
      <c r="L196" s="1"/>
      <c r="M196" s="1"/>
      <c r="N196" s="1"/>
      <c r="O196" s="1"/>
      <c r="P196" s="1"/>
      <c r="Q196" s="474"/>
      <c r="S196" s="231"/>
      <c r="AA196" s="1"/>
      <c r="AB196" s="392"/>
    </row>
    <row r="197" spans="8:28" x14ac:dyDescent="0.25">
      <c r="H197" s="473"/>
      <c r="I197" s="1"/>
      <c r="J197" s="1"/>
      <c r="K197" s="1"/>
      <c r="L197" s="1"/>
      <c r="M197" s="1"/>
      <c r="N197" s="1"/>
      <c r="O197" s="1"/>
      <c r="P197" s="1"/>
      <c r="Q197" s="474"/>
      <c r="S197" s="231"/>
      <c r="AA197" s="1"/>
      <c r="AB197" s="392"/>
    </row>
    <row r="198" spans="8:28" x14ac:dyDescent="0.25">
      <c r="H198" s="473"/>
      <c r="I198" s="1"/>
      <c r="J198" s="1"/>
      <c r="K198" s="1"/>
      <c r="L198" s="1"/>
      <c r="M198" s="1"/>
      <c r="N198" s="1"/>
      <c r="O198" s="1"/>
      <c r="P198" s="1"/>
      <c r="Q198" s="474"/>
      <c r="S198" s="231"/>
      <c r="AA198" s="1"/>
      <c r="AB198" s="392"/>
    </row>
    <row r="199" spans="8:28" x14ac:dyDescent="0.25">
      <c r="H199" s="473"/>
      <c r="I199" s="1"/>
      <c r="J199" s="1"/>
      <c r="K199" s="1"/>
      <c r="L199" s="1"/>
      <c r="M199" s="1"/>
      <c r="N199" s="1"/>
      <c r="O199" s="1"/>
      <c r="P199" s="1"/>
      <c r="Q199" s="474"/>
      <c r="S199" s="231"/>
      <c r="AA199" s="1"/>
      <c r="AB199" s="392"/>
    </row>
    <row r="200" spans="8:28" x14ac:dyDescent="0.25">
      <c r="H200" s="473"/>
      <c r="I200" s="1"/>
      <c r="J200" s="1"/>
      <c r="K200" s="1"/>
      <c r="L200" s="1"/>
      <c r="M200" s="1"/>
      <c r="N200" s="1"/>
      <c r="O200" s="1"/>
      <c r="P200" s="1"/>
      <c r="Q200" s="474"/>
      <c r="S200" s="231"/>
      <c r="AA200" s="1"/>
      <c r="AB200" s="392"/>
    </row>
    <row r="201" spans="8:28" x14ac:dyDescent="0.25">
      <c r="H201" s="473"/>
      <c r="I201" s="1"/>
      <c r="J201" s="1"/>
      <c r="K201" s="1"/>
      <c r="L201" s="1"/>
      <c r="M201" s="1"/>
      <c r="N201" s="1"/>
      <c r="O201" s="1"/>
      <c r="P201" s="1"/>
      <c r="Q201" s="474"/>
      <c r="S201" s="231"/>
      <c r="AA201" s="1"/>
      <c r="AB201" s="392"/>
    </row>
    <row r="202" spans="8:28" x14ac:dyDescent="0.25">
      <c r="H202" s="473"/>
      <c r="I202" s="1"/>
      <c r="J202" s="1"/>
      <c r="K202" s="1"/>
      <c r="L202" s="1"/>
      <c r="M202" s="1"/>
      <c r="N202" s="1"/>
      <c r="O202" s="1"/>
      <c r="P202" s="1"/>
      <c r="Q202" s="474"/>
      <c r="S202" s="231"/>
      <c r="AA202" s="1"/>
      <c r="AB202" s="392"/>
    </row>
    <row r="203" spans="8:28" x14ac:dyDescent="0.25">
      <c r="H203" s="473"/>
      <c r="I203" s="1"/>
      <c r="J203" s="1"/>
      <c r="K203" s="1"/>
      <c r="L203" s="1"/>
      <c r="M203" s="1"/>
      <c r="N203" s="1"/>
      <c r="O203" s="1"/>
      <c r="P203" s="1"/>
      <c r="Q203" s="474"/>
      <c r="S203" s="231"/>
      <c r="AA203" s="1"/>
      <c r="AB203" s="392"/>
    </row>
    <row r="204" spans="8:28" x14ac:dyDescent="0.25">
      <c r="H204" s="473"/>
      <c r="I204" s="1"/>
      <c r="J204" s="1"/>
      <c r="K204" s="1"/>
      <c r="L204" s="1"/>
      <c r="M204" s="1"/>
      <c r="N204" s="1"/>
      <c r="O204" s="1"/>
      <c r="P204" s="1"/>
      <c r="Q204" s="474"/>
      <c r="S204" s="231"/>
      <c r="AA204" s="1"/>
      <c r="AB204" s="392"/>
    </row>
    <row r="205" spans="8:28" x14ac:dyDescent="0.25">
      <c r="H205" s="473"/>
      <c r="I205" s="1"/>
      <c r="J205" s="1"/>
      <c r="K205" s="1"/>
      <c r="L205" s="1"/>
      <c r="M205" s="1"/>
      <c r="N205" s="1"/>
      <c r="O205" s="1"/>
      <c r="P205" s="1"/>
      <c r="Q205" s="474"/>
      <c r="S205" s="231"/>
      <c r="AA205" s="1"/>
      <c r="AB205" s="392"/>
    </row>
    <row r="206" spans="8:28" x14ac:dyDescent="0.25">
      <c r="H206" s="473"/>
      <c r="I206" s="1"/>
      <c r="J206" s="1"/>
      <c r="K206" s="1"/>
      <c r="L206" s="1"/>
      <c r="M206" s="1"/>
      <c r="N206" s="1"/>
      <c r="O206" s="1"/>
      <c r="P206" s="1"/>
      <c r="Q206" s="474"/>
      <c r="S206" s="231"/>
      <c r="AA206" s="1"/>
      <c r="AB206" s="392"/>
    </row>
    <row r="207" spans="8:28" x14ac:dyDescent="0.25">
      <c r="H207" s="473"/>
      <c r="I207" s="1"/>
      <c r="J207" s="1"/>
      <c r="K207" s="1"/>
      <c r="L207" s="1"/>
      <c r="M207" s="1"/>
      <c r="N207" s="1"/>
      <c r="O207" s="1"/>
      <c r="P207" s="1"/>
      <c r="Q207" s="474"/>
      <c r="S207" s="231"/>
      <c r="AA207" s="1"/>
      <c r="AB207" s="392"/>
    </row>
    <row r="208" spans="8:28" x14ac:dyDescent="0.25">
      <c r="H208" s="473"/>
      <c r="I208" s="1"/>
      <c r="J208" s="1"/>
      <c r="K208" s="1"/>
      <c r="L208" s="1"/>
      <c r="M208" s="1"/>
      <c r="N208" s="1"/>
      <c r="O208" s="1"/>
      <c r="P208" s="1"/>
      <c r="Q208" s="474"/>
      <c r="S208" s="231"/>
      <c r="AA208" s="1"/>
      <c r="AB208" s="392"/>
    </row>
    <row r="209" spans="8:28" x14ac:dyDescent="0.25">
      <c r="H209" s="473"/>
      <c r="I209" s="1"/>
      <c r="J209" s="1"/>
      <c r="K209" s="1"/>
      <c r="L209" s="1"/>
      <c r="M209" s="1"/>
      <c r="N209" s="1"/>
      <c r="O209" s="1"/>
      <c r="P209" s="1"/>
      <c r="Q209" s="474"/>
      <c r="S209" s="231"/>
      <c r="AA209" s="1"/>
      <c r="AB209" s="392"/>
    </row>
    <row r="210" spans="8:28" x14ac:dyDescent="0.25">
      <c r="H210" s="473"/>
      <c r="I210" s="1"/>
      <c r="J210" s="1"/>
      <c r="K210" s="1"/>
      <c r="L210" s="1"/>
      <c r="M210" s="1"/>
      <c r="N210" s="1"/>
      <c r="O210" s="1"/>
      <c r="P210" s="1"/>
      <c r="Q210" s="474"/>
      <c r="S210" s="231"/>
      <c r="AA210" s="1"/>
      <c r="AB210" s="392"/>
    </row>
    <row r="211" spans="8:28" x14ac:dyDescent="0.25">
      <c r="H211" s="473"/>
      <c r="I211" s="1"/>
      <c r="J211" s="1"/>
      <c r="K211" s="1"/>
      <c r="L211" s="1"/>
      <c r="M211" s="1"/>
      <c r="N211" s="1"/>
      <c r="O211" s="1"/>
      <c r="P211" s="1"/>
      <c r="Q211" s="474"/>
      <c r="S211" s="231"/>
      <c r="AA211" s="1"/>
      <c r="AB211" s="392"/>
    </row>
    <row r="212" spans="8:28" x14ac:dyDescent="0.25">
      <c r="H212" s="473"/>
      <c r="I212" s="1"/>
      <c r="J212" s="1"/>
      <c r="K212" s="1"/>
      <c r="L212" s="1"/>
      <c r="M212" s="1"/>
      <c r="N212" s="1"/>
      <c r="O212" s="1"/>
      <c r="P212" s="1"/>
      <c r="Q212" s="474"/>
      <c r="S212" s="231"/>
      <c r="AA212" s="1"/>
      <c r="AB212" s="392"/>
    </row>
    <row r="213" spans="8:28" x14ac:dyDescent="0.25">
      <c r="H213" s="473"/>
      <c r="I213" s="1"/>
      <c r="J213" s="1"/>
      <c r="K213" s="1"/>
      <c r="L213" s="1"/>
      <c r="M213" s="1"/>
      <c r="N213" s="1"/>
      <c r="O213" s="1"/>
      <c r="P213" s="1"/>
      <c r="Q213" s="474"/>
      <c r="S213" s="231"/>
      <c r="AA213" s="1"/>
      <c r="AB213" s="392"/>
    </row>
    <row r="214" spans="8:28" x14ac:dyDescent="0.25">
      <c r="H214" s="473"/>
      <c r="I214" s="1"/>
      <c r="J214" s="1"/>
      <c r="K214" s="1"/>
      <c r="L214" s="1"/>
      <c r="M214" s="1"/>
      <c r="N214" s="1"/>
      <c r="O214" s="1"/>
      <c r="P214" s="1"/>
      <c r="Q214" s="474"/>
      <c r="S214" s="231"/>
      <c r="AA214" s="1"/>
      <c r="AB214" s="392"/>
    </row>
    <row r="215" spans="8:28" x14ac:dyDescent="0.25">
      <c r="H215" s="473"/>
      <c r="I215" s="1"/>
      <c r="J215" s="1"/>
      <c r="K215" s="1"/>
      <c r="L215" s="1"/>
      <c r="M215" s="1"/>
      <c r="N215" s="1"/>
      <c r="O215" s="1"/>
      <c r="P215" s="1"/>
      <c r="Q215" s="474"/>
      <c r="S215" s="231"/>
      <c r="AA215" s="1"/>
      <c r="AB215" s="392"/>
    </row>
    <row r="216" spans="8:28" x14ac:dyDescent="0.25">
      <c r="H216" s="473"/>
      <c r="I216" s="1"/>
      <c r="J216" s="1"/>
      <c r="K216" s="1"/>
      <c r="L216" s="1"/>
      <c r="M216" s="1"/>
      <c r="N216" s="1"/>
      <c r="O216" s="1"/>
      <c r="P216" s="1"/>
      <c r="Q216" s="474"/>
      <c r="S216" s="231"/>
      <c r="AA216" s="1"/>
      <c r="AB216" s="392"/>
    </row>
    <row r="217" spans="8:28" x14ac:dyDescent="0.25">
      <c r="H217" s="473"/>
      <c r="I217" s="1"/>
      <c r="J217" s="1"/>
      <c r="K217" s="1"/>
      <c r="L217" s="1"/>
      <c r="M217" s="1"/>
      <c r="N217" s="1"/>
      <c r="O217" s="1"/>
      <c r="P217" s="1"/>
      <c r="Q217" s="474"/>
      <c r="S217" s="231"/>
      <c r="AA217" s="1"/>
      <c r="AB217" s="392"/>
    </row>
    <row r="218" spans="8:28" x14ac:dyDescent="0.25">
      <c r="H218" s="473"/>
      <c r="I218" s="1"/>
      <c r="J218" s="1"/>
      <c r="K218" s="1"/>
      <c r="L218" s="1"/>
      <c r="M218" s="1"/>
      <c r="N218" s="1"/>
      <c r="O218" s="1"/>
      <c r="P218" s="1"/>
      <c r="Q218" s="474"/>
      <c r="S218" s="231"/>
      <c r="AA218" s="1"/>
      <c r="AB218" s="392"/>
    </row>
    <row r="219" spans="8:28" x14ac:dyDescent="0.25">
      <c r="H219" s="473"/>
      <c r="I219" s="1"/>
      <c r="J219" s="1"/>
      <c r="K219" s="1"/>
      <c r="L219" s="1"/>
      <c r="M219" s="1"/>
      <c r="N219" s="1"/>
      <c r="O219" s="1"/>
      <c r="P219" s="1"/>
      <c r="Q219" s="474"/>
      <c r="S219" s="231"/>
      <c r="AA219" s="1"/>
      <c r="AB219" s="392"/>
    </row>
    <row r="220" spans="8:28" x14ac:dyDescent="0.25">
      <c r="H220" s="473"/>
      <c r="I220" s="1"/>
      <c r="J220" s="1"/>
      <c r="K220" s="1"/>
      <c r="L220" s="1"/>
      <c r="M220" s="1"/>
      <c r="N220" s="1"/>
      <c r="O220" s="1"/>
      <c r="P220" s="1"/>
      <c r="Q220" s="474"/>
      <c r="S220" s="231"/>
      <c r="AA220" s="1"/>
      <c r="AB220" s="392"/>
    </row>
    <row r="221" spans="8:28" x14ac:dyDescent="0.25">
      <c r="H221" s="473"/>
      <c r="I221" s="1"/>
      <c r="J221" s="1"/>
      <c r="K221" s="1"/>
      <c r="L221" s="1"/>
      <c r="M221" s="1"/>
      <c r="N221" s="1"/>
      <c r="O221" s="1"/>
      <c r="P221" s="1"/>
      <c r="Q221" s="474"/>
      <c r="S221" s="231"/>
      <c r="AA221" s="1"/>
      <c r="AB221" s="392"/>
    </row>
    <row r="222" spans="8:28" x14ac:dyDescent="0.25">
      <c r="H222" s="473"/>
      <c r="I222" s="1"/>
      <c r="J222" s="1"/>
      <c r="K222" s="1"/>
      <c r="L222" s="1"/>
      <c r="M222" s="1"/>
      <c r="N222" s="1"/>
      <c r="O222" s="1"/>
      <c r="P222" s="1"/>
      <c r="Q222" s="474"/>
      <c r="S222" s="231"/>
      <c r="AA222" s="1"/>
      <c r="AB222" s="392"/>
    </row>
    <row r="223" spans="8:28" x14ac:dyDescent="0.25">
      <c r="H223" s="473"/>
      <c r="I223" s="1"/>
      <c r="J223" s="1"/>
      <c r="K223" s="1"/>
      <c r="L223" s="1"/>
      <c r="M223" s="1"/>
      <c r="N223" s="1"/>
      <c r="O223" s="1"/>
      <c r="P223" s="1"/>
      <c r="Q223" s="474"/>
      <c r="S223" s="231"/>
      <c r="AA223" s="1"/>
      <c r="AB223" s="392"/>
    </row>
    <row r="224" spans="8:28" x14ac:dyDescent="0.25">
      <c r="H224" s="473"/>
      <c r="I224" s="1"/>
      <c r="J224" s="1"/>
      <c r="K224" s="1"/>
      <c r="L224" s="1"/>
      <c r="M224" s="1"/>
      <c r="N224" s="1"/>
      <c r="O224" s="1"/>
      <c r="P224" s="1"/>
      <c r="Q224" s="474"/>
      <c r="S224" s="231"/>
      <c r="AA224" s="1"/>
      <c r="AB224" s="392"/>
    </row>
    <row r="225" spans="8:28" x14ac:dyDescent="0.25">
      <c r="H225" s="473"/>
      <c r="I225" s="1"/>
      <c r="J225" s="1"/>
      <c r="K225" s="1"/>
      <c r="L225" s="1"/>
      <c r="M225" s="1"/>
      <c r="N225" s="1"/>
      <c r="O225" s="1"/>
      <c r="P225" s="1"/>
      <c r="Q225" s="474"/>
      <c r="S225" s="231"/>
      <c r="AA225" s="1"/>
      <c r="AB225" s="392"/>
    </row>
    <row r="226" spans="8:28" x14ac:dyDescent="0.25">
      <c r="H226" s="473"/>
      <c r="I226" s="1"/>
      <c r="J226" s="1"/>
      <c r="K226" s="1"/>
      <c r="L226" s="1"/>
      <c r="M226" s="1"/>
      <c r="N226" s="1"/>
      <c r="O226" s="1"/>
      <c r="P226" s="1"/>
      <c r="Q226" s="474"/>
      <c r="S226" s="231"/>
      <c r="AA226" s="1"/>
      <c r="AB226" s="392"/>
    </row>
    <row r="227" spans="8:28" x14ac:dyDescent="0.25">
      <c r="H227" s="473"/>
      <c r="I227" s="1"/>
      <c r="J227" s="1"/>
      <c r="K227" s="1"/>
      <c r="L227" s="1"/>
      <c r="M227" s="1"/>
      <c r="N227" s="1"/>
      <c r="O227" s="1"/>
      <c r="P227" s="1"/>
      <c r="Q227" s="474"/>
      <c r="S227" s="231"/>
      <c r="AA227" s="1"/>
      <c r="AB227" s="392"/>
    </row>
    <row r="228" spans="8:28" x14ac:dyDescent="0.25">
      <c r="H228" s="473"/>
      <c r="I228" s="1"/>
      <c r="J228" s="1"/>
      <c r="K228" s="1"/>
      <c r="L228" s="1"/>
      <c r="M228" s="1"/>
      <c r="N228" s="1"/>
      <c r="O228" s="1"/>
      <c r="P228" s="1"/>
      <c r="Q228" s="474"/>
      <c r="S228" s="231"/>
      <c r="AA228" s="1"/>
      <c r="AB228" s="392"/>
    </row>
    <row r="229" spans="8:28" x14ac:dyDescent="0.25">
      <c r="H229" s="473"/>
      <c r="I229" s="1"/>
      <c r="J229" s="1"/>
      <c r="K229" s="1"/>
      <c r="L229" s="1"/>
      <c r="M229" s="1"/>
      <c r="N229" s="1"/>
      <c r="O229" s="1"/>
      <c r="P229" s="1"/>
      <c r="Q229" s="474"/>
      <c r="S229" s="231"/>
      <c r="AA229" s="1"/>
      <c r="AB229" s="392"/>
    </row>
    <row r="230" spans="8:28" x14ac:dyDescent="0.25">
      <c r="H230" s="473"/>
      <c r="I230" s="1"/>
      <c r="J230" s="1"/>
      <c r="K230" s="1"/>
      <c r="L230" s="1"/>
      <c r="M230" s="1"/>
      <c r="N230" s="1"/>
      <c r="O230" s="1"/>
      <c r="P230" s="1"/>
      <c r="Q230" s="474"/>
      <c r="S230" s="231"/>
      <c r="AA230" s="1"/>
      <c r="AB230" s="392"/>
    </row>
    <row r="231" spans="8:28" x14ac:dyDescent="0.25">
      <c r="H231" s="473"/>
      <c r="I231" s="1"/>
      <c r="J231" s="1"/>
      <c r="K231" s="1"/>
      <c r="L231" s="1"/>
      <c r="M231" s="1"/>
      <c r="N231" s="1"/>
      <c r="O231" s="1"/>
      <c r="P231" s="1"/>
      <c r="Q231" s="474"/>
      <c r="S231" s="231"/>
      <c r="AA231" s="1"/>
      <c r="AB231" s="392"/>
    </row>
    <row r="232" spans="8:28" x14ac:dyDescent="0.25">
      <c r="H232" s="473"/>
      <c r="I232" s="1"/>
      <c r="J232" s="1"/>
      <c r="K232" s="1"/>
      <c r="L232" s="1"/>
      <c r="M232" s="1"/>
      <c r="N232" s="1"/>
      <c r="O232" s="1"/>
      <c r="P232" s="1"/>
      <c r="Q232" s="474"/>
      <c r="S232" s="231"/>
      <c r="AA232" s="1"/>
      <c r="AB232" s="392"/>
    </row>
    <row r="233" spans="8:28" x14ac:dyDescent="0.25">
      <c r="H233" s="473"/>
      <c r="I233" s="1"/>
      <c r="J233" s="1"/>
      <c r="K233" s="1"/>
      <c r="L233" s="1"/>
      <c r="M233" s="1"/>
      <c r="N233" s="1"/>
      <c r="O233" s="1"/>
      <c r="P233" s="1"/>
      <c r="Q233" s="474"/>
      <c r="S233" s="231"/>
      <c r="AA233" s="1"/>
      <c r="AB233" s="392"/>
    </row>
    <row r="234" spans="8:28" x14ac:dyDescent="0.25">
      <c r="H234" s="473"/>
      <c r="I234" s="1"/>
      <c r="J234" s="1"/>
      <c r="K234" s="1"/>
      <c r="L234" s="1"/>
      <c r="M234" s="1"/>
      <c r="N234" s="1"/>
      <c r="O234" s="1"/>
      <c r="P234" s="1"/>
      <c r="Q234" s="474"/>
      <c r="S234" s="231"/>
      <c r="AA234" s="1"/>
      <c r="AB234" s="392"/>
    </row>
    <row r="235" spans="8:28" x14ac:dyDescent="0.25">
      <c r="H235" s="473"/>
      <c r="I235" s="1"/>
      <c r="J235" s="1"/>
      <c r="K235" s="1"/>
      <c r="L235" s="1"/>
      <c r="M235" s="1"/>
      <c r="N235" s="1"/>
      <c r="O235" s="1"/>
      <c r="P235" s="1"/>
      <c r="Q235" s="474"/>
      <c r="S235" s="231"/>
      <c r="AA235" s="1"/>
      <c r="AB235" s="392"/>
    </row>
    <row r="236" spans="8:28" x14ac:dyDescent="0.25">
      <c r="H236" s="473"/>
      <c r="I236" s="1"/>
      <c r="J236" s="1"/>
      <c r="K236" s="1"/>
      <c r="L236" s="1"/>
      <c r="M236" s="1"/>
      <c r="N236" s="1"/>
      <c r="O236" s="1"/>
      <c r="P236" s="1"/>
      <c r="Q236" s="474"/>
      <c r="S236" s="231"/>
      <c r="AA236" s="1"/>
      <c r="AB236" s="392"/>
    </row>
    <row r="237" spans="8:28" x14ac:dyDescent="0.25">
      <c r="H237" s="473"/>
      <c r="I237" s="1"/>
      <c r="J237" s="1"/>
      <c r="K237" s="1"/>
      <c r="L237" s="1"/>
      <c r="M237" s="1"/>
      <c r="N237" s="1"/>
      <c r="O237" s="1"/>
      <c r="P237" s="1"/>
      <c r="Q237" s="474"/>
      <c r="S237" s="231"/>
      <c r="AA237" s="1"/>
      <c r="AB237" s="392"/>
    </row>
    <row r="238" spans="8:28" x14ac:dyDescent="0.25">
      <c r="H238" s="473"/>
      <c r="I238" s="1"/>
      <c r="J238" s="1"/>
      <c r="K238" s="1"/>
      <c r="L238" s="1"/>
      <c r="M238" s="1"/>
      <c r="N238" s="1"/>
      <c r="O238" s="1"/>
      <c r="P238" s="1"/>
      <c r="Q238" s="474"/>
      <c r="S238" s="231"/>
      <c r="AA238" s="1"/>
      <c r="AB238" s="392"/>
    </row>
    <row r="239" spans="8:28" x14ac:dyDescent="0.25">
      <c r="H239" s="473"/>
      <c r="I239" s="1"/>
      <c r="J239" s="1"/>
      <c r="K239" s="1"/>
      <c r="L239" s="1"/>
      <c r="M239" s="1"/>
      <c r="N239" s="1"/>
      <c r="O239" s="1"/>
      <c r="P239" s="1"/>
      <c r="Q239" s="474"/>
      <c r="S239" s="231"/>
      <c r="AA239" s="1"/>
      <c r="AB239" s="392"/>
    </row>
    <row r="240" spans="8:28" x14ac:dyDescent="0.25">
      <c r="H240" s="473"/>
      <c r="I240" s="1"/>
      <c r="J240" s="1"/>
      <c r="K240" s="1"/>
      <c r="L240" s="1"/>
      <c r="M240" s="1"/>
      <c r="N240" s="1"/>
      <c r="O240" s="1"/>
      <c r="P240" s="1"/>
      <c r="Q240" s="474"/>
      <c r="S240" s="231"/>
      <c r="AA240" s="1"/>
      <c r="AB240" s="392"/>
    </row>
    <row r="241" spans="8:28" x14ac:dyDescent="0.25">
      <c r="H241" s="473"/>
      <c r="I241" s="1"/>
      <c r="J241" s="1"/>
      <c r="K241" s="1"/>
      <c r="L241" s="1"/>
      <c r="M241" s="1"/>
      <c r="N241" s="1"/>
      <c r="O241" s="1"/>
      <c r="P241" s="1"/>
      <c r="Q241" s="474"/>
      <c r="S241" s="231"/>
      <c r="AA241" s="1"/>
      <c r="AB241" s="392"/>
    </row>
    <row r="242" spans="8:28" x14ac:dyDescent="0.25">
      <c r="H242" s="473"/>
      <c r="I242" s="1"/>
      <c r="J242" s="1"/>
      <c r="K242" s="1"/>
      <c r="L242" s="1"/>
      <c r="M242" s="1"/>
      <c r="N242" s="1"/>
      <c r="O242" s="1"/>
      <c r="P242" s="1"/>
      <c r="Q242" s="474"/>
      <c r="S242" s="231"/>
      <c r="AA242" s="1"/>
      <c r="AB242" s="392"/>
    </row>
    <row r="243" spans="8:28" x14ac:dyDescent="0.25">
      <c r="H243" s="473"/>
      <c r="I243" s="1"/>
      <c r="J243" s="1"/>
      <c r="K243" s="1"/>
      <c r="L243" s="1"/>
      <c r="M243" s="1"/>
      <c r="N243" s="1"/>
      <c r="O243" s="1"/>
      <c r="P243" s="1"/>
      <c r="Q243" s="474"/>
      <c r="S243" s="231"/>
      <c r="AA243" s="1"/>
      <c r="AB243" s="392"/>
    </row>
    <row r="244" spans="8:28" x14ac:dyDescent="0.25">
      <c r="H244" s="473"/>
      <c r="I244" s="1"/>
      <c r="J244" s="1"/>
      <c r="K244" s="1"/>
      <c r="L244" s="1"/>
      <c r="M244" s="1"/>
      <c r="N244" s="1"/>
      <c r="O244" s="1"/>
      <c r="P244" s="1"/>
      <c r="Q244" s="474"/>
      <c r="S244" s="231"/>
      <c r="AA244" s="1"/>
      <c r="AB244" s="392"/>
    </row>
    <row r="245" spans="8:28" x14ac:dyDescent="0.25">
      <c r="H245" s="473"/>
      <c r="I245" s="1"/>
      <c r="J245" s="1"/>
      <c r="K245" s="1"/>
      <c r="L245" s="1"/>
      <c r="M245" s="1"/>
      <c r="N245" s="1"/>
      <c r="O245" s="1"/>
      <c r="P245" s="1"/>
      <c r="Q245" s="474"/>
      <c r="S245" s="231"/>
      <c r="AA245" s="1"/>
      <c r="AB245" s="392"/>
    </row>
    <row r="246" spans="8:28" x14ac:dyDescent="0.25">
      <c r="H246" s="473"/>
      <c r="I246" s="1"/>
      <c r="J246" s="1"/>
      <c r="K246" s="1"/>
      <c r="L246" s="1"/>
      <c r="M246" s="1"/>
      <c r="N246" s="1"/>
      <c r="O246" s="1"/>
      <c r="P246" s="1"/>
      <c r="Q246" s="474"/>
      <c r="S246" s="231"/>
      <c r="AA246" s="1"/>
      <c r="AB246" s="392"/>
    </row>
    <row r="247" spans="8:28" x14ac:dyDescent="0.25">
      <c r="H247" s="473"/>
      <c r="I247" s="1"/>
      <c r="J247" s="1"/>
      <c r="K247" s="1"/>
      <c r="L247" s="1"/>
      <c r="M247" s="1"/>
      <c r="N247" s="1"/>
      <c r="O247" s="1"/>
      <c r="P247" s="1"/>
      <c r="Q247" s="474"/>
      <c r="S247" s="231"/>
      <c r="AA247" s="1"/>
      <c r="AB247" s="392"/>
    </row>
    <row r="248" spans="8:28" x14ac:dyDescent="0.25">
      <c r="H248" s="473"/>
      <c r="I248" s="1"/>
      <c r="J248" s="1"/>
      <c r="K248" s="1"/>
      <c r="L248" s="1"/>
      <c r="M248" s="1"/>
      <c r="N248" s="1"/>
      <c r="O248" s="1"/>
      <c r="P248" s="1"/>
      <c r="Q248" s="474"/>
      <c r="S248" s="231"/>
      <c r="AA248" s="1"/>
      <c r="AB248" s="392"/>
    </row>
    <row r="249" spans="8:28" x14ac:dyDescent="0.25">
      <c r="H249" s="473"/>
      <c r="I249" s="1"/>
      <c r="J249" s="1"/>
      <c r="K249" s="1"/>
      <c r="L249" s="1"/>
      <c r="M249" s="1"/>
      <c r="N249" s="1"/>
      <c r="O249" s="1"/>
      <c r="P249" s="1"/>
      <c r="Q249" s="474"/>
      <c r="S249" s="231"/>
      <c r="AA249" s="1"/>
      <c r="AB249" s="392"/>
    </row>
    <row r="250" spans="8:28" x14ac:dyDescent="0.25">
      <c r="H250" s="473"/>
      <c r="I250" s="1"/>
      <c r="J250" s="1"/>
      <c r="K250" s="1"/>
      <c r="L250" s="1"/>
      <c r="M250" s="1"/>
      <c r="N250" s="1"/>
      <c r="O250" s="1"/>
      <c r="P250" s="1"/>
      <c r="Q250" s="474"/>
      <c r="S250" s="231"/>
      <c r="AA250" s="1"/>
      <c r="AB250" s="392"/>
    </row>
    <row r="251" spans="8:28" x14ac:dyDescent="0.25">
      <c r="H251" s="473"/>
      <c r="I251" s="1"/>
      <c r="J251" s="1"/>
      <c r="K251" s="1"/>
      <c r="L251" s="1"/>
      <c r="M251" s="1"/>
      <c r="N251" s="1"/>
      <c r="O251" s="1"/>
      <c r="P251" s="1"/>
      <c r="Q251" s="474"/>
      <c r="S251" s="231"/>
      <c r="AA251" s="1"/>
      <c r="AB251" s="392"/>
    </row>
    <row r="252" spans="8:28" x14ac:dyDescent="0.25">
      <c r="H252" s="473"/>
      <c r="I252" s="1"/>
      <c r="J252" s="1"/>
      <c r="K252" s="1"/>
      <c r="L252" s="1"/>
      <c r="M252" s="1"/>
      <c r="N252" s="1"/>
      <c r="O252" s="1"/>
      <c r="P252" s="1"/>
      <c r="Q252" s="474"/>
      <c r="S252" s="231"/>
      <c r="AA252" s="1"/>
      <c r="AB252" s="392"/>
    </row>
    <row r="253" spans="8:28" x14ac:dyDescent="0.25">
      <c r="H253" s="473"/>
      <c r="I253" s="1"/>
      <c r="J253" s="1"/>
      <c r="K253" s="1"/>
      <c r="L253" s="1"/>
      <c r="M253" s="1"/>
      <c r="N253" s="1"/>
      <c r="O253" s="1"/>
      <c r="P253" s="1"/>
      <c r="Q253" s="474"/>
      <c r="S253" s="231"/>
      <c r="AA253" s="1"/>
      <c r="AB253" s="392"/>
    </row>
    <row r="254" spans="8:28" x14ac:dyDescent="0.25">
      <c r="H254" s="473"/>
      <c r="I254" s="1"/>
      <c r="J254" s="1"/>
      <c r="K254" s="1"/>
      <c r="L254" s="1"/>
      <c r="M254" s="1"/>
      <c r="N254" s="1"/>
      <c r="O254" s="1"/>
      <c r="P254" s="1"/>
      <c r="Q254" s="474"/>
      <c r="S254" s="231"/>
      <c r="AA254" s="1"/>
      <c r="AB254" s="392"/>
    </row>
    <row r="255" spans="8:28" x14ac:dyDescent="0.25">
      <c r="H255" s="473"/>
      <c r="I255" s="1"/>
      <c r="J255" s="1"/>
      <c r="K255" s="1"/>
      <c r="L255" s="1"/>
      <c r="M255" s="1"/>
      <c r="N255" s="1"/>
      <c r="O255" s="1"/>
      <c r="P255" s="1"/>
      <c r="Q255" s="474"/>
      <c r="S255" s="231"/>
      <c r="AA255" s="1"/>
      <c r="AB255" s="392"/>
    </row>
    <row r="256" spans="8:28" x14ac:dyDescent="0.25">
      <c r="H256" s="473"/>
      <c r="I256" s="1"/>
      <c r="J256" s="1"/>
      <c r="K256" s="1"/>
      <c r="L256" s="1"/>
      <c r="M256" s="1"/>
      <c r="N256" s="1"/>
      <c r="O256" s="1"/>
      <c r="P256" s="1"/>
      <c r="Q256" s="474"/>
      <c r="S256" s="231"/>
      <c r="AA256" s="1"/>
      <c r="AB256" s="392"/>
    </row>
    <row r="257" spans="8:28" x14ac:dyDescent="0.25">
      <c r="H257" s="473"/>
      <c r="I257" s="1"/>
      <c r="J257" s="1"/>
      <c r="K257" s="1"/>
      <c r="L257" s="1"/>
      <c r="M257" s="1"/>
      <c r="N257" s="1"/>
      <c r="O257" s="1"/>
      <c r="P257" s="1"/>
      <c r="Q257" s="474"/>
      <c r="S257" s="231"/>
      <c r="AA257" s="1"/>
      <c r="AB257" s="392"/>
    </row>
    <row r="258" spans="8:28" x14ac:dyDescent="0.25">
      <c r="H258" s="473"/>
      <c r="I258" s="1"/>
      <c r="J258" s="1"/>
      <c r="K258" s="1"/>
      <c r="L258" s="1"/>
      <c r="M258" s="1"/>
      <c r="N258" s="1"/>
      <c r="O258" s="1"/>
      <c r="P258" s="1"/>
      <c r="Q258" s="474"/>
      <c r="S258" s="231"/>
      <c r="AA258" s="1"/>
      <c r="AB258" s="392"/>
    </row>
    <row r="259" spans="8:28" x14ac:dyDescent="0.25">
      <c r="H259" s="473"/>
      <c r="I259" s="1"/>
      <c r="J259" s="1"/>
      <c r="K259" s="1"/>
      <c r="L259" s="1"/>
      <c r="M259" s="1"/>
      <c r="N259" s="1"/>
      <c r="O259" s="1"/>
      <c r="P259" s="1"/>
      <c r="Q259" s="474"/>
      <c r="S259" s="231"/>
      <c r="AA259" s="1"/>
      <c r="AB259" s="392"/>
    </row>
    <row r="260" spans="8:28" x14ac:dyDescent="0.25">
      <c r="H260" s="473"/>
      <c r="I260" s="1"/>
      <c r="J260" s="1"/>
      <c r="K260" s="1"/>
      <c r="L260" s="1"/>
      <c r="M260" s="1"/>
      <c r="N260" s="1"/>
      <c r="O260" s="1"/>
      <c r="P260" s="1"/>
      <c r="Q260" s="474"/>
      <c r="S260" s="231"/>
      <c r="AA260" s="1"/>
      <c r="AB260" s="392"/>
    </row>
    <row r="261" spans="8:28" x14ac:dyDescent="0.25">
      <c r="H261" s="473"/>
      <c r="I261" s="1"/>
      <c r="J261" s="1"/>
      <c r="K261" s="1"/>
      <c r="L261" s="1"/>
      <c r="M261" s="1"/>
      <c r="N261" s="1"/>
      <c r="O261" s="1"/>
      <c r="P261" s="1"/>
      <c r="Q261" s="474"/>
      <c r="S261" s="231"/>
      <c r="AA261" s="1"/>
      <c r="AB261" s="392"/>
    </row>
    <row r="262" spans="8:28" x14ac:dyDescent="0.25">
      <c r="H262" s="473"/>
      <c r="I262" s="1"/>
      <c r="J262" s="1"/>
      <c r="K262" s="1"/>
      <c r="L262" s="1"/>
      <c r="M262" s="1"/>
      <c r="N262" s="1"/>
      <c r="O262" s="1"/>
      <c r="P262" s="1"/>
      <c r="Q262" s="474"/>
      <c r="S262" s="231"/>
      <c r="AA262" s="1"/>
      <c r="AB262" s="392"/>
    </row>
    <row r="263" spans="8:28" x14ac:dyDescent="0.25">
      <c r="H263" s="473"/>
      <c r="I263" s="1"/>
      <c r="J263" s="1"/>
      <c r="K263" s="1"/>
      <c r="L263" s="1"/>
      <c r="M263" s="1"/>
      <c r="N263" s="1"/>
      <c r="O263" s="1"/>
      <c r="P263" s="1"/>
      <c r="Q263" s="474"/>
      <c r="S263" s="231"/>
      <c r="AA263" s="1"/>
      <c r="AB263" s="392"/>
    </row>
    <row r="264" spans="8:28" x14ac:dyDescent="0.25">
      <c r="H264" s="473"/>
      <c r="I264" s="1"/>
      <c r="J264" s="1"/>
      <c r="K264" s="1"/>
      <c r="L264" s="1"/>
      <c r="M264" s="1"/>
      <c r="N264" s="1"/>
      <c r="O264" s="1"/>
      <c r="P264" s="1"/>
      <c r="Q264" s="474"/>
      <c r="S264" s="231"/>
      <c r="AA264" s="1"/>
      <c r="AB264" s="392"/>
    </row>
    <row r="265" spans="8:28" x14ac:dyDescent="0.25">
      <c r="H265" s="473"/>
      <c r="I265" s="1"/>
      <c r="J265" s="1"/>
      <c r="K265" s="1"/>
      <c r="L265" s="1"/>
      <c r="M265" s="1"/>
      <c r="N265" s="1"/>
      <c r="O265" s="1"/>
      <c r="P265" s="1"/>
      <c r="Q265" s="474"/>
      <c r="S265" s="231"/>
      <c r="AA265" s="1"/>
      <c r="AB265" s="392"/>
    </row>
    <row r="266" spans="8:28" x14ac:dyDescent="0.25">
      <c r="H266" s="473"/>
      <c r="I266" s="1"/>
      <c r="J266" s="1"/>
      <c r="K266" s="1"/>
      <c r="L266" s="1"/>
      <c r="M266" s="1"/>
      <c r="N266" s="1"/>
      <c r="O266" s="1"/>
      <c r="P266" s="1"/>
      <c r="Q266" s="474"/>
      <c r="S266" s="231"/>
      <c r="AA266" s="1"/>
      <c r="AB266" s="392"/>
    </row>
    <row r="267" spans="8:28" x14ac:dyDescent="0.25">
      <c r="H267" s="473"/>
      <c r="I267" s="1"/>
      <c r="J267" s="1"/>
      <c r="K267" s="1"/>
      <c r="L267" s="1"/>
      <c r="M267" s="1"/>
      <c r="N267" s="1"/>
      <c r="O267" s="1"/>
      <c r="P267" s="1"/>
      <c r="Q267" s="474"/>
      <c r="S267" s="231"/>
      <c r="AA267" s="1"/>
      <c r="AB267" s="392"/>
    </row>
    <row r="268" spans="8:28" x14ac:dyDescent="0.25">
      <c r="H268" s="473"/>
      <c r="I268" s="1"/>
      <c r="J268" s="1"/>
      <c r="K268" s="1"/>
      <c r="L268" s="1"/>
      <c r="M268" s="1"/>
      <c r="N268" s="1"/>
      <c r="O268" s="1"/>
      <c r="P268" s="1"/>
      <c r="Q268" s="474"/>
      <c r="S268" s="231"/>
      <c r="AA268" s="1"/>
      <c r="AB268" s="392"/>
    </row>
    <row r="269" spans="8:28" x14ac:dyDescent="0.25">
      <c r="H269" s="473"/>
      <c r="I269" s="1"/>
      <c r="J269" s="1"/>
      <c r="K269" s="1"/>
      <c r="L269" s="1"/>
      <c r="M269" s="1"/>
      <c r="N269" s="1"/>
      <c r="O269" s="1"/>
      <c r="P269" s="1"/>
      <c r="Q269" s="474"/>
      <c r="S269" s="231"/>
      <c r="AA269" s="1"/>
      <c r="AB269" s="392"/>
    </row>
    <row r="270" spans="8:28" x14ac:dyDescent="0.25">
      <c r="H270" s="473"/>
      <c r="I270" s="1"/>
      <c r="J270" s="1"/>
      <c r="K270" s="1"/>
      <c r="L270" s="1"/>
      <c r="M270" s="1"/>
      <c r="N270" s="1"/>
      <c r="O270" s="1"/>
      <c r="P270" s="1"/>
      <c r="Q270" s="474"/>
      <c r="S270" s="231"/>
      <c r="AA270" s="1"/>
      <c r="AB270" s="392"/>
    </row>
    <row r="271" spans="8:28" x14ac:dyDescent="0.25">
      <c r="H271" s="473"/>
      <c r="I271" s="1"/>
      <c r="J271" s="1"/>
      <c r="K271" s="1"/>
      <c r="L271" s="1"/>
      <c r="M271" s="1"/>
      <c r="N271" s="1"/>
      <c r="O271" s="1"/>
      <c r="P271" s="1"/>
      <c r="Q271" s="474"/>
      <c r="S271" s="231"/>
      <c r="AA271" s="1"/>
      <c r="AB271" s="392"/>
    </row>
    <row r="272" spans="8:28" x14ac:dyDescent="0.25">
      <c r="H272" s="473"/>
      <c r="I272" s="1"/>
      <c r="J272" s="1"/>
      <c r="K272" s="1"/>
      <c r="L272" s="1"/>
      <c r="M272" s="1"/>
      <c r="N272" s="1"/>
      <c r="O272" s="1"/>
      <c r="P272" s="1"/>
      <c r="Q272" s="474"/>
      <c r="S272" s="231"/>
      <c r="AA272" s="1"/>
      <c r="AB272" s="392"/>
    </row>
    <row r="273" spans="8:28" x14ac:dyDescent="0.25">
      <c r="H273" s="473"/>
      <c r="I273" s="1"/>
      <c r="J273" s="1"/>
      <c r="K273" s="1"/>
      <c r="L273" s="1"/>
      <c r="M273" s="1"/>
      <c r="N273" s="1"/>
      <c r="O273" s="1"/>
      <c r="P273" s="1"/>
      <c r="Q273" s="474"/>
      <c r="S273" s="231"/>
      <c r="AA273" s="1"/>
      <c r="AB273" s="392"/>
    </row>
    <row r="274" spans="8:28" x14ac:dyDescent="0.25">
      <c r="H274" s="473"/>
      <c r="I274" s="1"/>
      <c r="J274" s="1"/>
      <c r="K274" s="1"/>
      <c r="L274" s="1"/>
      <c r="M274" s="1"/>
      <c r="N274" s="1"/>
      <c r="O274" s="1"/>
      <c r="P274" s="1"/>
      <c r="Q274" s="474"/>
      <c r="S274" s="231"/>
      <c r="AA274" s="1"/>
      <c r="AB274" s="392"/>
    </row>
    <row r="275" spans="8:28" x14ac:dyDescent="0.25">
      <c r="H275" s="473"/>
      <c r="I275" s="1"/>
      <c r="J275" s="1"/>
      <c r="K275" s="1"/>
      <c r="L275" s="1"/>
      <c r="M275" s="1"/>
      <c r="N275" s="1"/>
      <c r="O275" s="1"/>
      <c r="P275" s="1"/>
      <c r="Q275" s="474"/>
      <c r="S275" s="231"/>
      <c r="AA275" s="1"/>
      <c r="AB275" s="392"/>
    </row>
    <row r="276" spans="8:28" x14ac:dyDescent="0.25">
      <c r="H276" s="473"/>
      <c r="I276" s="1"/>
      <c r="J276" s="1"/>
      <c r="K276" s="1"/>
      <c r="L276" s="1"/>
      <c r="M276" s="1"/>
      <c r="N276" s="1"/>
      <c r="O276" s="1"/>
      <c r="P276" s="1"/>
      <c r="Q276" s="474"/>
      <c r="S276" s="231"/>
      <c r="AA276" s="1"/>
      <c r="AB276" s="392"/>
    </row>
    <row r="277" spans="8:28" x14ac:dyDescent="0.25">
      <c r="H277" s="473"/>
      <c r="I277" s="1"/>
      <c r="J277" s="1"/>
      <c r="K277" s="1"/>
      <c r="L277" s="1"/>
      <c r="M277" s="1"/>
      <c r="N277" s="1"/>
      <c r="O277" s="1"/>
      <c r="P277" s="1"/>
      <c r="Q277" s="474"/>
      <c r="S277" s="231"/>
      <c r="AA277" s="1"/>
      <c r="AB277" s="392"/>
    </row>
    <row r="278" spans="8:28" x14ac:dyDescent="0.25">
      <c r="H278" s="473"/>
      <c r="I278" s="1"/>
      <c r="J278" s="1"/>
      <c r="K278" s="1"/>
      <c r="L278" s="1"/>
      <c r="M278" s="1"/>
      <c r="N278" s="1"/>
      <c r="O278" s="1"/>
      <c r="P278" s="1"/>
      <c r="Q278" s="474"/>
      <c r="S278" s="231"/>
      <c r="AA278" s="1"/>
      <c r="AB278" s="392"/>
    </row>
    <row r="279" spans="8:28" x14ac:dyDescent="0.25">
      <c r="H279" s="473"/>
      <c r="I279" s="1"/>
      <c r="J279" s="1"/>
      <c r="K279" s="1"/>
      <c r="L279" s="1"/>
      <c r="M279" s="1"/>
      <c r="N279" s="1"/>
      <c r="O279" s="1"/>
      <c r="P279" s="1"/>
      <c r="Q279" s="474"/>
      <c r="S279" s="231"/>
      <c r="AA279" s="1"/>
      <c r="AB279" s="392"/>
    </row>
    <row r="280" spans="8:28" x14ac:dyDescent="0.25">
      <c r="H280" s="473"/>
      <c r="I280" s="1"/>
      <c r="J280" s="1"/>
      <c r="K280" s="1"/>
      <c r="L280" s="1"/>
      <c r="M280" s="1"/>
      <c r="N280" s="1"/>
      <c r="O280" s="1"/>
      <c r="P280" s="1"/>
      <c r="Q280" s="474"/>
      <c r="S280" s="231"/>
      <c r="AA280" s="1"/>
      <c r="AB280" s="392"/>
    </row>
    <row r="281" spans="8:28" x14ac:dyDescent="0.25">
      <c r="H281" s="473"/>
      <c r="I281" s="1"/>
      <c r="J281" s="1"/>
      <c r="K281" s="1"/>
      <c r="L281" s="1"/>
      <c r="M281" s="1"/>
      <c r="N281" s="1"/>
      <c r="O281" s="1"/>
      <c r="P281" s="1"/>
      <c r="Q281" s="474"/>
      <c r="S281" s="231"/>
      <c r="AA281" s="1"/>
      <c r="AB281" s="392"/>
    </row>
    <row r="282" spans="8:28" x14ac:dyDescent="0.25">
      <c r="H282" s="473"/>
      <c r="I282" s="1"/>
      <c r="J282" s="1"/>
      <c r="K282" s="1"/>
      <c r="L282" s="1"/>
      <c r="M282" s="1"/>
      <c r="N282" s="1"/>
      <c r="O282" s="1"/>
      <c r="P282" s="1"/>
      <c r="Q282" s="474"/>
      <c r="S282" s="231"/>
      <c r="AA282" s="1"/>
      <c r="AB282" s="392"/>
    </row>
    <row r="283" spans="8:28" x14ac:dyDescent="0.25">
      <c r="H283" s="473"/>
      <c r="I283" s="1"/>
      <c r="J283" s="1"/>
      <c r="K283" s="1"/>
      <c r="L283" s="1"/>
      <c r="M283" s="1"/>
      <c r="N283" s="1"/>
      <c r="O283" s="1"/>
      <c r="P283" s="1"/>
      <c r="Q283" s="474"/>
      <c r="S283" s="231"/>
      <c r="AA283" s="1"/>
      <c r="AB283" s="392"/>
    </row>
    <row r="284" spans="8:28" x14ac:dyDescent="0.25">
      <c r="H284" s="473"/>
      <c r="I284" s="1"/>
      <c r="J284" s="1"/>
      <c r="K284" s="1"/>
      <c r="L284" s="1"/>
      <c r="M284" s="1"/>
      <c r="N284" s="1"/>
      <c r="O284" s="1"/>
      <c r="P284" s="1"/>
      <c r="Q284" s="474"/>
      <c r="S284" s="231"/>
      <c r="AA284" s="1"/>
      <c r="AB284" s="392"/>
    </row>
    <row r="285" spans="8:28" x14ac:dyDescent="0.25">
      <c r="H285" s="473"/>
      <c r="I285" s="1"/>
      <c r="J285" s="1"/>
      <c r="K285" s="1"/>
      <c r="L285" s="1"/>
      <c r="M285" s="1"/>
      <c r="N285" s="1"/>
      <c r="O285" s="1"/>
      <c r="P285" s="1"/>
      <c r="Q285" s="474"/>
      <c r="S285" s="231"/>
      <c r="AA285" s="1"/>
      <c r="AB285" s="392"/>
    </row>
    <row r="286" spans="8:28" x14ac:dyDescent="0.25">
      <c r="H286" s="473"/>
      <c r="I286" s="1"/>
      <c r="J286" s="1"/>
      <c r="K286" s="1"/>
      <c r="L286" s="1"/>
      <c r="M286" s="1"/>
      <c r="N286" s="1"/>
      <c r="O286" s="1"/>
      <c r="P286" s="1"/>
      <c r="Q286" s="474"/>
      <c r="S286" s="231"/>
      <c r="AA286" s="1"/>
      <c r="AB286" s="392"/>
    </row>
    <row r="287" spans="8:28" x14ac:dyDescent="0.25">
      <c r="H287" s="473"/>
      <c r="I287" s="1"/>
      <c r="J287" s="1"/>
      <c r="K287" s="1"/>
      <c r="L287" s="1"/>
      <c r="M287" s="1"/>
      <c r="N287" s="1"/>
      <c r="O287" s="1"/>
      <c r="P287" s="1"/>
      <c r="Q287" s="474"/>
      <c r="S287" s="231"/>
      <c r="AA287" s="1"/>
      <c r="AB287" s="392"/>
    </row>
    <row r="288" spans="8:28" x14ac:dyDescent="0.25">
      <c r="H288" s="473"/>
      <c r="I288" s="1"/>
      <c r="J288" s="1"/>
      <c r="K288" s="1"/>
      <c r="L288" s="1"/>
      <c r="M288" s="1"/>
      <c r="N288" s="1"/>
      <c r="O288" s="1"/>
      <c r="P288" s="1"/>
      <c r="Q288" s="474"/>
      <c r="S288" s="231"/>
      <c r="AA288" s="1"/>
      <c r="AB288" s="392"/>
    </row>
    <row r="289" spans="8:28" x14ac:dyDescent="0.25">
      <c r="H289" s="473"/>
      <c r="I289" s="1"/>
      <c r="J289" s="1"/>
      <c r="K289" s="1"/>
      <c r="L289" s="1"/>
      <c r="M289" s="1"/>
      <c r="N289" s="1"/>
      <c r="O289" s="1"/>
      <c r="P289" s="1"/>
      <c r="Q289" s="474"/>
      <c r="S289" s="231"/>
      <c r="AA289" s="1"/>
      <c r="AB289" s="392"/>
    </row>
    <row r="290" spans="8:28" x14ac:dyDescent="0.25">
      <c r="H290" s="473"/>
      <c r="I290" s="1"/>
      <c r="J290" s="1"/>
      <c r="K290" s="1"/>
      <c r="L290" s="1"/>
      <c r="M290" s="1"/>
      <c r="N290" s="1"/>
      <c r="O290" s="1"/>
      <c r="P290" s="1"/>
      <c r="Q290" s="474"/>
      <c r="S290" s="231"/>
      <c r="AA290" s="1"/>
      <c r="AB290" s="392"/>
    </row>
    <row r="291" spans="8:28" x14ac:dyDescent="0.25">
      <c r="H291" s="473"/>
      <c r="I291" s="1"/>
      <c r="J291" s="1"/>
      <c r="K291" s="1"/>
      <c r="L291" s="1"/>
      <c r="M291" s="1"/>
      <c r="N291" s="1"/>
      <c r="O291" s="1"/>
      <c r="P291" s="1"/>
      <c r="Q291" s="474"/>
      <c r="S291" s="231"/>
      <c r="AA291" s="1"/>
      <c r="AB291" s="392"/>
    </row>
    <row r="292" spans="8:28" x14ac:dyDescent="0.25">
      <c r="H292" s="473"/>
      <c r="I292" s="1"/>
      <c r="J292" s="1"/>
      <c r="K292" s="1"/>
      <c r="L292" s="1"/>
      <c r="M292" s="1"/>
      <c r="N292" s="1"/>
      <c r="O292" s="1"/>
      <c r="P292" s="1"/>
      <c r="Q292" s="474"/>
      <c r="S292" s="231"/>
      <c r="AA292" s="1"/>
      <c r="AB292" s="392"/>
    </row>
    <row r="293" spans="8:28" x14ac:dyDescent="0.25">
      <c r="H293" s="473"/>
      <c r="I293" s="1"/>
      <c r="J293" s="1"/>
      <c r="K293" s="1"/>
      <c r="L293" s="1"/>
      <c r="M293" s="1"/>
      <c r="N293" s="1"/>
      <c r="O293" s="1"/>
      <c r="P293" s="1"/>
      <c r="Q293" s="474"/>
      <c r="S293" s="231"/>
      <c r="AA293" s="1"/>
      <c r="AB293" s="392"/>
    </row>
    <row r="294" spans="8:28" x14ac:dyDescent="0.25">
      <c r="H294" s="473"/>
      <c r="I294" s="1"/>
      <c r="J294" s="1"/>
      <c r="K294" s="1"/>
      <c r="L294" s="1"/>
      <c r="M294" s="1"/>
      <c r="N294" s="1"/>
      <c r="O294" s="1"/>
      <c r="P294" s="1"/>
      <c r="Q294" s="474"/>
      <c r="S294" s="231"/>
      <c r="AA294" s="1"/>
      <c r="AB294" s="392"/>
    </row>
    <row r="295" spans="8:28" x14ac:dyDescent="0.25">
      <c r="H295" s="473"/>
      <c r="I295" s="1"/>
      <c r="J295" s="1"/>
      <c r="K295" s="1"/>
      <c r="L295" s="1"/>
      <c r="M295" s="1"/>
      <c r="N295" s="1"/>
      <c r="O295" s="1"/>
      <c r="P295" s="1"/>
      <c r="Q295" s="474"/>
      <c r="S295" s="231"/>
      <c r="AA295" s="1"/>
      <c r="AB295" s="392"/>
    </row>
    <row r="296" spans="8:28" x14ac:dyDescent="0.25">
      <c r="H296" s="473"/>
      <c r="I296" s="1"/>
      <c r="J296" s="1"/>
      <c r="K296" s="1"/>
      <c r="L296" s="1"/>
      <c r="M296" s="1"/>
      <c r="N296" s="1"/>
      <c r="O296" s="1"/>
      <c r="P296" s="1"/>
      <c r="Q296" s="474"/>
      <c r="S296" s="231"/>
      <c r="AA296" s="1"/>
      <c r="AB296" s="392"/>
    </row>
    <row r="297" spans="8:28" x14ac:dyDescent="0.25">
      <c r="H297" s="473"/>
      <c r="I297" s="1"/>
      <c r="J297" s="1"/>
      <c r="K297" s="1"/>
      <c r="L297" s="1"/>
      <c r="M297" s="1"/>
      <c r="N297" s="1"/>
      <c r="O297" s="1"/>
      <c r="P297" s="1"/>
      <c r="Q297" s="474"/>
      <c r="S297" s="231"/>
      <c r="AA297" s="1"/>
      <c r="AB297" s="392"/>
    </row>
    <row r="298" spans="8:28" x14ac:dyDescent="0.25">
      <c r="H298" s="473"/>
      <c r="I298" s="1"/>
      <c r="J298" s="1"/>
      <c r="K298" s="1"/>
      <c r="L298" s="1"/>
      <c r="M298" s="1"/>
      <c r="N298" s="1"/>
      <c r="O298" s="1"/>
      <c r="P298" s="1"/>
      <c r="Q298" s="474"/>
      <c r="S298" s="231"/>
      <c r="AA298" s="1"/>
      <c r="AB298" s="392"/>
    </row>
    <row r="299" spans="8:28" x14ac:dyDescent="0.25">
      <c r="H299" s="473"/>
      <c r="I299" s="1"/>
      <c r="J299" s="1"/>
      <c r="K299" s="1"/>
      <c r="L299" s="1"/>
      <c r="M299" s="1"/>
      <c r="N299" s="1"/>
      <c r="O299" s="1"/>
      <c r="P299" s="1"/>
      <c r="Q299" s="474"/>
      <c r="S299" s="231"/>
      <c r="AA299" s="1"/>
      <c r="AB299" s="392"/>
    </row>
    <row r="300" spans="8:28" x14ac:dyDescent="0.25">
      <c r="H300" s="473"/>
      <c r="I300" s="1"/>
      <c r="J300" s="1"/>
      <c r="K300" s="1"/>
      <c r="L300" s="1"/>
      <c r="M300" s="1"/>
      <c r="N300" s="1"/>
      <c r="O300" s="1"/>
      <c r="P300" s="1"/>
      <c r="Q300" s="474"/>
      <c r="S300" s="231"/>
      <c r="AA300" s="1"/>
      <c r="AB300" s="392"/>
    </row>
    <row r="301" spans="8:28" x14ac:dyDescent="0.25">
      <c r="H301" s="473"/>
      <c r="I301" s="1"/>
      <c r="J301" s="1"/>
      <c r="K301" s="1"/>
      <c r="L301" s="1"/>
      <c r="M301" s="1"/>
      <c r="N301" s="1"/>
      <c r="O301" s="1"/>
      <c r="P301" s="1"/>
      <c r="Q301" s="474"/>
      <c r="S301" s="231"/>
      <c r="AA301" s="1"/>
      <c r="AB301" s="392"/>
    </row>
    <row r="302" spans="8:28" x14ac:dyDescent="0.25">
      <c r="H302" s="473"/>
      <c r="I302" s="1"/>
      <c r="J302" s="1"/>
      <c r="K302" s="1"/>
      <c r="L302" s="1"/>
      <c r="M302" s="1"/>
      <c r="N302" s="1"/>
      <c r="O302" s="1"/>
      <c r="P302" s="1"/>
      <c r="Q302" s="474"/>
      <c r="S302" s="231"/>
      <c r="AA302" s="1"/>
      <c r="AB302" s="392"/>
    </row>
    <row r="303" spans="8:28" x14ac:dyDescent="0.25">
      <c r="H303" s="473"/>
      <c r="I303" s="1"/>
      <c r="J303" s="1"/>
      <c r="K303" s="1"/>
      <c r="L303" s="1"/>
      <c r="M303" s="1"/>
      <c r="N303" s="1"/>
      <c r="O303" s="1"/>
      <c r="P303" s="1"/>
      <c r="Q303" s="474"/>
      <c r="S303" s="231"/>
      <c r="AA303" s="1"/>
      <c r="AB303" s="392"/>
    </row>
    <row r="304" spans="8:28" x14ac:dyDescent="0.25">
      <c r="H304" s="473"/>
      <c r="I304" s="1"/>
      <c r="J304" s="1"/>
      <c r="K304" s="1"/>
      <c r="L304" s="1"/>
      <c r="M304" s="1"/>
      <c r="N304" s="1"/>
      <c r="O304" s="1"/>
      <c r="P304" s="1"/>
      <c r="Q304" s="474"/>
      <c r="S304" s="231"/>
      <c r="AA304" s="1"/>
      <c r="AB304" s="392"/>
    </row>
    <row r="305" spans="8:28" x14ac:dyDescent="0.25">
      <c r="H305" s="473"/>
      <c r="I305" s="1"/>
      <c r="J305" s="1"/>
      <c r="K305" s="1"/>
      <c r="L305" s="1"/>
      <c r="M305" s="1"/>
      <c r="N305" s="1"/>
      <c r="O305" s="1"/>
      <c r="P305" s="1"/>
      <c r="Q305" s="474"/>
      <c r="S305" s="231"/>
      <c r="AA305" s="1"/>
      <c r="AB305" s="392"/>
    </row>
    <row r="306" spans="8:28" x14ac:dyDescent="0.25">
      <c r="H306" s="473"/>
      <c r="I306" s="1"/>
      <c r="J306" s="1"/>
      <c r="K306" s="1"/>
      <c r="L306" s="1"/>
      <c r="M306" s="1"/>
      <c r="N306" s="1"/>
      <c r="O306" s="1"/>
      <c r="P306" s="1"/>
      <c r="Q306" s="474"/>
      <c r="S306" s="231"/>
      <c r="AA306" s="1"/>
      <c r="AB306" s="392"/>
    </row>
    <row r="307" spans="8:28" x14ac:dyDescent="0.25">
      <c r="H307" s="473"/>
      <c r="I307" s="1"/>
      <c r="J307" s="1"/>
      <c r="K307" s="1"/>
      <c r="L307" s="1"/>
      <c r="M307" s="1"/>
      <c r="N307" s="1"/>
      <c r="O307" s="1"/>
      <c r="P307" s="1"/>
      <c r="Q307" s="474"/>
      <c r="S307" s="231"/>
      <c r="AA307" s="1"/>
      <c r="AB307" s="392"/>
    </row>
    <row r="308" spans="8:28" x14ac:dyDescent="0.25">
      <c r="H308" s="473"/>
      <c r="I308" s="1"/>
      <c r="J308" s="1"/>
      <c r="K308" s="1"/>
      <c r="L308" s="1"/>
      <c r="M308" s="1"/>
      <c r="N308" s="1"/>
      <c r="O308" s="1"/>
      <c r="P308" s="1"/>
      <c r="Q308" s="474"/>
      <c r="S308" s="231"/>
      <c r="AA308" s="1"/>
      <c r="AB308" s="392"/>
    </row>
    <row r="309" spans="8:28" x14ac:dyDescent="0.25">
      <c r="H309" s="473"/>
      <c r="I309" s="1"/>
      <c r="J309" s="1"/>
      <c r="K309" s="1"/>
      <c r="L309" s="1"/>
      <c r="M309" s="1"/>
      <c r="N309" s="1"/>
      <c r="O309" s="1"/>
      <c r="P309" s="1"/>
      <c r="Q309" s="474"/>
      <c r="S309" s="231"/>
      <c r="AA309" s="1"/>
      <c r="AB309" s="392"/>
    </row>
    <row r="310" spans="8:28" x14ac:dyDescent="0.25">
      <c r="H310" s="473"/>
      <c r="I310" s="1"/>
      <c r="J310" s="1"/>
      <c r="K310" s="1"/>
      <c r="L310" s="1"/>
      <c r="M310" s="1"/>
      <c r="N310" s="1"/>
      <c r="O310" s="1"/>
      <c r="P310" s="1"/>
      <c r="Q310" s="474"/>
      <c r="S310" s="231"/>
      <c r="AA310" s="1"/>
      <c r="AB310" s="392"/>
    </row>
    <row r="311" spans="8:28" x14ac:dyDescent="0.25">
      <c r="H311" s="473"/>
      <c r="I311" s="1"/>
      <c r="J311" s="1"/>
      <c r="K311" s="1"/>
      <c r="L311" s="1"/>
      <c r="M311" s="1"/>
      <c r="N311" s="1"/>
      <c r="O311" s="1"/>
      <c r="P311" s="1"/>
      <c r="Q311" s="474"/>
      <c r="S311" s="231"/>
      <c r="AA311" s="1"/>
      <c r="AB311" s="392"/>
    </row>
    <row r="312" spans="8:28" x14ac:dyDescent="0.25">
      <c r="H312" s="473"/>
      <c r="I312" s="1"/>
      <c r="J312" s="1"/>
      <c r="K312" s="1"/>
      <c r="L312" s="1"/>
      <c r="M312" s="1"/>
      <c r="N312" s="1"/>
      <c r="O312" s="1"/>
      <c r="P312" s="1"/>
      <c r="Q312" s="474"/>
      <c r="S312" s="231"/>
      <c r="AA312" s="1"/>
      <c r="AB312" s="392"/>
    </row>
    <row r="313" spans="8:28" x14ac:dyDescent="0.25">
      <c r="H313" s="473"/>
      <c r="I313" s="1"/>
      <c r="J313" s="1"/>
      <c r="K313" s="1"/>
      <c r="L313" s="1"/>
      <c r="M313" s="1"/>
      <c r="N313" s="1"/>
      <c r="O313" s="1"/>
      <c r="P313" s="1"/>
      <c r="Q313" s="474"/>
      <c r="S313" s="231"/>
      <c r="AA313" s="1"/>
      <c r="AB313" s="392"/>
    </row>
    <row r="314" spans="8:28" x14ac:dyDescent="0.25">
      <c r="H314" s="473"/>
      <c r="I314" s="1"/>
      <c r="J314" s="1"/>
      <c r="K314" s="1"/>
      <c r="L314" s="1"/>
      <c r="M314" s="1"/>
      <c r="N314" s="1"/>
      <c r="O314" s="1"/>
      <c r="P314" s="1"/>
      <c r="Q314" s="474"/>
      <c r="S314" s="231"/>
      <c r="AA314" s="1"/>
      <c r="AB314" s="392"/>
    </row>
    <row r="315" spans="8:28" x14ac:dyDescent="0.25">
      <c r="H315" s="473"/>
      <c r="I315" s="1"/>
      <c r="J315" s="1"/>
      <c r="K315" s="1"/>
      <c r="L315" s="1"/>
      <c r="M315" s="1"/>
      <c r="N315" s="1"/>
      <c r="O315" s="1"/>
      <c r="P315" s="1"/>
      <c r="Q315" s="474"/>
      <c r="S315" s="231"/>
      <c r="AA315" s="1"/>
      <c r="AB315" s="392"/>
    </row>
    <row r="316" spans="8:28" x14ac:dyDescent="0.25">
      <c r="H316" s="473"/>
      <c r="I316" s="1"/>
      <c r="J316" s="1"/>
      <c r="K316" s="1"/>
      <c r="L316" s="1"/>
      <c r="M316" s="1"/>
      <c r="N316" s="1"/>
      <c r="O316" s="1"/>
      <c r="P316" s="1"/>
      <c r="Q316" s="474"/>
      <c r="S316" s="231"/>
      <c r="AA316" s="1"/>
      <c r="AB316" s="392"/>
    </row>
    <row r="317" spans="8:28" x14ac:dyDescent="0.25">
      <c r="H317" s="473"/>
      <c r="I317" s="1"/>
      <c r="J317" s="1"/>
      <c r="K317" s="1"/>
      <c r="L317" s="1"/>
      <c r="M317" s="1"/>
      <c r="N317" s="1"/>
      <c r="O317" s="1"/>
      <c r="P317" s="1"/>
      <c r="Q317" s="474"/>
      <c r="S317" s="231"/>
      <c r="AA317" s="1"/>
      <c r="AB317" s="392"/>
    </row>
    <row r="318" spans="8:28" x14ac:dyDescent="0.25">
      <c r="H318" s="473"/>
      <c r="I318" s="1"/>
      <c r="J318" s="1"/>
      <c r="K318" s="1"/>
      <c r="L318" s="1"/>
      <c r="M318" s="1"/>
      <c r="N318" s="1"/>
      <c r="O318" s="1"/>
      <c r="P318" s="1"/>
      <c r="Q318" s="474"/>
      <c r="S318" s="231"/>
      <c r="AA318" s="1"/>
      <c r="AB318" s="392"/>
    </row>
    <row r="319" spans="8:28" x14ac:dyDescent="0.25">
      <c r="H319" s="473"/>
      <c r="I319" s="1"/>
      <c r="J319" s="1"/>
      <c r="K319" s="1"/>
      <c r="L319" s="1"/>
      <c r="M319" s="1"/>
      <c r="N319" s="1"/>
      <c r="O319" s="1"/>
      <c r="P319" s="1"/>
      <c r="Q319" s="474"/>
      <c r="S319" s="231"/>
      <c r="AA319" s="1"/>
      <c r="AB319" s="392"/>
    </row>
    <row r="320" spans="8:28" x14ac:dyDescent="0.25">
      <c r="H320" s="473"/>
      <c r="I320" s="1"/>
      <c r="J320" s="1"/>
      <c r="K320" s="1"/>
      <c r="L320" s="1"/>
      <c r="M320" s="1"/>
      <c r="N320" s="1"/>
      <c r="O320" s="1"/>
      <c r="P320" s="1"/>
      <c r="Q320" s="474"/>
      <c r="S320" s="231"/>
      <c r="AA320" s="1"/>
      <c r="AB320" s="392"/>
    </row>
    <row r="321" spans="8:28" x14ac:dyDescent="0.25">
      <c r="H321" s="473"/>
      <c r="I321" s="1"/>
      <c r="J321" s="1"/>
      <c r="K321" s="1"/>
      <c r="L321" s="1"/>
      <c r="M321" s="1"/>
      <c r="N321" s="1"/>
      <c r="O321" s="1"/>
      <c r="P321" s="1"/>
      <c r="Q321" s="474"/>
      <c r="S321" s="231"/>
      <c r="AA321" s="1"/>
      <c r="AB321" s="392"/>
    </row>
    <row r="322" spans="8:28" x14ac:dyDescent="0.25">
      <c r="H322" s="473"/>
      <c r="I322" s="1"/>
      <c r="J322" s="1"/>
      <c r="K322" s="1"/>
      <c r="L322" s="1"/>
      <c r="M322" s="1"/>
      <c r="N322" s="1"/>
      <c r="O322" s="1"/>
      <c r="P322" s="1"/>
      <c r="Q322" s="474"/>
      <c r="S322" s="231"/>
      <c r="AA322" s="1"/>
      <c r="AB322" s="392"/>
    </row>
    <row r="323" spans="8:28" x14ac:dyDescent="0.25">
      <c r="H323" s="473"/>
      <c r="I323" s="1"/>
      <c r="J323" s="1"/>
      <c r="K323" s="1"/>
      <c r="L323" s="1"/>
      <c r="M323" s="1"/>
      <c r="N323" s="1"/>
      <c r="O323" s="1"/>
      <c r="P323" s="1"/>
      <c r="Q323" s="474"/>
      <c r="S323" s="231"/>
      <c r="AA323" s="1"/>
      <c r="AB323" s="392"/>
    </row>
    <row r="324" spans="8:28" x14ac:dyDescent="0.25">
      <c r="H324" s="473"/>
      <c r="I324" s="1"/>
      <c r="J324" s="1"/>
      <c r="K324" s="1"/>
      <c r="L324" s="1"/>
      <c r="M324" s="1"/>
      <c r="N324" s="1"/>
      <c r="O324" s="1"/>
      <c r="P324" s="1"/>
      <c r="Q324" s="474"/>
      <c r="S324" s="231"/>
      <c r="AA324" s="1"/>
      <c r="AB324" s="392"/>
    </row>
    <row r="325" spans="8:28" x14ac:dyDescent="0.25">
      <c r="H325" s="473"/>
      <c r="I325" s="1"/>
      <c r="J325" s="1"/>
      <c r="K325" s="1"/>
      <c r="L325" s="1"/>
      <c r="M325" s="1"/>
      <c r="N325" s="1"/>
      <c r="O325" s="1"/>
      <c r="P325" s="1"/>
      <c r="Q325" s="474"/>
      <c r="S325" s="231"/>
      <c r="AA325" s="1"/>
      <c r="AB325" s="392"/>
    </row>
    <row r="326" spans="8:28" x14ac:dyDescent="0.25">
      <c r="H326" s="473"/>
      <c r="I326" s="1"/>
      <c r="J326" s="1"/>
      <c r="K326" s="1"/>
      <c r="L326" s="1"/>
      <c r="M326" s="1"/>
      <c r="N326" s="1"/>
      <c r="O326" s="1"/>
      <c r="P326" s="1"/>
      <c r="Q326" s="474"/>
      <c r="S326" s="231"/>
      <c r="AA326" s="1"/>
      <c r="AB326" s="392"/>
    </row>
    <row r="327" spans="8:28" x14ac:dyDescent="0.25">
      <c r="H327" s="473"/>
      <c r="I327" s="1"/>
      <c r="J327" s="1"/>
      <c r="K327" s="1"/>
      <c r="L327" s="1"/>
      <c r="M327" s="1"/>
      <c r="N327" s="1"/>
      <c r="O327" s="1"/>
      <c r="P327" s="1"/>
      <c r="Q327" s="474"/>
      <c r="S327" s="231"/>
      <c r="AA327" s="1"/>
      <c r="AB327" s="392"/>
    </row>
    <row r="328" spans="8:28" x14ac:dyDescent="0.25">
      <c r="H328" s="473"/>
      <c r="I328" s="1"/>
      <c r="J328" s="1"/>
      <c r="K328" s="1"/>
      <c r="L328" s="1"/>
      <c r="M328" s="1"/>
      <c r="N328" s="1"/>
      <c r="O328" s="1"/>
      <c r="P328" s="1"/>
      <c r="Q328" s="474"/>
      <c r="S328" s="231"/>
      <c r="AA328" s="1"/>
      <c r="AB328" s="392"/>
    </row>
    <row r="329" spans="8:28" x14ac:dyDescent="0.25">
      <c r="H329" s="473"/>
      <c r="I329" s="1"/>
      <c r="J329" s="1"/>
      <c r="K329" s="1"/>
      <c r="L329" s="1"/>
      <c r="M329" s="1"/>
      <c r="N329" s="1"/>
      <c r="O329" s="1"/>
      <c r="P329" s="1"/>
      <c r="Q329" s="474"/>
      <c r="S329" s="231"/>
      <c r="AA329" s="1"/>
      <c r="AB329" s="392"/>
    </row>
    <row r="330" spans="8:28" x14ac:dyDescent="0.25">
      <c r="H330" s="473"/>
      <c r="I330" s="1"/>
      <c r="J330" s="1"/>
      <c r="K330" s="1"/>
      <c r="L330" s="1"/>
      <c r="M330" s="1"/>
      <c r="N330" s="1"/>
      <c r="O330" s="1"/>
      <c r="P330" s="1"/>
      <c r="Q330" s="474"/>
      <c r="S330" s="231"/>
      <c r="AA330" s="1"/>
      <c r="AB330" s="392"/>
    </row>
    <row r="331" spans="8:28" x14ac:dyDescent="0.25">
      <c r="H331" s="473"/>
      <c r="I331" s="1"/>
      <c r="J331" s="1"/>
      <c r="K331" s="1"/>
      <c r="L331" s="1"/>
      <c r="M331" s="1"/>
      <c r="N331" s="1"/>
      <c r="O331" s="1"/>
      <c r="P331" s="1"/>
      <c r="Q331" s="474"/>
      <c r="S331" s="231"/>
      <c r="AA331" s="1"/>
      <c r="AB331" s="392"/>
    </row>
    <row r="332" spans="8:28" x14ac:dyDescent="0.25">
      <c r="H332" s="473"/>
      <c r="I332" s="1"/>
      <c r="J332" s="1"/>
      <c r="K332" s="1"/>
      <c r="L332" s="1"/>
      <c r="M332" s="1"/>
      <c r="N332" s="1"/>
      <c r="O332" s="1"/>
      <c r="P332" s="1"/>
      <c r="Q332" s="474"/>
      <c r="S332" s="231"/>
      <c r="AA332" s="1"/>
      <c r="AB332" s="392"/>
    </row>
    <row r="333" spans="8:28" x14ac:dyDescent="0.25">
      <c r="H333" s="473"/>
      <c r="I333" s="1"/>
      <c r="J333" s="1"/>
      <c r="K333" s="1"/>
      <c r="L333" s="1"/>
      <c r="M333" s="1"/>
      <c r="N333" s="1"/>
      <c r="O333" s="1"/>
      <c r="P333" s="1"/>
      <c r="Q333" s="474"/>
      <c r="S333" s="231"/>
      <c r="AA333" s="1"/>
      <c r="AB333" s="392"/>
    </row>
    <row r="334" spans="8:28" x14ac:dyDescent="0.25">
      <c r="H334" s="473"/>
      <c r="I334" s="1"/>
      <c r="J334" s="1"/>
      <c r="K334" s="1"/>
      <c r="L334" s="1"/>
      <c r="M334" s="1"/>
      <c r="N334" s="1"/>
      <c r="O334" s="1"/>
      <c r="P334" s="1"/>
      <c r="Q334" s="474"/>
      <c r="S334" s="231"/>
      <c r="AA334" s="1"/>
      <c r="AB334" s="392"/>
    </row>
    <row r="335" spans="8:28" x14ac:dyDescent="0.25">
      <c r="H335" s="473"/>
      <c r="I335" s="1"/>
      <c r="J335" s="1"/>
      <c r="K335" s="1"/>
      <c r="L335" s="1"/>
      <c r="M335" s="1"/>
      <c r="N335" s="1"/>
      <c r="O335" s="1"/>
      <c r="P335" s="1"/>
      <c r="Q335" s="474"/>
      <c r="S335" s="231"/>
      <c r="AA335" s="1"/>
      <c r="AB335" s="392"/>
    </row>
    <row r="336" spans="8:28" x14ac:dyDescent="0.25">
      <c r="H336" s="473"/>
      <c r="I336" s="1"/>
      <c r="J336" s="1"/>
      <c r="K336" s="1"/>
      <c r="L336" s="1"/>
      <c r="M336" s="1"/>
      <c r="N336" s="1"/>
      <c r="O336" s="1"/>
      <c r="P336" s="1"/>
      <c r="Q336" s="474"/>
      <c r="S336" s="231"/>
      <c r="AA336" s="1"/>
      <c r="AB336" s="392"/>
    </row>
    <row r="337" spans="8:28" x14ac:dyDescent="0.25">
      <c r="H337" s="473"/>
      <c r="I337" s="1"/>
      <c r="J337" s="1"/>
      <c r="K337" s="1"/>
      <c r="L337" s="1"/>
      <c r="M337" s="1"/>
      <c r="N337" s="1"/>
      <c r="O337" s="1"/>
      <c r="P337" s="1"/>
      <c r="Q337" s="474"/>
      <c r="S337" s="231"/>
      <c r="AA337" s="1"/>
      <c r="AB337" s="392"/>
    </row>
    <row r="338" spans="8:28" x14ac:dyDescent="0.25">
      <c r="H338" s="473"/>
      <c r="I338" s="1"/>
      <c r="J338" s="1"/>
      <c r="K338" s="1"/>
      <c r="L338" s="1"/>
      <c r="M338" s="1"/>
      <c r="N338" s="1"/>
      <c r="O338" s="1"/>
      <c r="P338" s="1"/>
      <c r="Q338" s="474"/>
      <c r="S338" s="231"/>
      <c r="AA338" s="1"/>
      <c r="AB338" s="392"/>
    </row>
    <row r="339" spans="8:28" x14ac:dyDescent="0.25">
      <c r="H339" s="473"/>
      <c r="I339" s="1"/>
      <c r="J339" s="1"/>
      <c r="K339" s="1"/>
      <c r="L339" s="1"/>
      <c r="M339" s="1"/>
      <c r="N339" s="1"/>
      <c r="O339" s="1"/>
      <c r="P339" s="1"/>
      <c r="Q339" s="474"/>
      <c r="S339" s="231"/>
      <c r="AA339" s="1"/>
      <c r="AB339" s="392"/>
    </row>
    <row r="340" spans="8:28" x14ac:dyDescent="0.25">
      <c r="H340" s="473"/>
      <c r="I340" s="1"/>
      <c r="J340" s="1"/>
      <c r="K340" s="1"/>
      <c r="L340" s="1"/>
      <c r="M340" s="1"/>
      <c r="N340" s="1"/>
      <c r="O340" s="1"/>
      <c r="P340" s="1"/>
      <c r="Q340" s="474"/>
      <c r="S340" s="231"/>
      <c r="AA340" s="1"/>
      <c r="AB340" s="392"/>
    </row>
    <row r="341" spans="8:28" x14ac:dyDescent="0.25">
      <c r="H341" s="473"/>
      <c r="I341" s="1"/>
      <c r="J341" s="1"/>
      <c r="K341" s="1"/>
      <c r="L341" s="1"/>
      <c r="M341" s="1"/>
      <c r="N341" s="1"/>
      <c r="O341" s="1"/>
      <c r="P341" s="1"/>
      <c r="Q341" s="474"/>
      <c r="S341" s="231"/>
      <c r="AA341" s="1"/>
      <c r="AB341" s="392"/>
    </row>
    <row r="342" spans="8:28" x14ac:dyDescent="0.25">
      <c r="H342" s="473"/>
      <c r="I342" s="1"/>
      <c r="J342" s="1"/>
      <c r="K342" s="1"/>
      <c r="L342" s="1"/>
      <c r="M342" s="1"/>
      <c r="N342" s="1"/>
      <c r="O342" s="1"/>
      <c r="P342" s="1"/>
      <c r="Q342" s="474"/>
      <c r="S342" s="231"/>
      <c r="AA342" s="1"/>
      <c r="AB342" s="392"/>
    </row>
    <row r="343" spans="8:28" x14ac:dyDescent="0.25">
      <c r="H343" s="473"/>
      <c r="I343" s="1"/>
      <c r="J343" s="1"/>
      <c r="K343" s="1"/>
      <c r="L343" s="1"/>
      <c r="M343" s="1"/>
      <c r="N343" s="1"/>
      <c r="O343" s="1"/>
      <c r="P343" s="1"/>
      <c r="Q343" s="474"/>
      <c r="S343" s="231"/>
      <c r="AA343" s="1"/>
      <c r="AB343" s="392"/>
    </row>
    <row r="344" spans="8:28" x14ac:dyDescent="0.25">
      <c r="H344" s="473"/>
      <c r="I344" s="1"/>
      <c r="J344" s="1"/>
      <c r="K344" s="1"/>
      <c r="L344" s="1"/>
      <c r="M344" s="1"/>
      <c r="N344" s="1"/>
      <c r="O344" s="1"/>
      <c r="P344" s="1"/>
      <c r="Q344" s="474"/>
      <c r="S344" s="231"/>
      <c r="AA344" s="1"/>
      <c r="AB344" s="392"/>
    </row>
    <row r="345" spans="8:28" x14ac:dyDescent="0.25">
      <c r="H345" s="473"/>
      <c r="I345" s="1"/>
      <c r="J345" s="1"/>
      <c r="K345" s="1"/>
      <c r="L345" s="1"/>
      <c r="M345" s="1"/>
      <c r="N345" s="1"/>
      <c r="O345" s="1"/>
      <c r="P345" s="1"/>
      <c r="Q345" s="474"/>
      <c r="S345" s="231"/>
      <c r="AA345" s="1"/>
      <c r="AB345" s="392"/>
    </row>
    <row r="346" spans="8:28" x14ac:dyDescent="0.25">
      <c r="H346" s="473"/>
      <c r="I346" s="1"/>
      <c r="J346" s="1"/>
      <c r="K346" s="1"/>
      <c r="L346" s="1"/>
      <c r="M346" s="1"/>
      <c r="N346" s="1"/>
      <c r="O346" s="1"/>
      <c r="P346" s="1"/>
      <c r="Q346" s="474"/>
      <c r="S346" s="231"/>
      <c r="AA346" s="1"/>
      <c r="AB346" s="392"/>
    </row>
    <row r="347" spans="8:28" x14ac:dyDescent="0.25">
      <c r="H347" s="473"/>
      <c r="I347" s="1"/>
      <c r="J347" s="1"/>
      <c r="K347" s="1"/>
      <c r="L347" s="1"/>
      <c r="M347" s="1"/>
      <c r="N347" s="1"/>
      <c r="O347" s="1"/>
      <c r="P347" s="1"/>
      <c r="Q347" s="474"/>
      <c r="S347" s="231"/>
      <c r="AA347" s="1"/>
      <c r="AB347" s="392"/>
    </row>
    <row r="348" spans="8:28" x14ac:dyDescent="0.25">
      <c r="H348" s="473"/>
      <c r="I348" s="1"/>
      <c r="J348" s="1"/>
      <c r="K348" s="1"/>
      <c r="L348" s="1"/>
      <c r="M348" s="1"/>
      <c r="N348" s="1"/>
      <c r="O348" s="1"/>
      <c r="P348" s="1"/>
      <c r="Q348" s="474"/>
      <c r="S348" s="231"/>
      <c r="AA348" s="1"/>
      <c r="AB348" s="392"/>
    </row>
    <row r="349" spans="8:28" x14ac:dyDescent="0.25">
      <c r="H349" s="473"/>
      <c r="I349" s="1"/>
      <c r="J349" s="1"/>
      <c r="K349" s="1"/>
      <c r="L349" s="1"/>
      <c r="M349" s="1"/>
      <c r="N349" s="1"/>
      <c r="O349" s="1"/>
      <c r="P349" s="1"/>
      <c r="Q349" s="474"/>
      <c r="S349" s="231"/>
      <c r="AA349" s="1"/>
      <c r="AB349" s="392"/>
    </row>
    <row r="350" spans="8:28" x14ac:dyDescent="0.25">
      <c r="H350" s="473"/>
      <c r="I350" s="1"/>
      <c r="J350" s="1"/>
      <c r="K350" s="1"/>
      <c r="L350" s="1"/>
      <c r="M350" s="1"/>
      <c r="N350" s="1"/>
      <c r="O350" s="1"/>
      <c r="P350" s="1"/>
      <c r="Q350" s="474"/>
      <c r="S350" s="231"/>
      <c r="AA350" s="1"/>
      <c r="AB350" s="392"/>
    </row>
    <row r="351" spans="8:28" x14ac:dyDescent="0.25">
      <c r="H351" s="473"/>
      <c r="I351" s="1"/>
      <c r="J351" s="1"/>
      <c r="K351" s="1"/>
      <c r="L351" s="1"/>
      <c r="M351" s="1"/>
      <c r="N351" s="1"/>
      <c r="O351" s="1"/>
      <c r="P351" s="1"/>
      <c r="Q351" s="474"/>
      <c r="S351" s="231"/>
      <c r="AA351" s="1"/>
      <c r="AB351" s="392"/>
    </row>
    <row r="352" spans="8:28" x14ac:dyDescent="0.25">
      <c r="H352" s="473"/>
      <c r="I352" s="1"/>
      <c r="J352" s="1"/>
      <c r="K352" s="1"/>
      <c r="L352" s="1"/>
      <c r="M352" s="1"/>
      <c r="N352" s="1"/>
      <c r="O352" s="1"/>
      <c r="P352" s="1"/>
      <c r="Q352" s="474"/>
      <c r="S352" s="231"/>
      <c r="AA352" s="1"/>
      <c r="AB352" s="392"/>
    </row>
    <row r="353" spans="8:28" x14ac:dyDescent="0.25">
      <c r="H353" s="473"/>
      <c r="I353" s="1"/>
      <c r="J353" s="1"/>
      <c r="K353" s="1"/>
      <c r="L353" s="1"/>
      <c r="M353" s="1"/>
      <c r="N353" s="1"/>
      <c r="O353" s="1"/>
      <c r="P353" s="1"/>
      <c r="Q353" s="474"/>
      <c r="S353" s="231"/>
      <c r="AA353" s="1"/>
      <c r="AB353" s="392"/>
    </row>
    <row r="354" spans="8:28" x14ac:dyDescent="0.25">
      <c r="H354" s="473"/>
      <c r="I354" s="1"/>
      <c r="J354" s="1"/>
      <c r="K354" s="1"/>
      <c r="L354" s="1"/>
      <c r="M354" s="1"/>
      <c r="N354" s="1"/>
      <c r="O354" s="1"/>
      <c r="P354" s="1"/>
      <c r="Q354" s="474"/>
      <c r="S354" s="231"/>
      <c r="AA354" s="1"/>
      <c r="AB354" s="392"/>
    </row>
    <row r="355" spans="8:28" x14ac:dyDescent="0.25">
      <c r="H355" s="473"/>
      <c r="I355" s="1"/>
      <c r="J355" s="1"/>
      <c r="K355" s="1"/>
      <c r="L355" s="1"/>
      <c r="M355" s="1"/>
      <c r="N355" s="1"/>
      <c r="O355" s="1"/>
      <c r="P355" s="1"/>
      <c r="Q355" s="474"/>
      <c r="S355" s="231"/>
      <c r="AA355" s="1"/>
      <c r="AB355" s="392"/>
    </row>
    <row r="356" spans="8:28" x14ac:dyDescent="0.25">
      <c r="H356" s="473"/>
      <c r="I356" s="1"/>
      <c r="J356" s="1"/>
      <c r="K356" s="1"/>
      <c r="L356" s="1"/>
      <c r="M356" s="1"/>
      <c r="N356" s="1"/>
      <c r="O356" s="1"/>
      <c r="P356" s="1"/>
      <c r="Q356" s="474"/>
      <c r="S356" s="231"/>
      <c r="AA356" s="1"/>
      <c r="AB356" s="392"/>
    </row>
    <row r="357" spans="8:28" x14ac:dyDescent="0.25">
      <c r="H357" s="473"/>
      <c r="I357" s="1"/>
      <c r="J357" s="1"/>
      <c r="K357" s="1"/>
      <c r="L357" s="1"/>
      <c r="M357" s="1"/>
      <c r="N357" s="1"/>
      <c r="O357" s="1"/>
      <c r="P357" s="1"/>
      <c r="Q357" s="474"/>
      <c r="S357" s="231"/>
      <c r="AA357" s="1"/>
      <c r="AB357" s="392"/>
    </row>
    <row r="358" spans="8:28" x14ac:dyDescent="0.25">
      <c r="H358" s="473"/>
      <c r="I358" s="1"/>
      <c r="J358" s="1"/>
      <c r="K358" s="1"/>
      <c r="L358" s="1"/>
      <c r="M358" s="1"/>
      <c r="N358" s="1"/>
      <c r="O358" s="1"/>
      <c r="P358" s="1"/>
      <c r="Q358" s="474"/>
      <c r="S358" s="231"/>
      <c r="AA358" s="1"/>
      <c r="AB358" s="392"/>
    </row>
    <row r="359" spans="8:28" x14ac:dyDescent="0.25">
      <c r="H359" s="473"/>
      <c r="I359" s="1"/>
      <c r="J359" s="1"/>
      <c r="K359" s="1"/>
      <c r="L359" s="1"/>
      <c r="M359" s="1"/>
      <c r="N359" s="1"/>
      <c r="O359" s="1"/>
      <c r="P359" s="1"/>
      <c r="Q359" s="474"/>
      <c r="S359" s="231"/>
      <c r="AA359" s="1"/>
      <c r="AB359" s="392"/>
    </row>
    <row r="360" spans="8:28" x14ac:dyDescent="0.25">
      <c r="H360" s="473"/>
      <c r="I360" s="1"/>
      <c r="J360" s="1"/>
      <c r="K360" s="1"/>
      <c r="L360" s="1"/>
      <c r="M360" s="1"/>
      <c r="N360" s="1"/>
      <c r="O360" s="1"/>
      <c r="P360" s="1"/>
      <c r="Q360" s="474"/>
      <c r="S360" s="231"/>
      <c r="AA360" s="1"/>
      <c r="AB360" s="392"/>
    </row>
    <row r="361" spans="8:28" x14ac:dyDescent="0.25">
      <c r="H361" s="473"/>
      <c r="I361" s="1"/>
      <c r="J361" s="1"/>
      <c r="K361" s="1"/>
      <c r="L361" s="1"/>
      <c r="M361" s="1"/>
      <c r="N361" s="1"/>
      <c r="O361" s="1"/>
      <c r="P361" s="1"/>
      <c r="Q361" s="474"/>
      <c r="S361" s="231"/>
      <c r="AA361" s="1"/>
      <c r="AB361" s="392"/>
    </row>
    <row r="362" spans="8:28" x14ac:dyDescent="0.25">
      <c r="H362" s="473"/>
      <c r="I362" s="1"/>
      <c r="J362" s="1"/>
      <c r="K362" s="1"/>
      <c r="L362" s="1"/>
      <c r="M362" s="1"/>
      <c r="N362" s="1"/>
      <c r="O362" s="1"/>
      <c r="P362" s="1"/>
      <c r="Q362" s="474"/>
      <c r="S362" s="231"/>
      <c r="AA362" s="1"/>
      <c r="AB362" s="392"/>
    </row>
    <row r="363" spans="8:28" x14ac:dyDescent="0.25">
      <c r="H363" s="473"/>
      <c r="I363" s="1"/>
      <c r="J363" s="1"/>
      <c r="K363" s="1"/>
      <c r="L363" s="1"/>
      <c r="M363" s="1"/>
      <c r="N363" s="1"/>
      <c r="O363" s="1"/>
      <c r="P363" s="1"/>
      <c r="Q363" s="474"/>
      <c r="S363" s="231"/>
      <c r="AA363" s="1"/>
      <c r="AB363" s="392"/>
    </row>
    <row r="364" spans="8:28" x14ac:dyDescent="0.25">
      <c r="H364" s="473"/>
      <c r="I364" s="1"/>
      <c r="J364" s="1"/>
      <c r="K364" s="1"/>
      <c r="L364" s="1"/>
      <c r="M364" s="1"/>
      <c r="N364" s="1"/>
      <c r="O364" s="1"/>
      <c r="P364" s="1"/>
      <c r="Q364" s="474"/>
      <c r="S364" s="231"/>
      <c r="AA364" s="1"/>
      <c r="AB364" s="392"/>
    </row>
    <row r="365" spans="8:28" x14ac:dyDescent="0.25">
      <c r="H365" s="473"/>
      <c r="I365" s="1"/>
      <c r="J365" s="1"/>
      <c r="K365" s="1"/>
      <c r="L365" s="1"/>
      <c r="M365" s="1"/>
      <c r="N365" s="1"/>
      <c r="O365" s="1"/>
      <c r="P365" s="1"/>
      <c r="Q365" s="474"/>
      <c r="S365" s="231"/>
      <c r="AA365" s="1"/>
      <c r="AB365" s="392"/>
    </row>
    <row r="366" spans="8:28" x14ac:dyDescent="0.25">
      <c r="H366" s="473"/>
      <c r="I366" s="1"/>
      <c r="J366" s="1"/>
      <c r="K366" s="1"/>
      <c r="L366" s="1"/>
      <c r="M366" s="1"/>
      <c r="N366" s="1"/>
      <c r="O366" s="1"/>
      <c r="P366" s="1"/>
      <c r="Q366" s="474"/>
      <c r="S366" s="231"/>
      <c r="AA366" s="1"/>
      <c r="AB366" s="392"/>
    </row>
    <row r="367" spans="8:28" x14ac:dyDescent="0.25">
      <c r="H367" s="473"/>
      <c r="I367" s="1"/>
      <c r="J367" s="1"/>
      <c r="K367" s="1"/>
      <c r="L367" s="1"/>
      <c r="M367" s="1"/>
      <c r="N367" s="1"/>
      <c r="O367" s="1"/>
      <c r="P367" s="1"/>
      <c r="Q367" s="474"/>
      <c r="S367" s="231"/>
      <c r="AA367" s="1"/>
      <c r="AB367" s="392"/>
    </row>
    <row r="368" spans="8:28" x14ac:dyDescent="0.25">
      <c r="H368" s="473"/>
      <c r="I368" s="1"/>
      <c r="J368" s="1"/>
      <c r="K368" s="1"/>
      <c r="L368" s="1"/>
      <c r="M368" s="1"/>
      <c r="N368" s="1"/>
      <c r="O368" s="1"/>
      <c r="P368" s="1"/>
      <c r="Q368" s="474"/>
      <c r="S368" s="231"/>
      <c r="AA368" s="1"/>
      <c r="AB368" s="392"/>
    </row>
    <row r="369" spans="8:28" x14ac:dyDescent="0.25">
      <c r="H369" s="473"/>
      <c r="I369" s="1"/>
      <c r="J369" s="1"/>
      <c r="K369" s="1"/>
      <c r="L369" s="1"/>
      <c r="M369" s="1"/>
      <c r="N369" s="1"/>
      <c r="O369" s="1"/>
      <c r="P369" s="1"/>
      <c r="Q369" s="474"/>
      <c r="S369" s="231"/>
      <c r="AA369" s="1"/>
      <c r="AB369" s="392"/>
    </row>
    <row r="370" spans="8:28" x14ac:dyDescent="0.25">
      <c r="H370" s="473"/>
      <c r="I370" s="1"/>
      <c r="J370" s="1"/>
      <c r="K370" s="1"/>
      <c r="L370" s="1"/>
      <c r="M370" s="1"/>
      <c r="N370" s="1"/>
      <c r="O370" s="1"/>
      <c r="P370" s="1"/>
      <c r="Q370" s="474"/>
      <c r="S370" s="231"/>
      <c r="AA370" s="1"/>
      <c r="AB370" s="392"/>
    </row>
    <row r="371" spans="8:28" x14ac:dyDescent="0.25">
      <c r="H371" s="473"/>
      <c r="I371" s="1"/>
      <c r="J371" s="1"/>
      <c r="K371" s="1"/>
      <c r="L371" s="1"/>
      <c r="M371" s="1"/>
      <c r="N371" s="1"/>
      <c r="O371" s="1"/>
      <c r="P371" s="1"/>
      <c r="Q371" s="474"/>
      <c r="S371" s="231"/>
      <c r="AA371" s="1"/>
      <c r="AB371" s="392"/>
    </row>
    <row r="372" spans="8:28" x14ac:dyDescent="0.25">
      <c r="H372" s="473"/>
      <c r="I372" s="1"/>
      <c r="J372" s="1"/>
      <c r="K372" s="1"/>
      <c r="L372" s="1"/>
      <c r="M372" s="1"/>
      <c r="N372" s="1"/>
      <c r="O372" s="1"/>
      <c r="P372" s="1"/>
      <c r="Q372" s="474"/>
      <c r="S372" s="231"/>
      <c r="AA372" s="1"/>
      <c r="AB372" s="392"/>
    </row>
    <row r="373" spans="8:28" x14ac:dyDescent="0.25">
      <c r="H373" s="473"/>
      <c r="I373" s="1"/>
      <c r="J373" s="1"/>
      <c r="K373" s="1"/>
      <c r="L373" s="1"/>
      <c r="M373" s="1"/>
      <c r="N373" s="1"/>
      <c r="O373" s="1"/>
      <c r="P373" s="1"/>
      <c r="Q373" s="474"/>
      <c r="S373" s="231"/>
      <c r="AA373" s="1"/>
      <c r="AB373" s="392"/>
    </row>
    <row r="374" spans="8:28" x14ac:dyDescent="0.25">
      <c r="H374" s="473"/>
      <c r="I374" s="1"/>
      <c r="J374" s="1"/>
      <c r="K374" s="1"/>
      <c r="L374" s="1"/>
      <c r="M374" s="1"/>
      <c r="N374" s="1"/>
      <c r="O374" s="1"/>
      <c r="P374" s="1"/>
      <c r="Q374" s="474"/>
      <c r="S374" s="231"/>
      <c r="AA374" s="1"/>
      <c r="AB374" s="392"/>
    </row>
    <row r="375" spans="8:28" x14ac:dyDescent="0.25">
      <c r="H375" s="473"/>
      <c r="I375" s="1"/>
      <c r="J375" s="1"/>
      <c r="K375" s="1"/>
      <c r="L375" s="1"/>
      <c r="M375" s="1"/>
      <c r="N375" s="1"/>
      <c r="O375" s="1"/>
      <c r="P375" s="1"/>
      <c r="Q375" s="474"/>
      <c r="S375" s="231"/>
      <c r="AA375" s="1"/>
      <c r="AB375" s="392"/>
    </row>
    <row r="376" spans="8:28" x14ac:dyDescent="0.25">
      <c r="H376" s="473"/>
      <c r="I376" s="1"/>
      <c r="J376" s="1"/>
      <c r="K376" s="1"/>
      <c r="L376" s="1"/>
      <c r="M376" s="1"/>
      <c r="N376" s="1"/>
      <c r="O376" s="1"/>
      <c r="P376" s="1"/>
      <c r="Q376" s="474"/>
      <c r="S376" s="231"/>
      <c r="AA376" s="1"/>
      <c r="AB376" s="392"/>
    </row>
    <row r="377" spans="8:28" x14ac:dyDescent="0.25">
      <c r="H377" s="473"/>
      <c r="I377" s="1"/>
      <c r="J377" s="1"/>
      <c r="K377" s="1"/>
      <c r="L377" s="1"/>
      <c r="M377" s="1"/>
      <c r="N377" s="1"/>
      <c r="O377" s="1"/>
      <c r="P377" s="1"/>
      <c r="Q377" s="474"/>
      <c r="S377" s="231"/>
      <c r="AA377" s="1"/>
      <c r="AB377" s="392"/>
    </row>
    <row r="378" spans="8:28" x14ac:dyDescent="0.25">
      <c r="H378" s="473"/>
      <c r="I378" s="1"/>
      <c r="J378" s="1"/>
      <c r="K378" s="1"/>
      <c r="L378" s="1"/>
      <c r="M378" s="1"/>
      <c r="N378" s="1"/>
      <c r="O378" s="1"/>
      <c r="P378" s="1"/>
      <c r="Q378" s="474"/>
      <c r="S378" s="231"/>
      <c r="AA378" s="1"/>
      <c r="AB378" s="392"/>
    </row>
    <row r="379" spans="8:28" x14ac:dyDescent="0.25">
      <c r="H379" s="473"/>
      <c r="I379" s="1"/>
      <c r="J379" s="1"/>
      <c r="K379" s="1"/>
      <c r="L379" s="1"/>
      <c r="M379" s="1"/>
      <c r="N379" s="1"/>
      <c r="O379" s="1"/>
      <c r="P379" s="1"/>
      <c r="Q379" s="474"/>
      <c r="S379" s="231"/>
      <c r="AA379" s="1"/>
      <c r="AB379" s="392"/>
    </row>
    <row r="380" spans="8:28" x14ac:dyDescent="0.25">
      <c r="H380" s="473"/>
      <c r="I380" s="1"/>
      <c r="J380" s="1"/>
      <c r="K380" s="1"/>
      <c r="L380" s="1"/>
      <c r="M380" s="1"/>
      <c r="N380" s="1"/>
      <c r="O380" s="1"/>
      <c r="P380" s="1"/>
      <c r="Q380" s="474"/>
      <c r="S380" s="231"/>
      <c r="AA380" s="1"/>
      <c r="AB380" s="392"/>
    </row>
    <row r="381" spans="8:28" x14ac:dyDescent="0.25">
      <c r="H381" s="473"/>
      <c r="I381" s="1"/>
      <c r="J381" s="1"/>
      <c r="K381" s="1"/>
      <c r="L381" s="1"/>
      <c r="M381" s="1"/>
      <c r="N381" s="1"/>
      <c r="O381" s="1"/>
      <c r="P381" s="1"/>
      <c r="Q381" s="474"/>
      <c r="S381" s="231"/>
      <c r="AA381" s="1"/>
      <c r="AB381" s="392"/>
    </row>
    <row r="382" spans="8:28" x14ac:dyDescent="0.25">
      <c r="H382" s="473"/>
      <c r="I382" s="1"/>
      <c r="J382" s="1"/>
      <c r="K382" s="1"/>
      <c r="L382" s="1"/>
      <c r="M382" s="1"/>
      <c r="N382" s="1"/>
      <c r="O382" s="1"/>
      <c r="P382" s="1"/>
      <c r="Q382" s="474"/>
      <c r="S382" s="231"/>
      <c r="AA382" s="1"/>
      <c r="AB382" s="392"/>
    </row>
    <row r="383" spans="8:28" x14ac:dyDescent="0.25">
      <c r="H383" s="473"/>
      <c r="I383" s="1"/>
      <c r="J383" s="1"/>
      <c r="K383" s="1"/>
      <c r="L383" s="1"/>
      <c r="M383" s="1"/>
      <c r="N383" s="1"/>
      <c r="O383" s="1"/>
      <c r="P383" s="1"/>
      <c r="Q383" s="474"/>
      <c r="S383" s="231"/>
      <c r="AA383" s="1"/>
      <c r="AB383" s="392"/>
    </row>
    <row r="384" spans="8:28" x14ac:dyDescent="0.25">
      <c r="H384" s="473"/>
      <c r="I384" s="1"/>
      <c r="J384" s="1"/>
      <c r="K384" s="1"/>
      <c r="L384" s="1"/>
      <c r="M384" s="1"/>
      <c r="N384" s="1"/>
      <c r="O384" s="1"/>
      <c r="P384" s="1"/>
      <c r="Q384" s="474"/>
      <c r="S384" s="231"/>
      <c r="AA384" s="1"/>
      <c r="AB384" s="392"/>
    </row>
    <row r="385" spans="8:28" x14ac:dyDescent="0.25">
      <c r="H385" s="473"/>
      <c r="I385" s="1"/>
      <c r="J385" s="1"/>
      <c r="K385" s="1"/>
      <c r="L385" s="1"/>
      <c r="M385" s="1"/>
      <c r="N385" s="1"/>
      <c r="O385" s="1"/>
      <c r="P385" s="1"/>
      <c r="Q385" s="474"/>
      <c r="S385" s="231"/>
      <c r="AA385" s="1"/>
      <c r="AB385" s="392"/>
    </row>
    <row r="386" spans="8:28" x14ac:dyDescent="0.25">
      <c r="H386" s="473"/>
      <c r="I386" s="1"/>
      <c r="J386" s="1"/>
      <c r="K386" s="1"/>
      <c r="L386" s="1"/>
      <c r="M386" s="1"/>
      <c r="N386" s="1"/>
      <c r="O386" s="1"/>
      <c r="P386" s="1"/>
      <c r="Q386" s="474"/>
      <c r="S386" s="231"/>
      <c r="AA386" s="1"/>
      <c r="AB386" s="392"/>
    </row>
    <row r="387" spans="8:28" x14ac:dyDescent="0.25">
      <c r="H387" s="473"/>
      <c r="I387" s="1"/>
      <c r="J387" s="1"/>
      <c r="K387" s="1"/>
      <c r="L387" s="1"/>
      <c r="M387" s="1"/>
      <c r="N387" s="1"/>
      <c r="O387" s="1"/>
      <c r="P387" s="1"/>
      <c r="Q387" s="474"/>
      <c r="S387" s="231"/>
      <c r="AA387" s="1"/>
      <c r="AB387" s="392"/>
    </row>
    <row r="388" spans="8:28" x14ac:dyDescent="0.25">
      <c r="H388" s="473"/>
      <c r="I388" s="1"/>
      <c r="J388" s="1"/>
      <c r="K388" s="1"/>
      <c r="L388" s="1"/>
      <c r="M388" s="1"/>
      <c r="N388" s="1"/>
      <c r="O388" s="1"/>
      <c r="P388" s="1"/>
      <c r="Q388" s="474"/>
      <c r="S388" s="231"/>
      <c r="AA388" s="1"/>
      <c r="AB388" s="392"/>
    </row>
    <row r="389" spans="8:28" x14ac:dyDescent="0.25">
      <c r="H389" s="473"/>
      <c r="I389" s="1"/>
      <c r="J389" s="1"/>
      <c r="K389" s="1"/>
      <c r="L389" s="1"/>
      <c r="M389" s="1"/>
      <c r="N389" s="1"/>
      <c r="O389" s="1"/>
      <c r="P389" s="1"/>
      <c r="Q389" s="474"/>
      <c r="S389" s="231"/>
      <c r="AA389" s="1"/>
      <c r="AB389" s="392"/>
    </row>
    <row r="390" spans="8:28" x14ac:dyDescent="0.25">
      <c r="H390" s="473"/>
      <c r="I390" s="1"/>
      <c r="J390" s="1"/>
      <c r="K390" s="1"/>
      <c r="L390" s="1"/>
      <c r="M390" s="1"/>
      <c r="N390" s="1"/>
      <c r="O390" s="1"/>
      <c r="P390" s="1"/>
      <c r="Q390" s="474"/>
      <c r="S390" s="231"/>
      <c r="AA390" s="1"/>
      <c r="AB390" s="392"/>
    </row>
    <row r="391" spans="8:28" x14ac:dyDescent="0.25">
      <c r="H391" s="473"/>
      <c r="I391" s="1"/>
      <c r="J391" s="1"/>
      <c r="K391" s="1"/>
      <c r="L391" s="1"/>
      <c r="M391" s="1"/>
      <c r="N391" s="1"/>
      <c r="O391" s="1"/>
      <c r="P391" s="1"/>
      <c r="Q391" s="474"/>
      <c r="S391" s="231"/>
      <c r="AA391" s="1"/>
      <c r="AB391" s="392"/>
    </row>
    <row r="392" spans="8:28" x14ac:dyDescent="0.25">
      <c r="H392" s="473"/>
      <c r="I392" s="1"/>
      <c r="J392" s="1"/>
      <c r="K392" s="1"/>
      <c r="L392" s="1"/>
      <c r="M392" s="1"/>
      <c r="N392" s="1"/>
      <c r="O392" s="1"/>
      <c r="P392" s="1"/>
      <c r="Q392" s="474"/>
      <c r="S392" s="231"/>
      <c r="AA392" s="1"/>
      <c r="AB392" s="392"/>
    </row>
    <row r="393" spans="8:28" x14ac:dyDescent="0.25">
      <c r="H393" s="473"/>
      <c r="I393" s="1"/>
      <c r="J393" s="1"/>
      <c r="K393" s="1"/>
      <c r="L393" s="1"/>
      <c r="M393" s="1"/>
      <c r="N393" s="1"/>
      <c r="O393" s="1"/>
      <c r="P393" s="1"/>
      <c r="Q393" s="474"/>
      <c r="S393" s="231"/>
      <c r="AA393" s="1"/>
      <c r="AB393" s="392"/>
    </row>
    <row r="394" spans="8:28" x14ac:dyDescent="0.25">
      <c r="H394" s="473"/>
      <c r="I394" s="1"/>
      <c r="J394" s="1"/>
      <c r="K394" s="1"/>
      <c r="L394" s="1"/>
      <c r="M394" s="1"/>
      <c r="N394" s="1"/>
      <c r="O394" s="1"/>
      <c r="P394" s="1"/>
      <c r="Q394" s="474"/>
      <c r="S394" s="231"/>
      <c r="AA394" s="1"/>
      <c r="AB394" s="392"/>
    </row>
    <row r="395" spans="8:28" x14ac:dyDescent="0.25">
      <c r="H395" s="473"/>
      <c r="I395" s="1"/>
      <c r="J395" s="1"/>
      <c r="K395" s="1"/>
      <c r="L395" s="1"/>
      <c r="M395" s="1"/>
      <c r="N395" s="1"/>
      <c r="O395" s="1"/>
      <c r="P395" s="1"/>
      <c r="Q395" s="474"/>
      <c r="S395" s="231"/>
      <c r="AA395" s="1"/>
      <c r="AB395" s="392"/>
    </row>
    <row r="396" spans="8:28" x14ac:dyDescent="0.25">
      <c r="H396" s="473"/>
      <c r="I396" s="1"/>
      <c r="J396" s="1"/>
      <c r="K396" s="1"/>
      <c r="L396" s="1"/>
      <c r="M396" s="1"/>
      <c r="N396" s="1"/>
      <c r="O396" s="1"/>
      <c r="P396" s="1"/>
      <c r="Q396" s="474"/>
      <c r="S396" s="231"/>
      <c r="AA396" s="1"/>
      <c r="AB396" s="392"/>
    </row>
    <row r="397" spans="8:28" x14ac:dyDescent="0.25">
      <c r="H397" s="473"/>
      <c r="I397" s="1"/>
      <c r="J397" s="1"/>
      <c r="K397" s="1"/>
      <c r="L397" s="1"/>
      <c r="M397" s="1"/>
      <c r="N397" s="1"/>
      <c r="O397" s="1"/>
      <c r="P397" s="1"/>
      <c r="Q397" s="474"/>
      <c r="S397" s="231"/>
      <c r="AA397" s="1"/>
      <c r="AB397" s="392"/>
    </row>
    <row r="398" spans="8:28" x14ac:dyDescent="0.25">
      <c r="H398" s="473"/>
      <c r="I398" s="1"/>
      <c r="J398" s="1"/>
      <c r="K398" s="1"/>
      <c r="L398" s="1"/>
      <c r="M398" s="1"/>
      <c r="N398" s="1"/>
      <c r="O398" s="1"/>
      <c r="P398" s="1"/>
      <c r="Q398" s="474"/>
      <c r="S398" s="231"/>
      <c r="AA398" s="1"/>
      <c r="AB398" s="392"/>
    </row>
    <row r="399" spans="8:28" x14ac:dyDescent="0.25">
      <c r="H399" s="473"/>
      <c r="I399" s="1"/>
      <c r="J399" s="1"/>
      <c r="K399" s="1"/>
      <c r="L399" s="1"/>
      <c r="M399" s="1"/>
      <c r="N399" s="1"/>
      <c r="O399" s="1"/>
      <c r="P399" s="1"/>
      <c r="Q399" s="474"/>
      <c r="S399" s="231"/>
      <c r="AA399" s="1"/>
      <c r="AB399" s="392"/>
    </row>
    <row r="400" spans="8:28" x14ac:dyDescent="0.25">
      <c r="H400" s="473"/>
      <c r="I400" s="1"/>
      <c r="J400" s="1"/>
      <c r="K400" s="1"/>
      <c r="L400" s="1"/>
      <c r="M400" s="1"/>
      <c r="N400" s="1"/>
      <c r="O400" s="1"/>
      <c r="P400" s="1"/>
      <c r="Q400" s="474"/>
      <c r="S400" s="231"/>
      <c r="AA400" s="1"/>
      <c r="AB400" s="392"/>
    </row>
    <row r="401" spans="8:28" x14ac:dyDescent="0.25">
      <c r="H401" s="473"/>
      <c r="I401" s="1"/>
      <c r="J401" s="1"/>
      <c r="K401" s="1"/>
      <c r="L401" s="1"/>
      <c r="M401" s="1"/>
      <c r="N401" s="1"/>
      <c r="O401" s="1"/>
      <c r="P401" s="1"/>
      <c r="Q401" s="474"/>
      <c r="S401" s="231"/>
      <c r="AA401" s="1"/>
      <c r="AB401" s="392"/>
    </row>
    <row r="402" spans="8:28" x14ac:dyDescent="0.25">
      <c r="H402" s="473"/>
      <c r="I402" s="1"/>
      <c r="J402" s="1"/>
      <c r="K402" s="1"/>
      <c r="L402" s="1"/>
      <c r="M402" s="1"/>
      <c r="N402" s="1"/>
      <c r="O402" s="1"/>
      <c r="P402" s="1"/>
      <c r="Q402" s="474"/>
      <c r="S402" s="231"/>
      <c r="AA402" s="1"/>
      <c r="AB402" s="392"/>
    </row>
    <row r="403" spans="8:28" x14ac:dyDescent="0.25">
      <c r="H403" s="473"/>
      <c r="I403" s="1"/>
      <c r="J403" s="1"/>
      <c r="K403" s="1"/>
      <c r="L403" s="1"/>
      <c r="M403" s="1"/>
      <c r="N403" s="1"/>
      <c r="O403" s="1"/>
      <c r="P403" s="1"/>
      <c r="Q403" s="474"/>
      <c r="S403" s="231"/>
      <c r="AA403" s="1"/>
      <c r="AB403" s="392"/>
    </row>
    <row r="404" spans="8:28" x14ac:dyDescent="0.25">
      <c r="H404" s="473"/>
      <c r="I404" s="1"/>
      <c r="J404" s="1"/>
      <c r="K404" s="1"/>
      <c r="L404" s="1"/>
      <c r="M404" s="1"/>
      <c r="N404" s="1"/>
      <c r="O404" s="1"/>
      <c r="P404" s="1"/>
      <c r="Q404" s="474"/>
      <c r="S404" s="231"/>
      <c r="AA404" s="1"/>
      <c r="AB404" s="392"/>
    </row>
    <row r="405" spans="8:28" x14ac:dyDescent="0.25">
      <c r="H405" s="473"/>
      <c r="I405" s="1"/>
      <c r="J405" s="1"/>
      <c r="K405" s="1"/>
      <c r="L405" s="1"/>
      <c r="M405" s="1"/>
      <c r="N405" s="1"/>
      <c r="O405" s="1"/>
      <c r="P405" s="1"/>
      <c r="Q405" s="474"/>
      <c r="S405" s="231"/>
      <c r="AA405" s="1"/>
      <c r="AB405" s="392"/>
    </row>
    <row r="406" spans="8:28" x14ac:dyDescent="0.25">
      <c r="H406" s="473"/>
      <c r="I406" s="1"/>
      <c r="J406" s="1"/>
      <c r="K406" s="1"/>
      <c r="L406" s="1"/>
      <c r="M406" s="1"/>
      <c r="N406" s="1"/>
      <c r="O406" s="1"/>
      <c r="P406" s="1"/>
      <c r="Q406" s="474"/>
      <c r="S406" s="231"/>
      <c r="AA406" s="1"/>
      <c r="AB406" s="392"/>
    </row>
    <row r="407" spans="8:28" x14ac:dyDescent="0.25">
      <c r="H407" s="473"/>
      <c r="I407" s="1"/>
      <c r="J407" s="1"/>
      <c r="K407" s="1"/>
      <c r="L407" s="1"/>
      <c r="M407" s="1"/>
      <c r="N407" s="1"/>
      <c r="O407" s="1"/>
      <c r="P407" s="1"/>
      <c r="Q407" s="474"/>
      <c r="S407" s="231"/>
      <c r="AA407" s="1"/>
      <c r="AB407" s="392"/>
    </row>
    <row r="408" spans="8:28" x14ac:dyDescent="0.25">
      <c r="H408" s="473"/>
      <c r="I408" s="1"/>
      <c r="J408" s="1"/>
      <c r="K408" s="1"/>
      <c r="L408" s="1"/>
      <c r="M408" s="1"/>
      <c r="N408" s="1"/>
      <c r="O408" s="1"/>
      <c r="P408" s="1"/>
      <c r="Q408" s="474"/>
      <c r="S408" s="231"/>
      <c r="AA408" s="1"/>
      <c r="AB408" s="392"/>
    </row>
    <row r="409" spans="8:28" x14ac:dyDescent="0.25">
      <c r="H409" s="473"/>
      <c r="I409" s="1"/>
      <c r="J409" s="1"/>
      <c r="K409" s="1"/>
      <c r="L409" s="1"/>
      <c r="M409" s="1"/>
      <c r="N409" s="1"/>
      <c r="O409" s="1"/>
      <c r="P409" s="1"/>
      <c r="Q409" s="474"/>
      <c r="S409" s="231"/>
      <c r="AA409" s="1"/>
      <c r="AB409" s="392"/>
    </row>
    <row r="410" spans="8:28" x14ac:dyDescent="0.25">
      <c r="H410" s="473"/>
      <c r="I410" s="1"/>
      <c r="J410" s="1"/>
      <c r="K410" s="1"/>
      <c r="L410" s="1"/>
      <c r="M410" s="1"/>
      <c r="N410" s="1"/>
      <c r="O410" s="1"/>
      <c r="P410" s="1"/>
      <c r="Q410" s="474"/>
      <c r="S410" s="231"/>
      <c r="AA410" s="1"/>
      <c r="AB410" s="392"/>
    </row>
    <row r="411" spans="8:28" x14ac:dyDescent="0.25">
      <c r="H411" s="473"/>
      <c r="I411" s="1"/>
      <c r="J411" s="1"/>
      <c r="K411" s="1"/>
      <c r="L411" s="1"/>
      <c r="M411" s="1"/>
      <c r="N411" s="1"/>
      <c r="O411" s="1"/>
      <c r="P411" s="1"/>
      <c r="Q411" s="474"/>
      <c r="S411" s="231"/>
      <c r="AA411" s="1"/>
      <c r="AB411" s="392"/>
    </row>
    <row r="412" spans="8:28" x14ac:dyDescent="0.25">
      <c r="H412" s="473"/>
      <c r="I412" s="1"/>
      <c r="J412" s="1"/>
      <c r="K412" s="1"/>
      <c r="L412" s="1"/>
      <c r="M412" s="1"/>
      <c r="N412" s="1"/>
      <c r="O412" s="1"/>
      <c r="P412" s="1"/>
      <c r="Q412" s="474"/>
      <c r="S412" s="231"/>
      <c r="AA412" s="1"/>
      <c r="AB412" s="392"/>
    </row>
    <row r="413" spans="8:28" x14ac:dyDescent="0.25">
      <c r="H413" s="473"/>
      <c r="I413" s="1"/>
      <c r="J413" s="1"/>
      <c r="K413" s="1"/>
      <c r="L413" s="1"/>
      <c r="M413" s="1"/>
      <c r="N413" s="1"/>
      <c r="O413" s="1"/>
      <c r="P413" s="1"/>
      <c r="Q413" s="474"/>
      <c r="S413" s="231"/>
      <c r="AA413" s="1"/>
      <c r="AB413" s="392"/>
    </row>
    <row r="414" spans="8:28" x14ac:dyDescent="0.25">
      <c r="H414" s="473"/>
      <c r="I414" s="1"/>
      <c r="J414" s="1"/>
      <c r="K414" s="1"/>
      <c r="L414" s="1"/>
      <c r="M414" s="1"/>
      <c r="N414" s="1"/>
      <c r="O414" s="1"/>
      <c r="P414" s="1"/>
      <c r="Q414" s="474"/>
      <c r="S414" s="231"/>
      <c r="AA414" s="1"/>
      <c r="AB414" s="392"/>
    </row>
    <row r="415" spans="8:28" x14ac:dyDescent="0.25">
      <c r="H415" s="473"/>
      <c r="I415" s="1"/>
      <c r="J415" s="1"/>
      <c r="K415" s="1"/>
      <c r="L415" s="1"/>
      <c r="M415" s="1"/>
      <c r="N415" s="1"/>
      <c r="O415" s="1"/>
      <c r="P415" s="1"/>
      <c r="Q415" s="474"/>
      <c r="S415" s="231"/>
      <c r="AA415" s="1"/>
      <c r="AB415" s="392"/>
    </row>
    <row r="416" spans="8:28" x14ac:dyDescent="0.25">
      <c r="H416" s="473"/>
      <c r="I416" s="1"/>
      <c r="J416" s="1"/>
      <c r="K416" s="1"/>
      <c r="L416" s="1"/>
      <c r="M416" s="1"/>
      <c r="N416" s="1"/>
      <c r="O416" s="1"/>
      <c r="P416" s="1"/>
      <c r="Q416" s="474"/>
      <c r="S416" s="231"/>
      <c r="AA416" s="1"/>
      <c r="AB416" s="392"/>
    </row>
    <row r="417" spans="8:28" x14ac:dyDescent="0.25">
      <c r="H417" s="473"/>
      <c r="I417" s="1"/>
      <c r="J417" s="1"/>
      <c r="K417" s="1"/>
      <c r="L417" s="1"/>
      <c r="M417" s="1"/>
      <c r="N417" s="1"/>
      <c r="O417" s="1"/>
      <c r="P417" s="1"/>
      <c r="Q417" s="474"/>
      <c r="S417" s="231"/>
      <c r="AA417" s="1"/>
      <c r="AB417" s="392"/>
    </row>
    <row r="418" spans="8:28" x14ac:dyDescent="0.25">
      <c r="H418" s="473"/>
      <c r="I418" s="1"/>
      <c r="J418" s="1"/>
      <c r="K418" s="1"/>
      <c r="L418" s="1"/>
      <c r="M418" s="1"/>
      <c r="N418" s="1"/>
      <c r="O418" s="1"/>
      <c r="P418" s="1"/>
      <c r="Q418" s="474"/>
      <c r="S418" s="231"/>
      <c r="AA418" s="1"/>
      <c r="AB418" s="392"/>
    </row>
    <row r="419" spans="8:28" x14ac:dyDescent="0.25">
      <c r="H419" s="473"/>
      <c r="I419" s="1"/>
      <c r="J419" s="1"/>
      <c r="K419" s="1"/>
      <c r="L419" s="1"/>
      <c r="M419" s="1"/>
      <c r="N419" s="1"/>
      <c r="O419" s="1"/>
      <c r="P419" s="1"/>
      <c r="Q419" s="474"/>
      <c r="S419" s="231"/>
      <c r="AA419" s="1"/>
      <c r="AB419" s="392"/>
    </row>
    <row r="420" spans="8:28" x14ac:dyDescent="0.25">
      <c r="H420" s="473"/>
      <c r="I420" s="1"/>
      <c r="J420" s="1"/>
      <c r="K420" s="1"/>
      <c r="L420" s="1"/>
      <c r="M420" s="1"/>
      <c r="N420" s="1"/>
      <c r="O420" s="1"/>
      <c r="P420" s="1"/>
      <c r="Q420" s="474"/>
      <c r="S420" s="231"/>
      <c r="AA420" s="1"/>
      <c r="AB420" s="392"/>
    </row>
    <row r="421" spans="8:28" x14ac:dyDescent="0.25">
      <c r="H421" s="473"/>
      <c r="I421" s="1"/>
      <c r="J421" s="1"/>
      <c r="K421" s="1"/>
      <c r="L421" s="1"/>
      <c r="M421" s="1"/>
      <c r="N421" s="1"/>
      <c r="O421" s="1"/>
      <c r="P421" s="1"/>
      <c r="Q421" s="474"/>
      <c r="S421" s="231"/>
      <c r="AA421" s="1"/>
      <c r="AB421" s="392"/>
    </row>
    <row r="422" spans="8:28" x14ac:dyDescent="0.25">
      <c r="H422" s="473"/>
      <c r="I422" s="1"/>
      <c r="J422" s="1"/>
      <c r="K422" s="1"/>
      <c r="L422" s="1"/>
      <c r="M422" s="1"/>
      <c r="N422" s="1"/>
      <c r="O422" s="1"/>
      <c r="P422" s="1"/>
      <c r="Q422" s="474"/>
      <c r="S422" s="231"/>
      <c r="AA422" s="1"/>
      <c r="AB422" s="392"/>
    </row>
    <row r="423" spans="8:28" x14ac:dyDescent="0.25">
      <c r="H423" s="473"/>
      <c r="I423" s="1"/>
      <c r="J423" s="1"/>
      <c r="K423" s="1"/>
      <c r="L423" s="1"/>
      <c r="M423" s="1"/>
      <c r="N423" s="1"/>
      <c r="O423" s="1"/>
      <c r="P423" s="1"/>
      <c r="Q423" s="474"/>
      <c r="S423" s="231"/>
      <c r="AA423" s="1"/>
      <c r="AB423" s="392"/>
    </row>
    <row r="424" spans="8:28" x14ac:dyDescent="0.25">
      <c r="H424" s="473"/>
      <c r="I424" s="1"/>
      <c r="J424" s="1"/>
      <c r="K424" s="1"/>
      <c r="L424" s="1"/>
      <c r="M424" s="1"/>
      <c r="N424" s="1"/>
      <c r="O424" s="1"/>
      <c r="P424" s="1"/>
      <c r="Q424" s="474"/>
      <c r="S424" s="231"/>
      <c r="AA424" s="1"/>
      <c r="AB424" s="392"/>
    </row>
    <row r="425" spans="8:28" x14ac:dyDescent="0.25">
      <c r="H425" s="473"/>
      <c r="I425" s="1"/>
      <c r="J425" s="1"/>
      <c r="K425" s="1"/>
      <c r="L425" s="1"/>
      <c r="M425" s="1"/>
      <c r="N425" s="1"/>
      <c r="O425" s="1"/>
      <c r="P425" s="1"/>
      <c r="Q425" s="474"/>
      <c r="S425" s="231"/>
      <c r="AA425" s="1"/>
      <c r="AB425" s="392"/>
    </row>
    <row r="426" spans="8:28" x14ac:dyDescent="0.25">
      <c r="H426" s="473"/>
      <c r="I426" s="1"/>
      <c r="J426" s="1"/>
      <c r="K426" s="1"/>
      <c r="L426" s="1"/>
      <c r="M426" s="1"/>
      <c r="N426" s="1"/>
      <c r="O426" s="1"/>
      <c r="P426" s="1"/>
      <c r="Q426" s="474"/>
      <c r="S426" s="231"/>
      <c r="AA426" s="1"/>
      <c r="AB426" s="392"/>
    </row>
    <row r="427" spans="8:28" x14ac:dyDescent="0.25">
      <c r="H427" s="473"/>
      <c r="I427" s="1"/>
      <c r="J427" s="1"/>
      <c r="K427" s="1"/>
      <c r="L427" s="1"/>
      <c r="M427" s="1"/>
      <c r="N427" s="1"/>
      <c r="O427" s="1"/>
      <c r="P427" s="1"/>
      <c r="Q427" s="474"/>
      <c r="S427" s="231"/>
      <c r="AA427" s="1"/>
      <c r="AB427" s="392"/>
    </row>
    <row r="428" spans="8:28" x14ac:dyDescent="0.25">
      <c r="H428" s="473"/>
      <c r="I428" s="1"/>
      <c r="J428" s="1"/>
      <c r="K428" s="1"/>
      <c r="L428" s="1"/>
      <c r="M428" s="1"/>
      <c r="N428" s="1"/>
      <c r="O428" s="1"/>
      <c r="P428" s="1"/>
      <c r="Q428" s="474"/>
      <c r="S428" s="231"/>
      <c r="AA428" s="1"/>
      <c r="AB428" s="392"/>
    </row>
    <row r="429" spans="8:28" x14ac:dyDescent="0.25">
      <c r="H429" s="473"/>
      <c r="I429" s="1"/>
      <c r="J429" s="1"/>
      <c r="K429" s="1"/>
      <c r="L429" s="1"/>
      <c r="M429" s="1"/>
      <c r="N429" s="1"/>
      <c r="O429" s="1"/>
      <c r="P429" s="1"/>
      <c r="Q429" s="474"/>
      <c r="S429" s="231"/>
      <c r="AA429" s="1"/>
      <c r="AB429" s="392"/>
    </row>
    <row r="430" spans="8:28" x14ac:dyDescent="0.25">
      <c r="H430" s="473"/>
      <c r="I430" s="1"/>
      <c r="J430" s="1"/>
      <c r="K430" s="1"/>
      <c r="L430" s="1"/>
      <c r="M430" s="1"/>
      <c r="N430" s="1"/>
      <c r="O430" s="1"/>
      <c r="P430" s="1"/>
      <c r="Q430" s="474"/>
      <c r="S430" s="231"/>
      <c r="AA430" s="1"/>
      <c r="AB430" s="392"/>
    </row>
    <row r="431" spans="8:28" x14ac:dyDescent="0.25">
      <c r="H431" s="473"/>
      <c r="I431" s="1"/>
      <c r="J431" s="1"/>
      <c r="K431" s="1"/>
      <c r="L431" s="1"/>
      <c r="M431" s="1"/>
      <c r="N431" s="1"/>
      <c r="O431" s="1"/>
      <c r="P431" s="1"/>
      <c r="Q431" s="474"/>
      <c r="S431" s="231"/>
      <c r="AA431" s="1"/>
      <c r="AB431" s="392"/>
    </row>
    <row r="432" spans="8:28" x14ac:dyDescent="0.25">
      <c r="H432" s="473"/>
      <c r="I432" s="1"/>
      <c r="J432" s="1"/>
      <c r="K432" s="1"/>
      <c r="L432" s="1"/>
      <c r="M432" s="1"/>
      <c r="N432" s="1"/>
      <c r="O432" s="1"/>
      <c r="P432" s="1"/>
      <c r="Q432" s="474"/>
      <c r="S432" s="231"/>
      <c r="AA432" s="1"/>
      <c r="AB432" s="392"/>
    </row>
    <row r="433" spans="8:28" x14ac:dyDescent="0.25">
      <c r="H433" s="473"/>
      <c r="I433" s="1"/>
      <c r="J433" s="1"/>
      <c r="K433" s="1"/>
      <c r="L433" s="1"/>
      <c r="M433" s="1"/>
      <c r="N433" s="1"/>
      <c r="O433" s="1"/>
      <c r="P433" s="1"/>
      <c r="Q433" s="474"/>
      <c r="S433" s="231"/>
      <c r="AA433" s="1"/>
      <c r="AB433" s="392"/>
    </row>
    <row r="434" spans="8:28" x14ac:dyDescent="0.25">
      <c r="H434" s="473"/>
      <c r="I434" s="1"/>
      <c r="J434" s="1"/>
      <c r="K434" s="1"/>
      <c r="L434" s="1"/>
      <c r="M434" s="1"/>
      <c r="N434" s="1"/>
      <c r="O434" s="1"/>
      <c r="P434" s="1"/>
      <c r="Q434" s="474"/>
      <c r="S434" s="231"/>
      <c r="AA434" s="1"/>
      <c r="AB434" s="392"/>
    </row>
    <row r="435" spans="8:28" x14ac:dyDescent="0.25">
      <c r="H435" s="473"/>
      <c r="I435" s="1"/>
      <c r="J435" s="1"/>
      <c r="K435" s="1"/>
      <c r="L435" s="1"/>
      <c r="M435" s="1"/>
      <c r="N435" s="1"/>
      <c r="O435" s="1"/>
      <c r="P435" s="1"/>
      <c r="Q435" s="474"/>
      <c r="S435" s="231"/>
      <c r="AA435" s="1"/>
      <c r="AB435" s="392"/>
    </row>
    <row r="436" spans="8:28" x14ac:dyDescent="0.25">
      <c r="H436" s="473"/>
      <c r="I436" s="1"/>
      <c r="J436" s="1"/>
      <c r="K436" s="1"/>
      <c r="L436" s="1"/>
      <c r="M436" s="1"/>
      <c r="N436" s="1"/>
      <c r="O436" s="1"/>
      <c r="P436" s="1"/>
      <c r="Q436" s="474"/>
      <c r="S436" s="231"/>
      <c r="AA436" s="1"/>
      <c r="AB436" s="392"/>
    </row>
    <row r="437" spans="8:28" x14ac:dyDescent="0.25">
      <c r="H437" s="473"/>
      <c r="I437" s="1"/>
      <c r="J437" s="1"/>
      <c r="K437" s="1"/>
      <c r="L437" s="1"/>
      <c r="M437" s="1"/>
      <c r="N437" s="1"/>
      <c r="O437" s="1"/>
      <c r="P437" s="1"/>
      <c r="Q437" s="474"/>
      <c r="S437" s="231"/>
      <c r="AA437" s="1"/>
      <c r="AB437" s="392"/>
    </row>
    <row r="438" spans="8:28" x14ac:dyDescent="0.25">
      <c r="H438" s="473"/>
      <c r="I438" s="1"/>
      <c r="J438" s="1"/>
      <c r="K438" s="1"/>
      <c r="L438" s="1"/>
      <c r="M438" s="1"/>
      <c r="N438" s="1"/>
      <c r="O438" s="1"/>
      <c r="P438" s="1"/>
      <c r="Q438" s="474"/>
      <c r="S438" s="231"/>
      <c r="AA438" s="1"/>
      <c r="AB438" s="392"/>
    </row>
    <row r="439" spans="8:28" x14ac:dyDescent="0.25">
      <c r="H439" s="473"/>
      <c r="I439" s="1"/>
      <c r="J439" s="1"/>
      <c r="K439" s="1"/>
      <c r="L439" s="1"/>
      <c r="M439" s="1"/>
      <c r="N439" s="1"/>
      <c r="O439" s="1"/>
      <c r="P439" s="1"/>
      <c r="Q439" s="474"/>
      <c r="S439" s="231"/>
      <c r="AA439" s="1"/>
      <c r="AB439" s="392"/>
    </row>
    <row r="440" spans="8:28" x14ac:dyDescent="0.25">
      <c r="H440" s="473"/>
      <c r="I440" s="1"/>
      <c r="J440" s="1"/>
      <c r="K440" s="1"/>
      <c r="L440" s="1"/>
      <c r="M440" s="1"/>
      <c r="N440" s="1"/>
      <c r="O440" s="1"/>
      <c r="P440" s="1"/>
      <c r="Q440" s="474"/>
      <c r="S440" s="231"/>
      <c r="AA440" s="1"/>
      <c r="AB440" s="392"/>
    </row>
    <row r="441" spans="8:28" x14ac:dyDescent="0.25">
      <c r="H441" s="473"/>
      <c r="I441" s="1"/>
      <c r="J441" s="1"/>
      <c r="K441" s="1"/>
      <c r="L441" s="1"/>
      <c r="M441" s="1"/>
      <c r="N441" s="1"/>
      <c r="O441" s="1"/>
      <c r="P441" s="1"/>
      <c r="Q441" s="474"/>
      <c r="S441" s="231"/>
      <c r="AA441" s="1"/>
      <c r="AB441" s="392"/>
    </row>
    <row r="442" spans="8:28" x14ac:dyDescent="0.25">
      <c r="H442" s="473"/>
      <c r="I442" s="1"/>
      <c r="J442" s="1"/>
      <c r="K442" s="1"/>
      <c r="L442" s="1"/>
      <c r="M442" s="1"/>
      <c r="N442" s="1"/>
      <c r="O442" s="1"/>
      <c r="P442" s="1"/>
      <c r="Q442" s="474"/>
      <c r="S442" s="231"/>
      <c r="AA442" s="1"/>
      <c r="AB442" s="392"/>
    </row>
    <row r="443" spans="8:28" x14ac:dyDescent="0.25">
      <c r="H443" s="473"/>
      <c r="I443" s="1"/>
      <c r="J443" s="1"/>
      <c r="K443" s="1"/>
      <c r="L443" s="1"/>
      <c r="M443" s="1"/>
      <c r="N443" s="1"/>
      <c r="O443" s="1"/>
      <c r="P443" s="1"/>
      <c r="Q443" s="474"/>
      <c r="S443" s="231"/>
      <c r="AA443" s="1"/>
      <c r="AB443" s="392"/>
    </row>
    <row r="444" spans="8:28" x14ac:dyDescent="0.25">
      <c r="H444" s="473"/>
      <c r="I444" s="1"/>
      <c r="J444" s="1"/>
      <c r="K444" s="1"/>
      <c r="L444" s="1"/>
      <c r="M444" s="1"/>
      <c r="N444" s="1"/>
      <c r="O444" s="1"/>
      <c r="P444" s="1"/>
      <c r="Q444" s="474"/>
      <c r="S444" s="231"/>
      <c r="AA444" s="1"/>
      <c r="AB444" s="392"/>
    </row>
    <row r="445" spans="8:28" x14ac:dyDescent="0.25">
      <c r="H445" s="473"/>
      <c r="I445" s="1"/>
      <c r="J445" s="1"/>
      <c r="K445" s="1"/>
      <c r="L445" s="1"/>
      <c r="M445" s="1"/>
      <c r="N445" s="1"/>
      <c r="O445" s="1"/>
      <c r="P445" s="1"/>
      <c r="Q445" s="474"/>
      <c r="S445" s="231"/>
      <c r="AA445" s="1"/>
      <c r="AB445" s="392"/>
    </row>
    <row r="446" spans="8:28" x14ac:dyDescent="0.25">
      <c r="H446" s="473"/>
      <c r="I446" s="1"/>
      <c r="J446" s="1"/>
      <c r="K446" s="1"/>
      <c r="L446" s="1"/>
      <c r="M446" s="1"/>
      <c r="N446" s="1"/>
      <c r="O446" s="1"/>
      <c r="P446" s="1"/>
      <c r="Q446" s="474"/>
      <c r="S446" s="231"/>
      <c r="AA446" s="1"/>
      <c r="AB446" s="392"/>
    </row>
    <row r="447" spans="8:28" x14ac:dyDescent="0.25">
      <c r="H447" s="473"/>
      <c r="I447" s="1"/>
      <c r="J447" s="1"/>
      <c r="K447" s="1"/>
      <c r="L447" s="1"/>
      <c r="M447" s="1"/>
      <c r="N447" s="1"/>
      <c r="O447" s="1"/>
      <c r="P447" s="1"/>
      <c r="Q447" s="474"/>
      <c r="S447" s="231"/>
      <c r="AA447" s="1"/>
      <c r="AB447" s="392"/>
    </row>
    <row r="448" spans="8:28" x14ac:dyDescent="0.25">
      <c r="H448" s="473"/>
      <c r="I448" s="1"/>
      <c r="J448" s="1"/>
      <c r="K448" s="1"/>
      <c r="L448" s="1"/>
      <c r="M448" s="1"/>
      <c r="N448" s="1"/>
      <c r="O448" s="1"/>
      <c r="P448" s="1"/>
      <c r="Q448" s="474"/>
      <c r="S448" s="231"/>
      <c r="AA448" s="1"/>
      <c r="AB448" s="392"/>
    </row>
    <row r="449" spans="8:28" x14ac:dyDescent="0.25">
      <c r="H449" s="473"/>
      <c r="I449" s="1"/>
      <c r="J449" s="1"/>
      <c r="K449" s="1"/>
      <c r="L449" s="1"/>
      <c r="M449" s="1"/>
      <c r="N449" s="1"/>
      <c r="O449" s="1"/>
      <c r="P449" s="1"/>
      <c r="Q449" s="474"/>
      <c r="S449" s="231"/>
      <c r="AA449" s="1"/>
      <c r="AB449" s="392"/>
    </row>
    <row r="450" spans="8:28" x14ac:dyDescent="0.25">
      <c r="H450" s="473"/>
      <c r="I450" s="1"/>
      <c r="J450" s="1"/>
      <c r="K450" s="1"/>
      <c r="L450" s="1"/>
      <c r="M450" s="1"/>
      <c r="N450" s="1"/>
      <c r="O450" s="1"/>
      <c r="P450" s="1"/>
      <c r="Q450" s="474"/>
      <c r="S450" s="231"/>
      <c r="AA450" s="1"/>
      <c r="AB450" s="392"/>
    </row>
    <row r="451" spans="8:28" x14ac:dyDescent="0.25">
      <c r="H451" s="473"/>
      <c r="I451" s="1"/>
      <c r="J451" s="1"/>
      <c r="K451" s="1"/>
      <c r="L451" s="1"/>
      <c r="M451" s="1"/>
      <c r="N451" s="1"/>
      <c r="O451" s="1"/>
      <c r="P451" s="1"/>
      <c r="Q451" s="474"/>
      <c r="S451" s="231"/>
      <c r="AA451" s="1"/>
      <c r="AB451" s="392"/>
    </row>
    <row r="452" spans="8:28" x14ac:dyDescent="0.25">
      <c r="H452" s="473"/>
      <c r="I452" s="1"/>
      <c r="J452" s="1"/>
      <c r="K452" s="1"/>
      <c r="L452" s="1"/>
      <c r="M452" s="1"/>
      <c r="N452" s="1"/>
      <c r="O452" s="1"/>
      <c r="P452" s="1"/>
      <c r="Q452" s="474"/>
      <c r="S452" s="231"/>
      <c r="AA452" s="1"/>
      <c r="AB452" s="392"/>
    </row>
    <row r="453" spans="8:28" x14ac:dyDescent="0.25">
      <c r="H453" s="473"/>
      <c r="I453" s="1"/>
      <c r="J453" s="1"/>
      <c r="K453" s="1"/>
      <c r="L453" s="1"/>
      <c r="M453" s="1"/>
      <c r="N453" s="1"/>
      <c r="O453" s="1"/>
      <c r="P453" s="1"/>
      <c r="Q453" s="474"/>
      <c r="S453" s="231"/>
      <c r="AA453" s="1"/>
      <c r="AB453" s="392"/>
    </row>
    <row r="454" spans="8:28" x14ac:dyDescent="0.25">
      <c r="H454" s="473"/>
      <c r="I454" s="1"/>
      <c r="J454" s="1"/>
      <c r="K454" s="1"/>
      <c r="L454" s="1"/>
      <c r="M454" s="1"/>
      <c r="N454" s="1"/>
      <c r="O454" s="1"/>
      <c r="P454" s="1"/>
      <c r="Q454" s="474"/>
      <c r="S454" s="231"/>
      <c r="AA454" s="1"/>
      <c r="AB454" s="392"/>
    </row>
    <row r="455" spans="8:28" x14ac:dyDescent="0.25">
      <c r="H455" s="473"/>
      <c r="I455" s="1"/>
      <c r="J455" s="1"/>
      <c r="K455" s="1"/>
      <c r="L455" s="1"/>
      <c r="M455" s="1"/>
      <c r="N455" s="1"/>
      <c r="O455" s="1"/>
      <c r="P455" s="1"/>
      <c r="Q455" s="474"/>
      <c r="S455" s="231"/>
      <c r="AA455" s="1"/>
      <c r="AB455" s="392"/>
    </row>
    <row r="456" spans="8:28" x14ac:dyDescent="0.25">
      <c r="H456" s="473"/>
      <c r="I456" s="1"/>
      <c r="J456" s="1"/>
      <c r="K456" s="1"/>
      <c r="L456" s="1"/>
      <c r="M456" s="1"/>
      <c r="N456" s="1"/>
      <c r="O456" s="1"/>
      <c r="P456" s="1"/>
      <c r="Q456" s="474"/>
      <c r="S456" s="231"/>
      <c r="AA456" s="1"/>
      <c r="AB456" s="392"/>
    </row>
    <row r="457" spans="8:28" x14ac:dyDescent="0.25">
      <c r="H457" s="473"/>
      <c r="I457" s="1"/>
      <c r="J457" s="1"/>
      <c r="K457" s="1"/>
      <c r="L457" s="1"/>
      <c r="M457" s="1"/>
      <c r="N457" s="1"/>
      <c r="O457" s="1"/>
      <c r="P457" s="1"/>
      <c r="Q457" s="474"/>
      <c r="S457" s="231"/>
      <c r="AA457" s="1"/>
      <c r="AB457" s="392"/>
    </row>
    <row r="458" spans="8:28" x14ac:dyDescent="0.25">
      <c r="H458" s="473"/>
      <c r="I458" s="1"/>
      <c r="J458" s="1"/>
      <c r="K458" s="1"/>
      <c r="L458" s="1"/>
      <c r="M458" s="1"/>
      <c r="N458" s="1"/>
      <c r="O458" s="1"/>
      <c r="P458" s="1"/>
      <c r="Q458" s="474"/>
      <c r="S458" s="231"/>
      <c r="AA458" s="1"/>
      <c r="AB458" s="392"/>
    </row>
    <row r="459" spans="8:28" x14ac:dyDescent="0.25">
      <c r="H459" s="473"/>
      <c r="I459" s="1"/>
      <c r="J459" s="1"/>
      <c r="K459" s="1"/>
      <c r="L459" s="1"/>
      <c r="M459" s="1"/>
      <c r="N459" s="1"/>
      <c r="O459" s="1"/>
      <c r="P459" s="1"/>
      <c r="Q459" s="474"/>
      <c r="S459" s="231"/>
      <c r="AA459" s="1"/>
      <c r="AB459" s="392"/>
    </row>
    <row r="460" spans="8:28" x14ac:dyDescent="0.25">
      <c r="H460" s="473"/>
      <c r="I460" s="1"/>
      <c r="J460" s="1"/>
      <c r="K460" s="1"/>
      <c r="L460" s="1"/>
      <c r="M460" s="1"/>
      <c r="N460" s="1"/>
      <c r="O460" s="1"/>
      <c r="P460" s="1"/>
      <c r="Q460" s="474"/>
      <c r="S460" s="231"/>
      <c r="AA460" s="1"/>
      <c r="AB460" s="392"/>
    </row>
    <row r="461" spans="8:28" x14ac:dyDescent="0.25">
      <c r="H461" s="473"/>
      <c r="I461" s="1"/>
      <c r="J461" s="1"/>
      <c r="K461" s="1"/>
      <c r="L461" s="1"/>
      <c r="M461" s="1"/>
      <c r="N461" s="1"/>
      <c r="O461" s="1"/>
      <c r="P461" s="1"/>
      <c r="Q461" s="474"/>
      <c r="S461" s="231"/>
      <c r="AA461" s="1"/>
      <c r="AB461" s="392"/>
    </row>
    <row r="462" spans="8:28" x14ac:dyDescent="0.25">
      <c r="H462" s="473"/>
      <c r="I462" s="1"/>
      <c r="J462" s="1"/>
      <c r="K462" s="1"/>
      <c r="L462" s="1"/>
      <c r="M462" s="1"/>
      <c r="N462" s="1"/>
      <c r="O462" s="1"/>
      <c r="P462" s="1"/>
      <c r="Q462" s="474"/>
      <c r="S462" s="231"/>
      <c r="AA462" s="1"/>
      <c r="AB462" s="392"/>
    </row>
    <row r="463" spans="8:28" x14ac:dyDescent="0.25">
      <c r="H463" s="473"/>
      <c r="I463" s="1"/>
      <c r="J463" s="1"/>
      <c r="K463" s="1"/>
      <c r="L463" s="1"/>
      <c r="M463" s="1"/>
      <c r="N463" s="1"/>
      <c r="O463" s="1"/>
      <c r="P463" s="1"/>
      <c r="Q463" s="474"/>
      <c r="S463" s="231"/>
      <c r="AA463" s="1"/>
      <c r="AB463" s="392"/>
    </row>
    <row r="464" spans="8:28" x14ac:dyDescent="0.25">
      <c r="H464" s="473"/>
      <c r="I464" s="1"/>
      <c r="J464" s="1"/>
      <c r="K464" s="1"/>
      <c r="L464" s="1"/>
      <c r="M464" s="1"/>
      <c r="N464" s="1"/>
      <c r="O464" s="1"/>
      <c r="P464" s="1"/>
      <c r="Q464" s="474"/>
      <c r="S464" s="231"/>
      <c r="AA464" s="1"/>
      <c r="AB464" s="392"/>
    </row>
    <row r="465" spans="8:28" x14ac:dyDescent="0.25">
      <c r="H465" s="473"/>
      <c r="I465" s="1"/>
      <c r="J465" s="1"/>
      <c r="K465" s="1"/>
      <c r="L465" s="1"/>
      <c r="M465" s="1"/>
      <c r="N465" s="1"/>
      <c r="O465" s="1"/>
      <c r="P465" s="1"/>
      <c r="Q465" s="474"/>
      <c r="S465" s="231"/>
      <c r="AA465" s="1"/>
      <c r="AB465" s="392"/>
    </row>
    <row r="466" spans="8:28" x14ac:dyDescent="0.25">
      <c r="H466" s="473"/>
      <c r="I466" s="1"/>
      <c r="J466" s="1"/>
      <c r="K466" s="1"/>
      <c r="L466" s="1"/>
      <c r="M466" s="1"/>
      <c r="N466" s="1"/>
      <c r="O466" s="1"/>
      <c r="P466" s="1"/>
      <c r="Q466" s="474"/>
      <c r="S466" s="231"/>
      <c r="AA466" s="1"/>
      <c r="AB466" s="392"/>
    </row>
    <row r="467" spans="8:28" x14ac:dyDescent="0.25">
      <c r="H467" s="473"/>
      <c r="I467" s="1"/>
      <c r="J467" s="1"/>
      <c r="K467" s="1"/>
      <c r="L467" s="1"/>
      <c r="M467" s="1"/>
      <c r="N467" s="1"/>
      <c r="O467" s="1"/>
      <c r="P467" s="1"/>
      <c r="Q467" s="474"/>
      <c r="S467" s="231"/>
      <c r="AA467" s="1"/>
      <c r="AB467" s="392"/>
    </row>
    <row r="468" spans="8:28" x14ac:dyDescent="0.25">
      <c r="H468" s="473"/>
      <c r="I468" s="1"/>
      <c r="J468" s="1"/>
      <c r="K468" s="1"/>
      <c r="L468" s="1"/>
      <c r="M468" s="1"/>
      <c r="N468" s="1"/>
      <c r="O468" s="1"/>
      <c r="P468" s="1"/>
      <c r="Q468" s="474"/>
      <c r="S468" s="231"/>
      <c r="AA468" s="1"/>
      <c r="AB468" s="392"/>
    </row>
    <row r="469" spans="8:28" x14ac:dyDescent="0.25">
      <c r="H469" s="473"/>
      <c r="I469" s="1"/>
      <c r="J469" s="1"/>
      <c r="K469" s="1"/>
      <c r="L469" s="1"/>
      <c r="M469" s="1"/>
      <c r="N469" s="1"/>
      <c r="O469" s="1"/>
      <c r="P469" s="1"/>
      <c r="Q469" s="474"/>
      <c r="S469" s="231"/>
      <c r="AA469" s="1"/>
      <c r="AB469" s="392"/>
    </row>
    <row r="470" spans="8:28" x14ac:dyDescent="0.25">
      <c r="H470" s="473"/>
      <c r="I470" s="1"/>
      <c r="J470" s="1"/>
      <c r="K470" s="1"/>
      <c r="L470" s="1"/>
      <c r="M470" s="1"/>
      <c r="N470" s="1"/>
      <c r="O470" s="1"/>
      <c r="P470" s="1"/>
      <c r="Q470" s="474"/>
      <c r="S470" s="231"/>
      <c r="AA470" s="1"/>
      <c r="AB470" s="392"/>
    </row>
    <row r="471" spans="8:28" x14ac:dyDescent="0.25">
      <c r="H471" s="473"/>
      <c r="I471" s="1"/>
      <c r="J471" s="1"/>
      <c r="K471" s="1"/>
      <c r="L471" s="1"/>
      <c r="M471" s="1"/>
      <c r="N471" s="1"/>
      <c r="O471" s="1"/>
      <c r="P471" s="1"/>
      <c r="Q471" s="474"/>
      <c r="S471" s="231"/>
      <c r="AA471" s="1"/>
      <c r="AB471" s="392"/>
    </row>
    <row r="472" spans="8:28" x14ac:dyDescent="0.25">
      <c r="H472" s="473"/>
      <c r="I472" s="1"/>
      <c r="J472" s="1"/>
      <c r="K472" s="1"/>
      <c r="L472" s="1"/>
      <c r="M472" s="1"/>
      <c r="N472" s="1"/>
      <c r="O472" s="1"/>
      <c r="P472" s="1"/>
      <c r="Q472" s="474"/>
      <c r="S472" s="231"/>
      <c r="AA472" s="1"/>
      <c r="AB472" s="392"/>
    </row>
    <row r="473" spans="8:28" x14ac:dyDescent="0.25">
      <c r="H473" s="473"/>
      <c r="I473" s="1"/>
      <c r="J473" s="1"/>
      <c r="K473" s="1"/>
      <c r="L473" s="1"/>
      <c r="M473" s="1"/>
      <c r="N473" s="1"/>
      <c r="O473" s="1"/>
      <c r="P473" s="1"/>
      <c r="Q473" s="474"/>
      <c r="S473" s="231"/>
      <c r="AA473" s="1"/>
      <c r="AB473" s="392"/>
    </row>
    <row r="474" spans="8:28" x14ac:dyDescent="0.25">
      <c r="H474" s="473"/>
      <c r="I474" s="1"/>
      <c r="J474" s="1"/>
      <c r="K474" s="1"/>
      <c r="L474" s="1"/>
      <c r="M474" s="1"/>
      <c r="N474" s="1"/>
      <c r="O474" s="1"/>
      <c r="P474" s="1"/>
      <c r="Q474" s="474"/>
      <c r="S474" s="231"/>
      <c r="AA474" s="1"/>
      <c r="AB474" s="392"/>
    </row>
    <row r="475" spans="8:28" x14ac:dyDescent="0.25">
      <c r="H475" s="473"/>
      <c r="I475" s="1"/>
      <c r="J475" s="1"/>
      <c r="K475" s="1"/>
      <c r="L475" s="1"/>
      <c r="M475" s="1"/>
      <c r="N475" s="1"/>
      <c r="O475" s="1"/>
      <c r="P475" s="1"/>
      <c r="Q475" s="474"/>
      <c r="S475" s="231"/>
      <c r="AA475" s="1"/>
      <c r="AB475" s="392"/>
    </row>
    <row r="476" spans="8:28" x14ac:dyDescent="0.25">
      <c r="H476" s="473"/>
      <c r="I476" s="1"/>
      <c r="J476" s="1"/>
      <c r="K476" s="1"/>
      <c r="L476" s="1"/>
      <c r="M476" s="1"/>
      <c r="N476" s="1"/>
      <c r="O476" s="1"/>
      <c r="P476" s="1"/>
      <c r="Q476" s="474"/>
      <c r="S476" s="231"/>
      <c r="AA476" s="1"/>
      <c r="AB476" s="392"/>
    </row>
    <row r="477" spans="8:28" x14ac:dyDescent="0.25">
      <c r="H477" s="473"/>
      <c r="I477" s="1"/>
      <c r="J477" s="1"/>
      <c r="K477" s="1"/>
      <c r="L477" s="1"/>
      <c r="M477" s="1"/>
      <c r="N477" s="1"/>
      <c r="O477" s="1"/>
      <c r="P477" s="1"/>
      <c r="Q477" s="474"/>
      <c r="S477" s="231"/>
      <c r="AA477" s="1"/>
      <c r="AB477" s="392"/>
    </row>
    <row r="478" spans="8:28" x14ac:dyDescent="0.25">
      <c r="H478" s="473"/>
      <c r="I478" s="1"/>
      <c r="J478" s="1"/>
      <c r="K478" s="1"/>
      <c r="L478" s="1"/>
      <c r="M478" s="1"/>
      <c r="N478" s="1"/>
      <c r="O478" s="1"/>
      <c r="P478" s="1"/>
      <c r="Q478" s="474"/>
      <c r="S478" s="231"/>
      <c r="AA478" s="1"/>
      <c r="AB478" s="392"/>
    </row>
    <row r="479" spans="8:28" x14ac:dyDescent="0.25">
      <c r="H479" s="473"/>
      <c r="I479" s="1"/>
      <c r="J479" s="1"/>
      <c r="K479" s="1"/>
      <c r="L479" s="1"/>
      <c r="M479" s="1"/>
      <c r="N479" s="1"/>
      <c r="O479" s="1"/>
      <c r="P479" s="1"/>
      <c r="Q479" s="474"/>
      <c r="S479" s="231"/>
      <c r="AA479" s="1"/>
      <c r="AB479" s="392"/>
    </row>
    <row r="480" spans="8:28" x14ac:dyDescent="0.25">
      <c r="H480" s="473"/>
      <c r="I480" s="1"/>
      <c r="J480" s="1"/>
      <c r="K480" s="1"/>
      <c r="L480" s="1"/>
      <c r="M480" s="1"/>
      <c r="N480" s="1"/>
      <c r="O480" s="1"/>
      <c r="P480" s="1"/>
      <c r="Q480" s="474"/>
      <c r="S480" s="231"/>
      <c r="AA480" s="1"/>
      <c r="AB480" s="392"/>
    </row>
    <row r="481" spans="8:28" x14ac:dyDescent="0.25">
      <c r="H481" s="473"/>
      <c r="I481" s="1"/>
      <c r="J481" s="1"/>
      <c r="K481" s="1"/>
      <c r="L481" s="1"/>
      <c r="M481" s="1"/>
      <c r="N481" s="1"/>
      <c r="O481" s="1"/>
      <c r="P481" s="1"/>
      <c r="Q481" s="474"/>
      <c r="S481" s="231"/>
      <c r="AA481" s="1"/>
      <c r="AB481" s="392"/>
    </row>
    <row r="482" spans="8:28" x14ac:dyDescent="0.25">
      <c r="H482" s="473"/>
      <c r="I482" s="1"/>
      <c r="J482" s="1"/>
      <c r="K482" s="1"/>
      <c r="L482" s="1"/>
      <c r="M482" s="1"/>
      <c r="N482" s="1"/>
      <c r="O482" s="1"/>
      <c r="P482" s="1"/>
      <c r="Q482" s="474"/>
      <c r="S482" s="231"/>
      <c r="AA482" s="1"/>
      <c r="AB482" s="392"/>
    </row>
    <row r="483" spans="8:28" x14ac:dyDescent="0.25">
      <c r="H483" s="473"/>
      <c r="I483" s="1"/>
      <c r="J483" s="1"/>
      <c r="K483" s="1"/>
      <c r="L483" s="1"/>
      <c r="M483" s="1"/>
      <c r="N483" s="1"/>
      <c r="O483" s="1"/>
      <c r="P483" s="1"/>
      <c r="Q483" s="474"/>
      <c r="S483" s="231"/>
      <c r="AA483" s="1"/>
      <c r="AB483" s="392"/>
    </row>
    <row r="484" spans="8:28" x14ac:dyDescent="0.25">
      <c r="H484" s="473"/>
      <c r="I484" s="1"/>
      <c r="J484" s="1"/>
      <c r="K484" s="1"/>
      <c r="L484" s="1"/>
      <c r="M484" s="1"/>
      <c r="N484" s="1"/>
      <c r="O484" s="1"/>
      <c r="P484" s="1"/>
      <c r="Q484" s="474"/>
      <c r="S484" s="231"/>
      <c r="AA484" s="1"/>
      <c r="AB484" s="392"/>
    </row>
    <row r="485" spans="8:28" x14ac:dyDescent="0.25">
      <c r="H485" s="473"/>
      <c r="I485" s="1"/>
      <c r="J485" s="1"/>
      <c r="K485" s="1"/>
      <c r="L485" s="1"/>
      <c r="M485" s="1"/>
      <c r="N485" s="1"/>
      <c r="O485" s="1"/>
      <c r="P485" s="1"/>
      <c r="Q485" s="474"/>
      <c r="S485" s="231"/>
      <c r="AA485" s="1"/>
      <c r="AB485" s="392"/>
    </row>
    <row r="486" spans="8:28" x14ac:dyDescent="0.25">
      <c r="H486" s="473"/>
      <c r="I486" s="1"/>
      <c r="J486" s="1"/>
      <c r="K486" s="1"/>
      <c r="L486" s="1"/>
      <c r="M486" s="1"/>
      <c r="N486" s="1"/>
      <c r="O486" s="1"/>
      <c r="P486" s="1"/>
      <c r="Q486" s="474"/>
      <c r="S486" s="231"/>
      <c r="AA486" s="1"/>
      <c r="AB486" s="392"/>
    </row>
    <row r="487" spans="8:28" x14ac:dyDescent="0.25">
      <c r="H487" s="473"/>
      <c r="I487" s="1"/>
      <c r="J487" s="1"/>
      <c r="K487" s="1"/>
      <c r="L487" s="1"/>
      <c r="M487" s="1"/>
      <c r="N487" s="1"/>
      <c r="O487" s="1"/>
      <c r="P487" s="1"/>
      <c r="Q487" s="474"/>
      <c r="S487" s="231"/>
      <c r="AA487" s="1"/>
      <c r="AB487" s="392"/>
    </row>
    <row r="488" spans="8:28" x14ac:dyDescent="0.25">
      <c r="H488" s="473"/>
      <c r="I488" s="1"/>
      <c r="J488" s="1"/>
      <c r="K488" s="1"/>
      <c r="L488" s="1"/>
      <c r="M488" s="1"/>
      <c r="N488" s="1"/>
      <c r="O488" s="1"/>
      <c r="P488" s="1"/>
      <c r="Q488" s="474"/>
      <c r="S488" s="231"/>
      <c r="AA488" s="1"/>
      <c r="AB488" s="392"/>
    </row>
    <row r="489" spans="8:28" x14ac:dyDescent="0.25">
      <c r="H489" s="473"/>
      <c r="I489" s="1"/>
      <c r="J489" s="1"/>
      <c r="K489" s="1"/>
      <c r="L489" s="1"/>
      <c r="M489" s="1"/>
      <c r="N489" s="1"/>
      <c r="O489" s="1"/>
      <c r="P489" s="1"/>
      <c r="Q489" s="474"/>
      <c r="S489" s="231"/>
      <c r="AA489" s="1"/>
      <c r="AB489" s="392"/>
    </row>
    <row r="490" spans="8:28" x14ac:dyDescent="0.25">
      <c r="H490" s="473"/>
      <c r="I490" s="1"/>
      <c r="J490" s="1"/>
      <c r="K490" s="1"/>
      <c r="L490" s="1"/>
      <c r="M490" s="1"/>
      <c r="N490" s="1"/>
      <c r="O490" s="1"/>
      <c r="P490" s="1"/>
      <c r="Q490" s="474"/>
      <c r="S490" s="231"/>
      <c r="AA490" s="1"/>
      <c r="AB490" s="392"/>
    </row>
    <row r="491" spans="8:28" x14ac:dyDescent="0.25">
      <c r="H491" s="473"/>
      <c r="I491" s="1"/>
      <c r="J491" s="1"/>
      <c r="K491" s="1"/>
      <c r="L491" s="1"/>
      <c r="M491" s="1"/>
      <c r="N491" s="1"/>
      <c r="O491" s="1"/>
      <c r="P491" s="1"/>
      <c r="Q491" s="474"/>
      <c r="S491" s="231"/>
      <c r="AA491" s="1"/>
      <c r="AB491" s="392"/>
    </row>
    <row r="492" spans="8:28" x14ac:dyDescent="0.25">
      <c r="H492" s="473"/>
      <c r="I492" s="1"/>
      <c r="J492" s="1"/>
      <c r="K492" s="1"/>
      <c r="L492" s="1"/>
      <c r="M492" s="1"/>
      <c r="N492" s="1"/>
      <c r="O492" s="1"/>
      <c r="P492" s="1"/>
      <c r="Q492" s="474"/>
      <c r="S492" s="231"/>
      <c r="AA492" s="1"/>
      <c r="AB492" s="392"/>
    </row>
    <row r="493" spans="8:28" x14ac:dyDescent="0.25">
      <c r="H493" s="473"/>
      <c r="I493" s="1"/>
      <c r="J493" s="1"/>
      <c r="K493" s="1"/>
      <c r="L493" s="1"/>
      <c r="M493" s="1"/>
      <c r="N493" s="1"/>
      <c r="O493" s="1"/>
      <c r="P493" s="1"/>
      <c r="Q493" s="474"/>
      <c r="S493" s="231"/>
      <c r="AA493" s="1"/>
      <c r="AB493" s="392"/>
    </row>
    <row r="494" spans="8:28" x14ac:dyDescent="0.25">
      <c r="H494" s="473"/>
      <c r="I494" s="1"/>
      <c r="J494" s="1"/>
      <c r="K494" s="1"/>
      <c r="L494" s="1"/>
      <c r="M494" s="1"/>
      <c r="N494" s="1"/>
      <c r="O494" s="1"/>
      <c r="P494" s="1"/>
      <c r="Q494" s="474"/>
      <c r="S494" s="231"/>
      <c r="AA494" s="1"/>
      <c r="AB494" s="392"/>
    </row>
    <row r="495" spans="8:28" x14ac:dyDescent="0.25">
      <c r="H495" s="473"/>
      <c r="I495" s="1"/>
      <c r="J495" s="1"/>
      <c r="K495" s="1"/>
      <c r="L495" s="1"/>
      <c r="M495" s="1"/>
      <c r="N495" s="1"/>
      <c r="O495" s="1"/>
      <c r="P495" s="1"/>
      <c r="Q495" s="474"/>
      <c r="S495" s="231"/>
      <c r="AA495" s="1"/>
      <c r="AB495" s="392"/>
    </row>
    <row r="496" spans="8:28" x14ac:dyDescent="0.25">
      <c r="H496" s="473"/>
      <c r="I496" s="1"/>
      <c r="J496" s="1"/>
      <c r="K496" s="1"/>
      <c r="L496" s="1"/>
      <c r="M496" s="1"/>
      <c r="N496" s="1"/>
      <c r="O496" s="1"/>
      <c r="P496" s="1"/>
      <c r="Q496" s="474"/>
      <c r="S496" s="231"/>
      <c r="AA496" s="1"/>
      <c r="AB496" s="392"/>
    </row>
    <row r="497" spans="8:28" x14ac:dyDescent="0.25">
      <c r="H497" s="473"/>
      <c r="I497" s="1"/>
      <c r="J497" s="1"/>
      <c r="K497" s="1"/>
      <c r="L497" s="1"/>
      <c r="M497" s="1"/>
      <c r="N497" s="1"/>
      <c r="O497" s="1"/>
      <c r="P497" s="1"/>
      <c r="Q497" s="474"/>
      <c r="S497" s="231"/>
      <c r="AA497" s="1"/>
      <c r="AB497" s="392"/>
    </row>
    <row r="498" spans="8:28" x14ac:dyDescent="0.25">
      <c r="H498" s="473"/>
      <c r="I498" s="1"/>
      <c r="J498" s="1"/>
      <c r="K498" s="1"/>
      <c r="L498" s="1"/>
      <c r="M498" s="1"/>
      <c r="N498" s="1"/>
      <c r="O498" s="1"/>
      <c r="P498" s="1"/>
      <c r="Q498" s="474"/>
      <c r="S498" s="231"/>
      <c r="AA498" s="1"/>
      <c r="AB498" s="392"/>
    </row>
    <row r="499" spans="8:28" x14ac:dyDescent="0.25">
      <c r="H499" s="473"/>
      <c r="I499" s="1"/>
      <c r="J499" s="1"/>
      <c r="K499" s="1"/>
      <c r="L499" s="1"/>
      <c r="M499" s="1"/>
      <c r="N499" s="1"/>
      <c r="O499" s="1"/>
      <c r="P499" s="1"/>
      <c r="Q499" s="474"/>
      <c r="S499" s="231"/>
      <c r="AA499" s="1"/>
      <c r="AB499" s="392"/>
    </row>
    <row r="500" spans="8:28" x14ac:dyDescent="0.25">
      <c r="H500" s="473"/>
      <c r="I500" s="1"/>
      <c r="J500" s="1"/>
      <c r="K500" s="1"/>
      <c r="L500" s="1"/>
      <c r="M500" s="1"/>
      <c r="N500" s="1"/>
      <c r="O500" s="1"/>
      <c r="P500" s="1"/>
      <c r="Q500" s="474"/>
      <c r="S500" s="231"/>
      <c r="AA500" s="1"/>
      <c r="AB500" s="392"/>
    </row>
    <row r="501" spans="8:28" x14ac:dyDescent="0.25">
      <c r="H501" s="473"/>
      <c r="I501" s="1"/>
      <c r="J501" s="1"/>
      <c r="K501" s="1"/>
      <c r="L501" s="1"/>
      <c r="M501" s="1"/>
      <c r="N501" s="1"/>
      <c r="O501" s="1"/>
      <c r="P501" s="1"/>
      <c r="Q501" s="474"/>
      <c r="S501" s="231"/>
      <c r="AA501" s="1"/>
      <c r="AB501" s="392"/>
    </row>
    <row r="502" spans="8:28" x14ac:dyDescent="0.25">
      <c r="H502" s="473"/>
      <c r="I502" s="1"/>
      <c r="J502" s="1"/>
      <c r="K502" s="1"/>
      <c r="L502" s="1"/>
      <c r="M502" s="1"/>
      <c r="N502" s="1"/>
      <c r="O502" s="1"/>
      <c r="P502" s="1"/>
      <c r="Q502" s="474"/>
      <c r="S502" s="231"/>
      <c r="AA502" s="1"/>
      <c r="AB502" s="392"/>
    </row>
    <row r="503" spans="8:28" x14ac:dyDescent="0.25">
      <c r="H503" s="473"/>
      <c r="I503" s="1"/>
      <c r="J503" s="1"/>
      <c r="K503" s="1"/>
      <c r="L503" s="1"/>
      <c r="M503" s="1"/>
      <c r="N503" s="1"/>
      <c r="O503" s="1"/>
      <c r="P503" s="1"/>
      <c r="Q503" s="474"/>
      <c r="S503" s="231"/>
      <c r="AA503" s="1"/>
      <c r="AB503" s="392"/>
    </row>
    <row r="504" spans="8:28" x14ac:dyDescent="0.25">
      <c r="H504" s="473"/>
      <c r="I504" s="1"/>
      <c r="J504" s="1"/>
      <c r="K504" s="1"/>
      <c r="L504" s="1"/>
      <c r="M504" s="1"/>
      <c r="N504" s="1"/>
      <c r="O504" s="1"/>
      <c r="P504" s="1"/>
      <c r="Q504" s="474"/>
      <c r="S504" s="231"/>
      <c r="AA504" s="1"/>
      <c r="AB504" s="392"/>
    </row>
    <row r="505" spans="8:28" x14ac:dyDescent="0.25">
      <c r="H505" s="473"/>
      <c r="I505" s="1"/>
      <c r="J505" s="1"/>
      <c r="K505" s="1"/>
      <c r="L505" s="1"/>
      <c r="M505" s="1"/>
      <c r="N505" s="1"/>
      <c r="O505" s="1"/>
      <c r="P505" s="1"/>
      <c r="Q505" s="474"/>
      <c r="S505" s="231"/>
      <c r="AA505" s="1"/>
      <c r="AB505" s="392"/>
    </row>
    <row r="506" spans="8:28" x14ac:dyDescent="0.25">
      <c r="H506" s="473"/>
      <c r="I506" s="1"/>
      <c r="J506" s="1"/>
      <c r="K506" s="1"/>
      <c r="L506" s="1"/>
      <c r="M506" s="1"/>
      <c r="N506" s="1"/>
      <c r="O506" s="1"/>
      <c r="P506" s="1"/>
      <c r="Q506" s="474"/>
      <c r="S506" s="231"/>
      <c r="AA506" s="1"/>
      <c r="AB506" s="392"/>
    </row>
    <row r="507" spans="8:28" x14ac:dyDescent="0.25">
      <c r="H507" s="473"/>
      <c r="I507" s="1"/>
      <c r="J507" s="1"/>
      <c r="K507" s="1"/>
      <c r="L507" s="1"/>
      <c r="M507" s="1"/>
      <c r="N507" s="1"/>
      <c r="O507" s="1"/>
      <c r="P507" s="1"/>
      <c r="Q507" s="474"/>
      <c r="S507" s="231"/>
      <c r="AA507" s="1"/>
      <c r="AB507" s="392"/>
    </row>
    <row r="508" spans="8:28" x14ac:dyDescent="0.25">
      <c r="H508" s="473"/>
      <c r="I508" s="1"/>
      <c r="J508" s="1"/>
      <c r="K508" s="1"/>
      <c r="L508" s="1"/>
      <c r="M508" s="1"/>
      <c r="N508" s="1"/>
      <c r="O508" s="1"/>
      <c r="P508" s="1"/>
      <c r="Q508" s="474"/>
      <c r="S508" s="231"/>
      <c r="AA508" s="1"/>
      <c r="AB508" s="392"/>
    </row>
    <row r="509" spans="8:28" x14ac:dyDescent="0.25">
      <c r="H509" s="473"/>
      <c r="I509" s="1"/>
      <c r="J509" s="1"/>
      <c r="K509" s="1"/>
      <c r="L509" s="1"/>
      <c r="M509" s="1"/>
      <c r="N509" s="1"/>
      <c r="O509" s="1"/>
      <c r="P509" s="1"/>
      <c r="Q509" s="474"/>
      <c r="S509" s="231"/>
      <c r="AA509" s="1"/>
      <c r="AB509" s="392"/>
    </row>
    <row r="510" spans="8:28" x14ac:dyDescent="0.25">
      <c r="H510" s="473"/>
      <c r="I510" s="1"/>
      <c r="J510" s="1"/>
      <c r="K510" s="1"/>
      <c r="L510" s="1"/>
      <c r="M510" s="1"/>
      <c r="N510" s="1"/>
      <c r="O510" s="1"/>
      <c r="P510" s="1"/>
      <c r="Q510" s="474"/>
      <c r="S510" s="231"/>
      <c r="AA510" s="1"/>
      <c r="AB510" s="392"/>
    </row>
    <row r="511" spans="8:28" x14ac:dyDescent="0.25">
      <c r="H511" s="473"/>
      <c r="I511" s="1"/>
      <c r="J511" s="1"/>
      <c r="K511" s="1"/>
      <c r="L511" s="1"/>
      <c r="M511" s="1"/>
      <c r="N511" s="1"/>
      <c r="O511" s="1"/>
      <c r="P511" s="1"/>
      <c r="Q511" s="474"/>
      <c r="S511" s="231"/>
      <c r="AA511" s="1"/>
      <c r="AB511" s="392"/>
    </row>
    <row r="512" spans="8:28" x14ac:dyDescent="0.25">
      <c r="H512" s="473"/>
      <c r="I512" s="1"/>
      <c r="J512" s="1"/>
      <c r="K512" s="1"/>
      <c r="L512" s="1"/>
      <c r="M512" s="1"/>
      <c r="N512" s="1"/>
      <c r="O512" s="1"/>
      <c r="P512" s="1"/>
      <c r="Q512" s="474"/>
      <c r="S512" s="231"/>
      <c r="AA512" s="1"/>
      <c r="AB512" s="392"/>
    </row>
    <row r="513" spans="8:28" x14ac:dyDescent="0.25">
      <c r="H513" s="473"/>
      <c r="I513" s="1"/>
      <c r="J513" s="1"/>
      <c r="K513" s="1"/>
      <c r="L513" s="1"/>
      <c r="M513" s="1"/>
      <c r="N513" s="1"/>
      <c r="O513" s="1"/>
      <c r="P513" s="1"/>
      <c r="Q513" s="474"/>
      <c r="S513" s="231"/>
      <c r="AA513" s="1"/>
      <c r="AB513" s="392"/>
    </row>
    <row r="514" spans="8:28" x14ac:dyDescent="0.25">
      <c r="H514" s="473"/>
      <c r="I514" s="1"/>
      <c r="J514" s="1"/>
      <c r="K514" s="1"/>
      <c r="L514" s="1"/>
      <c r="M514" s="1"/>
      <c r="N514" s="1"/>
      <c r="O514" s="1"/>
      <c r="P514" s="1"/>
      <c r="Q514" s="474"/>
      <c r="S514" s="231"/>
      <c r="AA514" s="1"/>
      <c r="AB514" s="392"/>
    </row>
    <row r="515" spans="8:28" x14ac:dyDescent="0.25">
      <c r="H515" s="473"/>
      <c r="I515" s="1"/>
      <c r="J515" s="1"/>
      <c r="K515" s="1"/>
      <c r="L515" s="1"/>
      <c r="M515" s="1"/>
      <c r="N515" s="1"/>
      <c r="O515" s="1"/>
      <c r="P515" s="1"/>
      <c r="Q515" s="474"/>
      <c r="S515" s="231"/>
      <c r="AA515" s="1"/>
      <c r="AB515" s="392"/>
    </row>
    <row r="516" spans="8:28" x14ac:dyDescent="0.25">
      <c r="H516" s="473"/>
      <c r="I516" s="1"/>
      <c r="J516" s="1"/>
      <c r="K516" s="1"/>
      <c r="L516" s="1"/>
      <c r="M516" s="1"/>
      <c r="N516" s="1"/>
      <c r="O516" s="1"/>
      <c r="P516" s="1"/>
      <c r="Q516" s="474"/>
      <c r="S516" s="231"/>
      <c r="AA516" s="1"/>
      <c r="AB516" s="392"/>
    </row>
    <row r="517" spans="8:28" x14ac:dyDescent="0.25">
      <c r="H517" s="473"/>
      <c r="I517" s="1"/>
      <c r="J517" s="1"/>
      <c r="K517" s="1"/>
      <c r="L517" s="1"/>
      <c r="M517" s="1"/>
      <c r="N517" s="1"/>
      <c r="O517" s="1"/>
      <c r="P517" s="1"/>
      <c r="Q517" s="474"/>
      <c r="S517" s="231"/>
      <c r="AA517" s="1"/>
      <c r="AB517" s="392"/>
    </row>
    <row r="518" spans="8:28" x14ac:dyDescent="0.25">
      <c r="H518" s="473"/>
      <c r="I518" s="1"/>
      <c r="J518" s="1"/>
      <c r="K518" s="1"/>
      <c r="L518" s="1"/>
      <c r="M518" s="1"/>
      <c r="N518" s="1"/>
      <c r="O518" s="1"/>
      <c r="P518" s="1"/>
      <c r="Q518" s="474"/>
      <c r="S518" s="231"/>
      <c r="AA518" s="1"/>
      <c r="AB518" s="392"/>
    </row>
    <row r="519" spans="8:28" x14ac:dyDescent="0.25">
      <c r="H519" s="473"/>
      <c r="I519" s="1"/>
      <c r="J519" s="1"/>
      <c r="K519" s="1"/>
      <c r="L519" s="1"/>
      <c r="M519" s="1"/>
      <c r="N519" s="1"/>
      <c r="O519" s="1"/>
      <c r="P519" s="1"/>
      <c r="Q519" s="474"/>
      <c r="S519" s="231"/>
      <c r="AA519" s="1"/>
      <c r="AB519" s="392"/>
    </row>
    <row r="520" spans="8:28" x14ac:dyDescent="0.25">
      <c r="H520" s="473"/>
      <c r="I520" s="1"/>
      <c r="J520" s="1"/>
      <c r="K520" s="1"/>
      <c r="L520" s="1"/>
      <c r="M520" s="1"/>
      <c r="N520" s="1"/>
      <c r="O520" s="1"/>
      <c r="P520" s="1"/>
      <c r="Q520" s="474"/>
      <c r="S520" s="231"/>
      <c r="AA520" s="1"/>
      <c r="AB520" s="392"/>
    </row>
    <row r="521" spans="8:28" x14ac:dyDescent="0.25">
      <c r="H521" s="473"/>
      <c r="I521" s="1"/>
      <c r="J521" s="1"/>
      <c r="K521" s="1"/>
      <c r="L521" s="1"/>
      <c r="M521" s="1"/>
      <c r="N521" s="1"/>
      <c r="O521" s="1"/>
      <c r="P521" s="1"/>
      <c r="Q521" s="474"/>
      <c r="S521" s="231"/>
      <c r="AA521" s="1"/>
      <c r="AB521" s="392"/>
    </row>
    <row r="522" spans="8:28" x14ac:dyDescent="0.25">
      <c r="H522" s="473"/>
      <c r="I522" s="1"/>
      <c r="J522" s="1"/>
      <c r="K522" s="1"/>
      <c r="L522" s="1"/>
      <c r="M522" s="1"/>
      <c r="N522" s="1"/>
      <c r="O522" s="1"/>
      <c r="P522" s="1"/>
      <c r="Q522" s="474"/>
      <c r="S522" s="231"/>
      <c r="AA522" s="1"/>
      <c r="AB522" s="392"/>
    </row>
    <row r="523" spans="8:28" x14ac:dyDescent="0.25">
      <c r="H523" s="473"/>
      <c r="I523" s="1"/>
      <c r="J523" s="1"/>
      <c r="K523" s="1"/>
      <c r="L523" s="1"/>
      <c r="M523" s="1"/>
      <c r="N523" s="1"/>
      <c r="O523" s="1"/>
      <c r="P523" s="1"/>
      <c r="Q523" s="474"/>
      <c r="S523" s="231"/>
      <c r="AA523" s="1"/>
      <c r="AB523" s="392"/>
    </row>
    <row r="524" spans="8:28" x14ac:dyDescent="0.25">
      <c r="H524" s="473"/>
      <c r="I524" s="1"/>
      <c r="J524" s="1"/>
      <c r="K524" s="1"/>
      <c r="L524" s="1"/>
      <c r="M524" s="1"/>
      <c r="N524" s="1"/>
      <c r="O524" s="1"/>
      <c r="P524" s="1"/>
      <c r="Q524" s="474"/>
      <c r="S524" s="231"/>
      <c r="AA524" s="1"/>
      <c r="AB524" s="392"/>
    </row>
    <row r="525" spans="8:28" x14ac:dyDescent="0.25">
      <c r="H525" s="473"/>
      <c r="I525" s="1"/>
      <c r="J525" s="1"/>
      <c r="K525" s="1"/>
      <c r="L525" s="1"/>
      <c r="M525" s="1"/>
      <c r="N525" s="1"/>
      <c r="O525" s="1"/>
      <c r="P525" s="1"/>
      <c r="Q525" s="474"/>
      <c r="S525" s="231"/>
      <c r="AA525" s="1"/>
      <c r="AB525" s="392"/>
    </row>
    <row r="526" spans="8:28" x14ac:dyDescent="0.25">
      <c r="H526" s="473"/>
      <c r="I526" s="1"/>
      <c r="J526" s="1"/>
      <c r="K526" s="1"/>
      <c r="L526" s="1"/>
      <c r="M526" s="1"/>
      <c r="N526" s="1"/>
      <c r="O526" s="1"/>
      <c r="P526" s="1"/>
      <c r="Q526" s="474"/>
      <c r="S526" s="231"/>
      <c r="AA526" s="1"/>
      <c r="AB526" s="392"/>
    </row>
    <row r="527" spans="8:28" x14ac:dyDescent="0.25">
      <c r="H527" s="473"/>
      <c r="I527" s="1"/>
      <c r="J527" s="1"/>
      <c r="K527" s="1"/>
      <c r="L527" s="1"/>
      <c r="M527" s="1"/>
      <c r="N527" s="1"/>
      <c r="O527" s="1"/>
      <c r="P527" s="1"/>
      <c r="Q527" s="474"/>
      <c r="S527" s="231"/>
      <c r="AA527" s="1"/>
      <c r="AB527" s="392"/>
    </row>
    <row r="528" spans="8:28" x14ac:dyDescent="0.25">
      <c r="H528" s="473"/>
      <c r="I528" s="1"/>
      <c r="J528" s="1"/>
      <c r="K528" s="1"/>
      <c r="L528" s="1"/>
      <c r="M528" s="1"/>
      <c r="N528" s="1"/>
      <c r="O528" s="1"/>
      <c r="P528" s="1"/>
      <c r="Q528" s="474"/>
      <c r="S528" s="231"/>
      <c r="AA528" s="1"/>
      <c r="AB528" s="392"/>
    </row>
    <row r="529" spans="8:28" x14ac:dyDescent="0.25">
      <c r="H529" s="473"/>
      <c r="I529" s="1"/>
      <c r="J529" s="1"/>
      <c r="K529" s="1"/>
      <c r="L529" s="1"/>
      <c r="M529" s="1"/>
      <c r="N529" s="1"/>
      <c r="O529" s="1"/>
      <c r="P529" s="1"/>
      <c r="Q529" s="474"/>
      <c r="S529" s="231"/>
      <c r="AA529" s="1"/>
      <c r="AB529" s="392"/>
    </row>
    <row r="530" spans="8:28" x14ac:dyDescent="0.25">
      <c r="H530" s="473"/>
      <c r="I530" s="1"/>
      <c r="J530" s="1"/>
      <c r="K530" s="1"/>
      <c r="L530" s="1"/>
      <c r="M530" s="1"/>
      <c r="N530" s="1"/>
      <c r="O530" s="1"/>
      <c r="P530" s="1"/>
      <c r="Q530" s="474"/>
      <c r="S530" s="231"/>
      <c r="AA530" s="1"/>
      <c r="AB530" s="392"/>
    </row>
    <row r="531" spans="8:28" x14ac:dyDescent="0.25">
      <c r="H531" s="473"/>
      <c r="I531" s="1"/>
      <c r="J531" s="1"/>
      <c r="K531" s="1"/>
      <c r="L531" s="1"/>
      <c r="M531" s="1"/>
      <c r="N531" s="1"/>
      <c r="O531" s="1"/>
      <c r="P531" s="1"/>
      <c r="Q531" s="474"/>
      <c r="S531" s="231"/>
      <c r="AA531" s="1"/>
      <c r="AB531" s="392"/>
    </row>
    <row r="532" spans="8:28" x14ac:dyDescent="0.25">
      <c r="H532" s="473"/>
      <c r="I532" s="1"/>
      <c r="J532" s="1"/>
      <c r="K532" s="1"/>
      <c r="L532" s="1"/>
      <c r="M532" s="1"/>
      <c r="N532" s="1"/>
      <c r="O532" s="1"/>
      <c r="P532" s="1"/>
      <c r="Q532" s="474"/>
      <c r="S532" s="231"/>
      <c r="AA532" s="1"/>
      <c r="AB532" s="392"/>
    </row>
    <row r="533" spans="8:28" x14ac:dyDescent="0.25">
      <c r="H533" s="473"/>
      <c r="I533" s="1"/>
      <c r="J533" s="1"/>
      <c r="K533" s="1"/>
      <c r="L533" s="1"/>
      <c r="M533" s="1"/>
      <c r="N533" s="1"/>
      <c r="O533" s="1"/>
      <c r="P533" s="1"/>
      <c r="Q533" s="474"/>
      <c r="S533" s="231"/>
      <c r="AA533" s="1"/>
      <c r="AB533" s="392"/>
    </row>
    <row r="534" spans="8:28" x14ac:dyDescent="0.25">
      <c r="H534" s="473"/>
      <c r="I534" s="1"/>
      <c r="J534" s="1"/>
      <c r="K534" s="1"/>
      <c r="L534" s="1"/>
      <c r="M534" s="1"/>
      <c r="N534" s="1"/>
      <c r="O534" s="1"/>
      <c r="P534" s="1"/>
      <c r="Q534" s="474"/>
      <c r="S534" s="231"/>
      <c r="AA534" s="1"/>
      <c r="AB534" s="392"/>
    </row>
    <row r="535" spans="8:28" x14ac:dyDescent="0.25">
      <c r="H535" s="473"/>
      <c r="I535" s="1"/>
      <c r="J535" s="1"/>
      <c r="K535" s="1"/>
      <c r="L535" s="1"/>
      <c r="M535" s="1"/>
      <c r="N535" s="1"/>
      <c r="O535" s="1"/>
      <c r="P535" s="1"/>
      <c r="Q535" s="474"/>
      <c r="S535" s="231"/>
      <c r="AA535" s="1"/>
      <c r="AB535" s="392"/>
    </row>
    <row r="536" spans="8:28" x14ac:dyDescent="0.25">
      <c r="H536" s="473"/>
      <c r="I536" s="1"/>
      <c r="J536" s="1"/>
      <c r="K536" s="1"/>
      <c r="L536" s="1"/>
      <c r="M536" s="1"/>
      <c r="N536" s="1"/>
      <c r="O536" s="1"/>
      <c r="P536" s="1"/>
      <c r="Q536" s="474"/>
      <c r="S536" s="231"/>
      <c r="AA536" s="1"/>
      <c r="AB536" s="392"/>
    </row>
    <row r="537" spans="8:28" x14ac:dyDescent="0.25">
      <c r="H537" s="473"/>
      <c r="I537" s="1"/>
      <c r="J537" s="1"/>
      <c r="K537" s="1"/>
      <c r="L537" s="1"/>
      <c r="M537" s="1"/>
      <c r="N537" s="1"/>
      <c r="O537" s="1"/>
      <c r="P537" s="1"/>
      <c r="Q537" s="474"/>
      <c r="S537" s="231"/>
      <c r="AA537" s="1"/>
      <c r="AB537" s="392"/>
    </row>
    <row r="538" spans="8:28" x14ac:dyDescent="0.25">
      <c r="H538" s="473"/>
      <c r="I538" s="1"/>
      <c r="J538" s="1"/>
      <c r="K538" s="1"/>
      <c r="L538" s="1"/>
      <c r="M538" s="1"/>
      <c r="N538" s="1"/>
      <c r="O538" s="1"/>
      <c r="P538" s="1"/>
      <c r="Q538" s="474"/>
      <c r="S538" s="231"/>
      <c r="AA538" s="1"/>
      <c r="AB538" s="392"/>
    </row>
    <row r="539" spans="8:28" x14ac:dyDescent="0.25">
      <c r="H539" s="473"/>
      <c r="I539" s="1"/>
      <c r="J539" s="1"/>
      <c r="K539" s="1"/>
      <c r="L539" s="1"/>
      <c r="M539" s="1"/>
      <c r="N539" s="1"/>
      <c r="O539" s="1"/>
      <c r="P539" s="1"/>
      <c r="Q539" s="474"/>
      <c r="S539" s="231"/>
      <c r="AA539" s="1"/>
      <c r="AB539" s="392"/>
    </row>
    <row r="540" spans="8:28" x14ac:dyDescent="0.25">
      <c r="H540" s="473"/>
      <c r="I540" s="1"/>
      <c r="J540" s="1"/>
      <c r="K540" s="1"/>
      <c r="L540" s="1"/>
      <c r="M540" s="1"/>
      <c r="N540" s="1"/>
      <c r="O540" s="1"/>
      <c r="P540" s="1"/>
      <c r="Q540" s="474"/>
      <c r="S540" s="231"/>
      <c r="AA540" s="1"/>
      <c r="AB540" s="392"/>
    </row>
    <row r="541" spans="8:28" x14ac:dyDescent="0.25">
      <c r="H541" s="473"/>
      <c r="I541" s="1"/>
      <c r="J541" s="1"/>
      <c r="K541" s="1"/>
      <c r="L541" s="1"/>
      <c r="M541" s="1"/>
      <c r="N541" s="1"/>
      <c r="O541" s="1"/>
      <c r="P541" s="1"/>
      <c r="Q541" s="474"/>
      <c r="S541" s="231"/>
      <c r="AA541" s="1"/>
      <c r="AB541" s="392"/>
    </row>
    <row r="542" spans="8:28" x14ac:dyDescent="0.25">
      <c r="H542" s="473"/>
      <c r="I542" s="1"/>
      <c r="J542" s="1"/>
      <c r="K542" s="1"/>
      <c r="L542" s="1"/>
      <c r="M542" s="1"/>
      <c r="N542" s="1"/>
      <c r="O542" s="1"/>
      <c r="P542" s="1"/>
      <c r="Q542" s="474"/>
      <c r="S542" s="231"/>
      <c r="AA542" s="1"/>
      <c r="AB542" s="392"/>
    </row>
    <row r="543" spans="8:28" x14ac:dyDescent="0.25">
      <c r="H543" s="473"/>
      <c r="I543" s="1"/>
      <c r="J543" s="1"/>
      <c r="K543" s="1"/>
      <c r="L543" s="1"/>
      <c r="M543" s="1"/>
      <c r="N543" s="1"/>
      <c r="O543" s="1"/>
      <c r="P543" s="1"/>
      <c r="Q543" s="474"/>
      <c r="S543" s="231"/>
      <c r="AA543" s="1"/>
      <c r="AB543" s="392"/>
    </row>
    <row r="544" spans="8:28" x14ac:dyDescent="0.25">
      <c r="H544" s="473"/>
      <c r="I544" s="1"/>
      <c r="J544" s="1"/>
      <c r="K544" s="1"/>
      <c r="L544" s="1"/>
      <c r="M544" s="1"/>
      <c r="N544" s="1"/>
      <c r="O544" s="1"/>
      <c r="P544" s="1"/>
      <c r="Q544" s="474"/>
      <c r="S544" s="231"/>
      <c r="AA544" s="1"/>
      <c r="AB544" s="392"/>
    </row>
    <row r="545" spans="8:28" x14ac:dyDescent="0.25">
      <c r="H545" s="473"/>
      <c r="I545" s="1"/>
      <c r="J545" s="1"/>
      <c r="K545" s="1"/>
      <c r="L545" s="1"/>
      <c r="M545" s="1"/>
      <c r="N545" s="1"/>
      <c r="O545" s="1"/>
      <c r="P545" s="1"/>
      <c r="Q545" s="474"/>
      <c r="S545" s="231"/>
      <c r="AA545" s="1"/>
      <c r="AB545" s="392"/>
    </row>
    <row r="546" spans="8:28" x14ac:dyDescent="0.25">
      <c r="H546" s="473"/>
      <c r="I546" s="1"/>
      <c r="J546" s="1"/>
      <c r="K546" s="1"/>
      <c r="L546" s="1"/>
      <c r="M546" s="1"/>
      <c r="N546" s="1"/>
      <c r="O546" s="1"/>
      <c r="P546" s="1"/>
      <c r="Q546" s="474"/>
      <c r="S546" s="231"/>
      <c r="AA546" s="1"/>
      <c r="AB546" s="392"/>
    </row>
    <row r="547" spans="8:28" x14ac:dyDescent="0.25">
      <c r="H547" s="473"/>
      <c r="I547" s="1"/>
      <c r="J547" s="1"/>
      <c r="K547" s="1"/>
      <c r="L547" s="1"/>
      <c r="M547" s="1"/>
      <c r="N547" s="1"/>
      <c r="O547" s="1"/>
      <c r="P547" s="1"/>
      <c r="Q547" s="474"/>
      <c r="S547" s="231"/>
      <c r="AA547" s="1"/>
      <c r="AB547" s="392"/>
    </row>
    <row r="548" spans="8:28" x14ac:dyDescent="0.25">
      <c r="H548" s="473"/>
      <c r="I548" s="1"/>
      <c r="J548" s="1"/>
      <c r="K548" s="1"/>
      <c r="L548" s="1"/>
      <c r="M548" s="1"/>
      <c r="N548" s="1"/>
      <c r="O548" s="1"/>
      <c r="P548" s="1"/>
      <c r="Q548" s="474"/>
      <c r="S548" s="231"/>
      <c r="AA548" s="1"/>
      <c r="AB548" s="392"/>
    </row>
    <row r="549" spans="8:28" x14ac:dyDescent="0.25">
      <c r="H549" s="473"/>
      <c r="I549" s="1"/>
      <c r="J549" s="1"/>
      <c r="K549" s="1"/>
      <c r="L549" s="1"/>
      <c r="M549" s="1"/>
      <c r="N549" s="1"/>
      <c r="O549" s="1"/>
      <c r="P549" s="1"/>
      <c r="Q549" s="474"/>
      <c r="S549" s="231"/>
      <c r="AA549" s="1"/>
      <c r="AB549" s="392"/>
    </row>
    <row r="550" spans="8:28" x14ac:dyDescent="0.25">
      <c r="H550" s="473"/>
      <c r="I550" s="1"/>
      <c r="J550" s="1"/>
      <c r="K550" s="1"/>
      <c r="L550" s="1"/>
      <c r="M550" s="1"/>
      <c r="N550" s="1"/>
      <c r="O550" s="1"/>
      <c r="P550" s="1"/>
      <c r="Q550" s="474"/>
      <c r="S550" s="231"/>
      <c r="AA550" s="1"/>
      <c r="AB550" s="392"/>
    </row>
    <row r="551" spans="8:28" x14ac:dyDescent="0.25">
      <c r="H551" s="473"/>
      <c r="I551" s="1"/>
      <c r="J551" s="1"/>
      <c r="K551" s="1"/>
      <c r="L551" s="1"/>
      <c r="M551" s="1"/>
      <c r="N551" s="1"/>
      <c r="O551" s="1"/>
      <c r="P551" s="1"/>
      <c r="Q551" s="474"/>
      <c r="S551" s="231"/>
      <c r="AA551" s="1"/>
      <c r="AB551" s="392"/>
    </row>
    <row r="552" spans="8:28" x14ac:dyDescent="0.25">
      <c r="H552" s="473"/>
      <c r="I552" s="1"/>
      <c r="J552" s="1"/>
      <c r="K552" s="1"/>
      <c r="L552" s="1"/>
      <c r="M552" s="1"/>
      <c r="N552" s="1"/>
      <c r="O552" s="1"/>
      <c r="P552" s="1"/>
      <c r="Q552" s="474"/>
      <c r="S552" s="231"/>
      <c r="AA552" s="1"/>
      <c r="AB552" s="392"/>
    </row>
    <row r="553" spans="8:28" x14ac:dyDescent="0.25">
      <c r="H553" s="473"/>
      <c r="I553" s="1"/>
      <c r="J553" s="1"/>
      <c r="K553" s="1"/>
      <c r="L553" s="1"/>
      <c r="M553" s="1"/>
      <c r="N553" s="1"/>
      <c r="O553" s="1"/>
      <c r="P553" s="1"/>
      <c r="Q553" s="474"/>
      <c r="S553" s="231"/>
      <c r="AA553" s="1"/>
      <c r="AB553" s="392"/>
    </row>
    <row r="554" spans="8:28" x14ac:dyDescent="0.25">
      <c r="H554" s="473"/>
      <c r="I554" s="1"/>
      <c r="J554" s="1"/>
      <c r="K554" s="1"/>
      <c r="L554" s="1"/>
      <c r="M554" s="1"/>
      <c r="N554" s="1"/>
      <c r="O554" s="1"/>
      <c r="P554" s="1"/>
      <c r="Q554" s="474"/>
      <c r="S554" s="231"/>
      <c r="AA554" s="1"/>
      <c r="AB554" s="392"/>
    </row>
    <row r="555" spans="8:28" x14ac:dyDescent="0.25">
      <c r="H555" s="473"/>
      <c r="I555" s="1"/>
      <c r="J555" s="1"/>
      <c r="K555" s="1"/>
      <c r="L555" s="1"/>
      <c r="M555" s="1"/>
      <c r="N555" s="1"/>
      <c r="O555" s="1"/>
      <c r="P555" s="1"/>
      <c r="Q555" s="474"/>
      <c r="S555" s="231"/>
      <c r="AA555" s="1"/>
      <c r="AB555" s="392"/>
    </row>
    <row r="556" spans="8:28" x14ac:dyDescent="0.25">
      <c r="H556" s="473"/>
      <c r="I556" s="1"/>
      <c r="J556" s="1"/>
      <c r="K556" s="1"/>
      <c r="L556" s="1"/>
      <c r="M556" s="1"/>
      <c r="N556" s="1"/>
      <c r="O556" s="1"/>
      <c r="P556" s="1"/>
      <c r="Q556" s="474"/>
      <c r="S556" s="231"/>
      <c r="AA556" s="1"/>
      <c r="AB556" s="392"/>
    </row>
    <row r="557" spans="8:28" x14ac:dyDescent="0.25">
      <c r="H557" s="473"/>
      <c r="I557" s="1"/>
      <c r="J557" s="1"/>
      <c r="K557" s="1"/>
      <c r="L557" s="1"/>
      <c r="M557" s="1"/>
      <c r="N557" s="1"/>
      <c r="O557" s="1"/>
      <c r="P557" s="1"/>
      <c r="Q557" s="474"/>
      <c r="S557" s="231"/>
      <c r="AA557" s="1"/>
      <c r="AB557" s="392"/>
    </row>
    <row r="558" spans="8:28" x14ac:dyDescent="0.25">
      <c r="H558" s="473"/>
      <c r="I558" s="1"/>
      <c r="J558" s="1"/>
      <c r="K558" s="1"/>
      <c r="L558" s="1"/>
      <c r="M558" s="1"/>
      <c r="N558" s="1"/>
      <c r="O558" s="1"/>
      <c r="P558" s="1"/>
      <c r="Q558" s="474"/>
      <c r="S558" s="231"/>
      <c r="AA558" s="1"/>
      <c r="AB558" s="392"/>
    </row>
    <row r="559" spans="8:28" x14ac:dyDescent="0.25">
      <c r="H559" s="473"/>
      <c r="I559" s="1"/>
      <c r="J559" s="1"/>
      <c r="K559" s="1"/>
      <c r="L559" s="1"/>
      <c r="M559" s="1"/>
      <c r="N559" s="1"/>
      <c r="O559" s="1"/>
      <c r="P559" s="1"/>
      <c r="Q559" s="474"/>
      <c r="S559" s="231"/>
      <c r="AA559" s="1"/>
      <c r="AB559" s="392"/>
    </row>
    <row r="560" spans="8:28" x14ac:dyDescent="0.25">
      <c r="H560" s="473"/>
      <c r="I560" s="1"/>
      <c r="J560" s="1"/>
      <c r="K560" s="1"/>
      <c r="L560" s="1"/>
      <c r="M560" s="1"/>
      <c r="N560" s="1"/>
      <c r="O560" s="1"/>
      <c r="P560" s="1"/>
      <c r="Q560" s="474"/>
      <c r="S560" s="231"/>
      <c r="AA560" s="1"/>
      <c r="AB560" s="392"/>
    </row>
    <row r="561" spans="8:28" x14ac:dyDescent="0.25">
      <c r="H561" s="473"/>
      <c r="I561" s="1"/>
      <c r="J561" s="1"/>
      <c r="K561" s="1"/>
      <c r="L561" s="1"/>
      <c r="M561" s="1"/>
      <c r="N561" s="1"/>
      <c r="O561" s="1"/>
      <c r="P561" s="1"/>
      <c r="Q561" s="474"/>
      <c r="S561" s="231"/>
      <c r="AA561" s="1"/>
      <c r="AB561" s="392"/>
    </row>
    <row r="562" spans="8:28" x14ac:dyDescent="0.25">
      <c r="H562" s="473"/>
      <c r="I562" s="1"/>
      <c r="J562" s="1"/>
      <c r="K562" s="1"/>
      <c r="L562" s="1"/>
      <c r="M562" s="1"/>
      <c r="N562" s="1"/>
      <c r="O562" s="1"/>
      <c r="P562" s="1"/>
      <c r="Q562" s="474"/>
      <c r="S562" s="231"/>
      <c r="AA562" s="1"/>
      <c r="AB562" s="392"/>
    </row>
    <row r="563" spans="8:28" x14ac:dyDescent="0.25">
      <c r="H563" s="473"/>
      <c r="I563" s="1"/>
      <c r="J563" s="1"/>
      <c r="K563" s="1"/>
      <c r="L563" s="1"/>
      <c r="M563" s="1"/>
      <c r="N563" s="1"/>
      <c r="O563" s="1"/>
      <c r="P563" s="1"/>
      <c r="Q563" s="474"/>
      <c r="S563" s="231"/>
      <c r="AA563" s="1"/>
      <c r="AB563" s="392"/>
    </row>
    <row r="564" spans="8:28" x14ac:dyDescent="0.25">
      <c r="H564" s="473"/>
      <c r="I564" s="1"/>
      <c r="J564" s="1"/>
      <c r="K564" s="1"/>
      <c r="L564" s="1"/>
      <c r="M564" s="1"/>
      <c r="N564" s="1"/>
      <c r="O564" s="1"/>
      <c r="P564" s="1"/>
      <c r="Q564" s="474"/>
      <c r="S564" s="231"/>
      <c r="AA564" s="1"/>
      <c r="AB564" s="392"/>
    </row>
    <row r="565" spans="8:28" x14ac:dyDescent="0.25">
      <c r="H565" s="473"/>
      <c r="I565" s="1"/>
      <c r="J565" s="1"/>
      <c r="K565" s="1"/>
      <c r="L565" s="1"/>
      <c r="M565" s="1"/>
      <c r="N565" s="1"/>
      <c r="O565" s="1"/>
      <c r="P565" s="1"/>
      <c r="Q565" s="474"/>
      <c r="S565" s="231"/>
      <c r="AA565" s="1"/>
      <c r="AB565" s="392"/>
    </row>
    <row r="566" spans="8:28" x14ac:dyDescent="0.25">
      <c r="H566" s="473"/>
      <c r="I566" s="1"/>
      <c r="J566" s="1"/>
      <c r="K566" s="1"/>
      <c r="L566" s="1"/>
      <c r="M566" s="1"/>
      <c r="N566" s="1"/>
      <c r="O566" s="1"/>
      <c r="P566" s="1"/>
      <c r="Q566" s="474"/>
      <c r="S566" s="231"/>
      <c r="AA566" s="1"/>
      <c r="AB566" s="392"/>
    </row>
    <row r="567" spans="8:28" x14ac:dyDescent="0.25">
      <c r="H567" s="473"/>
      <c r="I567" s="1"/>
      <c r="J567" s="1"/>
      <c r="K567" s="1"/>
      <c r="L567" s="1"/>
      <c r="M567" s="1"/>
      <c r="N567" s="1"/>
      <c r="O567" s="1"/>
      <c r="P567" s="1"/>
      <c r="Q567" s="474"/>
      <c r="S567" s="231"/>
      <c r="AA567" s="1"/>
      <c r="AB567" s="392"/>
    </row>
    <row r="568" spans="8:28" x14ac:dyDescent="0.25">
      <c r="H568" s="473"/>
      <c r="I568" s="1"/>
      <c r="J568" s="1"/>
      <c r="K568" s="1"/>
      <c r="L568" s="1"/>
      <c r="M568" s="1"/>
      <c r="N568" s="1"/>
      <c r="O568" s="1"/>
      <c r="P568" s="1"/>
      <c r="Q568" s="474"/>
      <c r="S568" s="231"/>
      <c r="AA568" s="1"/>
      <c r="AB568" s="392"/>
    </row>
    <row r="569" spans="8:28" x14ac:dyDescent="0.25">
      <c r="H569" s="473"/>
      <c r="I569" s="1"/>
      <c r="J569" s="1"/>
      <c r="K569" s="1"/>
      <c r="L569" s="1"/>
      <c r="M569" s="1"/>
      <c r="N569" s="1"/>
      <c r="O569" s="1"/>
      <c r="P569" s="1"/>
      <c r="Q569" s="474"/>
      <c r="S569" s="231"/>
      <c r="AA569" s="1"/>
      <c r="AB569" s="392"/>
    </row>
    <row r="570" spans="8:28" x14ac:dyDescent="0.25">
      <c r="H570" s="473"/>
      <c r="I570" s="1"/>
      <c r="J570" s="1"/>
      <c r="K570" s="1"/>
      <c r="L570" s="1"/>
      <c r="M570" s="1"/>
      <c r="N570" s="1"/>
      <c r="O570" s="1"/>
      <c r="P570" s="1"/>
      <c r="Q570" s="474"/>
      <c r="S570" s="231"/>
      <c r="AA570" s="1"/>
      <c r="AB570" s="392"/>
    </row>
    <row r="571" spans="8:28" x14ac:dyDescent="0.25">
      <c r="H571" s="473"/>
      <c r="I571" s="1"/>
      <c r="J571" s="1"/>
      <c r="K571" s="1"/>
      <c r="L571" s="1"/>
      <c r="M571" s="1"/>
      <c r="N571" s="1"/>
      <c r="O571" s="1"/>
      <c r="P571" s="1"/>
      <c r="Q571" s="474"/>
      <c r="S571" s="231"/>
      <c r="AA571" s="1"/>
      <c r="AB571" s="392"/>
    </row>
    <row r="572" spans="8:28" x14ac:dyDescent="0.25">
      <c r="H572" s="473"/>
      <c r="I572" s="1"/>
      <c r="J572" s="1"/>
      <c r="K572" s="1"/>
      <c r="L572" s="1"/>
      <c r="M572" s="1"/>
      <c r="N572" s="1"/>
      <c r="O572" s="1"/>
      <c r="P572" s="1"/>
      <c r="Q572" s="474"/>
      <c r="S572" s="231"/>
      <c r="AA572" s="1"/>
      <c r="AB572" s="392"/>
    </row>
    <row r="573" spans="8:28" x14ac:dyDescent="0.25">
      <c r="H573" s="473"/>
      <c r="I573" s="1"/>
      <c r="J573" s="1"/>
      <c r="K573" s="1"/>
      <c r="L573" s="1"/>
      <c r="M573" s="1"/>
      <c r="N573" s="1"/>
      <c r="O573" s="1"/>
      <c r="P573" s="1"/>
      <c r="Q573" s="474"/>
      <c r="S573" s="231"/>
      <c r="AA573" s="1"/>
      <c r="AB573" s="392"/>
    </row>
    <row r="574" spans="8:28" x14ac:dyDescent="0.25">
      <c r="H574" s="473"/>
      <c r="I574" s="1"/>
      <c r="J574" s="1"/>
      <c r="K574" s="1"/>
      <c r="L574" s="1"/>
      <c r="M574" s="1"/>
      <c r="N574" s="1"/>
      <c r="O574" s="1"/>
      <c r="P574" s="1"/>
      <c r="Q574" s="474"/>
      <c r="S574" s="231"/>
      <c r="AA574" s="1"/>
      <c r="AB574" s="392"/>
    </row>
    <row r="575" spans="8:28" x14ac:dyDescent="0.25">
      <c r="H575" s="473"/>
      <c r="I575" s="1"/>
      <c r="J575" s="1"/>
      <c r="K575" s="1"/>
      <c r="L575" s="1"/>
      <c r="M575" s="1"/>
      <c r="N575" s="1"/>
      <c r="O575" s="1"/>
      <c r="P575" s="1"/>
      <c r="Q575" s="474"/>
      <c r="S575" s="231"/>
      <c r="AA575" s="1"/>
      <c r="AB575" s="392"/>
    </row>
    <row r="576" spans="8:28" x14ac:dyDescent="0.25">
      <c r="H576" s="473"/>
      <c r="I576" s="1"/>
      <c r="J576" s="1"/>
      <c r="K576" s="1"/>
      <c r="L576" s="1"/>
      <c r="M576" s="1"/>
      <c r="N576" s="1"/>
      <c r="O576" s="1"/>
      <c r="P576" s="1"/>
      <c r="Q576" s="474"/>
      <c r="S576" s="231"/>
      <c r="AA576" s="1"/>
      <c r="AB576" s="392"/>
    </row>
    <row r="577" spans="8:28" x14ac:dyDescent="0.25">
      <c r="H577" s="473"/>
      <c r="I577" s="1"/>
      <c r="J577" s="1"/>
      <c r="K577" s="1"/>
      <c r="L577" s="1"/>
      <c r="M577" s="1"/>
      <c r="N577" s="1"/>
      <c r="O577" s="1"/>
      <c r="P577" s="1"/>
      <c r="Q577" s="474"/>
      <c r="S577" s="231"/>
      <c r="AA577" s="1"/>
      <c r="AB577" s="392"/>
    </row>
    <row r="578" spans="8:28" x14ac:dyDescent="0.25">
      <c r="H578" s="473"/>
      <c r="I578" s="1"/>
      <c r="J578" s="1"/>
      <c r="K578" s="1"/>
      <c r="L578" s="1"/>
      <c r="M578" s="1"/>
      <c r="N578" s="1"/>
      <c r="O578" s="1"/>
      <c r="P578" s="1"/>
      <c r="Q578" s="474"/>
      <c r="S578" s="231"/>
      <c r="AA578" s="1"/>
      <c r="AB578" s="392"/>
    </row>
    <row r="579" spans="8:28" x14ac:dyDescent="0.25">
      <c r="H579" s="473"/>
      <c r="I579" s="1"/>
      <c r="J579" s="1"/>
      <c r="K579" s="1"/>
      <c r="L579" s="1"/>
      <c r="M579" s="1"/>
      <c r="N579" s="1"/>
      <c r="O579" s="1"/>
      <c r="P579" s="1"/>
      <c r="Q579" s="474"/>
      <c r="S579" s="231"/>
      <c r="AA579" s="1"/>
      <c r="AB579" s="392"/>
    </row>
    <row r="580" spans="8:28" x14ac:dyDescent="0.25">
      <c r="H580" s="473"/>
      <c r="I580" s="1"/>
      <c r="J580" s="1"/>
      <c r="K580" s="1"/>
      <c r="L580" s="1"/>
      <c r="M580" s="1"/>
      <c r="N580" s="1"/>
      <c r="O580" s="1"/>
      <c r="P580" s="1"/>
      <c r="Q580" s="474"/>
      <c r="S580" s="231"/>
      <c r="AA580" s="1"/>
      <c r="AB580" s="392"/>
    </row>
    <row r="581" spans="8:28" x14ac:dyDescent="0.25">
      <c r="H581" s="473"/>
      <c r="I581" s="1"/>
      <c r="J581" s="1"/>
      <c r="K581" s="1"/>
      <c r="L581" s="1"/>
      <c r="M581" s="1"/>
      <c r="N581" s="1"/>
      <c r="O581" s="1"/>
      <c r="P581" s="1"/>
      <c r="Q581" s="474"/>
      <c r="S581" s="231"/>
      <c r="AA581" s="1"/>
      <c r="AB581" s="392"/>
    </row>
    <row r="582" spans="8:28" x14ac:dyDescent="0.25">
      <c r="H582" s="473"/>
      <c r="I582" s="1"/>
      <c r="J582" s="1"/>
      <c r="K582" s="1"/>
      <c r="L582" s="1"/>
      <c r="M582" s="1"/>
      <c r="N582" s="1"/>
      <c r="O582" s="1"/>
      <c r="P582" s="1"/>
      <c r="Q582" s="474"/>
      <c r="S582" s="231"/>
      <c r="AA582" s="1"/>
      <c r="AB582" s="392"/>
    </row>
    <row r="583" spans="8:28" x14ac:dyDescent="0.25">
      <c r="H583" s="473"/>
      <c r="I583" s="1"/>
      <c r="J583" s="1"/>
      <c r="K583" s="1"/>
      <c r="L583" s="1"/>
      <c r="M583" s="1"/>
      <c r="N583" s="1"/>
      <c r="O583" s="1"/>
      <c r="P583" s="1"/>
      <c r="Q583" s="474"/>
      <c r="S583" s="231"/>
      <c r="AA583" s="1"/>
      <c r="AB583" s="392"/>
    </row>
    <row r="584" spans="8:28" x14ac:dyDescent="0.25">
      <c r="H584" s="473"/>
      <c r="I584" s="1"/>
      <c r="J584" s="1"/>
      <c r="K584" s="1"/>
      <c r="L584" s="1"/>
      <c r="M584" s="1"/>
      <c r="N584" s="1"/>
      <c r="O584" s="1"/>
      <c r="P584" s="1"/>
      <c r="Q584" s="474"/>
      <c r="S584" s="231"/>
      <c r="AA584" s="1"/>
      <c r="AB584" s="392"/>
    </row>
    <row r="585" spans="8:28" x14ac:dyDescent="0.25">
      <c r="H585" s="473"/>
      <c r="I585" s="1"/>
      <c r="J585" s="1"/>
      <c r="K585" s="1"/>
      <c r="L585" s="1"/>
      <c r="M585" s="1"/>
      <c r="N585" s="1"/>
      <c r="O585" s="1"/>
      <c r="P585" s="1"/>
      <c r="Q585" s="474"/>
      <c r="S585" s="231"/>
      <c r="AA585" s="1"/>
      <c r="AB585" s="392"/>
    </row>
    <row r="586" spans="8:28" x14ac:dyDescent="0.25">
      <c r="H586" s="473"/>
      <c r="I586" s="1"/>
      <c r="J586" s="1"/>
      <c r="K586" s="1"/>
      <c r="L586" s="1"/>
      <c r="M586" s="1"/>
      <c r="N586" s="1"/>
      <c r="O586" s="1"/>
      <c r="P586" s="1"/>
      <c r="Q586" s="474"/>
      <c r="S586" s="231"/>
      <c r="AA586" s="1"/>
      <c r="AB586" s="392"/>
    </row>
    <row r="587" spans="8:28" x14ac:dyDescent="0.25">
      <c r="H587" s="473"/>
      <c r="I587" s="1"/>
      <c r="J587" s="1"/>
      <c r="K587" s="1"/>
      <c r="L587" s="1"/>
      <c r="M587" s="1"/>
      <c r="N587" s="1"/>
      <c r="O587" s="1"/>
      <c r="P587" s="1"/>
      <c r="Q587" s="474"/>
      <c r="S587" s="231"/>
      <c r="AA587" s="1"/>
      <c r="AB587" s="392"/>
    </row>
    <row r="588" spans="8:28" x14ac:dyDescent="0.25">
      <c r="H588" s="473"/>
      <c r="I588" s="1"/>
      <c r="J588" s="1"/>
      <c r="K588" s="1"/>
      <c r="L588" s="1"/>
      <c r="M588" s="1"/>
      <c r="N588" s="1"/>
      <c r="O588" s="1"/>
      <c r="P588" s="1"/>
      <c r="Q588" s="474"/>
      <c r="S588" s="231"/>
      <c r="AA588" s="1"/>
      <c r="AB588" s="392"/>
    </row>
    <row r="589" spans="8:28" x14ac:dyDescent="0.25">
      <c r="H589" s="473"/>
      <c r="I589" s="1"/>
      <c r="J589" s="1"/>
      <c r="K589" s="1"/>
      <c r="L589" s="1"/>
      <c r="M589" s="1"/>
      <c r="N589" s="1"/>
      <c r="O589" s="1"/>
      <c r="P589" s="1"/>
      <c r="Q589" s="474"/>
      <c r="S589" s="231"/>
      <c r="AA589" s="1"/>
      <c r="AB589" s="392"/>
    </row>
    <row r="590" spans="8:28" x14ac:dyDescent="0.25">
      <c r="H590" s="473"/>
      <c r="I590" s="1"/>
      <c r="J590" s="1"/>
      <c r="K590" s="1"/>
      <c r="L590" s="1"/>
      <c r="M590" s="1"/>
      <c r="N590" s="1"/>
      <c r="O590" s="1"/>
      <c r="P590" s="1"/>
      <c r="Q590" s="474"/>
      <c r="S590" s="231"/>
      <c r="AA590" s="1"/>
      <c r="AB590" s="392"/>
    </row>
    <row r="591" spans="8:28" x14ac:dyDescent="0.25">
      <c r="H591" s="473"/>
      <c r="I591" s="1"/>
      <c r="J591" s="1"/>
      <c r="K591" s="1"/>
      <c r="L591" s="1"/>
      <c r="M591" s="1"/>
      <c r="N591" s="1"/>
      <c r="O591" s="1"/>
      <c r="P591" s="1"/>
      <c r="Q591" s="474"/>
      <c r="S591" s="231"/>
      <c r="AA591" s="1"/>
      <c r="AB591" s="392"/>
    </row>
    <row r="592" spans="8:28" x14ac:dyDescent="0.25">
      <c r="H592" s="473"/>
      <c r="I592" s="1"/>
      <c r="J592" s="1"/>
      <c r="K592" s="1"/>
      <c r="L592" s="1"/>
      <c r="M592" s="1"/>
      <c r="N592" s="1"/>
      <c r="O592" s="1"/>
      <c r="P592" s="1"/>
      <c r="Q592" s="474"/>
      <c r="S592" s="231"/>
      <c r="AA592" s="1"/>
      <c r="AB592" s="392"/>
    </row>
    <row r="593" spans="8:28" x14ac:dyDescent="0.25">
      <c r="H593" s="473"/>
      <c r="I593" s="1"/>
      <c r="J593" s="1"/>
      <c r="K593" s="1"/>
      <c r="L593" s="1"/>
      <c r="M593" s="1"/>
      <c r="N593" s="1"/>
      <c r="O593" s="1"/>
      <c r="P593" s="1"/>
      <c r="Q593" s="474"/>
      <c r="S593" s="231"/>
      <c r="AA593" s="1"/>
      <c r="AB593" s="392"/>
    </row>
    <row r="594" spans="8:28" x14ac:dyDescent="0.25">
      <c r="H594" s="473"/>
      <c r="I594" s="1"/>
      <c r="J594" s="1"/>
      <c r="K594" s="1"/>
      <c r="L594" s="1"/>
      <c r="M594" s="1"/>
      <c r="N594" s="1"/>
      <c r="O594" s="1"/>
      <c r="P594" s="1"/>
      <c r="Q594" s="474"/>
      <c r="S594" s="231"/>
      <c r="AA594" s="1"/>
      <c r="AB594" s="392"/>
    </row>
    <row r="595" spans="8:28" x14ac:dyDescent="0.25">
      <c r="H595" s="473"/>
      <c r="I595" s="1"/>
      <c r="J595" s="1"/>
      <c r="K595" s="1"/>
      <c r="L595" s="1"/>
      <c r="M595" s="1"/>
      <c r="N595" s="1"/>
      <c r="O595" s="1"/>
      <c r="P595" s="1"/>
      <c r="Q595" s="474"/>
      <c r="S595" s="231"/>
      <c r="AA595" s="1"/>
      <c r="AB595" s="392"/>
    </row>
    <row r="596" spans="8:28" x14ac:dyDescent="0.25">
      <c r="H596" s="473"/>
      <c r="I596" s="1"/>
      <c r="J596" s="1"/>
      <c r="K596" s="1"/>
      <c r="L596" s="1"/>
      <c r="M596" s="1"/>
      <c r="N596" s="1"/>
      <c r="O596" s="1"/>
      <c r="P596" s="1"/>
      <c r="Q596" s="474"/>
      <c r="S596" s="231"/>
      <c r="AA596" s="1"/>
      <c r="AB596" s="392"/>
    </row>
    <row r="597" spans="8:28" x14ac:dyDescent="0.25">
      <c r="H597" s="473"/>
      <c r="I597" s="1"/>
      <c r="J597" s="1"/>
      <c r="K597" s="1"/>
      <c r="L597" s="1"/>
      <c r="M597" s="1"/>
      <c r="N597" s="1"/>
      <c r="O597" s="1"/>
      <c r="P597" s="1"/>
      <c r="Q597" s="474"/>
      <c r="S597" s="231"/>
      <c r="AA597" s="1"/>
      <c r="AB597" s="392"/>
    </row>
    <row r="598" spans="8:28" x14ac:dyDescent="0.25">
      <c r="H598" s="473"/>
      <c r="I598" s="1"/>
      <c r="J598" s="1"/>
      <c r="K598" s="1"/>
      <c r="L598" s="1"/>
      <c r="M598" s="1"/>
      <c r="N598" s="1"/>
      <c r="O598" s="1"/>
      <c r="P598" s="1"/>
      <c r="Q598" s="474"/>
      <c r="S598" s="231"/>
      <c r="AA598" s="1"/>
      <c r="AB598" s="392"/>
    </row>
    <row r="599" spans="8:28" x14ac:dyDescent="0.25">
      <c r="H599" s="473"/>
      <c r="I599" s="1"/>
      <c r="J599" s="1"/>
      <c r="K599" s="1"/>
      <c r="L599" s="1"/>
      <c r="M599" s="1"/>
      <c r="N599" s="1"/>
      <c r="O599" s="1"/>
      <c r="P599" s="1"/>
      <c r="Q599" s="474"/>
      <c r="S599" s="231"/>
      <c r="AA599" s="1"/>
      <c r="AB599" s="392"/>
    </row>
    <row r="600" spans="8:28" x14ac:dyDescent="0.25">
      <c r="H600" s="473"/>
      <c r="I600" s="1"/>
      <c r="J600" s="1"/>
      <c r="K600" s="1"/>
      <c r="L600" s="1"/>
      <c r="M600" s="1"/>
      <c r="N600" s="1"/>
      <c r="O600" s="1"/>
      <c r="P600" s="1"/>
      <c r="Q600" s="474"/>
      <c r="S600" s="231"/>
      <c r="AA600" s="1"/>
      <c r="AB600" s="392"/>
    </row>
    <row r="601" spans="8:28" x14ac:dyDescent="0.25">
      <c r="H601" s="473"/>
      <c r="I601" s="1"/>
      <c r="J601" s="1"/>
      <c r="K601" s="1"/>
      <c r="L601" s="1"/>
      <c r="M601" s="1"/>
      <c r="N601" s="1"/>
      <c r="O601" s="1"/>
      <c r="P601" s="1"/>
      <c r="Q601" s="474"/>
      <c r="S601" s="231"/>
      <c r="AA601" s="1"/>
      <c r="AB601" s="392"/>
    </row>
    <row r="602" spans="8:28" x14ac:dyDescent="0.25">
      <c r="H602" s="473"/>
      <c r="I602" s="1"/>
      <c r="J602" s="1"/>
      <c r="K602" s="1"/>
      <c r="L602" s="1"/>
      <c r="M602" s="1"/>
      <c r="N602" s="1"/>
      <c r="O602" s="1"/>
      <c r="P602" s="1"/>
      <c r="Q602" s="474"/>
      <c r="S602" s="231"/>
      <c r="AA602" s="1"/>
      <c r="AB602" s="392"/>
    </row>
    <row r="603" spans="8:28" x14ac:dyDescent="0.25">
      <c r="H603" s="473"/>
      <c r="I603" s="1"/>
      <c r="J603" s="1"/>
      <c r="K603" s="1"/>
      <c r="L603" s="1"/>
      <c r="M603" s="1"/>
      <c r="N603" s="1"/>
      <c r="O603" s="1"/>
      <c r="P603" s="1"/>
      <c r="Q603" s="474"/>
      <c r="S603" s="231"/>
      <c r="AA603" s="1"/>
      <c r="AB603" s="392"/>
    </row>
    <row r="604" spans="8:28" x14ac:dyDescent="0.25">
      <c r="H604" s="473"/>
      <c r="I604" s="1"/>
      <c r="J604" s="1"/>
      <c r="K604" s="1"/>
      <c r="L604" s="1"/>
      <c r="M604" s="1"/>
      <c r="N604" s="1"/>
      <c r="O604" s="1"/>
      <c r="P604" s="1"/>
      <c r="Q604" s="474"/>
      <c r="S604" s="231"/>
      <c r="AA604" s="1"/>
      <c r="AB604" s="392"/>
    </row>
    <row r="605" spans="8:28" x14ac:dyDescent="0.25">
      <c r="H605" s="473"/>
      <c r="I605" s="1"/>
      <c r="J605" s="1"/>
      <c r="K605" s="1"/>
      <c r="L605" s="1"/>
      <c r="M605" s="1"/>
      <c r="N605" s="1"/>
      <c r="O605" s="1"/>
      <c r="P605" s="1"/>
      <c r="Q605" s="474"/>
      <c r="S605" s="231"/>
      <c r="AA605" s="1"/>
      <c r="AB605" s="392"/>
    </row>
    <row r="606" spans="8:28" x14ac:dyDescent="0.25">
      <c r="H606" s="473"/>
      <c r="I606" s="1"/>
      <c r="J606" s="1"/>
      <c r="K606" s="1"/>
      <c r="L606" s="1"/>
      <c r="M606" s="1"/>
      <c r="N606" s="1"/>
      <c r="O606" s="1"/>
      <c r="P606" s="1"/>
      <c r="Q606" s="474"/>
      <c r="S606" s="231"/>
      <c r="AA606" s="1"/>
      <c r="AB606" s="392"/>
    </row>
    <row r="607" spans="8:28" x14ac:dyDescent="0.25">
      <c r="H607" s="473"/>
      <c r="I607" s="1"/>
      <c r="J607" s="1"/>
      <c r="K607" s="1"/>
      <c r="L607" s="1"/>
      <c r="M607" s="1"/>
      <c r="N607" s="1"/>
      <c r="O607" s="1"/>
      <c r="P607" s="1"/>
      <c r="Q607" s="474"/>
      <c r="S607" s="231"/>
      <c r="AA607" s="1"/>
      <c r="AB607" s="392"/>
    </row>
    <row r="608" spans="8:28" x14ac:dyDescent="0.25">
      <c r="H608" s="473"/>
      <c r="I608" s="1"/>
      <c r="J608" s="1"/>
      <c r="K608" s="1"/>
      <c r="L608" s="1"/>
      <c r="M608" s="1"/>
      <c r="N608" s="1"/>
      <c r="O608" s="1"/>
      <c r="P608" s="1"/>
      <c r="Q608" s="474"/>
      <c r="S608" s="231"/>
      <c r="AA608" s="1"/>
      <c r="AB608" s="392"/>
    </row>
    <row r="609" spans="8:28" x14ac:dyDescent="0.25">
      <c r="H609" s="473"/>
      <c r="I609" s="1"/>
      <c r="J609" s="1"/>
      <c r="K609" s="1"/>
      <c r="L609" s="1"/>
      <c r="M609" s="1"/>
      <c r="N609" s="1"/>
      <c r="O609" s="1"/>
      <c r="P609" s="1"/>
      <c r="Q609" s="474"/>
      <c r="S609" s="231"/>
      <c r="AA609" s="1"/>
      <c r="AB609" s="392"/>
    </row>
    <row r="610" spans="8:28" x14ac:dyDescent="0.25">
      <c r="H610" s="473"/>
      <c r="I610" s="1"/>
      <c r="J610" s="1"/>
      <c r="K610" s="1"/>
      <c r="L610" s="1"/>
      <c r="M610" s="1"/>
      <c r="N610" s="1"/>
      <c r="O610" s="1"/>
      <c r="P610" s="1"/>
      <c r="Q610" s="474"/>
      <c r="S610" s="231"/>
      <c r="AA610" s="1"/>
      <c r="AB610" s="392"/>
    </row>
    <row r="611" spans="8:28" x14ac:dyDescent="0.25">
      <c r="H611" s="473"/>
      <c r="I611" s="1"/>
      <c r="J611" s="1"/>
      <c r="K611" s="1"/>
      <c r="L611" s="1"/>
      <c r="M611" s="1"/>
      <c r="N611" s="1"/>
      <c r="O611" s="1"/>
      <c r="P611" s="1"/>
      <c r="Q611" s="474"/>
      <c r="S611" s="231"/>
      <c r="AA611" s="1"/>
      <c r="AB611" s="392"/>
    </row>
    <row r="612" spans="8:28" x14ac:dyDescent="0.25">
      <c r="H612" s="473"/>
      <c r="I612" s="1"/>
      <c r="J612" s="1"/>
      <c r="K612" s="1"/>
      <c r="L612" s="1"/>
      <c r="M612" s="1"/>
      <c r="N612" s="1"/>
      <c r="O612" s="1"/>
      <c r="P612" s="1"/>
      <c r="Q612" s="474"/>
      <c r="S612" s="231"/>
      <c r="AA612" s="1"/>
      <c r="AB612" s="392"/>
    </row>
    <row r="613" spans="8:28" x14ac:dyDescent="0.25">
      <c r="H613" s="473"/>
      <c r="I613" s="1"/>
      <c r="J613" s="1"/>
      <c r="K613" s="1"/>
      <c r="L613" s="1"/>
      <c r="M613" s="1"/>
      <c r="N613" s="1"/>
      <c r="O613" s="1"/>
      <c r="P613" s="1"/>
      <c r="Q613" s="474"/>
      <c r="S613" s="231"/>
      <c r="AA613" s="1"/>
      <c r="AB613" s="392"/>
    </row>
    <row r="614" spans="8:28" x14ac:dyDescent="0.25">
      <c r="H614" s="473"/>
      <c r="I614" s="1"/>
      <c r="J614" s="1"/>
      <c r="K614" s="1"/>
      <c r="L614" s="1"/>
      <c r="M614" s="1"/>
      <c r="N614" s="1"/>
      <c r="O614" s="1"/>
      <c r="P614" s="1"/>
      <c r="Q614" s="474"/>
      <c r="S614" s="231"/>
      <c r="AA614" s="1"/>
      <c r="AB614" s="392"/>
    </row>
    <row r="615" spans="8:28" x14ac:dyDescent="0.25">
      <c r="H615" s="473"/>
      <c r="I615" s="1"/>
      <c r="J615" s="1"/>
      <c r="K615" s="1"/>
      <c r="L615" s="1"/>
      <c r="M615" s="1"/>
      <c r="N615" s="1"/>
      <c r="O615" s="1"/>
      <c r="P615" s="1"/>
      <c r="Q615" s="474"/>
      <c r="S615" s="231"/>
      <c r="AA615" s="1"/>
      <c r="AB615" s="392"/>
    </row>
    <row r="616" spans="8:28" x14ac:dyDescent="0.25">
      <c r="H616" s="473"/>
      <c r="I616" s="1"/>
      <c r="J616" s="1"/>
      <c r="K616" s="1"/>
      <c r="L616" s="1"/>
      <c r="M616" s="1"/>
      <c r="N616" s="1"/>
      <c r="O616" s="1"/>
      <c r="P616" s="1"/>
      <c r="Q616" s="474"/>
      <c r="S616" s="231"/>
      <c r="AA616" s="1"/>
      <c r="AB616" s="392"/>
    </row>
    <row r="617" spans="8:28" x14ac:dyDescent="0.25">
      <c r="H617" s="473"/>
      <c r="I617" s="1"/>
      <c r="J617" s="1"/>
      <c r="K617" s="1"/>
      <c r="L617" s="1"/>
      <c r="M617" s="1"/>
      <c r="N617" s="1"/>
      <c r="O617" s="1"/>
      <c r="P617" s="1"/>
      <c r="Q617" s="474"/>
      <c r="S617" s="231"/>
      <c r="AA617" s="1"/>
      <c r="AB617" s="392"/>
    </row>
    <row r="618" spans="8:28" x14ac:dyDescent="0.25">
      <c r="H618" s="473"/>
      <c r="I618" s="1"/>
      <c r="J618" s="1"/>
      <c r="K618" s="1"/>
      <c r="L618" s="1"/>
      <c r="M618" s="1"/>
      <c r="N618" s="1"/>
      <c r="O618" s="1"/>
      <c r="P618" s="1"/>
      <c r="Q618" s="474"/>
      <c r="S618" s="231"/>
      <c r="AA618" s="1"/>
      <c r="AB618" s="392"/>
    </row>
    <row r="619" spans="8:28" x14ac:dyDescent="0.25">
      <c r="H619" s="473"/>
      <c r="I619" s="1"/>
      <c r="J619" s="1"/>
      <c r="K619" s="1"/>
      <c r="L619" s="1"/>
      <c r="M619" s="1"/>
      <c r="N619" s="1"/>
      <c r="O619" s="1"/>
      <c r="P619" s="1"/>
      <c r="Q619" s="474"/>
      <c r="S619" s="231"/>
      <c r="AA619" s="1"/>
      <c r="AB619" s="392"/>
    </row>
    <row r="620" spans="8:28" x14ac:dyDescent="0.25">
      <c r="H620" s="473"/>
      <c r="I620" s="1"/>
      <c r="J620" s="1"/>
      <c r="K620" s="1"/>
      <c r="L620" s="1"/>
      <c r="M620" s="1"/>
      <c r="N620" s="1"/>
      <c r="O620" s="1"/>
      <c r="P620" s="1"/>
      <c r="Q620" s="474"/>
      <c r="S620" s="231"/>
      <c r="AA620" s="1"/>
      <c r="AB620" s="392"/>
    </row>
    <row r="621" spans="8:28" x14ac:dyDescent="0.25">
      <c r="H621" s="473"/>
      <c r="I621" s="1"/>
      <c r="J621" s="1"/>
      <c r="K621" s="1"/>
      <c r="L621" s="1"/>
      <c r="M621" s="1"/>
      <c r="N621" s="1"/>
      <c r="O621" s="1"/>
      <c r="P621" s="1"/>
      <c r="Q621" s="474"/>
      <c r="S621" s="231"/>
      <c r="AA621" s="1"/>
      <c r="AB621" s="392"/>
    </row>
    <row r="622" spans="8:28" x14ac:dyDescent="0.25">
      <c r="H622" s="473"/>
      <c r="I622" s="1"/>
      <c r="J622" s="1"/>
      <c r="K622" s="1"/>
      <c r="L622" s="1"/>
      <c r="M622" s="1"/>
      <c r="N622" s="1"/>
      <c r="O622" s="1"/>
      <c r="P622" s="1"/>
      <c r="Q622" s="474"/>
      <c r="S622" s="231"/>
      <c r="AA622" s="1"/>
      <c r="AB622" s="392"/>
    </row>
    <row r="623" spans="8:28" x14ac:dyDescent="0.25">
      <c r="H623" s="473"/>
      <c r="I623" s="1"/>
      <c r="J623" s="1"/>
      <c r="K623" s="1"/>
      <c r="L623" s="1"/>
      <c r="M623" s="1"/>
      <c r="N623" s="1"/>
      <c r="O623" s="1"/>
      <c r="P623" s="1"/>
      <c r="Q623" s="474"/>
      <c r="S623" s="231"/>
      <c r="AA623" s="1"/>
      <c r="AB623" s="392"/>
    </row>
    <row r="624" spans="8:28" x14ac:dyDescent="0.25">
      <c r="H624" s="473"/>
      <c r="I624" s="1"/>
      <c r="J624" s="1"/>
      <c r="K624" s="1"/>
      <c r="L624" s="1"/>
      <c r="M624" s="1"/>
      <c r="N624" s="1"/>
      <c r="O624" s="1"/>
      <c r="P624" s="1"/>
      <c r="Q624" s="474"/>
      <c r="S624" s="231"/>
      <c r="AA624" s="1"/>
      <c r="AB624" s="392"/>
    </row>
    <row r="625" spans="8:28" x14ac:dyDescent="0.25">
      <c r="H625" s="473"/>
      <c r="I625" s="1"/>
      <c r="J625" s="1"/>
      <c r="K625" s="1"/>
      <c r="L625" s="1"/>
      <c r="M625" s="1"/>
      <c r="N625" s="1"/>
      <c r="O625" s="1"/>
      <c r="P625" s="1"/>
      <c r="Q625" s="474"/>
      <c r="S625" s="231"/>
      <c r="AA625" s="1"/>
      <c r="AB625" s="392"/>
    </row>
    <row r="626" spans="8:28" x14ac:dyDescent="0.25">
      <c r="H626" s="473"/>
      <c r="I626" s="1"/>
      <c r="J626" s="1"/>
      <c r="K626" s="1"/>
      <c r="L626" s="1"/>
      <c r="M626" s="1"/>
      <c r="N626" s="1"/>
      <c r="O626" s="1"/>
      <c r="P626" s="1"/>
      <c r="Q626" s="474"/>
      <c r="S626" s="231"/>
      <c r="AA626" s="1"/>
      <c r="AB626" s="392"/>
    </row>
    <row r="627" spans="8:28" x14ac:dyDescent="0.25">
      <c r="H627" s="473"/>
      <c r="I627" s="1"/>
      <c r="J627" s="1"/>
      <c r="K627" s="1"/>
      <c r="L627" s="1"/>
      <c r="M627" s="1"/>
      <c r="N627" s="1"/>
      <c r="O627" s="1"/>
      <c r="P627" s="1"/>
      <c r="Q627" s="474"/>
      <c r="S627" s="231"/>
      <c r="AA627" s="1"/>
      <c r="AB627" s="392"/>
    </row>
    <row r="628" spans="8:28" x14ac:dyDescent="0.25">
      <c r="H628" s="473"/>
      <c r="I628" s="1"/>
      <c r="J628" s="1"/>
      <c r="K628" s="1"/>
      <c r="L628" s="1"/>
      <c r="M628" s="1"/>
      <c r="N628" s="1"/>
      <c r="O628" s="1"/>
      <c r="P628" s="1"/>
      <c r="Q628" s="474"/>
      <c r="S628" s="231"/>
      <c r="AA628" s="1"/>
      <c r="AB628" s="392"/>
    </row>
    <row r="629" spans="8:28" x14ac:dyDescent="0.25">
      <c r="H629" s="473"/>
      <c r="I629" s="1"/>
      <c r="J629" s="1"/>
      <c r="K629" s="1"/>
      <c r="L629" s="1"/>
      <c r="M629" s="1"/>
      <c r="N629" s="1"/>
      <c r="O629" s="1"/>
      <c r="P629" s="1"/>
      <c r="Q629" s="474"/>
      <c r="S629" s="231"/>
      <c r="AA629" s="1"/>
      <c r="AB629" s="392"/>
    </row>
    <row r="630" spans="8:28" x14ac:dyDescent="0.25">
      <c r="H630" s="473"/>
      <c r="I630" s="1"/>
      <c r="J630" s="1"/>
      <c r="K630" s="1"/>
      <c r="L630" s="1"/>
      <c r="M630" s="1"/>
      <c r="N630" s="1"/>
      <c r="O630" s="1"/>
      <c r="P630" s="1"/>
      <c r="Q630" s="474"/>
      <c r="S630" s="231"/>
      <c r="AA630" s="1"/>
      <c r="AB630" s="392"/>
    </row>
    <row r="631" spans="8:28" x14ac:dyDescent="0.25">
      <c r="H631" s="473"/>
      <c r="I631" s="1"/>
      <c r="J631" s="1"/>
      <c r="K631" s="1"/>
      <c r="L631" s="1"/>
      <c r="M631" s="1"/>
      <c r="N631" s="1"/>
      <c r="O631" s="1"/>
      <c r="P631" s="1"/>
      <c r="Q631" s="474"/>
      <c r="S631" s="231"/>
      <c r="AA631" s="1"/>
      <c r="AB631" s="392"/>
    </row>
    <row r="632" spans="8:28" x14ac:dyDescent="0.25">
      <c r="H632" s="473"/>
      <c r="I632" s="1"/>
      <c r="J632" s="1"/>
      <c r="K632" s="1"/>
      <c r="L632" s="1"/>
      <c r="M632" s="1"/>
      <c r="N632" s="1"/>
      <c r="O632" s="1"/>
      <c r="P632" s="1"/>
      <c r="Q632" s="474"/>
      <c r="S632" s="231"/>
      <c r="AA632" s="1"/>
      <c r="AB632" s="392"/>
    </row>
    <row r="633" spans="8:28" x14ac:dyDescent="0.25">
      <c r="H633" s="473"/>
      <c r="I633" s="1"/>
      <c r="J633" s="1"/>
      <c r="K633" s="1"/>
      <c r="L633" s="1"/>
      <c r="M633" s="1"/>
      <c r="N633" s="1"/>
      <c r="O633" s="1"/>
      <c r="P633" s="1"/>
      <c r="Q633" s="474"/>
      <c r="S633" s="231"/>
      <c r="AA633" s="1"/>
      <c r="AB633" s="392"/>
    </row>
    <row r="634" spans="8:28" x14ac:dyDescent="0.25">
      <c r="H634" s="473"/>
      <c r="I634" s="1"/>
      <c r="J634" s="1"/>
      <c r="K634" s="1"/>
      <c r="L634" s="1"/>
      <c r="M634" s="1"/>
      <c r="N634" s="1"/>
      <c r="O634" s="1"/>
      <c r="P634" s="1"/>
      <c r="Q634" s="474"/>
      <c r="S634" s="231"/>
      <c r="AA634" s="1"/>
      <c r="AB634" s="392"/>
    </row>
    <row r="635" spans="8:28" x14ac:dyDescent="0.25">
      <c r="H635" s="473"/>
      <c r="I635" s="1"/>
      <c r="J635" s="1"/>
      <c r="K635" s="1"/>
      <c r="L635" s="1"/>
      <c r="M635" s="1"/>
      <c r="N635" s="1"/>
      <c r="O635" s="1"/>
      <c r="P635" s="1"/>
      <c r="Q635" s="474"/>
      <c r="S635" s="231"/>
      <c r="AA635" s="1"/>
      <c r="AB635" s="392"/>
    </row>
    <row r="636" spans="8:28" x14ac:dyDescent="0.25">
      <c r="H636" s="473"/>
      <c r="I636" s="1"/>
      <c r="J636" s="1"/>
      <c r="K636" s="1"/>
      <c r="L636" s="1"/>
      <c r="M636" s="1"/>
      <c r="N636" s="1"/>
      <c r="O636" s="1"/>
      <c r="P636" s="1"/>
      <c r="Q636" s="474"/>
      <c r="S636" s="231"/>
      <c r="AA636" s="1"/>
      <c r="AB636" s="392"/>
    </row>
    <row r="637" spans="8:28" x14ac:dyDescent="0.25">
      <c r="H637" s="473"/>
      <c r="I637" s="1"/>
      <c r="J637" s="1"/>
      <c r="K637" s="1"/>
      <c r="L637" s="1"/>
      <c r="M637" s="1"/>
      <c r="N637" s="1"/>
      <c r="O637" s="1"/>
      <c r="P637" s="1"/>
      <c r="Q637" s="474"/>
      <c r="S637" s="231"/>
      <c r="AA637" s="1"/>
      <c r="AB637" s="392"/>
    </row>
    <row r="638" spans="8:28" x14ac:dyDescent="0.25">
      <c r="H638" s="473"/>
      <c r="I638" s="1"/>
      <c r="J638" s="1"/>
      <c r="K638" s="1"/>
      <c r="L638" s="1"/>
      <c r="M638" s="1"/>
      <c r="N638" s="1"/>
      <c r="O638" s="1"/>
      <c r="P638" s="1"/>
      <c r="Q638" s="474"/>
      <c r="S638" s="231"/>
      <c r="AA638" s="1"/>
      <c r="AB638" s="392"/>
    </row>
    <row r="639" spans="8:28" x14ac:dyDescent="0.25">
      <c r="H639" s="473"/>
      <c r="I639" s="1"/>
      <c r="J639" s="1"/>
      <c r="K639" s="1"/>
      <c r="L639" s="1"/>
      <c r="M639" s="1"/>
      <c r="N639" s="1"/>
      <c r="O639" s="1"/>
      <c r="P639" s="1"/>
      <c r="Q639" s="474"/>
      <c r="S639" s="231"/>
      <c r="AA639" s="1"/>
      <c r="AB639" s="392"/>
    </row>
    <row r="640" spans="8:28" x14ac:dyDescent="0.25">
      <c r="H640" s="473"/>
      <c r="I640" s="1"/>
      <c r="J640" s="1"/>
      <c r="K640" s="1"/>
      <c r="L640" s="1"/>
      <c r="M640" s="1"/>
      <c r="N640" s="1"/>
      <c r="O640" s="1"/>
      <c r="P640" s="1"/>
      <c r="Q640" s="474"/>
      <c r="S640" s="231"/>
      <c r="AA640" s="1"/>
      <c r="AB640" s="392"/>
    </row>
    <row r="641" spans="8:28" x14ac:dyDescent="0.25">
      <c r="H641" s="473"/>
      <c r="I641" s="1"/>
      <c r="J641" s="1"/>
      <c r="K641" s="1"/>
      <c r="L641" s="1"/>
      <c r="M641" s="1"/>
      <c r="N641" s="1"/>
      <c r="O641" s="1"/>
      <c r="P641" s="1"/>
      <c r="Q641" s="474"/>
      <c r="S641" s="231"/>
      <c r="AA641" s="1"/>
      <c r="AB641" s="392"/>
    </row>
    <row r="642" spans="8:28" x14ac:dyDescent="0.25">
      <c r="H642" s="473"/>
      <c r="I642" s="1"/>
      <c r="J642" s="1"/>
      <c r="K642" s="1"/>
      <c r="L642" s="1"/>
      <c r="M642" s="1"/>
      <c r="N642" s="1"/>
      <c r="O642" s="1"/>
      <c r="P642" s="1"/>
      <c r="Q642" s="474"/>
      <c r="S642" s="231"/>
      <c r="AA642" s="1"/>
      <c r="AB642" s="392"/>
    </row>
    <row r="643" spans="8:28" x14ac:dyDescent="0.25">
      <c r="H643" s="473"/>
      <c r="I643" s="1"/>
      <c r="J643" s="1"/>
      <c r="K643" s="1"/>
      <c r="L643" s="1"/>
      <c r="M643" s="1"/>
      <c r="N643" s="1"/>
      <c r="O643" s="1"/>
      <c r="P643" s="1"/>
      <c r="Q643" s="474"/>
      <c r="S643" s="231"/>
      <c r="AA643" s="1"/>
      <c r="AB643" s="392"/>
    </row>
    <row r="644" spans="8:28" x14ac:dyDescent="0.25">
      <c r="H644" s="473"/>
      <c r="I644" s="1"/>
      <c r="J644" s="1"/>
      <c r="K644" s="1"/>
      <c r="L644" s="1"/>
      <c r="M644" s="1"/>
      <c r="N644" s="1"/>
      <c r="O644" s="1"/>
      <c r="P644" s="1"/>
      <c r="Q644" s="474"/>
      <c r="S644" s="231"/>
      <c r="AA644" s="1"/>
      <c r="AB644" s="392"/>
    </row>
    <row r="645" spans="8:28" x14ac:dyDescent="0.25">
      <c r="H645" s="473"/>
      <c r="I645" s="1"/>
      <c r="J645" s="1"/>
      <c r="K645" s="1"/>
      <c r="L645" s="1"/>
      <c r="M645" s="1"/>
      <c r="N645" s="1"/>
      <c r="O645" s="1"/>
      <c r="P645" s="1"/>
      <c r="Q645" s="474"/>
      <c r="S645" s="231"/>
      <c r="AA645" s="1"/>
      <c r="AB645" s="392"/>
    </row>
    <row r="646" spans="8:28" x14ac:dyDescent="0.25">
      <c r="H646" s="473"/>
      <c r="I646" s="1"/>
      <c r="J646" s="1"/>
      <c r="K646" s="1"/>
      <c r="L646" s="1"/>
      <c r="M646" s="1"/>
      <c r="N646" s="1"/>
      <c r="O646" s="1"/>
      <c r="P646" s="1"/>
      <c r="Q646" s="474"/>
      <c r="S646" s="231"/>
      <c r="AA646" s="1"/>
      <c r="AB646" s="392"/>
    </row>
    <row r="647" spans="8:28" x14ac:dyDescent="0.25">
      <c r="H647" s="473"/>
      <c r="I647" s="1"/>
      <c r="J647" s="1"/>
      <c r="K647" s="1"/>
      <c r="L647" s="1"/>
      <c r="M647" s="1"/>
      <c r="N647" s="1"/>
      <c r="O647" s="1"/>
      <c r="P647" s="1"/>
      <c r="Q647" s="474"/>
      <c r="S647" s="231"/>
      <c r="AA647" s="1"/>
      <c r="AB647" s="392"/>
    </row>
    <row r="648" spans="8:28" x14ac:dyDescent="0.25">
      <c r="H648" s="473"/>
      <c r="I648" s="1"/>
      <c r="J648" s="1"/>
      <c r="K648" s="1"/>
      <c r="L648" s="1"/>
      <c r="M648" s="1"/>
      <c r="N648" s="1"/>
      <c r="O648" s="1"/>
      <c r="P648" s="1"/>
      <c r="Q648" s="474"/>
      <c r="S648" s="231"/>
      <c r="AA648" s="1"/>
      <c r="AB648" s="392"/>
    </row>
    <row r="649" spans="8:28" x14ac:dyDescent="0.25">
      <c r="H649" s="473"/>
      <c r="I649" s="1"/>
      <c r="J649" s="1"/>
      <c r="K649" s="1"/>
      <c r="L649" s="1"/>
      <c r="M649" s="1"/>
      <c r="N649" s="1"/>
      <c r="O649" s="1"/>
      <c r="P649" s="1"/>
      <c r="Q649" s="474"/>
      <c r="S649" s="231"/>
      <c r="AA649" s="1"/>
      <c r="AB649" s="392"/>
    </row>
    <row r="650" spans="8:28" x14ac:dyDescent="0.25">
      <c r="H650" s="473"/>
      <c r="I650" s="1"/>
      <c r="J650" s="1"/>
      <c r="K650" s="1"/>
      <c r="L650" s="1"/>
      <c r="M650" s="1"/>
      <c r="N650" s="1"/>
      <c r="O650" s="1"/>
      <c r="P650" s="1"/>
      <c r="Q650" s="474"/>
      <c r="S650" s="231"/>
      <c r="AA650" s="1"/>
      <c r="AB650" s="392"/>
    </row>
    <row r="651" spans="8:28" x14ac:dyDescent="0.25">
      <c r="H651" s="473"/>
      <c r="I651" s="1"/>
      <c r="J651" s="1"/>
      <c r="K651" s="1"/>
      <c r="L651" s="1"/>
      <c r="M651" s="1"/>
      <c r="N651" s="1"/>
      <c r="O651" s="1"/>
      <c r="P651" s="1"/>
      <c r="Q651" s="474"/>
      <c r="S651" s="231"/>
      <c r="AA651" s="1"/>
      <c r="AB651" s="392"/>
    </row>
    <row r="652" spans="8:28" x14ac:dyDescent="0.25">
      <c r="H652" s="473"/>
      <c r="I652" s="1"/>
      <c r="J652" s="1"/>
      <c r="K652" s="1"/>
      <c r="L652" s="1"/>
      <c r="M652" s="1"/>
      <c r="N652" s="1"/>
      <c r="O652" s="1"/>
      <c r="P652" s="1"/>
      <c r="Q652" s="474"/>
      <c r="S652" s="231"/>
      <c r="AA652" s="1"/>
      <c r="AB652" s="392"/>
    </row>
    <row r="653" spans="8:28" x14ac:dyDescent="0.25">
      <c r="H653" s="473"/>
      <c r="I653" s="1"/>
      <c r="J653" s="1"/>
      <c r="K653" s="1"/>
      <c r="L653" s="1"/>
      <c r="M653" s="1"/>
      <c r="N653" s="1"/>
      <c r="O653" s="1"/>
      <c r="P653" s="1"/>
      <c r="Q653" s="474"/>
      <c r="S653" s="231"/>
      <c r="AA653" s="1"/>
      <c r="AB653" s="392"/>
    </row>
    <row r="654" spans="8:28" x14ac:dyDescent="0.25">
      <c r="H654" s="473"/>
      <c r="I654" s="1"/>
      <c r="J654" s="1"/>
      <c r="K654" s="1"/>
      <c r="L654" s="1"/>
      <c r="M654" s="1"/>
      <c r="N654" s="1"/>
      <c r="O654" s="1"/>
      <c r="P654" s="1"/>
      <c r="Q654" s="474"/>
      <c r="S654" s="231"/>
      <c r="AA654" s="1"/>
      <c r="AB654" s="392"/>
    </row>
    <row r="655" spans="8:28" x14ac:dyDescent="0.25">
      <c r="H655" s="473"/>
      <c r="I655" s="1"/>
      <c r="J655" s="1"/>
      <c r="K655" s="1"/>
      <c r="L655" s="1"/>
      <c r="M655" s="1"/>
      <c r="N655" s="1"/>
      <c r="O655" s="1"/>
      <c r="P655" s="1"/>
      <c r="Q655" s="474"/>
      <c r="S655" s="231"/>
      <c r="AA655" s="1"/>
      <c r="AB655" s="392"/>
    </row>
    <row r="656" spans="8:28" x14ac:dyDescent="0.25">
      <c r="H656" s="473"/>
      <c r="I656" s="1"/>
      <c r="J656" s="1"/>
      <c r="K656" s="1"/>
      <c r="L656" s="1"/>
      <c r="M656" s="1"/>
      <c r="N656" s="1"/>
      <c r="O656" s="1"/>
      <c r="P656" s="1"/>
      <c r="Q656" s="474"/>
      <c r="S656" s="231"/>
      <c r="AA656" s="1"/>
      <c r="AB656" s="392"/>
    </row>
    <row r="657" spans="8:28" x14ac:dyDescent="0.25">
      <c r="H657" s="473"/>
      <c r="I657" s="1"/>
      <c r="J657" s="1"/>
      <c r="K657" s="1"/>
      <c r="L657" s="1"/>
      <c r="M657" s="1"/>
      <c r="N657" s="1"/>
      <c r="O657" s="1"/>
      <c r="P657" s="1"/>
      <c r="Q657" s="474"/>
      <c r="S657" s="231"/>
      <c r="AA657" s="1"/>
      <c r="AB657" s="392"/>
    </row>
    <row r="658" spans="8:28" x14ac:dyDescent="0.25">
      <c r="H658" s="473"/>
      <c r="I658" s="1"/>
      <c r="J658" s="1"/>
      <c r="K658" s="1"/>
      <c r="L658" s="1"/>
      <c r="M658" s="1"/>
      <c r="N658" s="1"/>
      <c r="O658" s="1"/>
      <c r="P658" s="1"/>
      <c r="Q658" s="474"/>
      <c r="S658" s="231"/>
      <c r="AA658" s="1"/>
      <c r="AB658" s="392"/>
    </row>
    <row r="659" spans="8:28" x14ac:dyDescent="0.25">
      <c r="H659" s="473"/>
      <c r="I659" s="1"/>
      <c r="J659" s="1"/>
      <c r="K659" s="1"/>
      <c r="L659" s="1"/>
      <c r="M659" s="1"/>
      <c r="N659" s="1"/>
      <c r="O659" s="1"/>
      <c r="P659" s="1"/>
      <c r="Q659" s="474"/>
      <c r="S659" s="231"/>
      <c r="AA659" s="1"/>
      <c r="AB659" s="392"/>
    </row>
    <row r="660" spans="8:28" x14ac:dyDescent="0.25">
      <c r="H660" s="473"/>
      <c r="I660" s="1"/>
      <c r="J660" s="1"/>
      <c r="K660" s="1"/>
      <c r="L660" s="1"/>
      <c r="M660" s="1"/>
      <c r="N660" s="1"/>
      <c r="O660" s="1"/>
      <c r="P660" s="1"/>
      <c r="Q660" s="474"/>
      <c r="S660" s="231"/>
      <c r="AA660" s="1"/>
      <c r="AB660" s="392"/>
    </row>
    <row r="661" spans="8:28" x14ac:dyDescent="0.25">
      <c r="H661" s="473"/>
      <c r="I661" s="1"/>
      <c r="J661" s="1"/>
      <c r="K661" s="1"/>
      <c r="L661" s="1"/>
      <c r="M661" s="1"/>
      <c r="N661" s="1"/>
      <c r="O661" s="1"/>
      <c r="P661" s="1"/>
      <c r="Q661" s="474"/>
      <c r="S661" s="231"/>
      <c r="AA661" s="1"/>
      <c r="AB661" s="392"/>
    </row>
    <row r="662" spans="8:28" x14ac:dyDescent="0.25">
      <c r="H662" s="473"/>
      <c r="I662" s="1"/>
      <c r="J662" s="1"/>
      <c r="K662" s="1"/>
      <c r="L662" s="1"/>
      <c r="M662" s="1"/>
      <c r="N662" s="1"/>
      <c r="O662" s="1"/>
      <c r="P662" s="1"/>
      <c r="Q662" s="474"/>
      <c r="S662" s="231"/>
      <c r="AA662" s="1"/>
      <c r="AB662" s="392"/>
    </row>
    <row r="663" spans="8:28" x14ac:dyDescent="0.25">
      <c r="H663" s="473"/>
      <c r="I663" s="1"/>
      <c r="J663" s="1"/>
      <c r="K663" s="1"/>
      <c r="L663" s="1"/>
      <c r="M663" s="1"/>
      <c r="N663" s="1"/>
      <c r="O663" s="1"/>
      <c r="P663" s="1"/>
      <c r="Q663" s="474"/>
      <c r="S663" s="231"/>
      <c r="AA663" s="1"/>
      <c r="AB663" s="392"/>
    </row>
    <row r="664" spans="8:28" x14ac:dyDescent="0.25">
      <c r="H664" s="473"/>
      <c r="I664" s="1"/>
      <c r="J664" s="1"/>
      <c r="K664" s="1"/>
      <c r="L664" s="1"/>
      <c r="M664" s="1"/>
      <c r="N664" s="1"/>
      <c r="O664" s="1"/>
      <c r="P664" s="1"/>
      <c r="Q664" s="474"/>
      <c r="S664" s="231"/>
      <c r="AA664" s="1"/>
      <c r="AB664" s="392"/>
    </row>
    <row r="665" spans="8:28" x14ac:dyDescent="0.25">
      <c r="H665" s="473"/>
      <c r="I665" s="1"/>
      <c r="J665" s="1"/>
      <c r="K665" s="1"/>
      <c r="L665" s="1"/>
      <c r="M665" s="1"/>
      <c r="N665" s="1"/>
      <c r="O665" s="1"/>
      <c r="P665" s="1"/>
      <c r="Q665" s="474"/>
      <c r="S665" s="231"/>
      <c r="AA665" s="1"/>
      <c r="AB665" s="392"/>
    </row>
    <row r="666" spans="8:28" x14ac:dyDescent="0.25">
      <c r="H666" s="473"/>
      <c r="I666" s="1"/>
      <c r="J666" s="1"/>
      <c r="K666" s="1"/>
      <c r="L666" s="1"/>
      <c r="M666" s="1"/>
      <c r="N666" s="1"/>
      <c r="O666" s="1"/>
      <c r="P666" s="1"/>
      <c r="Q666" s="474"/>
      <c r="S666" s="231"/>
      <c r="AA666" s="1"/>
      <c r="AB666" s="392"/>
    </row>
    <row r="667" spans="8:28" x14ac:dyDescent="0.25">
      <c r="H667" s="473"/>
      <c r="I667" s="1"/>
      <c r="J667" s="1"/>
      <c r="K667" s="1"/>
      <c r="L667" s="1"/>
      <c r="M667" s="1"/>
      <c r="N667" s="1"/>
      <c r="O667" s="1"/>
      <c r="P667" s="1"/>
      <c r="Q667" s="474"/>
      <c r="S667" s="231"/>
      <c r="AA667" s="1"/>
      <c r="AB667" s="392"/>
    </row>
    <row r="668" spans="8:28" x14ac:dyDescent="0.25">
      <c r="H668" s="473"/>
      <c r="I668" s="1"/>
      <c r="J668" s="1"/>
      <c r="K668" s="1"/>
      <c r="L668" s="1"/>
      <c r="M668" s="1"/>
      <c r="N668" s="1"/>
      <c r="O668" s="1"/>
      <c r="P668" s="1"/>
      <c r="Q668" s="474"/>
      <c r="S668" s="231"/>
      <c r="AA668" s="1"/>
      <c r="AB668" s="392"/>
    </row>
    <row r="669" spans="8:28" x14ac:dyDescent="0.25">
      <c r="H669" s="473"/>
      <c r="I669" s="1"/>
      <c r="J669" s="1"/>
      <c r="K669" s="1"/>
      <c r="L669" s="1"/>
      <c r="M669" s="1"/>
      <c r="N669" s="1"/>
      <c r="O669" s="1"/>
      <c r="P669" s="1"/>
      <c r="Q669" s="474"/>
      <c r="S669" s="231"/>
      <c r="AA669" s="1"/>
      <c r="AB669" s="392"/>
    </row>
    <row r="670" spans="8:28" x14ac:dyDescent="0.25">
      <c r="H670" s="473"/>
      <c r="I670" s="1"/>
      <c r="J670" s="1"/>
      <c r="K670" s="1"/>
      <c r="L670" s="1"/>
      <c r="M670" s="1"/>
      <c r="N670" s="1"/>
      <c r="O670" s="1"/>
      <c r="P670" s="1"/>
      <c r="Q670" s="474"/>
      <c r="S670" s="231"/>
      <c r="AA670" s="1"/>
      <c r="AB670" s="392"/>
    </row>
    <row r="671" spans="8:28" x14ac:dyDescent="0.25">
      <c r="H671" s="473"/>
      <c r="I671" s="1"/>
      <c r="J671" s="1"/>
      <c r="K671" s="1"/>
      <c r="L671" s="1"/>
      <c r="M671" s="1"/>
      <c r="N671" s="1"/>
      <c r="O671" s="1"/>
      <c r="P671" s="1"/>
      <c r="Q671" s="474"/>
      <c r="S671" s="231"/>
      <c r="AA671" s="1"/>
      <c r="AB671" s="392"/>
    </row>
    <row r="672" spans="8:28" x14ac:dyDescent="0.25">
      <c r="H672" s="473"/>
      <c r="I672" s="1"/>
      <c r="J672" s="1"/>
      <c r="K672" s="1"/>
      <c r="L672" s="1"/>
      <c r="M672" s="1"/>
      <c r="N672" s="1"/>
      <c r="O672" s="1"/>
      <c r="P672" s="1"/>
      <c r="Q672" s="474"/>
      <c r="S672" s="231"/>
      <c r="AA672" s="1"/>
      <c r="AB672" s="392"/>
    </row>
    <row r="673" spans="8:28" x14ac:dyDescent="0.25">
      <c r="H673" s="473"/>
      <c r="I673" s="1"/>
      <c r="J673" s="1"/>
      <c r="K673" s="1"/>
      <c r="L673" s="1"/>
      <c r="M673" s="1"/>
      <c r="N673" s="1"/>
      <c r="O673" s="1"/>
      <c r="P673" s="1"/>
      <c r="Q673" s="474"/>
      <c r="S673" s="231"/>
      <c r="AA673" s="1"/>
      <c r="AB673" s="392"/>
    </row>
    <row r="674" spans="8:28" x14ac:dyDescent="0.25">
      <c r="H674" s="473"/>
      <c r="I674" s="1"/>
      <c r="J674" s="1"/>
      <c r="K674" s="1"/>
      <c r="L674" s="1"/>
      <c r="M674" s="1"/>
      <c r="N674" s="1"/>
      <c r="O674" s="1"/>
      <c r="P674" s="1"/>
      <c r="Q674" s="474"/>
      <c r="S674" s="231"/>
      <c r="AA674" s="1"/>
      <c r="AB674" s="392"/>
    </row>
    <row r="675" spans="8:28" x14ac:dyDescent="0.25">
      <c r="H675" s="473"/>
      <c r="I675" s="1"/>
      <c r="J675" s="1"/>
      <c r="K675" s="1"/>
      <c r="L675" s="1"/>
      <c r="M675" s="1"/>
      <c r="N675" s="1"/>
      <c r="O675" s="1"/>
      <c r="P675" s="1"/>
      <c r="Q675" s="474"/>
      <c r="S675" s="231"/>
      <c r="AA675" s="1"/>
      <c r="AB675" s="392"/>
    </row>
    <row r="676" spans="8:28" x14ac:dyDescent="0.25">
      <c r="H676" s="473"/>
      <c r="I676" s="1"/>
      <c r="J676" s="1"/>
      <c r="K676" s="1"/>
      <c r="L676" s="1"/>
      <c r="M676" s="1"/>
      <c r="N676" s="1"/>
      <c r="O676" s="1"/>
      <c r="P676" s="1"/>
      <c r="Q676" s="474"/>
      <c r="S676" s="231"/>
      <c r="AA676" s="1"/>
      <c r="AB676" s="392"/>
    </row>
    <row r="677" spans="8:28" x14ac:dyDescent="0.25">
      <c r="H677" s="473"/>
      <c r="I677" s="1"/>
      <c r="J677" s="1"/>
      <c r="K677" s="1"/>
      <c r="L677" s="1"/>
      <c r="M677" s="1"/>
      <c r="N677" s="1"/>
      <c r="O677" s="1"/>
      <c r="P677" s="1"/>
      <c r="Q677" s="474"/>
      <c r="S677" s="231"/>
      <c r="AA677" s="1"/>
      <c r="AB677" s="392"/>
    </row>
    <row r="678" spans="8:28" x14ac:dyDescent="0.25">
      <c r="H678" s="473"/>
      <c r="I678" s="1"/>
      <c r="J678" s="1"/>
      <c r="K678" s="1"/>
      <c r="L678" s="1"/>
      <c r="M678" s="1"/>
      <c r="N678" s="1"/>
      <c r="O678" s="1"/>
      <c r="P678" s="1"/>
      <c r="Q678" s="474"/>
      <c r="S678" s="231"/>
      <c r="AA678" s="1"/>
      <c r="AB678" s="392"/>
    </row>
    <row r="679" spans="8:28" x14ac:dyDescent="0.25">
      <c r="H679" s="473"/>
      <c r="I679" s="1"/>
      <c r="J679" s="1"/>
      <c r="K679" s="1"/>
      <c r="L679" s="1"/>
      <c r="M679" s="1"/>
      <c r="N679" s="1"/>
      <c r="O679" s="1"/>
      <c r="P679" s="1"/>
      <c r="Q679" s="474"/>
      <c r="S679" s="231"/>
      <c r="AA679" s="1"/>
      <c r="AB679" s="392"/>
    </row>
    <row r="680" spans="8:28" x14ac:dyDescent="0.25">
      <c r="H680" s="473"/>
      <c r="I680" s="1"/>
      <c r="J680" s="1"/>
      <c r="K680" s="1"/>
      <c r="L680" s="1"/>
      <c r="M680" s="1"/>
      <c r="N680" s="1"/>
      <c r="O680" s="1"/>
      <c r="P680" s="1"/>
      <c r="Q680" s="474"/>
      <c r="S680" s="231"/>
      <c r="AA680" s="1"/>
      <c r="AB680" s="392"/>
    </row>
    <row r="681" spans="8:28" x14ac:dyDescent="0.25">
      <c r="H681" s="473"/>
      <c r="I681" s="1"/>
      <c r="J681" s="1"/>
      <c r="K681" s="1"/>
      <c r="L681" s="1"/>
      <c r="M681" s="1"/>
      <c r="N681" s="1"/>
      <c r="O681" s="1"/>
      <c r="P681" s="1"/>
      <c r="Q681" s="474"/>
      <c r="S681" s="231"/>
      <c r="AA681" s="1"/>
      <c r="AB681" s="392"/>
    </row>
    <row r="682" spans="8:28" x14ac:dyDescent="0.25">
      <c r="H682" s="473"/>
      <c r="I682" s="1"/>
      <c r="J682" s="1"/>
      <c r="K682" s="1"/>
      <c r="L682" s="1"/>
      <c r="M682" s="1"/>
      <c r="N682" s="1"/>
      <c r="O682" s="1"/>
      <c r="P682" s="1"/>
      <c r="Q682" s="474"/>
      <c r="S682" s="231"/>
      <c r="AA682" s="1"/>
      <c r="AB682" s="392"/>
    </row>
    <row r="683" spans="8:28" x14ac:dyDescent="0.25">
      <c r="H683" s="473"/>
      <c r="I683" s="1"/>
      <c r="J683" s="1"/>
      <c r="K683" s="1"/>
      <c r="L683" s="1"/>
      <c r="M683" s="1"/>
      <c r="N683" s="1"/>
      <c r="O683" s="1"/>
      <c r="P683" s="1"/>
      <c r="Q683" s="474"/>
      <c r="S683" s="231"/>
      <c r="AA683" s="1"/>
      <c r="AB683" s="392"/>
    </row>
    <row r="684" spans="8:28" x14ac:dyDescent="0.25">
      <c r="H684" s="473"/>
      <c r="I684" s="1"/>
      <c r="J684" s="1"/>
      <c r="K684" s="1"/>
      <c r="L684" s="1"/>
      <c r="M684" s="1"/>
      <c r="N684" s="1"/>
      <c r="O684" s="1"/>
      <c r="P684" s="1"/>
      <c r="Q684" s="474"/>
      <c r="S684" s="231"/>
      <c r="AA684" s="1"/>
      <c r="AB684" s="392"/>
    </row>
    <row r="685" spans="8:28" x14ac:dyDescent="0.25">
      <c r="H685" s="473"/>
      <c r="I685" s="1"/>
      <c r="J685" s="1"/>
      <c r="K685" s="1"/>
      <c r="L685" s="1"/>
      <c r="M685" s="1"/>
      <c r="N685" s="1"/>
      <c r="O685" s="1"/>
      <c r="P685" s="1"/>
      <c r="Q685" s="474"/>
      <c r="S685" s="231"/>
      <c r="AA685" s="1"/>
      <c r="AB685" s="392"/>
    </row>
    <row r="686" spans="8:28" x14ac:dyDescent="0.25">
      <c r="H686" s="473"/>
      <c r="I686" s="1"/>
      <c r="J686" s="1"/>
      <c r="K686" s="1"/>
      <c r="L686" s="1"/>
      <c r="M686" s="1"/>
      <c r="N686" s="1"/>
      <c r="O686" s="1"/>
      <c r="P686" s="1"/>
      <c r="Q686" s="474"/>
      <c r="S686" s="231"/>
      <c r="AA686" s="1"/>
      <c r="AB686" s="392"/>
    </row>
    <row r="687" spans="8:28" x14ac:dyDescent="0.25">
      <c r="H687" s="473"/>
      <c r="I687" s="1"/>
      <c r="J687" s="1"/>
      <c r="K687" s="1"/>
      <c r="L687" s="1"/>
      <c r="M687" s="1"/>
      <c r="N687" s="1"/>
      <c r="O687" s="1"/>
      <c r="P687" s="1"/>
      <c r="Q687" s="474"/>
      <c r="S687" s="231"/>
      <c r="AA687" s="1"/>
      <c r="AB687" s="392"/>
    </row>
    <row r="688" spans="8:28" x14ac:dyDescent="0.25">
      <c r="H688" s="473"/>
      <c r="I688" s="1"/>
      <c r="J688" s="1"/>
      <c r="K688" s="1"/>
      <c r="L688" s="1"/>
      <c r="M688" s="1"/>
      <c r="N688" s="1"/>
      <c r="O688" s="1"/>
      <c r="P688" s="1"/>
      <c r="Q688" s="474"/>
      <c r="S688" s="231"/>
      <c r="AA688" s="1"/>
      <c r="AB688" s="392"/>
    </row>
    <row r="689" spans="8:28" x14ac:dyDescent="0.25">
      <c r="H689" s="473"/>
      <c r="I689" s="1"/>
      <c r="J689" s="1"/>
      <c r="K689" s="1"/>
      <c r="L689" s="1"/>
      <c r="M689" s="1"/>
      <c r="N689" s="1"/>
      <c r="O689" s="1"/>
      <c r="P689" s="1"/>
      <c r="Q689" s="474"/>
      <c r="S689" s="231"/>
      <c r="AA689" s="1"/>
      <c r="AB689" s="392"/>
    </row>
    <row r="690" spans="8:28" x14ac:dyDescent="0.25">
      <c r="H690" s="473"/>
      <c r="I690" s="1"/>
      <c r="J690" s="1"/>
      <c r="K690" s="1"/>
      <c r="L690" s="1"/>
      <c r="M690" s="1"/>
      <c r="N690" s="1"/>
      <c r="O690" s="1"/>
      <c r="P690" s="1"/>
      <c r="Q690" s="474"/>
      <c r="S690" s="231"/>
      <c r="AA690" s="1"/>
      <c r="AB690" s="392"/>
    </row>
    <row r="691" spans="8:28" x14ac:dyDescent="0.25">
      <c r="H691" s="473"/>
      <c r="I691" s="1"/>
      <c r="J691" s="1"/>
      <c r="K691" s="1"/>
      <c r="L691" s="1"/>
      <c r="M691" s="1"/>
      <c r="N691" s="1"/>
      <c r="O691" s="1"/>
      <c r="P691" s="1"/>
      <c r="Q691" s="474"/>
      <c r="S691" s="231"/>
      <c r="AA691" s="1"/>
      <c r="AB691" s="392"/>
    </row>
    <row r="692" spans="8:28" x14ac:dyDescent="0.25">
      <c r="H692" s="473"/>
      <c r="I692" s="1"/>
      <c r="J692" s="1"/>
      <c r="K692" s="1"/>
      <c r="L692" s="1"/>
      <c r="M692" s="1"/>
      <c r="N692" s="1"/>
      <c r="O692" s="1"/>
      <c r="P692" s="1"/>
      <c r="Q692" s="474"/>
      <c r="S692" s="231"/>
      <c r="AA692" s="1"/>
      <c r="AB692" s="392"/>
    </row>
    <row r="693" spans="8:28" x14ac:dyDescent="0.25">
      <c r="H693" s="473"/>
      <c r="I693" s="1"/>
      <c r="J693" s="1"/>
      <c r="K693" s="1"/>
      <c r="L693" s="1"/>
      <c r="M693" s="1"/>
      <c r="N693" s="1"/>
      <c r="O693" s="1"/>
      <c r="P693" s="1"/>
      <c r="Q693" s="474"/>
      <c r="S693" s="231"/>
      <c r="AA693" s="1"/>
      <c r="AB693" s="392"/>
    </row>
    <row r="694" spans="8:28" x14ac:dyDescent="0.25">
      <c r="H694" s="473"/>
      <c r="I694" s="1"/>
      <c r="J694" s="1"/>
      <c r="K694" s="1"/>
      <c r="L694" s="1"/>
      <c r="M694" s="1"/>
      <c r="N694" s="1"/>
      <c r="O694" s="1"/>
      <c r="P694" s="1"/>
      <c r="Q694" s="474"/>
      <c r="S694" s="231"/>
      <c r="AA694" s="1"/>
      <c r="AB694" s="392"/>
    </row>
    <row r="695" spans="8:28" x14ac:dyDescent="0.25">
      <c r="H695" s="473"/>
      <c r="I695" s="1"/>
      <c r="J695" s="1"/>
      <c r="K695" s="1"/>
      <c r="L695" s="1"/>
      <c r="M695" s="1"/>
      <c r="N695" s="1"/>
      <c r="O695" s="1"/>
      <c r="P695" s="1"/>
      <c r="Q695" s="474"/>
      <c r="S695" s="231"/>
      <c r="AA695" s="1"/>
      <c r="AB695" s="392"/>
    </row>
    <row r="696" spans="8:28" x14ac:dyDescent="0.25">
      <c r="H696" s="473"/>
      <c r="I696" s="1"/>
      <c r="J696" s="1"/>
      <c r="K696" s="1"/>
      <c r="L696" s="1"/>
      <c r="M696" s="1"/>
      <c r="N696" s="1"/>
      <c r="O696" s="1"/>
      <c r="P696" s="1"/>
      <c r="Q696" s="474"/>
      <c r="S696" s="231"/>
      <c r="AA696" s="1"/>
      <c r="AB696" s="392"/>
    </row>
    <row r="697" spans="8:28" x14ac:dyDescent="0.25">
      <c r="H697" s="473"/>
      <c r="I697" s="1"/>
      <c r="J697" s="1"/>
      <c r="K697" s="1"/>
      <c r="L697" s="1"/>
      <c r="M697" s="1"/>
      <c r="N697" s="1"/>
      <c r="O697" s="1"/>
      <c r="P697" s="1"/>
      <c r="Q697" s="474"/>
      <c r="S697" s="231"/>
      <c r="AA697" s="1"/>
      <c r="AB697" s="392"/>
    </row>
    <row r="698" spans="8:28" x14ac:dyDescent="0.25">
      <c r="H698" s="473"/>
      <c r="I698" s="1"/>
      <c r="J698" s="1"/>
      <c r="K698" s="1"/>
      <c r="L698" s="1"/>
      <c r="M698" s="1"/>
      <c r="N698" s="1"/>
      <c r="O698" s="1"/>
      <c r="P698" s="1"/>
      <c r="Q698" s="474"/>
      <c r="S698" s="231"/>
      <c r="AA698" s="1"/>
      <c r="AB698" s="392"/>
    </row>
    <row r="699" spans="8:28" x14ac:dyDescent="0.25">
      <c r="H699" s="473"/>
      <c r="I699" s="1"/>
      <c r="J699" s="1"/>
      <c r="K699" s="1"/>
      <c r="L699" s="1"/>
      <c r="M699" s="1"/>
      <c r="N699" s="1"/>
      <c r="O699" s="1"/>
      <c r="P699" s="1"/>
      <c r="Q699" s="474"/>
      <c r="S699" s="231"/>
      <c r="AA699" s="1"/>
      <c r="AB699" s="392"/>
    </row>
    <row r="700" spans="8:28" x14ac:dyDescent="0.25">
      <c r="H700" s="473"/>
      <c r="I700" s="1"/>
      <c r="J700" s="1"/>
      <c r="K700" s="1"/>
      <c r="L700" s="1"/>
      <c r="M700" s="1"/>
      <c r="N700" s="1"/>
      <c r="O700" s="1"/>
      <c r="P700" s="1"/>
      <c r="Q700" s="474"/>
      <c r="S700" s="231"/>
      <c r="AA700" s="1"/>
      <c r="AB700" s="392"/>
    </row>
    <row r="701" spans="8:28" x14ac:dyDescent="0.25">
      <c r="H701" s="473"/>
      <c r="I701" s="1"/>
      <c r="J701" s="1"/>
      <c r="K701" s="1"/>
      <c r="L701" s="1"/>
      <c r="M701" s="1"/>
      <c r="N701" s="1"/>
      <c r="O701" s="1"/>
      <c r="P701" s="1"/>
      <c r="Q701" s="474"/>
      <c r="S701" s="231"/>
      <c r="AA701" s="1"/>
      <c r="AB701" s="392"/>
    </row>
    <row r="702" spans="8:28" x14ac:dyDescent="0.25">
      <c r="H702" s="473"/>
      <c r="I702" s="1"/>
      <c r="J702" s="1"/>
      <c r="K702" s="1"/>
      <c r="L702" s="1"/>
      <c r="M702" s="1"/>
      <c r="N702" s="1"/>
      <c r="O702" s="1"/>
      <c r="P702" s="1"/>
      <c r="Q702" s="474"/>
      <c r="S702" s="231"/>
      <c r="AA702" s="1"/>
      <c r="AB702" s="392"/>
    </row>
    <row r="703" spans="8:28" x14ac:dyDescent="0.25">
      <c r="H703" s="473"/>
      <c r="I703" s="1"/>
      <c r="J703" s="1"/>
      <c r="K703" s="1"/>
      <c r="L703" s="1"/>
      <c r="M703" s="1"/>
      <c r="N703" s="1"/>
      <c r="O703" s="1"/>
      <c r="P703" s="1"/>
      <c r="Q703" s="474"/>
      <c r="S703" s="231"/>
      <c r="AA703" s="1"/>
      <c r="AB703" s="392"/>
    </row>
    <row r="704" spans="8:28" x14ac:dyDescent="0.25">
      <c r="H704" s="473"/>
      <c r="I704" s="1"/>
      <c r="J704" s="1"/>
      <c r="K704" s="1"/>
      <c r="L704" s="1"/>
      <c r="M704" s="1"/>
      <c r="N704" s="1"/>
      <c r="O704" s="1"/>
      <c r="P704" s="1"/>
      <c r="Q704" s="474"/>
      <c r="S704" s="231"/>
      <c r="AA704" s="1"/>
      <c r="AB704" s="392"/>
    </row>
    <row r="705" spans="8:28" x14ac:dyDescent="0.25">
      <c r="H705" s="473"/>
      <c r="I705" s="1"/>
      <c r="J705" s="1"/>
      <c r="K705" s="1"/>
      <c r="L705" s="1"/>
      <c r="M705" s="1"/>
      <c r="N705" s="1"/>
      <c r="O705" s="1"/>
      <c r="P705" s="1"/>
      <c r="Q705" s="474"/>
      <c r="S705" s="231"/>
      <c r="AA705" s="1"/>
      <c r="AB705" s="392"/>
    </row>
    <row r="706" spans="8:28" x14ac:dyDescent="0.25">
      <c r="H706" s="473"/>
      <c r="I706" s="1"/>
      <c r="J706" s="1"/>
      <c r="K706" s="1"/>
      <c r="L706" s="1"/>
      <c r="M706" s="1"/>
      <c r="N706" s="1"/>
      <c r="O706" s="1"/>
      <c r="P706" s="1"/>
      <c r="Q706" s="474"/>
      <c r="S706" s="231"/>
      <c r="AA706" s="1"/>
      <c r="AB706" s="392"/>
    </row>
    <row r="707" spans="8:28" x14ac:dyDescent="0.25">
      <c r="H707" s="473"/>
      <c r="I707" s="1"/>
      <c r="J707" s="1"/>
      <c r="K707" s="1"/>
      <c r="L707" s="1"/>
      <c r="M707" s="1"/>
      <c r="N707" s="1"/>
      <c r="O707" s="1"/>
      <c r="P707" s="1"/>
      <c r="Q707" s="474"/>
      <c r="S707" s="231"/>
      <c r="AA707" s="1"/>
      <c r="AB707" s="392"/>
    </row>
    <row r="708" spans="8:28" x14ac:dyDescent="0.25">
      <c r="H708" s="473"/>
      <c r="I708" s="1"/>
      <c r="J708" s="1"/>
      <c r="K708" s="1"/>
      <c r="L708" s="1"/>
      <c r="M708" s="1"/>
      <c r="N708" s="1"/>
      <c r="O708" s="1"/>
      <c r="P708" s="1"/>
      <c r="Q708" s="474"/>
      <c r="S708" s="231"/>
      <c r="AA708" s="1"/>
      <c r="AB708" s="392"/>
    </row>
    <row r="709" spans="8:28" x14ac:dyDescent="0.25">
      <c r="H709" s="473"/>
      <c r="I709" s="1"/>
      <c r="J709" s="1"/>
      <c r="K709" s="1"/>
      <c r="L709" s="1"/>
      <c r="M709" s="1"/>
      <c r="N709" s="1"/>
      <c r="O709" s="1"/>
      <c r="P709" s="1"/>
      <c r="Q709" s="474"/>
      <c r="S709" s="231"/>
      <c r="AA709" s="1"/>
      <c r="AB709" s="392"/>
    </row>
    <row r="710" spans="8:28" x14ac:dyDescent="0.25">
      <c r="H710" s="473"/>
      <c r="I710" s="1"/>
      <c r="J710" s="1"/>
      <c r="K710" s="1"/>
      <c r="L710" s="1"/>
      <c r="M710" s="1"/>
      <c r="N710" s="1"/>
      <c r="O710" s="1"/>
      <c r="P710" s="1"/>
      <c r="Q710" s="474"/>
      <c r="S710" s="231"/>
      <c r="AA710" s="1"/>
      <c r="AB710" s="392"/>
    </row>
    <row r="711" spans="8:28" x14ac:dyDescent="0.25">
      <c r="H711" s="473"/>
      <c r="I711" s="1"/>
      <c r="J711" s="1"/>
      <c r="K711" s="1"/>
      <c r="L711" s="1"/>
      <c r="M711" s="1"/>
      <c r="N711" s="1"/>
      <c r="O711" s="1"/>
      <c r="P711" s="1"/>
      <c r="Q711" s="474"/>
      <c r="S711" s="231"/>
      <c r="AA711" s="1"/>
      <c r="AB711" s="392"/>
    </row>
    <row r="712" spans="8:28" x14ac:dyDescent="0.25">
      <c r="H712" s="473"/>
      <c r="I712" s="1"/>
      <c r="J712" s="1"/>
      <c r="K712" s="1"/>
      <c r="L712" s="1"/>
      <c r="M712" s="1"/>
      <c r="N712" s="1"/>
      <c r="O712" s="1"/>
      <c r="P712" s="1"/>
      <c r="Q712" s="474"/>
      <c r="S712" s="231"/>
      <c r="AA712" s="1"/>
      <c r="AB712" s="392"/>
    </row>
    <row r="713" spans="8:28" x14ac:dyDescent="0.25">
      <c r="H713" s="473"/>
      <c r="I713" s="1"/>
      <c r="J713" s="1"/>
      <c r="K713" s="1"/>
      <c r="L713" s="1"/>
      <c r="M713" s="1"/>
      <c r="N713" s="1"/>
      <c r="O713" s="1"/>
      <c r="P713" s="1"/>
      <c r="Q713" s="474"/>
      <c r="S713" s="231"/>
      <c r="AA713" s="1"/>
      <c r="AB713" s="392"/>
    </row>
    <row r="714" spans="8:28" x14ac:dyDescent="0.25">
      <c r="H714" s="473"/>
      <c r="I714" s="1"/>
      <c r="J714" s="1"/>
      <c r="K714" s="1"/>
      <c r="L714" s="1"/>
      <c r="M714" s="1"/>
      <c r="N714" s="1"/>
      <c r="O714" s="1"/>
      <c r="P714" s="1"/>
      <c r="Q714" s="474"/>
      <c r="S714" s="231"/>
      <c r="AA714" s="1"/>
      <c r="AB714" s="392"/>
    </row>
    <row r="715" spans="8:28" x14ac:dyDescent="0.25">
      <c r="H715" s="473"/>
      <c r="I715" s="1"/>
      <c r="J715" s="1"/>
      <c r="K715" s="1"/>
      <c r="L715" s="1"/>
      <c r="M715" s="1"/>
      <c r="N715" s="1"/>
      <c r="O715" s="1"/>
      <c r="P715" s="1"/>
      <c r="Q715" s="474"/>
      <c r="S715" s="231"/>
      <c r="AA715" s="1"/>
      <c r="AB715" s="392"/>
    </row>
    <row r="716" spans="8:28" x14ac:dyDescent="0.25">
      <c r="H716" s="473"/>
      <c r="I716" s="1"/>
      <c r="J716" s="1"/>
      <c r="K716" s="1"/>
      <c r="L716" s="1"/>
      <c r="M716" s="1"/>
      <c r="N716" s="1"/>
      <c r="O716" s="1"/>
      <c r="P716" s="1"/>
      <c r="Q716" s="474"/>
      <c r="S716" s="231"/>
      <c r="AA716" s="1"/>
      <c r="AB716" s="392"/>
    </row>
    <row r="717" spans="8:28" x14ac:dyDescent="0.25">
      <c r="H717" s="473"/>
      <c r="I717" s="1"/>
      <c r="J717" s="1"/>
      <c r="K717" s="1"/>
      <c r="L717" s="1"/>
      <c r="M717" s="1"/>
      <c r="N717" s="1"/>
      <c r="O717" s="1"/>
      <c r="P717" s="1"/>
      <c r="Q717" s="474"/>
      <c r="S717" s="231"/>
      <c r="AA717" s="1"/>
      <c r="AB717" s="392"/>
    </row>
    <row r="718" spans="8:28" x14ac:dyDescent="0.25">
      <c r="H718" s="473"/>
      <c r="I718" s="1"/>
      <c r="J718" s="1"/>
      <c r="K718" s="1"/>
      <c r="L718" s="1"/>
      <c r="M718" s="1"/>
      <c r="N718" s="1"/>
      <c r="O718" s="1"/>
      <c r="P718" s="1"/>
      <c r="Q718" s="474"/>
      <c r="S718" s="231"/>
      <c r="AA718" s="1"/>
      <c r="AB718" s="392"/>
    </row>
    <row r="719" spans="8:28" x14ac:dyDescent="0.25">
      <c r="H719" s="473"/>
      <c r="I719" s="1"/>
      <c r="J719" s="1"/>
      <c r="K719" s="1"/>
      <c r="L719" s="1"/>
      <c r="M719" s="1"/>
      <c r="N719" s="1"/>
      <c r="O719" s="1"/>
      <c r="P719" s="1"/>
      <c r="Q719" s="474"/>
      <c r="S719" s="231"/>
      <c r="AA719" s="1"/>
      <c r="AB719" s="392"/>
    </row>
    <row r="720" spans="8:28" x14ac:dyDescent="0.25">
      <c r="H720" s="473"/>
      <c r="I720" s="1"/>
      <c r="J720" s="1"/>
      <c r="K720" s="1"/>
      <c r="L720" s="1"/>
      <c r="M720" s="1"/>
      <c r="N720" s="1"/>
      <c r="O720" s="1"/>
      <c r="P720" s="1"/>
      <c r="Q720" s="474"/>
      <c r="S720" s="231"/>
      <c r="AA720" s="1"/>
      <c r="AB720" s="392"/>
    </row>
    <row r="721" spans="8:28" x14ac:dyDescent="0.25">
      <c r="H721" s="473"/>
      <c r="I721" s="1"/>
      <c r="J721" s="1"/>
      <c r="K721" s="1"/>
      <c r="L721" s="1"/>
      <c r="M721" s="1"/>
      <c r="N721" s="1"/>
      <c r="O721" s="1"/>
      <c r="P721" s="1"/>
      <c r="Q721" s="474"/>
      <c r="S721" s="231"/>
      <c r="AA721" s="1"/>
      <c r="AB721" s="392"/>
    </row>
    <row r="722" spans="8:28" x14ac:dyDescent="0.25">
      <c r="H722" s="473"/>
      <c r="I722" s="1"/>
      <c r="J722" s="1"/>
      <c r="K722" s="1"/>
      <c r="L722" s="1"/>
      <c r="M722" s="1"/>
      <c r="N722" s="1"/>
      <c r="O722" s="1"/>
      <c r="P722" s="1"/>
      <c r="Q722" s="474"/>
      <c r="S722" s="231"/>
      <c r="AA722" s="1"/>
      <c r="AB722" s="392"/>
    </row>
    <row r="723" spans="8:28" x14ac:dyDescent="0.25">
      <c r="H723" s="473"/>
      <c r="I723" s="1"/>
      <c r="J723" s="1"/>
      <c r="K723" s="1"/>
      <c r="L723" s="1"/>
      <c r="M723" s="1"/>
      <c r="N723" s="1"/>
      <c r="O723" s="1"/>
      <c r="P723" s="1"/>
      <c r="Q723" s="474"/>
      <c r="S723" s="231"/>
      <c r="AA723" s="1"/>
      <c r="AB723" s="392"/>
    </row>
    <row r="724" spans="8:28" x14ac:dyDescent="0.25">
      <c r="H724" s="473"/>
      <c r="I724" s="1"/>
      <c r="J724" s="1"/>
      <c r="K724" s="1"/>
      <c r="L724" s="1"/>
      <c r="M724" s="1"/>
      <c r="N724" s="1"/>
      <c r="O724" s="1"/>
      <c r="P724" s="1"/>
      <c r="Q724" s="474"/>
      <c r="S724" s="231"/>
      <c r="AA724" s="1"/>
      <c r="AB724" s="392"/>
    </row>
    <row r="725" spans="8:28" x14ac:dyDescent="0.25">
      <c r="H725" s="473"/>
      <c r="I725" s="1"/>
      <c r="J725" s="1"/>
      <c r="K725" s="1"/>
      <c r="L725" s="1"/>
      <c r="M725" s="1"/>
      <c r="N725" s="1"/>
      <c r="O725" s="1"/>
      <c r="P725" s="1"/>
      <c r="Q725" s="474"/>
      <c r="S725" s="231"/>
      <c r="AA725" s="1"/>
      <c r="AB725" s="392"/>
    </row>
    <row r="726" spans="8:28" x14ac:dyDescent="0.25">
      <c r="H726" s="473"/>
      <c r="I726" s="1"/>
      <c r="J726" s="1"/>
      <c r="K726" s="1"/>
      <c r="L726" s="1"/>
      <c r="M726" s="1"/>
      <c r="N726" s="1"/>
      <c r="O726" s="1"/>
      <c r="P726" s="1"/>
      <c r="Q726" s="474"/>
      <c r="S726" s="231"/>
      <c r="AA726" s="1"/>
      <c r="AB726" s="392"/>
    </row>
    <row r="727" spans="8:28" x14ac:dyDescent="0.25">
      <c r="H727" s="473"/>
      <c r="I727" s="1"/>
      <c r="J727" s="1"/>
      <c r="K727" s="1"/>
      <c r="L727" s="1"/>
      <c r="M727" s="1"/>
      <c r="N727" s="1"/>
      <c r="O727" s="1"/>
      <c r="P727" s="1"/>
      <c r="Q727" s="474"/>
      <c r="S727" s="231"/>
      <c r="AA727" s="1"/>
      <c r="AB727" s="392"/>
    </row>
    <row r="728" spans="8:28" x14ac:dyDescent="0.25">
      <c r="H728" s="473"/>
      <c r="I728" s="1"/>
      <c r="J728" s="1"/>
      <c r="K728" s="1"/>
      <c r="L728" s="1"/>
      <c r="M728" s="1"/>
      <c r="N728" s="1"/>
      <c r="O728" s="1"/>
      <c r="P728" s="1"/>
      <c r="Q728" s="474"/>
      <c r="S728" s="231"/>
      <c r="AA728" s="1"/>
      <c r="AB728" s="392"/>
    </row>
    <row r="729" spans="8:28" x14ac:dyDescent="0.25">
      <c r="H729" s="473"/>
      <c r="I729" s="1"/>
      <c r="J729" s="1"/>
      <c r="K729" s="1"/>
      <c r="L729" s="1"/>
      <c r="M729" s="1"/>
      <c r="N729" s="1"/>
      <c r="O729" s="1"/>
      <c r="P729" s="1"/>
      <c r="Q729" s="474"/>
      <c r="S729" s="231"/>
      <c r="AA729" s="1"/>
      <c r="AB729" s="392"/>
    </row>
    <row r="730" spans="8:28" x14ac:dyDescent="0.25">
      <c r="H730" s="473"/>
      <c r="I730" s="1"/>
      <c r="J730" s="1"/>
      <c r="K730" s="1"/>
      <c r="L730" s="1"/>
      <c r="M730" s="1"/>
      <c r="N730" s="1"/>
      <c r="O730" s="1"/>
      <c r="P730" s="1"/>
      <c r="Q730" s="474"/>
      <c r="S730" s="231"/>
      <c r="AA730" s="1"/>
      <c r="AB730" s="392"/>
    </row>
    <row r="731" spans="8:28" x14ac:dyDescent="0.25">
      <c r="H731" s="473"/>
      <c r="I731" s="1"/>
      <c r="J731" s="1"/>
      <c r="K731" s="1"/>
      <c r="L731" s="1"/>
      <c r="M731" s="1"/>
      <c r="N731" s="1"/>
      <c r="O731" s="1"/>
      <c r="P731" s="1"/>
      <c r="Q731" s="474"/>
      <c r="S731" s="231"/>
      <c r="AA731" s="1"/>
      <c r="AB731" s="392"/>
    </row>
    <row r="732" spans="8:28" x14ac:dyDescent="0.25">
      <c r="H732" s="473"/>
      <c r="I732" s="1"/>
      <c r="J732" s="1"/>
      <c r="K732" s="1"/>
      <c r="L732" s="1"/>
      <c r="M732" s="1"/>
      <c r="N732" s="1"/>
      <c r="O732" s="1"/>
      <c r="P732" s="1"/>
      <c r="Q732" s="474"/>
      <c r="S732" s="231"/>
      <c r="AA732" s="1"/>
      <c r="AB732" s="392"/>
    </row>
    <row r="733" spans="8:28" x14ac:dyDescent="0.25">
      <c r="H733" s="473"/>
      <c r="I733" s="1"/>
      <c r="J733" s="1"/>
      <c r="K733" s="1"/>
      <c r="L733" s="1"/>
      <c r="M733" s="1"/>
      <c r="N733" s="1"/>
      <c r="O733" s="1"/>
      <c r="P733" s="1"/>
      <c r="Q733" s="474"/>
      <c r="S733" s="231"/>
      <c r="AA733" s="1"/>
      <c r="AB733" s="392"/>
    </row>
    <row r="734" spans="8:28" x14ac:dyDescent="0.25">
      <c r="H734" s="473"/>
      <c r="I734" s="1"/>
      <c r="J734" s="1"/>
      <c r="K734" s="1"/>
      <c r="L734" s="1"/>
      <c r="M734" s="1"/>
      <c r="N734" s="1"/>
      <c r="O734" s="1"/>
      <c r="P734" s="1"/>
      <c r="Q734" s="474"/>
      <c r="S734" s="231"/>
      <c r="AA734" s="1"/>
      <c r="AB734" s="392"/>
    </row>
    <row r="735" spans="8:28" x14ac:dyDescent="0.25">
      <c r="H735" s="473"/>
      <c r="I735" s="1"/>
      <c r="J735" s="1"/>
      <c r="K735" s="1"/>
      <c r="L735" s="1"/>
      <c r="M735" s="1"/>
      <c r="N735" s="1"/>
      <c r="O735" s="1"/>
      <c r="P735" s="1"/>
      <c r="Q735" s="474"/>
      <c r="S735" s="231"/>
      <c r="AA735" s="1"/>
      <c r="AB735" s="392"/>
    </row>
    <row r="736" spans="8:28" x14ac:dyDescent="0.25">
      <c r="H736" s="473"/>
      <c r="I736" s="1"/>
      <c r="J736" s="1"/>
      <c r="K736" s="1"/>
      <c r="L736" s="1"/>
      <c r="M736" s="1"/>
      <c r="N736" s="1"/>
      <c r="O736" s="1"/>
      <c r="P736" s="1"/>
      <c r="Q736" s="474"/>
      <c r="S736" s="231"/>
      <c r="AA736" s="1"/>
      <c r="AB736" s="392"/>
    </row>
    <row r="737" spans="8:28" x14ac:dyDescent="0.25">
      <c r="H737" s="473"/>
      <c r="I737" s="1"/>
      <c r="J737" s="1"/>
      <c r="K737" s="1"/>
      <c r="L737" s="1"/>
      <c r="M737" s="1"/>
      <c r="N737" s="1"/>
      <c r="O737" s="1"/>
      <c r="P737" s="1"/>
      <c r="Q737" s="474"/>
      <c r="S737" s="231"/>
      <c r="AA737" s="1"/>
      <c r="AB737" s="392"/>
    </row>
    <row r="738" spans="8:28" x14ac:dyDescent="0.25">
      <c r="H738" s="473"/>
      <c r="I738" s="1"/>
      <c r="J738" s="1"/>
      <c r="K738" s="1"/>
      <c r="L738" s="1"/>
      <c r="M738" s="1"/>
      <c r="N738" s="1"/>
      <c r="O738" s="1"/>
      <c r="P738" s="1"/>
      <c r="Q738" s="474"/>
      <c r="S738" s="231"/>
      <c r="AA738" s="1"/>
      <c r="AB738" s="392"/>
    </row>
    <row r="739" spans="8:28" x14ac:dyDescent="0.25">
      <c r="H739" s="473"/>
      <c r="I739" s="1"/>
      <c r="J739" s="1"/>
      <c r="K739" s="1"/>
      <c r="L739" s="1"/>
      <c r="M739" s="1"/>
      <c r="N739" s="1"/>
      <c r="O739" s="1"/>
      <c r="P739" s="1"/>
      <c r="Q739" s="474"/>
      <c r="S739" s="231"/>
      <c r="AA739" s="1"/>
      <c r="AB739" s="392"/>
    </row>
    <row r="740" spans="8:28" x14ac:dyDescent="0.25">
      <c r="H740" s="473"/>
      <c r="I740" s="1"/>
      <c r="J740" s="1"/>
      <c r="K740" s="1"/>
      <c r="L740" s="1"/>
      <c r="M740" s="1"/>
      <c r="N740" s="1"/>
      <c r="O740" s="1"/>
      <c r="P740" s="1"/>
      <c r="Q740" s="474"/>
      <c r="S740" s="231"/>
      <c r="AA740" s="1"/>
      <c r="AB740" s="392"/>
    </row>
    <row r="741" spans="8:28" x14ac:dyDescent="0.25">
      <c r="H741" s="473"/>
      <c r="I741" s="1"/>
      <c r="J741" s="1"/>
      <c r="K741" s="1"/>
      <c r="L741" s="1"/>
      <c r="M741" s="1"/>
      <c r="N741" s="1"/>
      <c r="O741" s="1"/>
      <c r="P741" s="1"/>
      <c r="Q741" s="474"/>
      <c r="S741" s="231"/>
      <c r="AA741" s="1"/>
      <c r="AB741" s="392"/>
    </row>
    <row r="742" spans="8:28" x14ac:dyDescent="0.25">
      <c r="H742" s="473"/>
      <c r="I742" s="1"/>
      <c r="J742" s="1"/>
      <c r="K742" s="1"/>
      <c r="L742" s="1"/>
      <c r="M742" s="1"/>
      <c r="N742" s="1"/>
      <c r="O742" s="1"/>
      <c r="P742" s="1"/>
      <c r="Q742" s="474"/>
      <c r="S742" s="231"/>
      <c r="AA742" s="1"/>
      <c r="AB742" s="392"/>
    </row>
    <row r="743" spans="8:28" x14ac:dyDescent="0.25">
      <c r="H743" s="473"/>
      <c r="I743" s="1"/>
      <c r="J743" s="1"/>
      <c r="K743" s="1"/>
      <c r="L743" s="1"/>
      <c r="M743" s="1"/>
      <c r="N743" s="1"/>
      <c r="O743" s="1"/>
      <c r="P743" s="1"/>
      <c r="Q743" s="474"/>
      <c r="S743" s="231"/>
      <c r="AA743" s="1"/>
      <c r="AB743" s="392"/>
    </row>
    <row r="744" spans="8:28" x14ac:dyDescent="0.25">
      <c r="H744" s="473"/>
      <c r="I744" s="1"/>
      <c r="J744" s="1"/>
      <c r="K744" s="1"/>
      <c r="L744" s="1"/>
      <c r="M744" s="1"/>
      <c r="N744" s="1"/>
      <c r="O744" s="1"/>
      <c r="P744" s="1"/>
      <c r="Q744" s="474"/>
      <c r="S744" s="231"/>
      <c r="AA744" s="1"/>
      <c r="AB744" s="392"/>
    </row>
    <row r="745" spans="8:28" x14ac:dyDescent="0.25">
      <c r="H745" s="473"/>
      <c r="I745" s="1"/>
      <c r="J745" s="1"/>
      <c r="K745" s="1"/>
      <c r="L745" s="1"/>
      <c r="M745" s="1"/>
      <c r="N745" s="1"/>
      <c r="O745" s="1"/>
      <c r="P745" s="1"/>
      <c r="Q745" s="474"/>
      <c r="S745" s="231"/>
      <c r="AA745" s="1"/>
      <c r="AB745" s="392"/>
    </row>
    <row r="746" spans="8:28" x14ac:dyDescent="0.25">
      <c r="H746" s="473"/>
      <c r="I746" s="1"/>
      <c r="J746" s="1"/>
      <c r="K746" s="1"/>
      <c r="L746" s="1"/>
      <c r="M746" s="1"/>
      <c r="N746" s="1"/>
      <c r="O746" s="1"/>
      <c r="P746" s="1"/>
      <c r="Q746" s="474"/>
      <c r="S746" s="231"/>
      <c r="AA746" s="1"/>
      <c r="AB746" s="392"/>
    </row>
    <row r="747" spans="8:28" x14ac:dyDescent="0.25">
      <c r="H747" s="473"/>
      <c r="I747" s="1"/>
      <c r="J747" s="1"/>
      <c r="K747" s="1"/>
      <c r="L747" s="1"/>
      <c r="M747" s="1"/>
      <c r="N747" s="1"/>
      <c r="O747" s="1"/>
      <c r="P747" s="1"/>
      <c r="Q747" s="474"/>
      <c r="S747" s="231"/>
      <c r="AA747" s="1"/>
      <c r="AB747" s="392"/>
    </row>
    <row r="748" spans="8:28" x14ac:dyDescent="0.25">
      <c r="H748" s="473"/>
      <c r="I748" s="1"/>
      <c r="J748" s="1"/>
      <c r="K748" s="1"/>
      <c r="L748" s="1"/>
      <c r="M748" s="1"/>
      <c r="N748" s="1"/>
      <c r="O748" s="1"/>
      <c r="P748" s="1"/>
      <c r="Q748" s="474"/>
      <c r="S748" s="231"/>
      <c r="AA748" s="1"/>
      <c r="AB748" s="392"/>
    </row>
    <row r="749" spans="8:28" x14ac:dyDescent="0.25">
      <c r="H749" s="473"/>
      <c r="I749" s="1"/>
      <c r="J749" s="1"/>
      <c r="K749" s="1"/>
      <c r="L749" s="1"/>
      <c r="M749" s="1"/>
      <c r="N749" s="1"/>
      <c r="O749" s="1"/>
      <c r="P749" s="1"/>
      <c r="Q749" s="474"/>
      <c r="S749" s="231"/>
      <c r="AA749" s="1"/>
      <c r="AB749" s="392"/>
    </row>
    <row r="750" spans="8:28" x14ac:dyDescent="0.25">
      <c r="H750" s="473"/>
      <c r="I750" s="1"/>
      <c r="J750" s="1"/>
      <c r="K750" s="1"/>
      <c r="L750" s="1"/>
      <c r="M750" s="1"/>
      <c r="N750" s="1"/>
      <c r="O750" s="1"/>
      <c r="P750" s="1"/>
      <c r="Q750" s="474"/>
      <c r="S750" s="231"/>
      <c r="AA750" s="1"/>
      <c r="AB750" s="392"/>
    </row>
    <row r="751" spans="8:28" x14ac:dyDescent="0.25">
      <c r="H751" s="473"/>
      <c r="I751" s="1"/>
      <c r="J751" s="1"/>
      <c r="K751" s="1"/>
      <c r="L751" s="1"/>
      <c r="M751" s="1"/>
      <c r="N751" s="1"/>
      <c r="O751" s="1"/>
      <c r="P751" s="1"/>
      <c r="Q751" s="474"/>
      <c r="S751" s="231"/>
      <c r="AA751" s="1"/>
      <c r="AB751" s="392"/>
    </row>
    <row r="752" spans="8:28" x14ac:dyDescent="0.25">
      <c r="H752" s="473"/>
      <c r="I752" s="1"/>
      <c r="J752" s="1"/>
      <c r="K752" s="1"/>
      <c r="L752" s="1"/>
      <c r="M752" s="1"/>
      <c r="N752" s="1"/>
      <c r="O752" s="1"/>
      <c r="P752" s="1"/>
      <c r="Q752" s="474"/>
      <c r="S752" s="231"/>
      <c r="AA752" s="1"/>
      <c r="AB752" s="392"/>
    </row>
    <row r="753" spans="8:28" x14ac:dyDescent="0.25">
      <c r="H753" s="473"/>
      <c r="I753" s="1"/>
      <c r="J753" s="1"/>
      <c r="K753" s="1"/>
      <c r="L753" s="1"/>
      <c r="M753" s="1"/>
      <c r="N753" s="1"/>
      <c r="O753" s="1"/>
      <c r="P753" s="1"/>
      <c r="Q753" s="474"/>
      <c r="S753" s="231"/>
      <c r="AA753" s="1"/>
      <c r="AB753" s="392"/>
    </row>
    <row r="754" spans="8:28" x14ac:dyDescent="0.25">
      <c r="H754" s="473"/>
      <c r="I754" s="1"/>
      <c r="J754" s="1"/>
      <c r="K754" s="1"/>
      <c r="L754" s="1"/>
      <c r="M754" s="1"/>
      <c r="N754" s="1"/>
      <c r="O754" s="1"/>
      <c r="P754" s="1"/>
      <c r="Q754" s="474"/>
      <c r="S754" s="231"/>
      <c r="AA754" s="1"/>
      <c r="AB754" s="392"/>
    </row>
    <row r="755" spans="8:28" x14ac:dyDescent="0.25">
      <c r="H755" s="473"/>
      <c r="I755" s="1"/>
      <c r="J755" s="1"/>
      <c r="K755" s="1"/>
      <c r="L755" s="1"/>
      <c r="M755" s="1"/>
      <c r="N755" s="1"/>
      <c r="O755" s="1"/>
      <c r="P755" s="1"/>
      <c r="Q755" s="474"/>
      <c r="S755" s="231"/>
      <c r="AA755" s="1"/>
      <c r="AB755" s="392"/>
    </row>
    <row r="756" spans="8:28" x14ac:dyDescent="0.25">
      <c r="H756" s="473"/>
      <c r="I756" s="1"/>
      <c r="J756" s="1"/>
      <c r="K756" s="1"/>
      <c r="L756" s="1"/>
      <c r="M756" s="1"/>
      <c r="N756" s="1"/>
      <c r="O756" s="1"/>
      <c r="P756" s="1"/>
      <c r="Q756" s="474"/>
      <c r="S756" s="231"/>
      <c r="AA756" s="1"/>
      <c r="AB756" s="392"/>
    </row>
    <row r="757" spans="8:28" x14ac:dyDescent="0.25">
      <c r="H757" s="473"/>
      <c r="I757" s="1"/>
      <c r="J757" s="1"/>
      <c r="K757" s="1"/>
      <c r="L757" s="1"/>
      <c r="M757" s="1"/>
      <c r="N757" s="1"/>
      <c r="O757" s="1"/>
      <c r="P757" s="1"/>
      <c r="Q757" s="474"/>
      <c r="S757" s="231"/>
      <c r="AA757" s="1"/>
      <c r="AB757" s="392"/>
    </row>
    <row r="758" spans="8:28" x14ac:dyDescent="0.25">
      <c r="H758" s="473"/>
      <c r="I758" s="1"/>
      <c r="J758" s="1"/>
      <c r="K758" s="1"/>
      <c r="L758" s="1"/>
      <c r="M758" s="1"/>
      <c r="N758" s="1"/>
      <c r="O758" s="1"/>
      <c r="P758" s="1"/>
      <c r="Q758" s="474"/>
      <c r="S758" s="231"/>
      <c r="AA758" s="1"/>
      <c r="AB758" s="392"/>
    </row>
    <row r="759" spans="8:28" x14ac:dyDescent="0.25">
      <c r="H759" s="473"/>
      <c r="I759" s="1"/>
      <c r="J759" s="1"/>
      <c r="K759" s="1"/>
      <c r="L759" s="1"/>
      <c r="M759" s="1"/>
      <c r="N759" s="1"/>
      <c r="O759" s="1"/>
      <c r="P759" s="1"/>
      <c r="Q759" s="474"/>
      <c r="S759" s="231"/>
      <c r="AA759" s="1"/>
      <c r="AB759" s="392"/>
    </row>
    <row r="760" spans="8:28" x14ac:dyDescent="0.25">
      <c r="H760" s="473"/>
      <c r="I760" s="1"/>
      <c r="J760" s="1"/>
      <c r="K760" s="1"/>
      <c r="L760" s="1"/>
      <c r="M760" s="1"/>
      <c r="N760" s="1"/>
      <c r="O760" s="1"/>
      <c r="P760" s="1"/>
      <c r="Q760" s="474"/>
      <c r="S760" s="231"/>
      <c r="AA760" s="1"/>
      <c r="AB760" s="392"/>
    </row>
    <row r="761" spans="8:28" x14ac:dyDescent="0.25">
      <c r="H761" s="473"/>
      <c r="I761" s="1"/>
      <c r="J761" s="1"/>
      <c r="K761" s="1"/>
      <c r="L761" s="1"/>
      <c r="M761" s="1"/>
      <c r="N761" s="1"/>
      <c r="O761" s="1"/>
      <c r="P761" s="1"/>
      <c r="Q761" s="474"/>
      <c r="S761" s="231"/>
      <c r="AA761" s="1"/>
      <c r="AB761" s="392"/>
    </row>
    <row r="762" spans="8:28" x14ac:dyDescent="0.25">
      <c r="H762" s="473"/>
      <c r="I762" s="1"/>
      <c r="J762" s="1"/>
      <c r="K762" s="1"/>
      <c r="L762" s="1"/>
      <c r="M762" s="1"/>
      <c r="N762" s="1"/>
      <c r="O762" s="1"/>
      <c r="P762" s="1"/>
      <c r="Q762" s="474"/>
      <c r="S762" s="231"/>
      <c r="AA762" s="1"/>
      <c r="AB762" s="392"/>
    </row>
    <row r="763" spans="8:28" x14ac:dyDescent="0.25">
      <c r="H763" s="473"/>
      <c r="I763" s="1"/>
      <c r="J763" s="1"/>
      <c r="K763" s="1"/>
      <c r="L763" s="1"/>
      <c r="M763" s="1"/>
      <c r="N763" s="1"/>
      <c r="O763" s="1"/>
      <c r="P763" s="1"/>
      <c r="Q763" s="474"/>
      <c r="S763" s="231"/>
      <c r="AA763" s="1"/>
      <c r="AB763" s="392"/>
    </row>
    <row r="764" spans="8:28" x14ac:dyDescent="0.25">
      <c r="H764" s="473"/>
      <c r="I764" s="1"/>
      <c r="J764" s="1"/>
      <c r="K764" s="1"/>
      <c r="L764" s="1"/>
      <c r="M764" s="1"/>
      <c r="N764" s="1"/>
      <c r="O764" s="1"/>
      <c r="P764" s="1"/>
      <c r="Q764" s="474"/>
      <c r="S764" s="231"/>
      <c r="AA764" s="1"/>
      <c r="AB764" s="392"/>
    </row>
    <row r="765" spans="8:28" x14ac:dyDescent="0.25">
      <c r="H765" s="473"/>
      <c r="I765" s="1"/>
      <c r="J765" s="1"/>
      <c r="K765" s="1"/>
      <c r="L765" s="1"/>
      <c r="M765" s="1"/>
      <c r="N765" s="1"/>
      <c r="O765" s="1"/>
      <c r="P765" s="1"/>
      <c r="Q765" s="474"/>
      <c r="S765" s="231"/>
      <c r="AA765" s="1"/>
      <c r="AB765" s="392"/>
    </row>
    <row r="766" spans="8:28" x14ac:dyDescent="0.25">
      <c r="H766" s="473"/>
      <c r="I766" s="1"/>
      <c r="J766" s="1"/>
      <c r="K766" s="1"/>
      <c r="L766" s="1"/>
      <c r="M766" s="1"/>
      <c r="N766" s="1"/>
      <c r="O766" s="1"/>
      <c r="P766" s="1"/>
      <c r="Q766" s="474"/>
      <c r="S766" s="231"/>
      <c r="AA766" s="1"/>
      <c r="AB766" s="392"/>
    </row>
    <row r="767" spans="8:28" x14ac:dyDescent="0.25">
      <c r="H767" s="473"/>
      <c r="I767" s="1"/>
      <c r="J767" s="1"/>
      <c r="K767" s="1"/>
      <c r="L767" s="1"/>
      <c r="M767" s="1"/>
      <c r="N767" s="1"/>
      <c r="O767" s="1"/>
      <c r="P767" s="1"/>
      <c r="Q767" s="474"/>
      <c r="S767" s="231"/>
      <c r="AA767" s="1"/>
      <c r="AB767" s="392"/>
    </row>
    <row r="768" spans="8:28" x14ac:dyDescent="0.25">
      <c r="H768" s="473"/>
      <c r="I768" s="1"/>
      <c r="J768" s="1"/>
      <c r="K768" s="1"/>
      <c r="L768" s="1"/>
      <c r="M768" s="1"/>
      <c r="N768" s="1"/>
      <c r="O768" s="1"/>
      <c r="P768" s="1"/>
      <c r="Q768" s="474"/>
      <c r="S768" s="231"/>
      <c r="AA768" s="1"/>
      <c r="AB768" s="392"/>
    </row>
    <row r="769" spans="8:28" x14ac:dyDescent="0.25">
      <c r="H769" s="473"/>
      <c r="I769" s="1"/>
      <c r="J769" s="1"/>
      <c r="K769" s="1"/>
      <c r="L769" s="1"/>
      <c r="M769" s="1"/>
      <c r="N769" s="1"/>
      <c r="O769" s="1"/>
      <c r="P769" s="1"/>
      <c r="Q769" s="474"/>
      <c r="S769" s="231"/>
      <c r="AA769" s="1"/>
      <c r="AB769" s="392"/>
    </row>
    <row r="770" spans="8:28" x14ac:dyDescent="0.25">
      <c r="H770" s="473"/>
      <c r="I770" s="1"/>
      <c r="J770" s="1"/>
      <c r="K770" s="1"/>
      <c r="L770" s="1"/>
      <c r="M770" s="1"/>
      <c r="N770" s="1"/>
      <c r="O770" s="1"/>
      <c r="P770" s="1"/>
      <c r="Q770" s="474"/>
      <c r="S770" s="231"/>
      <c r="AA770" s="1"/>
      <c r="AB770" s="392"/>
    </row>
    <row r="771" spans="8:28" x14ac:dyDescent="0.25">
      <c r="H771" s="473"/>
      <c r="I771" s="1"/>
      <c r="J771" s="1"/>
      <c r="K771" s="1"/>
      <c r="L771" s="1"/>
      <c r="M771" s="1"/>
      <c r="N771" s="1"/>
      <c r="O771" s="1"/>
      <c r="P771" s="1"/>
      <c r="Q771" s="474"/>
      <c r="S771" s="231"/>
      <c r="AA771" s="1"/>
      <c r="AB771" s="392"/>
    </row>
    <row r="772" spans="8:28" x14ac:dyDescent="0.25">
      <c r="H772" s="473"/>
      <c r="I772" s="1"/>
      <c r="J772" s="1"/>
      <c r="K772" s="1"/>
      <c r="L772" s="1"/>
      <c r="M772" s="1"/>
      <c r="N772" s="1"/>
      <c r="O772" s="1"/>
      <c r="P772" s="1"/>
      <c r="Q772" s="474"/>
      <c r="S772" s="231"/>
      <c r="AA772" s="1"/>
      <c r="AB772" s="392"/>
    </row>
    <row r="773" spans="8:28" x14ac:dyDescent="0.25">
      <c r="H773" s="473"/>
      <c r="I773" s="1"/>
      <c r="J773" s="1"/>
      <c r="K773" s="1"/>
      <c r="L773" s="1"/>
      <c r="M773" s="1"/>
      <c r="N773" s="1"/>
      <c r="O773" s="1"/>
      <c r="P773" s="1"/>
      <c r="Q773" s="474"/>
      <c r="S773" s="231"/>
      <c r="AA773" s="1"/>
      <c r="AB773" s="392"/>
    </row>
    <row r="774" spans="8:28" x14ac:dyDescent="0.25">
      <c r="H774" s="473"/>
      <c r="I774" s="1"/>
      <c r="J774" s="1"/>
      <c r="K774" s="1"/>
      <c r="L774" s="1"/>
      <c r="M774" s="1"/>
      <c r="N774" s="1"/>
      <c r="O774" s="1"/>
      <c r="P774" s="1"/>
      <c r="Q774" s="474"/>
      <c r="S774" s="231"/>
      <c r="AA774" s="1"/>
      <c r="AB774" s="392"/>
    </row>
    <row r="775" spans="8:28" x14ac:dyDescent="0.25">
      <c r="H775" s="473"/>
      <c r="I775" s="1"/>
      <c r="J775" s="1"/>
      <c r="K775" s="1"/>
      <c r="L775" s="1"/>
      <c r="M775" s="1"/>
      <c r="N775" s="1"/>
      <c r="O775" s="1"/>
      <c r="P775" s="1"/>
      <c r="Q775" s="474"/>
      <c r="S775" s="231"/>
      <c r="AA775" s="1"/>
      <c r="AB775" s="392"/>
    </row>
    <row r="776" spans="8:28" x14ac:dyDescent="0.25">
      <c r="H776" s="473"/>
      <c r="I776" s="1"/>
      <c r="J776" s="1"/>
      <c r="K776" s="1"/>
      <c r="L776" s="1"/>
      <c r="M776" s="1"/>
      <c r="N776" s="1"/>
      <c r="O776" s="1"/>
      <c r="P776" s="1"/>
      <c r="Q776" s="474"/>
      <c r="S776" s="231"/>
      <c r="AA776" s="1"/>
      <c r="AB776" s="392"/>
    </row>
    <row r="777" spans="8:28" x14ac:dyDescent="0.25">
      <c r="H777" s="473"/>
      <c r="I777" s="1"/>
      <c r="J777" s="1"/>
      <c r="K777" s="1"/>
      <c r="L777" s="1"/>
      <c r="M777" s="1"/>
      <c r="N777" s="1"/>
      <c r="O777" s="1"/>
      <c r="P777" s="1"/>
      <c r="Q777" s="474"/>
      <c r="S777" s="231"/>
      <c r="AA777" s="1"/>
      <c r="AB777" s="392"/>
    </row>
    <row r="778" spans="8:28" x14ac:dyDescent="0.25">
      <c r="H778" s="473"/>
      <c r="I778" s="1"/>
      <c r="J778" s="1"/>
      <c r="K778" s="1"/>
      <c r="L778" s="1"/>
      <c r="M778" s="1"/>
      <c r="N778" s="1"/>
      <c r="O778" s="1"/>
      <c r="P778" s="1"/>
      <c r="Q778" s="474"/>
      <c r="S778" s="231"/>
      <c r="AA778" s="1"/>
      <c r="AB778" s="392"/>
    </row>
    <row r="779" spans="8:28" x14ac:dyDescent="0.25">
      <c r="H779" s="473"/>
      <c r="I779" s="1"/>
      <c r="J779" s="1"/>
      <c r="K779" s="1"/>
      <c r="L779" s="1"/>
      <c r="M779" s="1"/>
      <c r="N779" s="1"/>
      <c r="O779" s="1"/>
      <c r="P779" s="1"/>
      <c r="Q779" s="474"/>
      <c r="S779" s="231"/>
      <c r="AA779" s="1"/>
      <c r="AB779" s="392"/>
    </row>
    <row r="780" spans="8:28" x14ac:dyDescent="0.25">
      <c r="H780" s="473"/>
      <c r="I780" s="1"/>
      <c r="J780" s="1"/>
      <c r="K780" s="1"/>
      <c r="L780" s="1"/>
      <c r="M780" s="1"/>
      <c r="N780" s="1"/>
      <c r="O780" s="1"/>
      <c r="P780" s="1"/>
      <c r="Q780" s="474"/>
      <c r="S780" s="231"/>
      <c r="AA780" s="1"/>
      <c r="AB780" s="392"/>
    </row>
    <row r="781" spans="8:28" x14ac:dyDescent="0.25">
      <c r="H781" s="473"/>
      <c r="I781" s="1"/>
      <c r="J781" s="1"/>
      <c r="K781" s="1"/>
      <c r="L781" s="1"/>
      <c r="M781" s="1"/>
      <c r="N781" s="1"/>
      <c r="O781" s="1"/>
      <c r="P781" s="1"/>
      <c r="Q781" s="474"/>
      <c r="S781" s="231"/>
      <c r="AA781" s="1"/>
      <c r="AB781" s="392"/>
    </row>
    <row r="782" spans="8:28" x14ac:dyDescent="0.25">
      <c r="H782" s="473"/>
      <c r="I782" s="1"/>
      <c r="J782" s="1"/>
      <c r="K782" s="1"/>
      <c r="L782" s="1"/>
      <c r="M782" s="1"/>
      <c r="N782" s="1"/>
      <c r="O782" s="1"/>
      <c r="P782" s="1"/>
      <c r="Q782" s="474"/>
      <c r="S782" s="231"/>
      <c r="AA782" s="1"/>
      <c r="AB782" s="392"/>
    </row>
    <row r="783" spans="8:28" x14ac:dyDescent="0.25">
      <c r="H783" s="473"/>
      <c r="I783" s="1"/>
      <c r="J783" s="1"/>
      <c r="K783" s="1"/>
      <c r="L783" s="1"/>
      <c r="M783" s="1"/>
      <c r="N783" s="1"/>
      <c r="O783" s="1"/>
      <c r="P783" s="1"/>
      <c r="Q783" s="474"/>
      <c r="S783" s="231"/>
      <c r="AA783" s="1"/>
      <c r="AB783" s="392"/>
    </row>
    <row r="784" spans="8:28" x14ac:dyDescent="0.25">
      <c r="H784" s="473"/>
      <c r="I784" s="1"/>
      <c r="J784" s="1"/>
      <c r="K784" s="1"/>
      <c r="L784" s="1"/>
      <c r="M784" s="1"/>
      <c r="N784" s="1"/>
      <c r="O784" s="1"/>
      <c r="P784" s="1"/>
      <c r="Q784" s="474"/>
      <c r="S784" s="231"/>
      <c r="AA784" s="1"/>
      <c r="AB784" s="392"/>
    </row>
    <row r="785" spans="8:28" x14ac:dyDescent="0.25">
      <c r="H785" s="473"/>
      <c r="I785" s="1"/>
      <c r="J785" s="1"/>
      <c r="K785" s="1"/>
      <c r="L785" s="1"/>
      <c r="M785" s="1"/>
      <c r="N785" s="1"/>
      <c r="O785" s="1"/>
      <c r="P785" s="1"/>
      <c r="Q785" s="474"/>
      <c r="S785" s="231"/>
      <c r="AA785" s="1"/>
      <c r="AB785" s="392"/>
    </row>
    <row r="786" spans="8:28" x14ac:dyDescent="0.25">
      <c r="H786" s="473"/>
      <c r="I786" s="1"/>
      <c r="J786" s="1"/>
      <c r="K786" s="1"/>
      <c r="L786" s="1"/>
      <c r="M786" s="1"/>
      <c r="N786" s="1"/>
      <c r="O786" s="1"/>
      <c r="P786" s="1"/>
      <c r="Q786" s="474"/>
      <c r="S786" s="231"/>
      <c r="AA786" s="1"/>
      <c r="AB786" s="392"/>
    </row>
    <row r="787" spans="8:28" x14ac:dyDescent="0.25">
      <c r="H787" s="473"/>
      <c r="I787" s="1"/>
      <c r="J787" s="1"/>
      <c r="K787" s="1"/>
      <c r="L787" s="1"/>
      <c r="M787" s="1"/>
      <c r="N787" s="1"/>
      <c r="O787" s="1"/>
      <c r="P787" s="1"/>
      <c r="Q787" s="474"/>
      <c r="S787" s="231"/>
      <c r="AA787" s="1"/>
      <c r="AB787" s="392"/>
    </row>
    <row r="788" spans="8:28" x14ac:dyDescent="0.25">
      <c r="H788" s="473"/>
      <c r="I788" s="1"/>
      <c r="J788" s="1"/>
      <c r="K788" s="1"/>
      <c r="L788" s="1"/>
      <c r="M788" s="1"/>
      <c r="N788" s="1"/>
      <c r="O788" s="1"/>
      <c r="P788" s="1"/>
      <c r="Q788" s="474"/>
      <c r="S788" s="231"/>
      <c r="AA788" s="1"/>
      <c r="AB788" s="392"/>
    </row>
    <row r="789" spans="8:28" x14ac:dyDescent="0.25">
      <c r="H789" s="473"/>
      <c r="I789" s="1"/>
      <c r="J789" s="1"/>
      <c r="K789" s="1"/>
      <c r="L789" s="1"/>
      <c r="M789" s="1"/>
      <c r="N789" s="1"/>
      <c r="O789" s="1"/>
      <c r="P789" s="1"/>
      <c r="Q789" s="474"/>
      <c r="S789" s="231"/>
      <c r="AA789" s="1"/>
      <c r="AB789" s="392"/>
    </row>
    <row r="790" spans="8:28" x14ac:dyDescent="0.25">
      <c r="H790" s="473"/>
      <c r="I790" s="1"/>
      <c r="J790" s="1"/>
      <c r="K790" s="1"/>
      <c r="L790" s="1"/>
      <c r="M790" s="1"/>
      <c r="N790" s="1"/>
      <c r="O790" s="1"/>
      <c r="P790" s="1"/>
      <c r="Q790" s="474"/>
      <c r="S790" s="231"/>
      <c r="AA790" s="1"/>
      <c r="AB790" s="392"/>
    </row>
    <row r="791" spans="8:28" x14ac:dyDescent="0.25">
      <c r="H791" s="473"/>
      <c r="I791" s="1"/>
      <c r="J791" s="1"/>
      <c r="K791" s="1"/>
      <c r="L791" s="1"/>
      <c r="M791" s="1"/>
      <c r="N791" s="1"/>
      <c r="O791" s="1"/>
      <c r="P791" s="1"/>
      <c r="Q791" s="474"/>
      <c r="S791" s="231"/>
      <c r="AA791" s="1"/>
      <c r="AB791" s="392"/>
    </row>
    <row r="792" spans="8:28" x14ac:dyDescent="0.25">
      <c r="H792" s="473"/>
      <c r="I792" s="1"/>
      <c r="J792" s="1"/>
      <c r="K792" s="1"/>
      <c r="L792" s="1"/>
      <c r="M792" s="1"/>
      <c r="N792" s="1"/>
      <c r="O792" s="1"/>
      <c r="P792" s="1"/>
      <c r="Q792" s="474"/>
      <c r="S792" s="231"/>
      <c r="AA792" s="1"/>
      <c r="AB792" s="392"/>
    </row>
    <row r="793" spans="8:28" x14ac:dyDescent="0.25">
      <c r="H793" s="473"/>
      <c r="I793" s="1"/>
      <c r="J793" s="1"/>
      <c r="K793" s="1"/>
      <c r="L793" s="1"/>
      <c r="M793" s="1"/>
      <c r="N793" s="1"/>
      <c r="O793" s="1"/>
      <c r="P793" s="1"/>
      <c r="Q793" s="474"/>
      <c r="S793" s="231"/>
      <c r="AA793" s="1"/>
      <c r="AB793" s="392"/>
    </row>
    <row r="794" spans="8:28" x14ac:dyDescent="0.25">
      <c r="H794" s="473"/>
      <c r="I794" s="1"/>
      <c r="J794" s="1"/>
      <c r="K794" s="1"/>
      <c r="L794" s="1"/>
      <c r="M794" s="1"/>
      <c r="N794" s="1"/>
      <c r="O794" s="1"/>
      <c r="P794" s="1"/>
      <c r="Q794" s="474"/>
      <c r="S794" s="231"/>
      <c r="AA794" s="1"/>
      <c r="AB794" s="392"/>
    </row>
    <row r="795" spans="8:28" x14ac:dyDescent="0.25">
      <c r="H795" s="473"/>
      <c r="I795" s="1"/>
      <c r="J795" s="1"/>
      <c r="K795" s="1"/>
      <c r="L795" s="1"/>
      <c r="M795" s="1"/>
      <c r="N795" s="1"/>
      <c r="O795" s="1"/>
      <c r="P795" s="1"/>
      <c r="Q795" s="474"/>
      <c r="S795" s="231"/>
      <c r="AA795" s="1"/>
      <c r="AB795" s="392"/>
    </row>
    <row r="796" spans="8:28" x14ac:dyDescent="0.25">
      <c r="H796" s="473"/>
      <c r="I796" s="1"/>
      <c r="J796" s="1"/>
      <c r="K796" s="1"/>
      <c r="L796" s="1"/>
      <c r="M796" s="1"/>
      <c r="N796" s="1"/>
      <c r="O796" s="1"/>
      <c r="P796" s="1"/>
      <c r="Q796" s="474"/>
      <c r="S796" s="231"/>
      <c r="AA796" s="1"/>
      <c r="AB796" s="392"/>
    </row>
    <row r="797" spans="8:28" x14ac:dyDescent="0.25">
      <c r="H797" s="473"/>
      <c r="I797" s="1"/>
      <c r="J797" s="1"/>
      <c r="K797" s="1"/>
      <c r="L797" s="1"/>
      <c r="M797" s="1"/>
      <c r="N797" s="1"/>
      <c r="O797" s="1"/>
      <c r="P797" s="1"/>
      <c r="Q797" s="474"/>
      <c r="S797" s="231"/>
      <c r="AA797" s="1"/>
      <c r="AB797" s="392"/>
    </row>
    <row r="798" spans="8:28" x14ac:dyDescent="0.25">
      <c r="H798" s="473"/>
      <c r="I798" s="1"/>
      <c r="J798" s="1"/>
      <c r="K798" s="1"/>
      <c r="L798" s="1"/>
      <c r="M798" s="1"/>
      <c r="N798" s="1"/>
      <c r="O798" s="1"/>
      <c r="P798" s="1"/>
      <c r="Q798" s="474"/>
      <c r="S798" s="231"/>
      <c r="AA798" s="1"/>
      <c r="AB798" s="392"/>
    </row>
    <row r="799" spans="8:28" x14ac:dyDescent="0.25">
      <c r="H799" s="473"/>
      <c r="I799" s="1"/>
      <c r="J799" s="1"/>
      <c r="K799" s="1"/>
      <c r="L799" s="1"/>
      <c r="M799" s="1"/>
      <c r="N799" s="1"/>
      <c r="O799" s="1"/>
      <c r="P799" s="1"/>
      <c r="Q799" s="474"/>
      <c r="S799" s="231"/>
      <c r="AA799" s="1"/>
      <c r="AB799" s="392"/>
    </row>
    <row r="800" spans="8:28" x14ac:dyDescent="0.25">
      <c r="H800" s="473"/>
      <c r="I800" s="1"/>
      <c r="J800" s="1"/>
      <c r="K800" s="1"/>
      <c r="L800" s="1"/>
      <c r="M800" s="1"/>
      <c r="N800" s="1"/>
      <c r="O800" s="1"/>
      <c r="P800" s="1"/>
      <c r="Q800" s="474"/>
      <c r="S800" s="231"/>
      <c r="AA800" s="1"/>
      <c r="AB800" s="392"/>
    </row>
    <row r="801" spans="8:28" x14ac:dyDescent="0.25">
      <c r="H801" s="473"/>
      <c r="I801" s="1"/>
      <c r="J801" s="1"/>
      <c r="K801" s="1"/>
      <c r="L801" s="1"/>
      <c r="M801" s="1"/>
      <c r="N801" s="1"/>
      <c r="O801" s="1"/>
      <c r="P801" s="1"/>
      <c r="Q801" s="474"/>
      <c r="S801" s="231"/>
      <c r="AA801" s="1"/>
      <c r="AB801" s="392"/>
    </row>
    <row r="802" spans="8:28" x14ac:dyDescent="0.25">
      <c r="H802" s="473"/>
      <c r="I802" s="1"/>
      <c r="J802" s="1"/>
      <c r="K802" s="1"/>
      <c r="L802" s="1"/>
      <c r="M802" s="1"/>
      <c r="N802" s="1"/>
      <c r="O802" s="1"/>
      <c r="P802" s="1"/>
      <c r="Q802" s="474"/>
      <c r="S802" s="231"/>
      <c r="AA802" s="1"/>
      <c r="AB802" s="392"/>
    </row>
    <row r="803" spans="8:28" x14ac:dyDescent="0.25">
      <c r="H803" s="473"/>
      <c r="I803" s="1"/>
      <c r="J803" s="1"/>
      <c r="K803" s="1"/>
      <c r="L803" s="1"/>
      <c r="M803" s="1"/>
      <c r="N803" s="1"/>
      <c r="O803" s="1"/>
      <c r="P803" s="1"/>
      <c r="Q803" s="474"/>
      <c r="S803" s="231"/>
      <c r="AA803" s="1"/>
      <c r="AB803" s="392"/>
    </row>
    <row r="804" spans="8:28" x14ac:dyDescent="0.25">
      <c r="H804" s="473"/>
      <c r="I804" s="1"/>
      <c r="J804" s="1"/>
      <c r="K804" s="1"/>
      <c r="L804" s="1"/>
      <c r="M804" s="1"/>
      <c r="N804" s="1"/>
      <c r="O804" s="1"/>
      <c r="P804" s="1"/>
      <c r="Q804" s="474"/>
      <c r="S804" s="231"/>
      <c r="AA804" s="1"/>
      <c r="AB804" s="392"/>
    </row>
    <row r="805" spans="8:28" x14ac:dyDescent="0.25">
      <c r="H805" s="473"/>
      <c r="I805" s="1"/>
      <c r="J805" s="1"/>
      <c r="K805" s="1"/>
      <c r="L805" s="1"/>
      <c r="M805" s="1"/>
      <c r="N805" s="1"/>
      <c r="O805" s="1"/>
      <c r="P805" s="1"/>
      <c r="Q805" s="474"/>
      <c r="S805" s="231"/>
      <c r="AA805" s="1"/>
      <c r="AB805" s="392"/>
    </row>
    <row r="806" spans="8:28" x14ac:dyDescent="0.25">
      <c r="H806" s="473"/>
      <c r="I806" s="1"/>
      <c r="J806" s="1"/>
      <c r="K806" s="1"/>
      <c r="L806" s="1"/>
      <c r="M806" s="1"/>
      <c r="N806" s="1"/>
      <c r="O806" s="1"/>
      <c r="P806" s="1"/>
      <c r="Q806" s="474"/>
      <c r="S806" s="231"/>
      <c r="AA806" s="1"/>
      <c r="AB806" s="392"/>
    </row>
    <row r="807" spans="8:28" x14ac:dyDescent="0.25">
      <c r="H807" s="473"/>
      <c r="I807" s="1"/>
      <c r="J807" s="1"/>
      <c r="K807" s="1"/>
      <c r="L807" s="1"/>
      <c r="M807" s="1"/>
      <c r="N807" s="1"/>
      <c r="O807" s="1"/>
      <c r="P807" s="1"/>
      <c r="Q807" s="474"/>
      <c r="S807" s="231"/>
      <c r="AA807" s="1"/>
      <c r="AB807" s="392"/>
    </row>
    <row r="808" spans="8:28" x14ac:dyDescent="0.25">
      <c r="H808" s="473"/>
      <c r="I808" s="1"/>
      <c r="J808" s="1"/>
      <c r="K808" s="1"/>
      <c r="L808" s="1"/>
      <c r="M808" s="1"/>
      <c r="N808" s="1"/>
      <c r="O808" s="1"/>
      <c r="P808" s="1"/>
      <c r="Q808" s="474"/>
      <c r="S808" s="231"/>
      <c r="AA808" s="1"/>
      <c r="AB808" s="392"/>
    </row>
    <row r="809" spans="8:28" x14ac:dyDescent="0.25">
      <c r="H809" s="473"/>
      <c r="I809" s="1"/>
      <c r="J809" s="1"/>
      <c r="K809" s="1"/>
      <c r="L809" s="1"/>
      <c r="M809" s="1"/>
      <c r="N809" s="1"/>
      <c r="O809" s="1"/>
      <c r="P809" s="1"/>
      <c r="Q809" s="474"/>
      <c r="S809" s="231"/>
      <c r="AA809" s="1"/>
      <c r="AB809" s="392"/>
    </row>
    <row r="810" spans="8:28" x14ac:dyDescent="0.25">
      <c r="H810" s="473"/>
      <c r="I810" s="1"/>
      <c r="J810" s="1"/>
      <c r="K810" s="1"/>
      <c r="L810" s="1"/>
      <c r="M810" s="1"/>
      <c r="N810" s="1"/>
      <c r="O810" s="1"/>
      <c r="P810" s="1"/>
      <c r="Q810" s="474"/>
      <c r="S810" s="231"/>
      <c r="AA810" s="1"/>
      <c r="AB810" s="392"/>
    </row>
    <row r="811" spans="8:28" x14ac:dyDescent="0.25">
      <c r="H811" s="473"/>
      <c r="I811" s="1"/>
      <c r="J811" s="1"/>
      <c r="K811" s="1"/>
      <c r="L811" s="1"/>
      <c r="M811" s="1"/>
      <c r="N811" s="1"/>
      <c r="O811" s="1"/>
      <c r="P811" s="1"/>
      <c r="Q811" s="474"/>
      <c r="S811" s="231"/>
      <c r="AA811" s="1"/>
      <c r="AB811" s="392"/>
    </row>
    <row r="812" spans="8:28" x14ac:dyDescent="0.25">
      <c r="H812" s="473"/>
      <c r="I812" s="1"/>
      <c r="J812" s="1"/>
      <c r="K812" s="1"/>
      <c r="L812" s="1"/>
      <c r="M812" s="1"/>
      <c r="N812" s="1"/>
      <c r="O812" s="1"/>
      <c r="P812" s="1"/>
      <c r="Q812" s="474"/>
      <c r="S812" s="231"/>
      <c r="AA812" s="1"/>
      <c r="AB812" s="392"/>
    </row>
    <row r="813" spans="8:28" x14ac:dyDescent="0.25">
      <c r="H813" s="473"/>
      <c r="I813" s="1"/>
      <c r="J813" s="1"/>
      <c r="K813" s="1"/>
      <c r="L813" s="1"/>
      <c r="M813" s="1"/>
      <c r="N813" s="1"/>
      <c r="O813" s="1"/>
      <c r="P813" s="1"/>
      <c r="Q813" s="474"/>
      <c r="S813" s="231"/>
      <c r="AA813" s="1"/>
      <c r="AB813" s="392"/>
    </row>
    <row r="814" spans="8:28" x14ac:dyDescent="0.25">
      <c r="H814" s="473"/>
      <c r="I814" s="1"/>
      <c r="J814" s="1"/>
      <c r="K814" s="1"/>
      <c r="L814" s="1"/>
      <c r="M814" s="1"/>
      <c r="N814" s="1"/>
      <c r="O814" s="1"/>
      <c r="P814" s="1"/>
      <c r="Q814" s="474"/>
      <c r="S814" s="231"/>
      <c r="AA814" s="1"/>
      <c r="AB814" s="392"/>
    </row>
    <row r="815" spans="8:28" x14ac:dyDescent="0.25">
      <c r="H815" s="473"/>
      <c r="I815" s="1"/>
      <c r="J815" s="1"/>
      <c r="K815" s="1"/>
      <c r="L815" s="1"/>
      <c r="M815" s="1"/>
      <c r="N815" s="1"/>
      <c r="O815" s="1"/>
      <c r="P815" s="1"/>
      <c r="Q815" s="474"/>
      <c r="S815" s="231"/>
      <c r="AA815" s="1"/>
      <c r="AB815" s="392"/>
    </row>
    <row r="816" spans="8:28" x14ac:dyDescent="0.25">
      <c r="H816" s="473"/>
      <c r="I816" s="1"/>
      <c r="J816" s="1"/>
      <c r="K816" s="1"/>
      <c r="L816" s="1"/>
      <c r="M816" s="1"/>
      <c r="N816" s="1"/>
      <c r="O816" s="1"/>
      <c r="P816" s="1"/>
      <c r="Q816" s="474"/>
      <c r="S816" s="231"/>
      <c r="AA816" s="1"/>
      <c r="AB816" s="392"/>
    </row>
    <row r="817" spans="8:28" x14ac:dyDescent="0.25">
      <c r="H817" s="473"/>
      <c r="I817" s="1"/>
      <c r="J817" s="1"/>
      <c r="K817" s="1"/>
      <c r="L817" s="1"/>
      <c r="M817" s="1"/>
      <c r="N817" s="1"/>
      <c r="O817" s="1"/>
      <c r="P817" s="1"/>
      <c r="Q817" s="474"/>
      <c r="S817" s="231"/>
      <c r="AA817" s="1"/>
      <c r="AB817" s="392"/>
    </row>
    <row r="818" spans="8:28" x14ac:dyDescent="0.25">
      <c r="H818" s="473"/>
      <c r="I818" s="1"/>
      <c r="J818" s="1"/>
      <c r="K818" s="1"/>
      <c r="L818" s="1"/>
      <c r="M818" s="1"/>
      <c r="N818" s="1"/>
      <c r="O818" s="1"/>
      <c r="P818" s="1"/>
      <c r="Q818" s="474"/>
      <c r="S818" s="231"/>
      <c r="AA818" s="1"/>
      <c r="AB818" s="392"/>
    </row>
    <row r="819" spans="8:28" x14ac:dyDescent="0.25">
      <c r="H819" s="473"/>
      <c r="I819" s="1"/>
      <c r="J819" s="1"/>
      <c r="K819" s="1"/>
      <c r="L819" s="1"/>
      <c r="M819" s="1"/>
      <c r="N819" s="1"/>
      <c r="O819" s="1"/>
      <c r="P819" s="1"/>
      <c r="Q819" s="474"/>
      <c r="S819" s="231"/>
      <c r="AA819" s="1"/>
      <c r="AB819" s="392"/>
    </row>
    <row r="820" spans="8:28" x14ac:dyDescent="0.25">
      <c r="H820" s="473"/>
      <c r="I820" s="1"/>
      <c r="J820" s="1"/>
      <c r="K820" s="1"/>
      <c r="L820" s="1"/>
      <c r="M820" s="1"/>
      <c r="N820" s="1"/>
      <c r="O820" s="1"/>
      <c r="P820" s="1"/>
      <c r="Q820" s="474"/>
      <c r="S820" s="231"/>
      <c r="AA820" s="1"/>
      <c r="AB820" s="392"/>
    </row>
    <row r="821" spans="8:28" x14ac:dyDescent="0.25">
      <c r="H821" s="473"/>
      <c r="I821" s="1"/>
      <c r="J821" s="1"/>
      <c r="K821" s="1"/>
      <c r="L821" s="1"/>
      <c r="M821" s="1"/>
      <c r="N821" s="1"/>
      <c r="O821" s="1"/>
      <c r="P821" s="1"/>
      <c r="Q821" s="474"/>
      <c r="S821" s="231"/>
      <c r="AA821" s="1"/>
      <c r="AB821" s="392"/>
    </row>
    <row r="822" spans="8:28" x14ac:dyDescent="0.25">
      <c r="H822" s="473"/>
      <c r="I822" s="1"/>
      <c r="J822" s="1"/>
      <c r="K822" s="1"/>
      <c r="L822" s="1"/>
      <c r="M822" s="1"/>
      <c r="N822" s="1"/>
      <c r="O822" s="1"/>
      <c r="P822" s="1"/>
      <c r="Q822" s="474"/>
      <c r="S822" s="231"/>
      <c r="AA822" s="1"/>
      <c r="AB822" s="392"/>
    </row>
    <row r="823" spans="8:28" x14ac:dyDescent="0.25">
      <c r="H823" s="473"/>
      <c r="I823" s="1"/>
      <c r="J823" s="1"/>
      <c r="K823" s="1"/>
      <c r="L823" s="1"/>
      <c r="M823" s="1"/>
      <c r="N823" s="1"/>
      <c r="O823" s="1"/>
      <c r="P823" s="1"/>
      <c r="Q823" s="474"/>
      <c r="S823" s="231"/>
      <c r="AA823" s="1"/>
      <c r="AB823" s="392"/>
    </row>
    <row r="824" spans="8:28" x14ac:dyDescent="0.25">
      <c r="H824" s="473"/>
      <c r="I824" s="1"/>
      <c r="J824" s="1"/>
      <c r="K824" s="1"/>
      <c r="L824" s="1"/>
      <c r="M824" s="1"/>
      <c r="N824" s="1"/>
      <c r="O824" s="1"/>
      <c r="P824" s="1"/>
      <c r="Q824" s="474"/>
      <c r="S824" s="231"/>
      <c r="AA824" s="1"/>
      <c r="AB824" s="392"/>
    </row>
    <row r="825" spans="8:28" x14ac:dyDescent="0.25">
      <c r="H825" s="473"/>
      <c r="I825" s="1"/>
      <c r="J825" s="1"/>
      <c r="K825" s="1"/>
      <c r="L825" s="1"/>
      <c r="M825" s="1"/>
      <c r="N825" s="1"/>
      <c r="O825" s="1"/>
      <c r="P825" s="1"/>
      <c r="Q825" s="474"/>
      <c r="S825" s="231"/>
      <c r="AA825" s="1"/>
      <c r="AB825" s="392"/>
    </row>
    <row r="826" spans="8:28" x14ac:dyDescent="0.25">
      <c r="H826" s="473"/>
      <c r="I826" s="1"/>
      <c r="J826" s="1"/>
      <c r="K826" s="1"/>
      <c r="L826" s="1"/>
      <c r="M826" s="1"/>
      <c r="N826" s="1"/>
      <c r="O826" s="1"/>
      <c r="P826" s="1"/>
      <c r="Q826" s="474"/>
      <c r="S826" s="231"/>
      <c r="AA826" s="1"/>
      <c r="AB826" s="392"/>
    </row>
    <row r="827" spans="8:28" x14ac:dyDescent="0.25">
      <c r="H827" s="473"/>
      <c r="I827" s="1"/>
      <c r="J827" s="1"/>
      <c r="K827" s="1"/>
      <c r="L827" s="1"/>
      <c r="M827" s="1"/>
      <c r="N827" s="1"/>
      <c r="O827" s="1"/>
      <c r="P827" s="1"/>
      <c r="Q827" s="474"/>
      <c r="S827" s="231"/>
      <c r="AA827" s="1"/>
      <c r="AB827" s="392"/>
    </row>
    <row r="828" spans="8:28" x14ac:dyDescent="0.25">
      <c r="H828" s="473"/>
      <c r="I828" s="1"/>
      <c r="J828" s="1"/>
      <c r="K828" s="1"/>
      <c r="L828" s="1"/>
      <c r="M828" s="1"/>
      <c r="N828" s="1"/>
      <c r="O828" s="1"/>
      <c r="P828" s="1"/>
      <c r="Q828" s="474"/>
      <c r="S828" s="231"/>
      <c r="AA828" s="1"/>
      <c r="AB828" s="392"/>
    </row>
    <row r="829" spans="8:28" x14ac:dyDescent="0.25">
      <c r="H829" s="473"/>
      <c r="I829" s="1"/>
      <c r="J829" s="1"/>
      <c r="K829" s="1"/>
      <c r="L829" s="1"/>
      <c r="M829" s="1"/>
      <c r="N829" s="1"/>
      <c r="O829" s="1"/>
      <c r="P829" s="1"/>
      <c r="Q829" s="474"/>
      <c r="S829" s="231"/>
      <c r="AA829" s="1"/>
      <c r="AB829" s="392"/>
    </row>
    <row r="830" spans="8:28" x14ac:dyDescent="0.25">
      <c r="H830" s="473"/>
      <c r="I830" s="1"/>
      <c r="J830" s="1"/>
      <c r="K830" s="1"/>
      <c r="L830" s="1"/>
      <c r="M830" s="1"/>
      <c r="N830" s="1"/>
      <c r="O830" s="1"/>
      <c r="P830" s="1"/>
      <c r="Q830" s="474"/>
      <c r="S830" s="231"/>
      <c r="AA830" s="1"/>
      <c r="AB830" s="392"/>
    </row>
    <row r="831" spans="8:28" x14ac:dyDescent="0.25">
      <c r="H831" s="473"/>
      <c r="I831" s="1"/>
      <c r="J831" s="1"/>
      <c r="K831" s="1"/>
      <c r="L831" s="1"/>
      <c r="M831" s="1"/>
      <c r="N831" s="1"/>
      <c r="O831" s="1"/>
      <c r="P831" s="1"/>
      <c r="Q831" s="474"/>
      <c r="S831" s="231"/>
      <c r="AA831" s="1"/>
      <c r="AB831" s="392"/>
    </row>
    <row r="832" spans="8:28" x14ac:dyDescent="0.25">
      <c r="H832" s="473"/>
      <c r="I832" s="1"/>
      <c r="J832" s="1"/>
      <c r="K832" s="1"/>
      <c r="L832" s="1"/>
      <c r="M832" s="1"/>
      <c r="N832" s="1"/>
      <c r="O832" s="1"/>
      <c r="P832" s="1"/>
      <c r="Q832" s="474"/>
      <c r="S832" s="231"/>
      <c r="AA832" s="1"/>
      <c r="AB832" s="392"/>
    </row>
    <row r="833" spans="8:28" x14ac:dyDescent="0.25">
      <c r="H833" s="473"/>
      <c r="I833" s="1"/>
      <c r="J833" s="1"/>
      <c r="K833" s="1"/>
      <c r="L833" s="1"/>
      <c r="M833" s="1"/>
      <c r="N833" s="1"/>
      <c r="O833" s="1"/>
      <c r="P833" s="1"/>
      <c r="Q833" s="474"/>
      <c r="S833" s="231"/>
      <c r="AA833" s="1"/>
      <c r="AB833" s="392"/>
    </row>
    <row r="834" spans="8:28" x14ac:dyDescent="0.25">
      <c r="H834" s="473"/>
      <c r="I834" s="1"/>
      <c r="J834" s="1"/>
      <c r="K834" s="1"/>
      <c r="L834" s="1"/>
      <c r="M834" s="1"/>
      <c r="N834" s="1"/>
      <c r="O834" s="1"/>
      <c r="P834" s="1"/>
      <c r="Q834" s="474"/>
      <c r="S834" s="231"/>
      <c r="AA834" s="1"/>
      <c r="AB834" s="392"/>
    </row>
    <row r="835" spans="8:28" x14ac:dyDescent="0.25">
      <c r="H835" s="473"/>
      <c r="I835" s="1"/>
      <c r="J835" s="1"/>
      <c r="K835" s="1"/>
      <c r="L835" s="1"/>
      <c r="M835" s="1"/>
      <c r="N835" s="1"/>
      <c r="O835" s="1"/>
      <c r="P835" s="1"/>
      <c r="Q835" s="474"/>
      <c r="S835" s="231"/>
      <c r="AA835" s="1"/>
      <c r="AB835" s="392"/>
    </row>
    <row r="836" spans="8:28" x14ac:dyDescent="0.25">
      <c r="H836" s="473"/>
      <c r="I836" s="1"/>
      <c r="J836" s="1"/>
      <c r="K836" s="1"/>
      <c r="L836" s="1"/>
      <c r="M836" s="1"/>
      <c r="N836" s="1"/>
      <c r="O836" s="1"/>
      <c r="P836" s="1"/>
      <c r="Q836" s="474"/>
      <c r="S836" s="231"/>
      <c r="AA836" s="1"/>
      <c r="AB836" s="392"/>
    </row>
    <row r="837" spans="8:28" x14ac:dyDescent="0.25">
      <c r="H837" s="473"/>
      <c r="I837" s="1"/>
      <c r="J837" s="1"/>
      <c r="K837" s="1"/>
      <c r="L837" s="1"/>
      <c r="M837" s="1"/>
      <c r="N837" s="1"/>
      <c r="O837" s="1"/>
      <c r="P837" s="1"/>
      <c r="Q837" s="474"/>
      <c r="S837" s="231"/>
      <c r="AA837" s="1"/>
      <c r="AB837" s="392"/>
    </row>
    <row r="838" spans="8:28" x14ac:dyDescent="0.25">
      <c r="H838" s="473"/>
      <c r="I838" s="1"/>
      <c r="J838" s="1"/>
      <c r="K838" s="1"/>
      <c r="L838" s="1"/>
      <c r="M838" s="1"/>
      <c r="N838" s="1"/>
      <c r="O838" s="1"/>
      <c r="P838" s="1"/>
      <c r="Q838" s="474"/>
      <c r="S838" s="231"/>
      <c r="AA838" s="1"/>
      <c r="AB838" s="392"/>
    </row>
    <row r="839" spans="8:28" x14ac:dyDescent="0.25">
      <c r="H839" s="473"/>
      <c r="I839" s="1"/>
      <c r="J839" s="1"/>
      <c r="K839" s="1"/>
      <c r="L839" s="1"/>
      <c r="M839" s="1"/>
      <c r="N839" s="1"/>
      <c r="O839" s="1"/>
      <c r="P839" s="1"/>
      <c r="Q839" s="474"/>
      <c r="S839" s="231"/>
      <c r="AA839" s="1"/>
      <c r="AB839" s="392"/>
    </row>
    <row r="840" spans="8:28" x14ac:dyDescent="0.25">
      <c r="H840" s="473"/>
      <c r="I840" s="1"/>
      <c r="J840" s="1"/>
      <c r="K840" s="1"/>
      <c r="L840" s="1"/>
      <c r="M840" s="1"/>
      <c r="N840" s="1"/>
      <c r="O840" s="1"/>
      <c r="P840" s="1"/>
      <c r="Q840" s="474"/>
      <c r="S840" s="231"/>
      <c r="AA840" s="1"/>
      <c r="AB840" s="392"/>
    </row>
    <row r="841" spans="8:28" x14ac:dyDescent="0.25">
      <c r="H841" s="473"/>
      <c r="I841" s="1"/>
      <c r="J841" s="1"/>
      <c r="K841" s="1"/>
      <c r="L841" s="1"/>
      <c r="M841" s="1"/>
      <c r="N841" s="1"/>
      <c r="O841" s="1"/>
      <c r="P841" s="1"/>
      <c r="Q841" s="474"/>
      <c r="S841" s="231"/>
      <c r="AA841" s="1"/>
      <c r="AB841" s="392"/>
    </row>
    <row r="842" spans="8:28" x14ac:dyDescent="0.25">
      <c r="H842" s="473"/>
      <c r="I842" s="1"/>
      <c r="J842" s="1"/>
      <c r="K842" s="1"/>
      <c r="L842" s="1"/>
      <c r="M842" s="1"/>
      <c r="N842" s="1"/>
      <c r="O842" s="1"/>
      <c r="P842" s="1"/>
      <c r="Q842" s="474"/>
      <c r="S842" s="231"/>
      <c r="AA842" s="1"/>
      <c r="AB842" s="392"/>
    </row>
    <row r="843" spans="8:28" x14ac:dyDescent="0.25">
      <c r="H843" s="473"/>
      <c r="I843" s="1"/>
      <c r="J843" s="1"/>
      <c r="K843" s="1"/>
      <c r="L843" s="1"/>
      <c r="M843" s="1"/>
      <c r="N843" s="1"/>
      <c r="O843" s="1"/>
      <c r="P843" s="1"/>
      <c r="Q843" s="474"/>
      <c r="S843" s="231"/>
      <c r="AA843" s="1"/>
      <c r="AB843" s="392"/>
    </row>
    <row r="844" spans="8:28" x14ac:dyDescent="0.25">
      <c r="H844" s="473"/>
      <c r="I844" s="1"/>
      <c r="J844" s="1"/>
      <c r="K844" s="1"/>
      <c r="L844" s="1"/>
      <c r="M844" s="1"/>
      <c r="N844" s="1"/>
      <c r="O844" s="1"/>
      <c r="P844" s="1"/>
      <c r="Q844" s="474"/>
      <c r="S844" s="231"/>
      <c r="AA844" s="1"/>
      <c r="AB844" s="392"/>
    </row>
    <row r="845" spans="8:28" x14ac:dyDescent="0.25">
      <c r="H845" s="473"/>
      <c r="I845" s="1"/>
      <c r="J845" s="1"/>
      <c r="K845" s="1"/>
      <c r="L845" s="1"/>
      <c r="M845" s="1"/>
      <c r="N845" s="1"/>
      <c r="O845" s="1"/>
      <c r="P845" s="1"/>
      <c r="Q845" s="474"/>
      <c r="S845" s="231"/>
      <c r="AA845" s="1"/>
      <c r="AB845" s="392"/>
    </row>
    <row r="846" spans="8:28" x14ac:dyDescent="0.25">
      <c r="H846" s="473"/>
      <c r="I846" s="1"/>
      <c r="J846" s="1"/>
      <c r="K846" s="1"/>
      <c r="L846" s="1"/>
      <c r="M846" s="1"/>
      <c r="N846" s="1"/>
      <c r="O846" s="1"/>
      <c r="P846" s="1"/>
      <c r="Q846" s="474"/>
      <c r="S846" s="231"/>
      <c r="AA846" s="1"/>
      <c r="AB846" s="392"/>
    </row>
    <row r="847" spans="8:28" x14ac:dyDescent="0.25">
      <c r="H847" s="473"/>
      <c r="I847" s="1"/>
      <c r="J847" s="1"/>
      <c r="K847" s="1"/>
      <c r="L847" s="1"/>
      <c r="M847" s="1"/>
      <c r="N847" s="1"/>
      <c r="O847" s="1"/>
      <c r="P847" s="1"/>
      <c r="Q847" s="474"/>
      <c r="S847" s="231"/>
      <c r="AA847" s="1"/>
      <c r="AB847" s="392"/>
    </row>
    <row r="848" spans="8:28" x14ac:dyDescent="0.25">
      <c r="H848" s="473"/>
      <c r="I848" s="1"/>
      <c r="J848" s="1"/>
      <c r="K848" s="1"/>
      <c r="L848" s="1"/>
      <c r="M848" s="1"/>
      <c r="N848" s="1"/>
      <c r="O848" s="1"/>
      <c r="P848" s="1"/>
      <c r="Q848" s="474"/>
      <c r="S848" s="231"/>
      <c r="AA848" s="1"/>
      <c r="AB848" s="392"/>
    </row>
    <row r="849" spans="8:28" x14ac:dyDescent="0.25">
      <c r="H849" s="473"/>
      <c r="I849" s="1"/>
      <c r="J849" s="1"/>
      <c r="K849" s="1"/>
      <c r="L849" s="1"/>
      <c r="M849" s="1"/>
      <c r="N849" s="1"/>
      <c r="O849" s="1"/>
      <c r="P849" s="1"/>
      <c r="Q849" s="474"/>
      <c r="S849" s="231"/>
      <c r="AA849" s="1"/>
      <c r="AB849" s="392"/>
    </row>
    <row r="850" spans="8:28" x14ac:dyDescent="0.25">
      <c r="H850" s="473"/>
      <c r="I850" s="1"/>
      <c r="J850" s="1"/>
      <c r="K850" s="1"/>
      <c r="L850" s="1"/>
      <c r="M850" s="1"/>
      <c r="N850" s="1"/>
      <c r="O850" s="1"/>
      <c r="P850" s="1"/>
      <c r="Q850" s="474"/>
      <c r="S850" s="231"/>
      <c r="AA850" s="1"/>
      <c r="AB850" s="392"/>
    </row>
    <row r="851" spans="8:28" x14ac:dyDescent="0.25">
      <c r="H851" s="473"/>
      <c r="I851" s="1"/>
      <c r="J851" s="1"/>
      <c r="K851" s="1"/>
      <c r="L851" s="1"/>
      <c r="M851" s="1"/>
      <c r="N851" s="1"/>
      <c r="O851" s="1"/>
      <c r="P851" s="1"/>
      <c r="Q851" s="474"/>
      <c r="S851" s="231"/>
      <c r="AA851" s="1"/>
      <c r="AB851" s="392"/>
    </row>
    <row r="852" spans="8:28" x14ac:dyDescent="0.25">
      <c r="H852" s="473"/>
      <c r="I852" s="1"/>
      <c r="J852" s="1"/>
      <c r="K852" s="1"/>
      <c r="L852" s="1"/>
      <c r="M852" s="1"/>
      <c r="N852" s="1"/>
      <c r="O852" s="1"/>
      <c r="P852" s="1"/>
      <c r="Q852" s="474"/>
      <c r="S852" s="231"/>
      <c r="AA852" s="1"/>
      <c r="AB852" s="392"/>
    </row>
    <row r="853" spans="8:28" x14ac:dyDescent="0.25">
      <c r="H853" s="473"/>
      <c r="I853" s="1"/>
      <c r="J853" s="1"/>
      <c r="K853" s="1"/>
      <c r="L853" s="1"/>
      <c r="M853" s="1"/>
      <c r="N853" s="1"/>
      <c r="O853" s="1"/>
      <c r="P853" s="1"/>
      <c r="Q853" s="474"/>
      <c r="S853" s="231"/>
      <c r="AA853" s="1"/>
      <c r="AB853" s="392"/>
    </row>
    <row r="854" spans="8:28" x14ac:dyDescent="0.25">
      <c r="H854" s="473"/>
      <c r="I854" s="1"/>
      <c r="J854" s="1"/>
      <c r="K854" s="1"/>
      <c r="L854" s="1"/>
      <c r="M854" s="1"/>
      <c r="N854" s="1"/>
      <c r="O854" s="1"/>
      <c r="P854" s="1"/>
      <c r="Q854" s="474"/>
      <c r="S854" s="231"/>
      <c r="AA854" s="1"/>
      <c r="AB854" s="392"/>
    </row>
    <row r="855" spans="8:28" x14ac:dyDescent="0.25">
      <c r="H855" s="473"/>
      <c r="I855" s="1"/>
      <c r="J855" s="1"/>
      <c r="K855" s="1"/>
      <c r="L855" s="1"/>
      <c r="M855" s="1"/>
      <c r="N855" s="1"/>
      <c r="O855" s="1"/>
      <c r="P855" s="1"/>
      <c r="Q855" s="474"/>
      <c r="S855" s="231"/>
      <c r="AA855" s="1"/>
      <c r="AB855" s="392"/>
    </row>
    <row r="856" spans="8:28" x14ac:dyDescent="0.25">
      <c r="H856" s="473"/>
      <c r="I856" s="1"/>
      <c r="J856" s="1"/>
      <c r="K856" s="1"/>
      <c r="L856" s="1"/>
      <c r="M856" s="1"/>
      <c r="N856" s="1"/>
      <c r="O856" s="1"/>
      <c r="P856" s="1"/>
      <c r="Q856" s="474"/>
      <c r="S856" s="231"/>
      <c r="AA856" s="1"/>
      <c r="AB856" s="392"/>
    </row>
    <row r="857" spans="8:28" x14ac:dyDescent="0.25">
      <c r="H857" s="473"/>
      <c r="I857" s="1"/>
      <c r="J857" s="1"/>
      <c r="K857" s="1"/>
      <c r="L857" s="1"/>
      <c r="M857" s="1"/>
      <c r="N857" s="1"/>
      <c r="O857" s="1"/>
      <c r="P857" s="1"/>
      <c r="Q857" s="474"/>
      <c r="S857" s="231"/>
      <c r="AA857" s="1"/>
      <c r="AB857" s="392"/>
    </row>
    <row r="858" spans="8:28" x14ac:dyDescent="0.25">
      <c r="H858" s="473"/>
      <c r="I858" s="1"/>
      <c r="J858" s="1"/>
      <c r="K858" s="1"/>
      <c r="L858" s="1"/>
      <c r="M858" s="1"/>
      <c r="N858" s="1"/>
      <c r="O858" s="1"/>
      <c r="P858" s="1"/>
      <c r="Q858" s="474"/>
      <c r="S858" s="231"/>
      <c r="AA858" s="1"/>
      <c r="AB858" s="392"/>
    </row>
    <row r="859" spans="8:28" x14ac:dyDescent="0.25">
      <c r="H859" s="473"/>
      <c r="I859" s="1"/>
      <c r="J859" s="1"/>
      <c r="K859" s="1"/>
      <c r="L859" s="1"/>
      <c r="M859" s="1"/>
      <c r="N859" s="1"/>
      <c r="O859" s="1"/>
      <c r="P859" s="1"/>
      <c r="Q859" s="474"/>
      <c r="S859" s="231"/>
      <c r="AA859" s="1"/>
      <c r="AB859" s="392"/>
    </row>
    <row r="860" spans="8:28" x14ac:dyDescent="0.25">
      <c r="H860" s="473"/>
      <c r="I860" s="1"/>
      <c r="J860" s="1"/>
      <c r="K860" s="1"/>
      <c r="L860" s="1"/>
      <c r="M860" s="1"/>
      <c r="N860" s="1"/>
      <c r="O860" s="1"/>
      <c r="P860" s="1"/>
      <c r="Q860" s="474"/>
      <c r="S860" s="231"/>
      <c r="AA860" s="1"/>
      <c r="AB860" s="392"/>
    </row>
    <row r="861" spans="8:28" x14ac:dyDescent="0.25">
      <c r="H861" s="473"/>
      <c r="I861" s="1"/>
      <c r="J861" s="1"/>
      <c r="K861" s="1"/>
      <c r="L861" s="1"/>
      <c r="M861" s="1"/>
      <c r="N861" s="1"/>
      <c r="O861" s="1"/>
      <c r="P861" s="1"/>
      <c r="Q861" s="474"/>
      <c r="S861" s="231"/>
      <c r="AA861" s="1"/>
      <c r="AB861" s="392"/>
    </row>
    <row r="862" spans="8:28" x14ac:dyDescent="0.25">
      <c r="H862" s="473"/>
      <c r="I862" s="1"/>
      <c r="J862" s="1"/>
      <c r="K862" s="1"/>
      <c r="L862" s="1"/>
      <c r="M862" s="1"/>
      <c r="N862" s="1"/>
      <c r="O862" s="1"/>
      <c r="P862" s="1"/>
      <c r="Q862" s="474"/>
      <c r="S862" s="231"/>
      <c r="AA862" s="1"/>
      <c r="AB862" s="392"/>
    </row>
    <row r="863" spans="8:28" x14ac:dyDescent="0.25">
      <c r="H863" s="473"/>
      <c r="I863" s="1"/>
      <c r="J863" s="1"/>
      <c r="K863" s="1"/>
      <c r="L863" s="1"/>
      <c r="M863" s="1"/>
      <c r="N863" s="1"/>
      <c r="O863" s="1"/>
      <c r="P863" s="1"/>
      <c r="Q863" s="474"/>
      <c r="S863" s="231"/>
      <c r="AA863" s="1"/>
      <c r="AB863" s="392"/>
    </row>
    <row r="864" spans="8:28" x14ac:dyDescent="0.25">
      <c r="H864" s="473"/>
      <c r="I864" s="1"/>
      <c r="J864" s="1"/>
      <c r="K864" s="1"/>
      <c r="L864" s="1"/>
      <c r="M864" s="1"/>
      <c r="N864" s="1"/>
      <c r="O864" s="1"/>
      <c r="P864" s="1"/>
      <c r="Q864" s="474"/>
      <c r="S864" s="231"/>
      <c r="AA864" s="1"/>
      <c r="AB864" s="392"/>
    </row>
    <row r="865" spans="8:28" x14ac:dyDescent="0.25">
      <c r="H865" s="473"/>
      <c r="I865" s="1"/>
      <c r="J865" s="1"/>
      <c r="K865" s="1"/>
      <c r="L865" s="1"/>
      <c r="M865" s="1"/>
      <c r="N865" s="1"/>
      <c r="O865" s="1"/>
      <c r="P865" s="1"/>
      <c r="Q865" s="474"/>
      <c r="S865" s="231"/>
      <c r="AA865" s="1"/>
      <c r="AB865" s="392"/>
    </row>
    <row r="866" spans="8:28" x14ac:dyDescent="0.25">
      <c r="H866" s="473"/>
      <c r="I866" s="1"/>
      <c r="J866" s="1"/>
      <c r="K866" s="1"/>
      <c r="L866" s="1"/>
      <c r="M866" s="1"/>
      <c r="N866" s="1"/>
      <c r="O866" s="1"/>
      <c r="P866" s="1"/>
      <c r="Q866" s="474"/>
      <c r="S866" s="231"/>
      <c r="AA866" s="1"/>
      <c r="AB866" s="392"/>
    </row>
    <row r="867" spans="8:28" x14ac:dyDescent="0.25">
      <c r="H867" s="473"/>
      <c r="I867" s="1"/>
      <c r="J867" s="1"/>
      <c r="K867" s="1"/>
      <c r="L867" s="1"/>
      <c r="M867" s="1"/>
      <c r="N867" s="1"/>
      <c r="O867" s="1"/>
      <c r="P867" s="1"/>
      <c r="Q867" s="474"/>
      <c r="S867" s="231"/>
      <c r="AA867" s="1"/>
      <c r="AB867" s="392"/>
    </row>
    <row r="868" spans="8:28" x14ac:dyDescent="0.25">
      <c r="H868" s="473"/>
      <c r="I868" s="1"/>
      <c r="J868" s="1"/>
      <c r="K868" s="1"/>
      <c r="L868" s="1"/>
      <c r="M868" s="1"/>
      <c r="N868" s="1"/>
      <c r="O868" s="1"/>
      <c r="P868" s="1"/>
      <c r="Q868" s="474"/>
      <c r="S868" s="231"/>
      <c r="AA868" s="1"/>
      <c r="AB868" s="392"/>
    </row>
    <row r="869" spans="8:28" x14ac:dyDescent="0.25">
      <c r="H869" s="473"/>
      <c r="I869" s="1"/>
      <c r="J869" s="1"/>
      <c r="K869" s="1"/>
      <c r="L869" s="1"/>
      <c r="M869" s="1"/>
      <c r="N869" s="1"/>
      <c r="O869" s="1"/>
      <c r="P869" s="1"/>
      <c r="Q869" s="474"/>
      <c r="S869" s="231"/>
      <c r="AA869" s="1"/>
      <c r="AB869" s="392"/>
    </row>
    <row r="870" spans="8:28" x14ac:dyDescent="0.25">
      <c r="H870" s="473"/>
      <c r="I870" s="1"/>
      <c r="J870" s="1"/>
      <c r="K870" s="1"/>
      <c r="L870" s="1"/>
      <c r="M870" s="1"/>
      <c r="N870" s="1"/>
      <c r="O870" s="1"/>
      <c r="P870" s="1"/>
      <c r="Q870" s="474"/>
      <c r="S870" s="231"/>
      <c r="AA870" s="1"/>
      <c r="AB870" s="392"/>
    </row>
    <row r="871" spans="8:28" x14ac:dyDescent="0.25">
      <c r="H871" s="473"/>
      <c r="I871" s="1"/>
      <c r="J871" s="1"/>
      <c r="K871" s="1"/>
      <c r="L871" s="1"/>
      <c r="M871" s="1"/>
      <c r="N871" s="1"/>
      <c r="O871" s="1"/>
      <c r="P871" s="1"/>
      <c r="Q871" s="474"/>
      <c r="S871" s="231"/>
      <c r="AA871" s="1"/>
      <c r="AB871" s="392"/>
    </row>
    <row r="872" spans="8:28" x14ac:dyDescent="0.25">
      <c r="H872" s="473"/>
      <c r="I872" s="1"/>
      <c r="J872" s="1"/>
      <c r="K872" s="1"/>
      <c r="L872" s="1"/>
      <c r="M872" s="1"/>
      <c r="N872" s="1"/>
      <c r="O872" s="1"/>
      <c r="P872" s="1"/>
      <c r="Q872" s="474"/>
      <c r="S872" s="231"/>
      <c r="AA872" s="1"/>
      <c r="AB872" s="392"/>
    </row>
    <row r="873" spans="8:28" x14ac:dyDescent="0.25">
      <c r="H873" s="473"/>
      <c r="I873" s="1"/>
      <c r="J873" s="1"/>
      <c r="K873" s="1"/>
      <c r="L873" s="1"/>
      <c r="M873" s="1"/>
      <c r="N873" s="1"/>
      <c r="O873" s="1"/>
      <c r="P873" s="1"/>
      <c r="Q873" s="474"/>
      <c r="S873" s="231"/>
      <c r="AA873" s="1"/>
      <c r="AB873" s="392"/>
    </row>
    <row r="874" spans="8:28" x14ac:dyDescent="0.25">
      <c r="H874" s="473"/>
      <c r="I874" s="1"/>
      <c r="J874" s="1"/>
      <c r="K874" s="1"/>
      <c r="L874" s="1"/>
      <c r="M874" s="1"/>
      <c r="N874" s="1"/>
      <c r="O874" s="1"/>
      <c r="P874" s="1"/>
      <c r="Q874" s="474"/>
      <c r="S874" s="231"/>
      <c r="AA874" s="1"/>
      <c r="AB874" s="392"/>
    </row>
    <row r="875" spans="8:28" x14ac:dyDescent="0.25">
      <c r="H875" s="473"/>
      <c r="I875" s="1"/>
      <c r="J875" s="1"/>
      <c r="K875" s="1"/>
      <c r="L875" s="1"/>
      <c r="M875" s="1"/>
      <c r="N875" s="1"/>
      <c r="O875" s="1"/>
      <c r="P875" s="1"/>
      <c r="Q875" s="474"/>
      <c r="S875" s="231"/>
      <c r="AA875" s="1"/>
      <c r="AB875" s="392"/>
    </row>
    <row r="876" spans="8:28" x14ac:dyDescent="0.25">
      <c r="H876" s="473"/>
      <c r="I876" s="1"/>
      <c r="J876" s="1"/>
      <c r="K876" s="1"/>
      <c r="L876" s="1"/>
      <c r="M876" s="1"/>
      <c r="N876" s="1"/>
      <c r="O876" s="1"/>
      <c r="P876" s="1"/>
      <c r="Q876" s="474"/>
      <c r="S876" s="231"/>
      <c r="AA876" s="1"/>
      <c r="AB876" s="392"/>
    </row>
    <row r="877" spans="8:28" x14ac:dyDescent="0.25">
      <c r="H877" s="473"/>
      <c r="I877" s="1"/>
      <c r="J877" s="1"/>
      <c r="K877" s="1"/>
      <c r="L877" s="1"/>
      <c r="M877" s="1"/>
      <c r="N877" s="1"/>
      <c r="O877" s="1"/>
      <c r="P877" s="1"/>
      <c r="Q877" s="474"/>
      <c r="S877" s="231"/>
      <c r="AA877" s="1"/>
      <c r="AB877" s="392"/>
    </row>
    <row r="878" spans="8:28" x14ac:dyDescent="0.25">
      <c r="H878" s="473"/>
      <c r="I878" s="1"/>
      <c r="J878" s="1"/>
      <c r="K878" s="1"/>
      <c r="L878" s="1"/>
      <c r="M878" s="1"/>
      <c r="N878" s="1"/>
      <c r="O878" s="1"/>
      <c r="P878" s="1"/>
      <c r="Q878" s="474"/>
      <c r="S878" s="231"/>
      <c r="AA878" s="1"/>
      <c r="AB878" s="392"/>
    </row>
    <row r="879" spans="8:28" x14ac:dyDescent="0.25">
      <c r="H879" s="473"/>
      <c r="I879" s="1"/>
      <c r="J879" s="1"/>
      <c r="K879" s="1"/>
      <c r="L879" s="1"/>
      <c r="M879" s="1"/>
      <c r="N879" s="1"/>
      <c r="O879" s="1"/>
      <c r="P879" s="1"/>
      <c r="Q879" s="474"/>
      <c r="S879" s="231"/>
      <c r="AA879" s="1"/>
      <c r="AB879" s="392"/>
    </row>
    <row r="880" spans="8:28" x14ac:dyDescent="0.25">
      <c r="H880" s="473"/>
      <c r="I880" s="1"/>
      <c r="J880" s="1"/>
      <c r="K880" s="1"/>
      <c r="L880" s="1"/>
      <c r="M880" s="1"/>
      <c r="N880" s="1"/>
      <c r="O880" s="1"/>
      <c r="P880" s="1"/>
      <c r="Q880" s="474"/>
      <c r="S880" s="231"/>
      <c r="AA880" s="1"/>
      <c r="AB880" s="392"/>
    </row>
    <row r="881" spans="8:28" x14ac:dyDescent="0.25">
      <c r="H881" s="473"/>
      <c r="I881" s="1"/>
      <c r="J881" s="1"/>
      <c r="K881" s="1"/>
      <c r="L881" s="1"/>
      <c r="M881" s="1"/>
      <c r="N881" s="1"/>
      <c r="O881" s="1"/>
      <c r="P881" s="1"/>
      <c r="Q881" s="474"/>
      <c r="S881" s="231"/>
      <c r="AA881" s="1"/>
      <c r="AB881" s="392"/>
    </row>
    <row r="882" spans="8:28" x14ac:dyDescent="0.25">
      <c r="H882" s="473"/>
      <c r="I882" s="1"/>
      <c r="J882" s="1"/>
      <c r="K882" s="1"/>
      <c r="L882" s="1"/>
      <c r="M882" s="1"/>
      <c r="N882" s="1"/>
      <c r="O882" s="1"/>
      <c r="P882" s="1"/>
      <c r="Q882" s="474"/>
      <c r="S882" s="231"/>
      <c r="AA882" s="1"/>
      <c r="AB882" s="392"/>
    </row>
    <row r="883" spans="8:28" x14ac:dyDescent="0.25">
      <c r="H883" s="473"/>
      <c r="I883" s="1"/>
      <c r="J883" s="1"/>
      <c r="K883" s="1"/>
      <c r="L883" s="1"/>
      <c r="M883" s="1"/>
      <c r="N883" s="1"/>
      <c r="O883" s="1"/>
      <c r="P883" s="1"/>
      <c r="Q883" s="474"/>
      <c r="S883" s="231"/>
      <c r="AA883" s="1"/>
      <c r="AB883" s="392"/>
    </row>
    <row r="884" spans="8:28" x14ac:dyDescent="0.25">
      <c r="H884" s="473"/>
      <c r="I884" s="1"/>
      <c r="J884" s="1"/>
      <c r="K884" s="1"/>
      <c r="L884" s="1"/>
      <c r="M884" s="1"/>
      <c r="N884" s="1"/>
      <c r="O884" s="1"/>
      <c r="P884" s="1"/>
      <c r="Q884" s="474"/>
      <c r="S884" s="231"/>
      <c r="AA884" s="1"/>
      <c r="AB884" s="392"/>
    </row>
    <row r="885" spans="8:28" x14ac:dyDescent="0.25">
      <c r="H885" s="473"/>
      <c r="I885" s="1"/>
      <c r="J885" s="1"/>
      <c r="K885" s="1"/>
      <c r="L885" s="1"/>
      <c r="M885" s="1"/>
      <c r="N885" s="1"/>
      <c r="O885" s="1"/>
      <c r="P885" s="1"/>
      <c r="Q885" s="474"/>
      <c r="S885" s="231"/>
      <c r="AA885" s="1"/>
      <c r="AB885" s="392"/>
    </row>
    <row r="886" spans="8:28" x14ac:dyDescent="0.25">
      <c r="H886" s="473"/>
      <c r="I886" s="1"/>
      <c r="J886" s="1"/>
      <c r="K886" s="1"/>
      <c r="L886" s="1"/>
      <c r="M886" s="1"/>
      <c r="N886" s="1"/>
      <c r="O886" s="1"/>
      <c r="P886" s="1"/>
      <c r="Q886" s="474"/>
      <c r="S886" s="231"/>
      <c r="AA886" s="1"/>
      <c r="AB886" s="392"/>
    </row>
    <row r="887" spans="8:28" x14ac:dyDescent="0.25">
      <c r="H887" s="473"/>
      <c r="I887" s="1"/>
      <c r="J887" s="1"/>
      <c r="K887" s="1"/>
      <c r="L887" s="1"/>
      <c r="M887" s="1"/>
      <c r="N887" s="1"/>
      <c r="O887" s="1"/>
      <c r="P887" s="1"/>
      <c r="Q887" s="474"/>
      <c r="S887" s="231"/>
      <c r="AA887" s="1"/>
      <c r="AB887" s="392"/>
    </row>
    <row r="888" spans="8:28" x14ac:dyDescent="0.25">
      <c r="H888" s="473"/>
      <c r="I888" s="1"/>
      <c r="J888" s="1"/>
      <c r="K888" s="1"/>
      <c r="L888" s="1"/>
      <c r="M888" s="1"/>
      <c r="N888" s="1"/>
      <c r="O888" s="1"/>
      <c r="P888" s="1"/>
      <c r="Q888" s="474"/>
      <c r="S888" s="231"/>
      <c r="AA888" s="1"/>
      <c r="AB888" s="392"/>
    </row>
    <row r="889" spans="8:28" x14ac:dyDescent="0.25">
      <c r="H889" s="473"/>
      <c r="I889" s="1"/>
      <c r="J889" s="1"/>
      <c r="K889" s="1"/>
      <c r="L889" s="1"/>
      <c r="M889" s="1"/>
      <c r="N889" s="1"/>
      <c r="O889" s="1"/>
      <c r="P889" s="1"/>
      <c r="Q889" s="474"/>
      <c r="S889" s="231"/>
      <c r="AA889" s="1"/>
      <c r="AB889" s="392"/>
    </row>
    <row r="890" spans="8:28" x14ac:dyDescent="0.25">
      <c r="H890" s="473"/>
      <c r="I890" s="1"/>
      <c r="J890" s="1"/>
      <c r="K890" s="1"/>
      <c r="L890" s="1"/>
      <c r="M890" s="1"/>
      <c r="N890" s="1"/>
      <c r="O890" s="1"/>
      <c r="P890" s="1"/>
      <c r="Q890" s="474"/>
      <c r="S890" s="231"/>
      <c r="AA890" s="1"/>
      <c r="AB890" s="392"/>
    </row>
    <row r="891" spans="8:28" x14ac:dyDescent="0.25">
      <c r="H891" s="473"/>
      <c r="I891" s="1"/>
      <c r="J891" s="1"/>
      <c r="K891" s="1"/>
      <c r="L891" s="1"/>
      <c r="M891" s="1"/>
      <c r="N891" s="1"/>
      <c r="O891" s="1"/>
      <c r="P891" s="1"/>
      <c r="Q891" s="474"/>
      <c r="S891" s="231"/>
      <c r="AA891" s="1"/>
      <c r="AB891" s="392"/>
    </row>
    <row r="892" spans="8:28" x14ac:dyDescent="0.25">
      <c r="H892" s="473"/>
      <c r="I892" s="1"/>
      <c r="J892" s="1"/>
      <c r="K892" s="1"/>
      <c r="L892" s="1"/>
      <c r="M892" s="1"/>
      <c r="N892" s="1"/>
      <c r="O892" s="1"/>
      <c r="P892" s="1"/>
      <c r="Q892" s="474"/>
      <c r="S892" s="231"/>
      <c r="AA892" s="1"/>
      <c r="AB892" s="392"/>
    </row>
    <row r="893" spans="8:28" x14ac:dyDescent="0.25">
      <c r="H893" s="473"/>
      <c r="I893" s="1"/>
      <c r="J893" s="1"/>
      <c r="K893" s="1"/>
      <c r="L893" s="1"/>
      <c r="M893" s="1"/>
      <c r="N893" s="1"/>
      <c r="O893" s="1"/>
      <c r="P893" s="1"/>
      <c r="Q893" s="474"/>
      <c r="S893" s="231"/>
      <c r="AA893" s="1"/>
      <c r="AB893" s="392"/>
    </row>
    <row r="894" spans="8:28" x14ac:dyDescent="0.25">
      <c r="H894" s="473"/>
      <c r="I894" s="1"/>
      <c r="J894" s="1"/>
      <c r="K894" s="1"/>
      <c r="L894" s="1"/>
      <c r="M894" s="1"/>
      <c r="N894" s="1"/>
      <c r="O894" s="1"/>
      <c r="P894" s="1"/>
      <c r="Q894" s="474"/>
      <c r="S894" s="231"/>
      <c r="AA894" s="1"/>
      <c r="AB894" s="392"/>
    </row>
    <row r="895" spans="8:28" x14ac:dyDescent="0.25">
      <c r="H895" s="473"/>
      <c r="I895" s="1"/>
      <c r="J895" s="1"/>
      <c r="K895" s="1"/>
      <c r="L895" s="1"/>
      <c r="M895" s="1"/>
      <c r="N895" s="1"/>
      <c r="O895" s="1"/>
      <c r="P895" s="1"/>
      <c r="Q895" s="474"/>
      <c r="S895" s="231"/>
      <c r="AA895" s="1"/>
      <c r="AB895" s="392"/>
    </row>
    <row r="896" spans="8:28" x14ac:dyDescent="0.25">
      <c r="H896" s="473"/>
      <c r="I896" s="1"/>
      <c r="J896" s="1"/>
      <c r="K896" s="1"/>
      <c r="L896" s="1"/>
      <c r="M896" s="1"/>
      <c r="N896" s="1"/>
      <c r="O896" s="1"/>
      <c r="P896" s="1"/>
      <c r="Q896" s="474"/>
      <c r="S896" s="231"/>
      <c r="AA896" s="1"/>
      <c r="AB896" s="392"/>
    </row>
    <row r="897" spans="8:28" x14ac:dyDescent="0.25">
      <c r="H897" s="473"/>
      <c r="I897" s="1"/>
      <c r="J897" s="1"/>
      <c r="K897" s="1"/>
      <c r="L897" s="1"/>
      <c r="M897" s="1"/>
      <c r="N897" s="1"/>
      <c r="O897" s="1"/>
      <c r="P897" s="1"/>
      <c r="Q897" s="474"/>
      <c r="S897" s="231"/>
      <c r="AA897" s="1"/>
      <c r="AB897" s="392"/>
    </row>
    <row r="898" spans="8:28" x14ac:dyDescent="0.25">
      <c r="H898" s="473"/>
      <c r="I898" s="1"/>
      <c r="J898" s="1"/>
      <c r="K898" s="1"/>
      <c r="L898" s="1"/>
      <c r="M898" s="1"/>
      <c r="N898" s="1"/>
      <c r="O898" s="1"/>
      <c r="P898" s="1"/>
      <c r="Q898" s="474"/>
      <c r="S898" s="231"/>
      <c r="AA898" s="1"/>
      <c r="AB898" s="392"/>
    </row>
    <row r="899" spans="8:28" x14ac:dyDescent="0.25">
      <c r="H899" s="473"/>
      <c r="I899" s="1"/>
      <c r="J899" s="1"/>
      <c r="K899" s="1"/>
      <c r="L899" s="1"/>
      <c r="M899" s="1"/>
      <c r="N899" s="1"/>
      <c r="O899" s="1"/>
      <c r="P899" s="1"/>
      <c r="Q899" s="474"/>
      <c r="S899" s="231"/>
      <c r="AA899" s="1"/>
      <c r="AB899" s="392"/>
    </row>
    <row r="900" spans="8:28" x14ac:dyDescent="0.25">
      <c r="H900" s="473"/>
      <c r="I900" s="1"/>
      <c r="J900" s="1"/>
      <c r="K900" s="1"/>
      <c r="L900" s="1"/>
      <c r="M900" s="1"/>
      <c r="N900" s="1"/>
      <c r="O900" s="1"/>
      <c r="P900" s="1"/>
      <c r="Q900" s="474"/>
      <c r="S900" s="231"/>
      <c r="AA900" s="1"/>
      <c r="AB900" s="392"/>
    </row>
    <row r="901" spans="8:28" x14ac:dyDescent="0.25">
      <c r="H901" s="473"/>
      <c r="I901" s="1"/>
      <c r="J901" s="1"/>
      <c r="K901" s="1"/>
      <c r="L901" s="1"/>
      <c r="M901" s="1"/>
      <c r="N901" s="1"/>
      <c r="O901" s="1"/>
      <c r="P901" s="1"/>
      <c r="Q901" s="474"/>
      <c r="S901" s="231"/>
      <c r="AA901" s="1"/>
      <c r="AB901" s="392"/>
    </row>
    <row r="902" spans="8:28" x14ac:dyDescent="0.25">
      <c r="H902" s="473"/>
      <c r="I902" s="1"/>
      <c r="J902" s="1"/>
      <c r="K902" s="1"/>
      <c r="L902" s="1"/>
      <c r="M902" s="1"/>
      <c r="N902" s="1"/>
      <c r="O902" s="1"/>
      <c r="P902" s="1"/>
      <c r="Q902" s="474"/>
      <c r="S902" s="231"/>
      <c r="AA902" s="1"/>
      <c r="AB902" s="392"/>
    </row>
    <row r="903" spans="8:28" x14ac:dyDescent="0.25">
      <c r="H903" s="473"/>
      <c r="I903" s="1"/>
      <c r="J903" s="1"/>
      <c r="K903" s="1"/>
      <c r="L903" s="1"/>
      <c r="M903" s="1"/>
      <c r="N903" s="1"/>
      <c r="O903" s="1"/>
      <c r="P903" s="1"/>
      <c r="Q903" s="474"/>
      <c r="S903" s="231"/>
      <c r="AA903" s="1"/>
      <c r="AB903" s="392"/>
    </row>
    <row r="904" spans="8:28" x14ac:dyDescent="0.25">
      <c r="H904" s="473"/>
      <c r="I904" s="1"/>
      <c r="J904" s="1"/>
      <c r="K904" s="1"/>
      <c r="L904" s="1"/>
      <c r="M904" s="1"/>
      <c r="N904" s="1"/>
      <c r="O904" s="1"/>
      <c r="P904" s="1"/>
      <c r="Q904" s="474"/>
      <c r="S904" s="231"/>
      <c r="AA904" s="1"/>
      <c r="AB904" s="392"/>
    </row>
    <row r="905" spans="8:28" x14ac:dyDescent="0.25">
      <c r="H905" s="473"/>
      <c r="I905" s="1"/>
      <c r="J905" s="1"/>
      <c r="K905" s="1"/>
      <c r="L905" s="1"/>
      <c r="M905" s="1"/>
      <c r="N905" s="1"/>
      <c r="O905" s="1"/>
      <c r="P905" s="1"/>
      <c r="Q905" s="474"/>
      <c r="S905" s="231"/>
      <c r="AA905" s="1"/>
      <c r="AB905" s="392"/>
    </row>
    <row r="906" spans="8:28" x14ac:dyDescent="0.25">
      <c r="H906" s="473"/>
      <c r="I906" s="1"/>
      <c r="J906" s="1"/>
      <c r="K906" s="1"/>
      <c r="L906" s="1"/>
      <c r="M906" s="1"/>
      <c r="N906" s="1"/>
      <c r="O906" s="1"/>
      <c r="P906" s="1"/>
      <c r="Q906" s="474"/>
      <c r="S906" s="231"/>
      <c r="AA906" s="1"/>
      <c r="AB906" s="392"/>
    </row>
    <row r="907" spans="8:28" x14ac:dyDescent="0.25">
      <c r="H907" s="473"/>
      <c r="I907" s="1"/>
      <c r="J907" s="1"/>
      <c r="K907" s="1"/>
      <c r="L907" s="1"/>
      <c r="M907" s="1"/>
      <c r="N907" s="1"/>
      <c r="O907" s="1"/>
      <c r="P907" s="1"/>
      <c r="Q907" s="474"/>
      <c r="S907" s="231"/>
      <c r="AA907" s="1"/>
      <c r="AB907" s="392"/>
    </row>
    <row r="908" spans="8:28" x14ac:dyDescent="0.25">
      <c r="H908" s="473"/>
      <c r="I908" s="1"/>
      <c r="J908" s="1"/>
      <c r="K908" s="1"/>
      <c r="L908" s="1"/>
      <c r="M908" s="1"/>
      <c r="N908" s="1"/>
      <c r="O908" s="1"/>
      <c r="P908" s="1"/>
      <c r="Q908" s="474"/>
      <c r="S908" s="231"/>
      <c r="AA908" s="1"/>
      <c r="AB908" s="392"/>
    </row>
    <row r="909" spans="8:28" x14ac:dyDescent="0.25">
      <c r="H909" s="473"/>
      <c r="I909" s="1"/>
      <c r="J909" s="1"/>
      <c r="K909" s="1"/>
      <c r="L909" s="1"/>
      <c r="M909" s="1"/>
      <c r="N909" s="1"/>
      <c r="O909" s="1"/>
      <c r="P909" s="1"/>
      <c r="Q909" s="474"/>
      <c r="S909" s="231"/>
      <c r="AA909" s="1"/>
      <c r="AB909" s="392"/>
    </row>
    <row r="910" spans="8:28" x14ac:dyDescent="0.25">
      <c r="H910" s="473"/>
      <c r="I910" s="1"/>
      <c r="J910" s="1"/>
      <c r="K910" s="1"/>
      <c r="L910" s="1"/>
      <c r="M910" s="1"/>
      <c r="N910" s="1"/>
      <c r="O910" s="1"/>
      <c r="P910" s="1"/>
      <c r="Q910" s="474"/>
      <c r="S910" s="231"/>
      <c r="AA910" s="1"/>
      <c r="AB910" s="392"/>
    </row>
    <row r="911" spans="8:28" x14ac:dyDescent="0.25">
      <c r="H911" s="473"/>
      <c r="I911" s="1"/>
      <c r="J911" s="1"/>
      <c r="K911" s="1"/>
      <c r="L911" s="1"/>
      <c r="M911" s="1"/>
      <c r="N911" s="1"/>
      <c r="O911" s="1"/>
      <c r="P911" s="1"/>
      <c r="Q911" s="474"/>
      <c r="S911" s="231"/>
      <c r="AA911" s="1"/>
      <c r="AB911" s="392"/>
    </row>
    <row r="912" spans="8:28" x14ac:dyDescent="0.25">
      <c r="H912" s="473"/>
      <c r="I912" s="1"/>
      <c r="J912" s="1"/>
      <c r="K912" s="1"/>
      <c r="L912" s="1"/>
      <c r="M912" s="1"/>
      <c r="N912" s="1"/>
      <c r="O912" s="1"/>
      <c r="P912" s="1"/>
      <c r="Q912" s="474"/>
      <c r="S912" s="231"/>
      <c r="AA912" s="1"/>
      <c r="AB912" s="392"/>
    </row>
    <row r="913" spans="8:28" x14ac:dyDescent="0.25">
      <c r="H913" s="473"/>
      <c r="I913" s="1"/>
      <c r="J913" s="1"/>
      <c r="K913" s="1"/>
      <c r="L913" s="1"/>
      <c r="M913" s="1"/>
      <c r="N913" s="1"/>
      <c r="O913" s="1"/>
      <c r="P913" s="1"/>
      <c r="Q913" s="474"/>
      <c r="S913" s="231"/>
      <c r="AA913" s="1"/>
      <c r="AB913" s="392"/>
    </row>
    <row r="914" spans="8:28" x14ac:dyDescent="0.25">
      <c r="H914" s="473"/>
      <c r="I914" s="1"/>
      <c r="J914" s="1"/>
      <c r="K914" s="1"/>
      <c r="L914" s="1"/>
      <c r="M914" s="1"/>
      <c r="N914" s="1"/>
      <c r="O914" s="1"/>
      <c r="P914" s="1"/>
      <c r="Q914" s="474"/>
      <c r="S914" s="231"/>
      <c r="AA914" s="1"/>
      <c r="AB914" s="392"/>
    </row>
    <row r="915" spans="8:28" x14ac:dyDescent="0.25">
      <c r="H915" s="473"/>
      <c r="I915" s="1"/>
      <c r="J915" s="1"/>
      <c r="K915" s="1"/>
      <c r="L915" s="1"/>
      <c r="M915" s="1"/>
      <c r="N915" s="1"/>
      <c r="O915" s="1"/>
      <c r="P915" s="1"/>
      <c r="Q915" s="474"/>
      <c r="S915" s="231"/>
      <c r="AA915" s="1"/>
      <c r="AB915" s="392"/>
    </row>
    <row r="916" spans="8:28" x14ac:dyDescent="0.25">
      <c r="H916" s="473"/>
      <c r="I916" s="1"/>
      <c r="J916" s="1"/>
      <c r="K916" s="1"/>
      <c r="L916" s="1"/>
      <c r="M916" s="1"/>
      <c r="N916" s="1"/>
      <c r="O916" s="1"/>
      <c r="P916" s="1"/>
      <c r="Q916" s="474"/>
      <c r="S916" s="231"/>
      <c r="AA916" s="1"/>
      <c r="AB916" s="392"/>
    </row>
    <row r="917" spans="8:28" x14ac:dyDescent="0.25">
      <c r="H917" s="473"/>
      <c r="I917" s="1"/>
      <c r="J917" s="1"/>
      <c r="K917" s="1"/>
      <c r="L917" s="1"/>
      <c r="M917" s="1"/>
      <c r="N917" s="1"/>
      <c r="O917" s="1"/>
      <c r="P917" s="1"/>
      <c r="Q917" s="474"/>
      <c r="S917" s="231"/>
      <c r="AA917" s="1"/>
      <c r="AB917" s="392"/>
    </row>
    <row r="918" spans="8:28" x14ac:dyDescent="0.25">
      <c r="H918" s="473"/>
      <c r="I918" s="1"/>
      <c r="J918" s="1"/>
      <c r="K918" s="1"/>
      <c r="L918" s="1"/>
      <c r="M918" s="1"/>
      <c r="N918" s="1"/>
      <c r="O918" s="1"/>
      <c r="P918" s="1"/>
      <c r="Q918" s="474"/>
      <c r="S918" s="231"/>
      <c r="AA918" s="1"/>
      <c r="AB918" s="392"/>
    </row>
    <row r="919" spans="8:28" x14ac:dyDescent="0.25">
      <c r="H919" s="473"/>
      <c r="I919" s="1"/>
      <c r="J919" s="1"/>
      <c r="K919" s="1"/>
      <c r="L919" s="1"/>
      <c r="M919" s="1"/>
      <c r="N919" s="1"/>
      <c r="O919" s="1"/>
      <c r="P919" s="1"/>
      <c r="Q919" s="474"/>
      <c r="S919" s="231"/>
      <c r="AA919" s="1"/>
      <c r="AB919" s="392"/>
    </row>
    <row r="920" spans="8:28" x14ac:dyDescent="0.25">
      <c r="H920" s="473"/>
      <c r="I920" s="1"/>
      <c r="J920" s="1"/>
      <c r="K920" s="1"/>
      <c r="L920" s="1"/>
      <c r="M920" s="1"/>
      <c r="N920" s="1"/>
      <c r="O920" s="1"/>
      <c r="P920" s="1"/>
      <c r="Q920" s="474"/>
      <c r="S920" s="231"/>
      <c r="AA920" s="1"/>
      <c r="AB920" s="392"/>
    </row>
    <row r="921" spans="8:28" x14ac:dyDescent="0.25">
      <c r="H921" s="473"/>
      <c r="I921" s="1"/>
      <c r="J921" s="1"/>
      <c r="K921" s="1"/>
      <c r="L921" s="1"/>
      <c r="M921" s="1"/>
      <c r="N921" s="1"/>
      <c r="O921" s="1"/>
      <c r="P921" s="1"/>
      <c r="Q921" s="474"/>
      <c r="S921" s="231"/>
      <c r="AA921" s="1"/>
      <c r="AB921" s="392"/>
    </row>
    <row r="922" spans="8:28" x14ac:dyDescent="0.25">
      <c r="H922" s="473"/>
      <c r="I922" s="1"/>
      <c r="J922" s="1"/>
      <c r="K922" s="1"/>
      <c r="L922" s="1"/>
      <c r="M922" s="1"/>
      <c r="N922" s="1"/>
      <c r="O922" s="1"/>
      <c r="P922" s="1"/>
      <c r="Q922" s="474"/>
      <c r="S922" s="231"/>
      <c r="AA922" s="1"/>
      <c r="AB922" s="392"/>
    </row>
    <row r="923" spans="8:28" x14ac:dyDescent="0.25">
      <c r="H923" s="473"/>
      <c r="I923" s="1"/>
      <c r="J923" s="1"/>
      <c r="K923" s="1"/>
      <c r="L923" s="1"/>
      <c r="M923" s="1"/>
      <c r="N923" s="1"/>
      <c r="O923" s="1"/>
      <c r="P923" s="1"/>
      <c r="Q923" s="474"/>
      <c r="S923" s="231"/>
      <c r="AA923" s="1"/>
      <c r="AB923" s="392"/>
    </row>
    <row r="924" spans="8:28" x14ac:dyDescent="0.25">
      <c r="H924" s="473"/>
      <c r="I924" s="1"/>
      <c r="J924" s="1"/>
      <c r="K924" s="1"/>
      <c r="L924" s="1"/>
      <c r="M924" s="1"/>
      <c r="N924" s="1"/>
      <c r="O924" s="1"/>
      <c r="P924" s="1"/>
      <c r="Q924" s="474"/>
      <c r="S924" s="231"/>
      <c r="AA924" s="1"/>
      <c r="AB924" s="392"/>
    </row>
    <row r="925" spans="8:28" x14ac:dyDescent="0.25">
      <c r="H925" s="473"/>
      <c r="I925" s="1"/>
      <c r="J925" s="1"/>
      <c r="K925" s="1"/>
      <c r="L925" s="1"/>
      <c r="M925" s="1"/>
      <c r="N925" s="1"/>
      <c r="O925" s="1"/>
      <c r="P925" s="1"/>
      <c r="Q925" s="474"/>
      <c r="S925" s="231"/>
      <c r="AA925" s="1"/>
      <c r="AB925" s="392"/>
    </row>
    <row r="926" spans="8:28" x14ac:dyDescent="0.25">
      <c r="H926" s="473"/>
      <c r="I926" s="1"/>
      <c r="J926" s="1"/>
      <c r="K926" s="1"/>
      <c r="L926" s="1"/>
      <c r="M926" s="1"/>
      <c r="N926" s="1"/>
      <c r="O926" s="1"/>
      <c r="P926" s="1"/>
      <c r="Q926" s="474"/>
      <c r="S926" s="231"/>
      <c r="AA926" s="1"/>
      <c r="AB926" s="392"/>
    </row>
    <row r="927" spans="8:28" x14ac:dyDescent="0.25">
      <c r="H927" s="473"/>
      <c r="I927" s="1"/>
      <c r="J927" s="1"/>
      <c r="K927" s="1"/>
      <c r="L927" s="1"/>
      <c r="M927" s="1"/>
      <c r="N927" s="1"/>
      <c r="O927" s="1"/>
      <c r="P927" s="1"/>
      <c r="Q927" s="474"/>
      <c r="S927" s="231"/>
      <c r="AA927" s="1"/>
      <c r="AB927" s="392"/>
    </row>
    <row r="928" spans="8:28" x14ac:dyDescent="0.25">
      <c r="H928" s="473"/>
      <c r="I928" s="1"/>
      <c r="J928" s="1"/>
      <c r="K928" s="1"/>
      <c r="L928" s="1"/>
      <c r="M928" s="1"/>
      <c r="N928" s="1"/>
      <c r="O928" s="1"/>
      <c r="P928" s="1"/>
      <c r="Q928" s="474"/>
      <c r="S928" s="231"/>
      <c r="AA928" s="1"/>
      <c r="AB928" s="392"/>
    </row>
    <row r="929" spans="8:28" x14ac:dyDescent="0.25">
      <c r="H929" s="473"/>
      <c r="I929" s="1"/>
      <c r="J929" s="1"/>
      <c r="K929" s="1"/>
      <c r="L929" s="1"/>
      <c r="M929" s="1"/>
      <c r="N929" s="1"/>
      <c r="O929" s="1"/>
      <c r="P929" s="1"/>
      <c r="Q929" s="474"/>
      <c r="S929" s="231"/>
      <c r="AA929" s="1"/>
      <c r="AB929" s="392"/>
    </row>
    <row r="930" spans="8:28" x14ac:dyDescent="0.25">
      <c r="H930" s="473"/>
      <c r="I930" s="1"/>
      <c r="J930" s="1"/>
      <c r="K930" s="1"/>
      <c r="L930" s="1"/>
      <c r="M930" s="1"/>
      <c r="N930" s="1"/>
      <c r="O930" s="1"/>
      <c r="P930" s="1"/>
      <c r="Q930" s="474"/>
      <c r="S930" s="231"/>
      <c r="AA930" s="1"/>
      <c r="AB930" s="392"/>
    </row>
    <row r="931" spans="8:28" x14ac:dyDescent="0.25">
      <c r="H931" s="473"/>
      <c r="I931" s="1"/>
      <c r="J931" s="1"/>
      <c r="K931" s="1"/>
      <c r="L931" s="1"/>
      <c r="M931" s="1"/>
      <c r="N931" s="1"/>
      <c r="O931" s="1"/>
      <c r="P931" s="1"/>
      <c r="Q931" s="474"/>
      <c r="S931" s="231"/>
      <c r="AA931" s="1"/>
      <c r="AB931" s="392"/>
    </row>
    <row r="932" spans="8:28" x14ac:dyDescent="0.25">
      <c r="H932" s="473"/>
      <c r="I932" s="1"/>
      <c r="J932" s="1"/>
      <c r="K932" s="1"/>
      <c r="L932" s="1"/>
      <c r="M932" s="1"/>
      <c r="N932" s="1"/>
      <c r="O932" s="1"/>
      <c r="P932" s="1"/>
      <c r="Q932" s="474"/>
      <c r="S932" s="231"/>
      <c r="AA932" s="1"/>
      <c r="AB932" s="392"/>
    </row>
    <row r="933" spans="8:28" x14ac:dyDescent="0.25">
      <c r="H933" s="473"/>
      <c r="I933" s="1"/>
      <c r="J933" s="1"/>
      <c r="K933" s="1"/>
      <c r="L933" s="1"/>
      <c r="M933" s="1"/>
      <c r="N933" s="1"/>
      <c r="O933" s="1"/>
      <c r="P933" s="1"/>
      <c r="Q933" s="474"/>
      <c r="S933" s="231"/>
      <c r="AA933" s="1"/>
      <c r="AB933" s="392"/>
    </row>
    <row r="934" spans="8:28" x14ac:dyDescent="0.25">
      <c r="H934" s="473"/>
      <c r="I934" s="1"/>
      <c r="J934" s="1"/>
      <c r="K934" s="1"/>
      <c r="L934" s="1"/>
      <c r="M934" s="1"/>
      <c r="N934" s="1"/>
      <c r="O934" s="1"/>
      <c r="P934" s="1"/>
      <c r="Q934" s="474"/>
      <c r="S934" s="231"/>
      <c r="AA934" s="1"/>
      <c r="AB934" s="392"/>
    </row>
    <row r="935" spans="8:28" x14ac:dyDescent="0.25">
      <c r="H935" s="473"/>
      <c r="I935" s="1"/>
      <c r="J935" s="1"/>
      <c r="K935" s="1"/>
      <c r="L935" s="1"/>
      <c r="M935" s="1"/>
      <c r="N935" s="1"/>
      <c r="O935" s="1"/>
      <c r="P935" s="1"/>
      <c r="Q935" s="474"/>
      <c r="S935" s="231"/>
      <c r="AA935" s="1"/>
      <c r="AB935" s="392"/>
    </row>
    <row r="936" spans="8:28" x14ac:dyDescent="0.25">
      <c r="H936" s="473"/>
      <c r="I936" s="1"/>
      <c r="J936" s="1"/>
      <c r="K936" s="1"/>
      <c r="L936" s="1"/>
      <c r="M936" s="1"/>
      <c r="N936" s="1"/>
      <c r="O936" s="1"/>
      <c r="P936" s="1"/>
      <c r="Q936" s="474"/>
      <c r="S936" s="231"/>
      <c r="AA936" s="1"/>
      <c r="AB936" s="392"/>
    </row>
    <row r="937" spans="8:28" x14ac:dyDescent="0.25">
      <c r="H937" s="473"/>
      <c r="I937" s="1"/>
      <c r="J937" s="1"/>
      <c r="K937" s="1"/>
      <c r="L937" s="1"/>
      <c r="M937" s="1"/>
      <c r="N937" s="1"/>
      <c r="O937" s="1"/>
      <c r="P937" s="1"/>
      <c r="Q937" s="474"/>
      <c r="S937" s="231"/>
      <c r="AA937" s="1"/>
      <c r="AB937" s="392"/>
    </row>
    <row r="938" spans="8:28" x14ac:dyDescent="0.25">
      <c r="H938" s="473"/>
      <c r="I938" s="1"/>
      <c r="J938" s="1"/>
      <c r="K938" s="1"/>
      <c r="L938" s="1"/>
      <c r="M938" s="1"/>
      <c r="N938" s="1"/>
      <c r="O938" s="1"/>
      <c r="P938" s="1"/>
      <c r="Q938" s="474"/>
      <c r="S938" s="231"/>
      <c r="AA938" s="1"/>
      <c r="AB938" s="392"/>
    </row>
    <row r="939" spans="8:28" x14ac:dyDescent="0.25">
      <c r="H939" s="473"/>
      <c r="I939" s="1"/>
      <c r="J939" s="1"/>
      <c r="K939" s="1"/>
      <c r="L939" s="1"/>
      <c r="M939" s="1"/>
      <c r="N939" s="1"/>
      <c r="O939" s="1"/>
      <c r="P939" s="1"/>
      <c r="Q939" s="474"/>
      <c r="S939" s="231"/>
      <c r="AA939" s="1"/>
      <c r="AB939" s="392"/>
    </row>
    <row r="940" spans="8:28" x14ac:dyDescent="0.25">
      <c r="H940" s="473"/>
      <c r="I940" s="1"/>
      <c r="J940" s="1"/>
      <c r="K940" s="1"/>
      <c r="L940" s="1"/>
      <c r="M940" s="1"/>
      <c r="N940" s="1"/>
      <c r="O940" s="1"/>
      <c r="P940" s="1"/>
      <c r="Q940" s="474"/>
      <c r="S940" s="231"/>
      <c r="AA940" s="1"/>
      <c r="AB940" s="392"/>
    </row>
    <row r="941" spans="8:28" x14ac:dyDescent="0.25">
      <c r="H941" s="473"/>
      <c r="I941" s="1"/>
      <c r="J941" s="1"/>
      <c r="K941" s="1"/>
      <c r="L941" s="1"/>
      <c r="M941" s="1"/>
      <c r="N941" s="1"/>
      <c r="O941" s="1"/>
      <c r="P941" s="1"/>
      <c r="Q941" s="474"/>
      <c r="S941" s="231"/>
      <c r="AA941" s="1"/>
      <c r="AB941" s="392"/>
    </row>
    <row r="942" spans="8:28" x14ac:dyDescent="0.25">
      <c r="H942" s="473"/>
      <c r="I942" s="1"/>
      <c r="J942" s="1"/>
      <c r="K942" s="1"/>
      <c r="L942" s="1"/>
      <c r="M942" s="1"/>
      <c r="N942" s="1"/>
      <c r="O942" s="1"/>
      <c r="P942" s="1"/>
      <c r="Q942" s="474"/>
      <c r="S942" s="231"/>
      <c r="AA942" s="1"/>
      <c r="AB942" s="392"/>
    </row>
    <row r="943" spans="8:28" x14ac:dyDescent="0.25">
      <c r="H943" s="473"/>
      <c r="I943" s="1"/>
      <c r="J943" s="1"/>
      <c r="K943" s="1"/>
      <c r="L943" s="1"/>
      <c r="M943" s="1"/>
      <c r="N943" s="1"/>
      <c r="O943" s="1"/>
      <c r="P943" s="1"/>
      <c r="Q943" s="474"/>
      <c r="S943" s="231"/>
      <c r="AA943" s="1"/>
      <c r="AB943" s="392"/>
    </row>
    <row r="944" spans="8:28" x14ac:dyDescent="0.25">
      <c r="H944" s="473"/>
      <c r="I944" s="1"/>
      <c r="J944" s="1"/>
      <c r="K944" s="1"/>
      <c r="L944" s="1"/>
      <c r="M944" s="1"/>
      <c r="N944" s="1"/>
      <c r="O944" s="1"/>
      <c r="P944" s="1"/>
      <c r="Q944" s="474"/>
      <c r="S944" s="231"/>
      <c r="AA944" s="1"/>
      <c r="AB944" s="392"/>
    </row>
    <row r="945" spans="8:28" x14ac:dyDescent="0.25">
      <c r="H945" s="473"/>
      <c r="I945" s="1"/>
      <c r="J945" s="1"/>
      <c r="K945" s="1"/>
      <c r="L945" s="1"/>
      <c r="M945" s="1"/>
      <c r="N945" s="1"/>
      <c r="O945" s="1"/>
      <c r="P945" s="1"/>
      <c r="Q945" s="474"/>
      <c r="S945" s="231"/>
      <c r="AA945" s="1"/>
      <c r="AB945" s="392"/>
    </row>
    <row r="946" spans="8:28" x14ac:dyDescent="0.25">
      <c r="H946" s="473"/>
      <c r="I946" s="1"/>
      <c r="J946" s="1"/>
      <c r="K946" s="1"/>
      <c r="L946" s="1"/>
      <c r="M946" s="1"/>
      <c r="N946" s="1"/>
      <c r="O946" s="1"/>
      <c r="P946" s="1"/>
      <c r="Q946" s="474"/>
      <c r="S946" s="231"/>
      <c r="AA946" s="1"/>
      <c r="AB946" s="392"/>
    </row>
    <row r="947" spans="8:28" x14ac:dyDescent="0.25">
      <c r="H947" s="473"/>
      <c r="I947" s="1"/>
      <c r="J947" s="1"/>
      <c r="K947" s="1"/>
      <c r="L947" s="1"/>
      <c r="M947" s="1"/>
      <c r="N947" s="1"/>
      <c r="O947" s="1"/>
      <c r="P947" s="1"/>
      <c r="Q947" s="474"/>
      <c r="S947" s="231"/>
      <c r="AA947" s="1"/>
      <c r="AB947" s="392"/>
    </row>
    <row r="948" spans="8:28" x14ac:dyDescent="0.25">
      <c r="H948" s="473"/>
      <c r="I948" s="1"/>
      <c r="J948" s="1"/>
      <c r="K948" s="1"/>
      <c r="L948" s="1"/>
      <c r="M948" s="1"/>
      <c r="N948" s="1"/>
      <c r="O948" s="1"/>
      <c r="P948" s="1"/>
      <c r="Q948" s="474"/>
      <c r="S948" s="231"/>
      <c r="AA948" s="1"/>
      <c r="AB948" s="392"/>
    </row>
    <row r="949" spans="8:28" x14ac:dyDescent="0.25">
      <c r="H949" s="473"/>
      <c r="I949" s="1"/>
      <c r="J949" s="1"/>
      <c r="K949" s="1"/>
      <c r="L949" s="1"/>
      <c r="M949" s="1"/>
      <c r="N949" s="1"/>
      <c r="O949" s="1"/>
      <c r="P949" s="1"/>
      <c r="Q949" s="474"/>
      <c r="S949" s="231"/>
      <c r="AA949" s="1"/>
      <c r="AB949" s="392"/>
    </row>
    <row r="950" spans="8:28" x14ac:dyDescent="0.25">
      <c r="H950" s="473"/>
      <c r="I950" s="1"/>
      <c r="J950" s="1"/>
      <c r="K950" s="1"/>
      <c r="L950" s="1"/>
      <c r="M950" s="1"/>
      <c r="N950" s="1"/>
      <c r="O950" s="1"/>
      <c r="P950" s="1"/>
      <c r="Q950" s="474"/>
      <c r="S950" s="231"/>
      <c r="AA950" s="1"/>
      <c r="AB950" s="392"/>
    </row>
    <row r="951" spans="8:28" x14ac:dyDescent="0.25">
      <c r="H951" s="473"/>
      <c r="I951" s="1"/>
      <c r="J951" s="1"/>
      <c r="K951" s="1"/>
      <c r="L951" s="1"/>
      <c r="M951" s="1"/>
      <c r="N951" s="1"/>
      <c r="O951" s="1"/>
      <c r="P951" s="1"/>
      <c r="Q951" s="474"/>
      <c r="S951" s="231"/>
      <c r="AA951" s="1"/>
      <c r="AB951" s="392"/>
    </row>
    <row r="952" spans="8:28" x14ac:dyDescent="0.25">
      <c r="H952" s="473"/>
      <c r="I952" s="1"/>
      <c r="J952" s="1"/>
      <c r="K952" s="1"/>
      <c r="L952" s="1"/>
      <c r="M952" s="1"/>
      <c r="N952" s="1"/>
      <c r="O952" s="1"/>
      <c r="P952" s="1"/>
      <c r="Q952" s="474"/>
      <c r="S952" s="231"/>
      <c r="AA952" s="1"/>
      <c r="AB952" s="392"/>
    </row>
    <row r="953" spans="8:28" x14ac:dyDescent="0.25">
      <c r="H953" s="473"/>
      <c r="I953" s="1"/>
      <c r="J953" s="1"/>
      <c r="K953" s="1"/>
      <c r="L953" s="1"/>
      <c r="M953" s="1"/>
      <c r="N953" s="1"/>
      <c r="O953" s="1"/>
      <c r="P953" s="1"/>
      <c r="Q953" s="474"/>
      <c r="S953" s="231"/>
      <c r="AA953" s="1"/>
      <c r="AB953" s="392"/>
    </row>
    <row r="954" spans="8:28" x14ac:dyDescent="0.25">
      <c r="H954" s="473"/>
      <c r="I954" s="1"/>
      <c r="J954" s="1"/>
      <c r="K954" s="1"/>
      <c r="L954" s="1"/>
      <c r="M954" s="1"/>
      <c r="N954" s="1"/>
      <c r="O954" s="1"/>
      <c r="P954" s="1"/>
      <c r="Q954" s="474"/>
      <c r="S954" s="231"/>
      <c r="AA954" s="1"/>
      <c r="AB954" s="392"/>
    </row>
    <row r="955" spans="8:28" x14ac:dyDescent="0.25">
      <c r="H955" s="473"/>
      <c r="I955" s="1"/>
      <c r="J955" s="1"/>
      <c r="K955" s="1"/>
      <c r="L955" s="1"/>
      <c r="M955" s="1"/>
      <c r="N955" s="1"/>
      <c r="O955" s="1"/>
      <c r="P955" s="1"/>
      <c r="Q955" s="474"/>
      <c r="S955" s="231"/>
      <c r="AA955" s="1"/>
      <c r="AB955" s="392"/>
    </row>
    <row r="956" spans="8:28" x14ac:dyDescent="0.25">
      <c r="H956" s="473"/>
      <c r="I956" s="1"/>
      <c r="J956" s="1"/>
      <c r="K956" s="1"/>
      <c r="L956" s="1"/>
      <c r="M956" s="1"/>
      <c r="N956" s="1"/>
      <c r="O956" s="1"/>
      <c r="P956" s="1"/>
      <c r="Q956" s="474"/>
      <c r="S956" s="231"/>
      <c r="AA956" s="1"/>
      <c r="AB956" s="392"/>
    </row>
    <row r="957" spans="8:28" x14ac:dyDescent="0.25">
      <c r="H957" s="473"/>
      <c r="I957" s="1"/>
      <c r="J957" s="1"/>
      <c r="K957" s="1"/>
      <c r="L957" s="1"/>
      <c r="M957" s="1"/>
      <c r="N957" s="1"/>
      <c r="O957" s="1"/>
      <c r="P957" s="1"/>
      <c r="Q957" s="474"/>
      <c r="S957" s="231"/>
      <c r="AA957" s="1"/>
      <c r="AB957" s="392"/>
    </row>
    <row r="958" spans="8:28" x14ac:dyDescent="0.25">
      <c r="H958" s="473"/>
      <c r="I958" s="1"/>
      <c r="J958" s="1"/>
      <c r="K958" s="1"/>
      <c r="L958" s="1"/>
      <c r="M958" s="1"/>
      <c r="N958" s="1"/>
      <c r="O958" s="1"/>
      <c r="P958" s="1"/>
      <c r="Q958" s="474"/>
      <c r="S958" s="231"/>
      <c r="AA958" s="1"/>
      <c r="AB958" s="392"/>
    </row>
    <row r="959" spans="8:28" x14ac:dyDescent="0.25">
      <c r="H959" s="473"/>
      <c r="I959" s="1"/>
      <c r="J959" s="1"/>
      <c r="K959" s="1"/>
      <c r="L959" s="1"/>
      <c r="M959" s="1"/>
      <c r="N959" s="1"/>
      <c r="O959" s="1"/>
      <c r="P959" s="1"/>
      <c r="Q959" s="474"/>
      <c r="S959" s="231"/>
      <c r="AA959" s="1"/>
      <c r="AB959" s="392"/>
    </row>
    <row r="960" spans="8:28" x14ac:dyDescent="0.25">
      <c r="H960" s="473"/>
      <c r="I960" s="1"/>
      <c r="J960" s="1"/>
      <c r="K960" s="1"/>
      <c r="L960" s="1"/>
      <c r="M960" s="1"/>
      <c r="N960" s="1"/>
      <c r="O960" s="1"/>
      <c r="P960" s="1"/>
      <c r="Q960" s="474"/>
      <c r="S960" s="231"/>
      <c r="AA960" s="1"/>
      <c r="AB960" s="392"/>
    </row>
    <row r="961" spans="8:28" x14ac:dyDescent="0.25">
      <c r="H961" s="473"/>
      <c r="I961" s="1"/>
      <c r="J961" s="1"/>
      <c r="K961" s="1"/>
      <c r="L961" s="1"/>
      <c r="M961" s="1"/>
      <c r="N961" s="1"/>
      <c r="O961" s="1"/>
      <c r="P961" s="1"/>
      <c r="Q961" s="474"/>
      <c r="S961" s="231"/>
      <c r="AA961" s="1"/>
      <c r="AB961" s="392"/>
    </row>
    <row r="962" spans="8:28" x14ac:dyDescent="0.25">
      <c r="H962" s="473"/>
      <c r="I962" s="1"/>
      <c r="J962" s="1"/>
      <c r="K962" s="1"/>
      <c r="L962" s="1"/>
      <c r="M962" s="1"/>
      <c r="N962" s="1"/>
      <c r="O962" s="1"/>
      <c r="P962" s="1"/>
      <c r="Q962" s="474"/>
      <c r="S962" s="231"/>
      <c r="AA962" s="1"/>
      <c r="AB962" s="392"/>
    </row>
    <row r="963" spans="8:28" x14ac:dyDescent="0.25">
      <c r="H963" s="473"/>
      <c r="I963" s="1"/>
      <c r="J963" s="1"/>
      <c r="K963" s="1"/>
      <c r="L963" s="1"/>
      <c r="M963" s="1"/>
      <c r="N963" s="1"/>
      <c r="O963" s="1"/>
      <c r="P963" s="1"/>
      <c r="Q963" s="474"/>
      <c r="S963" s="231"/>
      <c r="AA963" s="1"/>
      <c r="AB963" s="392"/>
    </row>
    <row r="964" spans="8:28" x14ac:dyDescent="0.25">
      <c r="H964" s="473"/>
      <c r="I964" s="1"/>
      <c r="J964" s="1"/>
      <c r="K964" s="1"/>
      <c r="L964" s="1"/>
      <c r="M964" s="1"/>
      <c r="N964" s="1"/>
      <c r="O964" s="1"/>
      <c r="P964" s="1"/>
      <c r="Q964" s="474"/>
      <c r="S964" s="231"/>
      <c r="AA964" s="1"/>
      <c r="AB964" s="392"/>
    </row>
    <row r="965" spans="8:28" x14ac:dyDescent="0.25">
      <c r="H965" s="473"/>
      <c r="I965" s="1"/>
      <c r="J965" s="1"/>
      <c r="K965" s="1"/>
      <c r="L965" s="1"/>
      <c r="M965" s="1"/>
      <c r="N965" s="1"/>
      <c r="O965" s="1"/>
      <c r="P965" s="1"/>
      <c r="Q965" s="474"/>
      <c r="S965" s="231"/>
      <c r="AA965" s="1"/>
      <c r="AB965" s="392"/>
    </row>
    <row r="966" spans="8:28" x14ac:dyDescent="0.25">
      <c r="H966" s="473"/>
      <c r="I966" s="1"/>
      <c r="J966" s="1"/>
      <c r="K966" s="1"/>
      <c r="L966" s="1"/>
      <c r="M966" s="1"/>
      <c r="N966" s="1"/>
      <c r="O966" s="1"/>
      <c r="P966" s="1"/>
      <c r="Q966" s="474"/>
      <c r="S966" s="231"/>
      <c r="AA966" s="1"/>
      <c r="AB966" s="392"/>
    </row>
    <row r="967" spans="8:28" x14ac:dyDescent="0.25">
      <c r="H967" s="473"/>
      <c r="I967" s="1"/>
      <c r="J967" s="1"/>
      <c r="K967" s="1"/>
      <c r="L967" s="1"/>
      <c r="M967" s="1"/>
      <c r="N967" s="1"/>
      <c r="O967" s="1"/>
      <c r="P967" s="1"/>
      <c r="Q967" s="474"/>
      <c r="S967" s="231"/>
      <c r="AA967" s="1"/>
      <c r="AB967" s="392"/>
    </row>
    <row r="968" spans="8:28" x14ac:dyDescent="0.25">
      <c r="H968" s="473"/>
      <c r="I968" s="1"/>
      <c r="J968" s="1"/>
      <c r="K968" s="1"/>
      <c r="L968" s="1"/>
      <c r="M968" s="1"/>
      <c r="N968" s="1"/>
      <c r="O968" s="1"/>
      <c r="P968" s="1"/>
      <c r="Q968" s="474"/>
      <c r="S968" s="231"/>
      <c r="AA968" s="1"/>
      <c r="AB968" s="392"/>
    </row>
    <row r="969" spans="8:28" x14ac:dyDescent="0.25">
      <c r="H969" s="473"/>
      <c r="I969" s="1"/>
      <c r="J969" s="1"/>
      <c r="K969" s="1"/>
      <c r="L969" s="1"/>
      <c r="M969" s="1"/>
      <c r="N969" s="1"/>
      <c r="O969" s="1"/>
      <c r="P969" s="1"/>
      <c r="Q969" s="474"/>
      <c r="S969" s="231"/>
      <c r="AA969" s="1"/>
      <c r="AB969" s="392"/>
    </row>
    <row r="970" spans="8:28" x14ac:dyDescent="0.25">
      <c r="H970" s="473"/>
      <c r="I970" s="1"/>
      <c r="J970" s="1"/>
      <c r="K970" s="1"/>
      <c r="L970" s="1"/>
      <c r="M970" s="1"/>
      <c r="N970" s="1"/>
      <c r="O970" s="1"/>
      <c r="P970" s="1"/>
      <c r="Q970" s="474"/>
      <c r="S970" s="231"/>
      <c r="AA970" s="1"/>
      <c r="AB970" s="392"/>
    </row>
    <row r="971" spans="8:28" x14ac:dyDescent="0.25">
      <c r="H971" s="473"/>
      <c r="I971" s="1"/>
      <c r="J971" s="1"/>
      <c r="K971" s="1"/>
      <c r="L971" s="1"/>
      <c r="M971" s="1"/>
      <c r="N971" s="1"/>
      <c r="O971" s="1"/>
      <c r="P971" s="1"/>
      <c r="Q971" s="474"/>
      <c r="S971" s="231"/>
      <c r="AA971" s="1"/>
      <c r="AB971" s="392"/>
    </row>
    <row r="972" spans="8:28" x14ac:dyDescent="0.25">
      <c r="H972" s="473"/>
      <c r="I972" s="1"/>
      <c r="J972" s="1"/>
      <c r="K972" s="1"/>
      <c r="L972" s="1"/>
      <c r="M972" s="1"/>
      <c r="N972" s="1"/>
      <c r="O972" s="1"/>
      <c r="P972" s="1"/>
      <c r="Q972" s="474"/>
      <c r="S972" s="231"/>
      <c r="AA972" s="1"/>
      <c r="AB972" s="392"/>
    </row>
    <row r="973" spans="8:28" x14ac:dyDescent="0.25">
      <c r="H973" s="473"/>
      <c r="I973" s="1"/>
      <c r="J973" s="1"/>
      <c r="K973" s="1"/>
      <c r="L973" s="1"/>
      <c r="M973" s="1"/>
      <c r="N973" s="1"/>
      <c r="O973" s="1"/>
      <c r="P973" s="1"/>
      <c r="Q973" s="474"/>
      <c r="S973" s="231"/>
      <c r="AA973" s="1"/>
      <c r="AB973" s="392"/>
    </row>
    <row r="974" spans="8:28" x14ac:dyDescent="0.25">
      <c r="H974" s="473"/>
      <c r="I974" s="1"/>
      <c r="J974" s="1"/>
      <c r="K974" s="1"/>
      <c r="L974" s="1"/>
      <c r="M974" s="1"/>
      <c r="N974" s="1"/>
      <c r="O974" s="1"/>
      <c r="P974" s="1"/>
      <c r="Q974" s="474"/>
      <c r="S974" s="231"/>
      <c r="AA974" s="1"/>
      <c r="AB974" s="392"/>
    </row>
    <row r="975" spans="8:28" x14ac:dyDescent="0.25">
      <c r="H975" s="473"/>
      <c r="I975" s="1"/>
      <c r="J975" s="1"/>
      <c r="K975" s="1"/>
      <c r="L975" s="1"/>
      <c r="M975" s="1"/>
      <c r="N975" s="1"/>
      <c r="O975" s="1"/>
      <c r="P975" s="1"/>
      <c r="Q975" s="474"/>
      <c r="S975" s="231"/>
      <c r="AA975" s="1"/>
      <c r="AB975" s="392"/>
    </row>
    <row r="976" spans="8:28" x14ac:dyDescent="0.25">
      <c r="H976" s="473"/>
      <c r="I976" s="1"/>
      <c r="J976" s="1"/>
      <c r="K976" s="1"/>
      <c r="L976" s="1"/>
      <c r="M976" s="1"/>
      <c r="N976" s="1"/>
      <c r="O976" s="1"/>
      <c r="P976" s="1"/>
      <c r="Q976" s="474"/>
      <c r="S976" s="231"/>
      <c r="AA976" s="1"/>
      <c r="AB976" s="392"/>
    </row>
    <row r="977" spans="8:28" x14ac:dyDescent="0.25">
      <c r="H977" s="473"/>
      <c r="I977" s="1"/>
      <c r="J977" s="1"/>
      <c r="K977" s="1"/>
      <c r="L977" s="1"/>
      <c r="M977" s="1"/>
      <c r="N977" s="1"/>
      <c r="O977" s="1"/>
      <c r="P977" s="1"/>
      <c r="Q977" s="474"/>
      <c r="S977" s="231"/>
      <c r="AA977" s="1"/>
      <c r="AB977" s="392"/>
    </row>
    <row r="978" spans="8:28" x14ac:dyDescent="0.25">
      <c r="H978" s="473"/>
      <c r="M978" s="1"/>
      <c r="N978" s="1"/>
      <c r="O978" s="1"/>
      <c r="P978" s="1"/>
      <c r="Q978" s="474"/>
      <c r="S978" s="231"/>
      <c r="AA978" s="1"/>
      <c r="AB978" s="392"/>
    </row>
    <row r="979" spans="8:28" x14ac:dyDescent="0.25">
      <c r="H979" s="473"/>
      <c r="M979" s="1"/>
      <c r="N979" s="1"/>
      <c r="O979" s="1"/>
      <c r="P979" s="1"/>
      <c r="Q979" s="474"/>
      <c r="S979" s="231"/>
      <c r="AA979" s="1"/>
      <c r="AB979" s="392"/>
    </row>
    <row r="980" spans="8:28" x14ac:dyDescent="0.25">
      <c r="H980" s="473"/>
      <c r="M980" s="1"/>
      <c r="N980" s="1"/>
      <c r="O980" s="1"/>
      <c r="P980" s="1"/>
      <c r="Q980" s="474"/>
      <c r="S980" s="231"/>
      <c r="AA980" s="1"/>
      <c r="AB980" s="392"/>
    </row>
    <row r="981" spans="8:28" x14ac:dyDescent="0.25">
      <c r="H981" s="473"/>
      <c r="M981" s="1"/>
      <c r="N981" s="1"/>
      <c r="O981" s="1"/>
      <c r="P981" s="1"/>
      <c r="Q981" s="474"/>
      <c r="S981" s="231"/>
      <c r="AA981" s="1"/>
      <c r="AB981" s="392"/>
    </row>
    <row r="982" spans="8:28" x14ac:dyDescent="0.25">
      <c r="H982" s="473"/>
      <c r="M982" s="1"/>
      <c r="N982" s="1"/>
      <c r="O982" s="1"/>
      <c r="P982" s="1"/>
      <c r="Q982" s="474"/>
      <c r="S982" s="231"/>
      <c r="AA982" s="1"/>
      <c r="AB982" s="392"/>
    </row>
    <row r="983" spans="8:28" x14ac:dyDescent="0.25">
      <c r="H983" s="473"/>
      <c r="M983" s="1"/>
      <c r="N983" s="1"/>
      <c r="O983" s="1"/>
      <c r="P983" s="1"/>
      <c r="Q983" s="474"/>
      <c r="S983" s="231"/>
      <c r="AA983" s="1"/>
      <c r="AB983" s="392"/>
    </row>
    <row r="984" spans="8:28" x14ac:dyDescent="0.25">
      <c r="H984" s="473"/>
      <c r="M984" s="1"/>
      <c r="N984" s="1"/>
      <c r="O984" s="1"/>
      <c r="P984" s="1"/>
      <c r="Q984" s="474"/>
      <c r="S984" s="231"/>
      <c r="AA984" s="1"/>
      <c r="AB984" s="392"/>
    </row>
    <row r="985" spans="8:28" x14ac:dyDescent="0.25">
      <c r="H985" s="473"/>
      <c r="M985" s="1"/>
      <c r="N985" s="1"/>
      <c r="O985" s="1"/>
      <c r="P985" s="1"/>
      <c r="Q985" s="474"/>
      <c r="S985" s="231"/>
      <c r="AA985" s="1"/>
      <c r="AB985" s="392"/>
    </row>
    <row r="986" spans="8:28" x14ac:dyDescent="0.25">
      <c r="H986" s="473"/>
      <c r="M986" s="1"/>
      <c r="N986" s="1"/>
      <c r="O986" s="1"/>
      <c r="P986" s="1"/>
      <c r="Q986" s="474"/>
      <c r="S986" s="231"/>
      <c r="AA986" s="1"/>
      <c r="AB986" s="392"/>
    </row>
    <row r="987" spans="8:28" x14ac:dyDescent="0.25">
      <c r="H987" s="473"/>
      <c r="M987" s="1"/>
      <c r="N987" s="1"/>
      <c r="O987" s="1"/>
      <c r="P987" s="1"/>
      <c r="Q987" s="474"/>
      <c r="S987" s="231"/>
      <c r="AA987" s="1"/>
      <c r="AB987" s="392"/>
    </row>
    <row r="988" spans="8:28" x14ac:dyDescent="0.25">
      <c r="H988" s="473"/>
      <c r="M988" s="1"/>
      <c r="N988" s="1"/>
      <c r="O988" s="1"/>
      <c r="P988" s="1"/>
      <c r="Q988" s="474"/>
      <c r="S988" s="231"/>
      <c r="AA988" s="1"/>
      <c r="AB988" s="392"/>
    </row>
    <row r="989" spans="8:28" x14ac:dyDescent="0.25">
      <c r="H989" s="473"/>
      <c r="M989" s="1"/>
      <c r="N989" s="1"/>
      <c r="O989" s="1"/>
      <c r="P989" s="1"/>
      <c r="Q989" s="474"/>
      <c r="S989" s="231"/>
      <c r="AA989" s="1"/>
      <c r="AB989" s="392"/>
    </row>
    <row r="990" spans="8:28" x14ac:dyDescent="0.25">
      <c r="H990" s="473"/>
      <c r="M990" s="1"/>
      <c r="N990" s="1"/>
      <c r="O990" s="1"/>
      <c r="P990" s="1"/>
      <c r="Q990" s="474"/>
      <c r="S990" s="231"/>
      <c r="AA990" s="1"/>
      <c r="AB990" s="392"/>
    </row>
    <row r="991" spans="8:28" x14ac:dyDescent="0.25">
      <c r="H991" s="473"/>
      <c r="M991" s="1"/>
      <c r="N991" s="1"/>
      <c r="O991" s="1"/>
      <c r="P991" s="1"/>
      <c r="Q991" s="474"/>
      <c r="S991" s="231"/>
      <c r="AA991" s="1"/>
      <c r="AB991" s="392"/>
    </row>
    <row r="992" spans="8:28" x14ac:dyDescent="0.25">
      <c r="H992" s="473"/>
      <c r="M992" s="1"/>
      <c r="N992" s="1"/>
      <c r="O992" s="1"/>
      <c r="P992" s="1"/>
      <c r="Q992" s="474"/>
      <c r="S992" s="231"/>
      <c r="AA992" s="1"/>
      <c r="AB992" s="392"/>
    </row>
    <row r="993" spans="8:28" x14ac:dyDescent="0.25">
      <c r="H993" s="473"/>
      <c r="M993" s="1"/>
      <c r="N993" s="1"/>
      <c r="O993" s="1"/>
      <c r="P993" s="1"/>
      <c r="Q993" s="474"/>
      <c r="S993" s="231"/>
      <c r="AA993" s="1"/>
      <c r="AB993" s="392"/>
    </row>
    <row r="994" spans="8:28" x14ac:dyDescent="0.25">
      <c r="H994" s="473"/>
      <c r="M994" s="1"/>
      <c r="N994" s="1"/>
      <c r="O994" s="1"/>
      <c r="P994" s="1"/>
      <c r="Q994" s="474"/>
      <c r="S994" s="231"/>
      <c r="AA994" s="1"/>
      <c r="AB994" s="392"/>
    </row>
    <row r="995" spans="8:28" x14ac:dyDescent="0.25">
      <c r="H995" s="473"/>
      <c r="M995" s="1"/>
      <c r="N995" s="1"/>
      <c r="O995" s="1"/>
      <c r="P995" s="1"/>
      <c r="Q995" s="474"/>
      <c r="S995" s="231"/>
      <c r="AA995" s="1"/>
      <c r="AB995" s="392"/>
    </row>
    <row r="996" spans="8:28" x14ac:dyDescent="0.25">
      <c r="H996" s="473"/>
      <c r="M996" s="1"/>
      <c r="N996" s="1"/>
      <c r="O996" s="1"/>
      <c r="P996" s="1"/>
      <c r="Q996" s="474"/>
      <c r="S996" s="231"/>
      <c r="AA996" s="1"/>
      <c r="AB996" s="392"/>
    </row>
    <row r="997" spans="8:28" x14ac:dyDescent="0.25">
      <c r="H997" s="473"/>
      <c r="M997" s="1"/>
      <c r="N997" s="1"/>
      <c r="O997" s="1"/>
      <c r="P997" s="1"/>
      <c r="Q997" s="474"/>
      <c r="S997" s="231"/>
      <c r="AA997" s="1"/>
      <c r="AB997" s="392"/>
    </row>
    <row r="998" spans="8:28" x14ac:dyDescent="0.25">
      <c r="H998" s="473"/>
      <c r="M998" s="1"/>
      <c r="N998" s="1"/>
      <c r="O998" s="1"/>
      <c r="P998" s="1"/>
      <c r="Q998" s="474"/>
      <c r="S998" s="231"/>
      <c r="AA998" s="1"/>
      <c r="AB998" s="392"/>
    </row>
    <row r="999" spans="8:28" x14ac:dyDescent="0.25">
      <c r="H999" s="473"/>
      <c r="M999" s="1"/>
      <c r="N999" s="1"/>
      <c r="O999" s="1"/>
      <c r="P999" s="1"/>
      <c r="Q999" s="474"/>
      <c r="S999" s="231"/>
      <c r="AA999" s="1"/>
      <c r="AB999" s="392"/>
    </row>
    <row r="1000" spans="8:28" x14ac:dyDescent="0.25">
      <c r="H1000" s="473"/>
      <c r="M1000" s="1"/>
      <c r="N1000" s="1"/>
      <c r="O1000" s="1"/>
      <c r="P1000" s="1"/>
      <c r="Q1000" s="474"/>
      <c r="S1000" s="231"/>
      <c r="AA1000" s="1"/>
      <c r="AB1000" s="392"/>
    </row>
  </sheetData>
  <mergeCells count="4">
    <mergeCell ref="I3:P3"/>
    <mergeCell ref="T3:Z3"/>
    <mergeCell ref="I5:O5"/>
    <mergeCell ref="T5:AA5"/>
  </mergeCells>
  <pageMargins left="0.7" right="0.7" top="0.75" bottom="0.75" header="0.3" footer="0.3"/>
  <ignoredErrors>
    <ignoredError sqref="K11:K17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919E-3E76-42FA-A916-B3797146597B}">
  <dimension ref="A3:AS68"/>
  <sheetViews>
    <sheetView showGridLines="0" topLeftCell="P1" zoomScale="130" zoomScaleNormal="130" workbookViewId="0">
      <selection activeCell="T19" sqref="T19"/>
    </sheetView>
  </sheetViews>
  <sheetFormatPr baseColWidth="10" defaultRowHeight="15" x14ac:dyDescent="0.25"/>
  <cols>
    <col min="1" max="1" width="19.140625" customWidth="1"/>
    <col min="7" max="7" width="27.7109375" customWidth="1"/>
    <col min="8" max="8" width="17.7109375" customWidth="1"/>
    <col min="9" max="9" width="28.28515625" customWidth="1"/>
    <col min="10" max="10" width="23.28515625" customWidth="1"/>
    <col min="11" max="11" width="16.7109375" customWidth="1"/>
    <col min="12" max="12" width="13.28515625" customWidth="1"/>
    <col min="13" max="13" width="13.140625" customWidth="1"/>
    <col min="14" max="14" width="14.42578125" customWidth="1"/>
    <col min="15" max="15" width="22" customWidth="1"/>
    <col min="16" max="16" width="19.85546875" customWidth="1"/>
    <col min="27" max="27" width="22.28515625" customWidth="1"/>
    <col min="29" max="29" width="11.5703125" customWidth="1"/>
    <col min="30" max="30" width="11.5703125" style="108"/>
    <col min="31" max="31" width="15.42578125" bestFit="1" customWidth="1"/>
    <col min="40" max="40" width="14.7109375" customWidth="1"/>
    <col min="41" max="41" width="22.7109375" customWidth="1"/>
  </cols>
  <sheetData>
    <row r="3" spans="1:45" ht="21" x14ac:dyDescent="0.35">
      <c r="G3" s="742" t="s">
        <v>771</v>
      </c>
      <c r="H3" s="712"/>
      <c r="I3" s="712"/>
      <c r="J3" s="712"/>
      <c r="K3" s="712"/>
      <c r="L3" s="712"/>
      <c r="M3" s="712"/>
      <c r="N3" s="712"/>
      <c r="O3" s="712"/>
      <c r="P3" s="712"/>
      <c r="Q3" s="712"/>
      <c r="R3" s="712"/>
      <c r="S3" s="712"/>
      <c r="T3" s="712"/>
      <c r="U3" s="712"/>
      <c r="V3" s="712"/>
      <c r="W3" s="712"/>
      <c r="X3" s="712"/>
      <c r="Y3" s="712"/>
      <c r="Z3" s="712"/>
      <c r="AA3" s="712"/>
      <c r="AB3" s="712"/>
      <c r="AC3" s="712"/>
      <c r="AD3" s="712"/>
      <c r="AE3" s="712"/>
      <c r="AF3" s="712"/>
      <c r="AG3" s="712"/>
      <c r="AH3" s="712"/>
      <c r="AI3" s="712"/>
      <c r="AJ3" s="712"/>
    </row>
    <row r="5" spans="1:45" ht="15.75" x14ac:dyDescent="0.25">
      <c r="O5" s="741" t="s">
        <v>773</v>
      </c>
      <c r="P5" s="712"/>
      <c r="Q5" s="712"/>
      <c r="R5" s="712"/>
      <c r="S5" s="712"/>
      <c r="T5" s="712"/>
      <c r="U5" s="712"/>
      <c r="V5" s="712"/>
    </row>
    <row r="6" spans="1:45" x14ac:dyDescent="0.25">
      <c r="AA6">
        <v>426</v>
      </c>
    </row>
    <row r="7" spans="1:45" ht="16.5" thickBot="1" x14ac:dyDescent="0.3">
      <c r="F7" s="460"/>
      <c r="G7" s="743" t="s">
        <v>772</v>
      </c>
      <c r="H7" s="714"/>
      <c r="I7" s="714"/>
      <c r="M7" s="446"/>
      <c r="T7" s="513" t="s">
        <v>820</v>
      </c>
      <c r="U7" s="513" t="s">
        <v>805</v>
      </c>
      <c r="V7" s="513" t="s">
        <v>806</v>
      </c>
      <c r="W7" s="513" t="s">
        <v>807</v>
      </c>
      <c r="X7" s="513" t="s">
        <v>808</v>
      </c>
      <c r="AA7" s="470">
        <f>SUM(T14:T20)</f>
        <v>0.37306428100219807</v>
      </c>
    </row>
    <row r="8" spans="1:45" ht="34.5" x14ac:dyDescent="0.25">
      <c r="F8" s="459"/>
      <c r="M8" s="1"/>
      <c r="R8" t="s">
        <v>734</v>
      </c>
      <c r="S8" t="s">
        <v>809</v>
      </c>
      <c r="T8" s="514" t="s">
        <v>819</v>
      </c>
      <c r="U8" s="514" t="s">
        <v>810</v>
      </c>
      <c r="V8" s="514" t="s">
        <v>811</v>
      </c>
      <c r="W8" s="514" t="s">
        <v>812</v>
      </c>
      <c r="X8" s="514" t="s">
        <v>813</v>
      </c>
      <c r="AE8" s="89">
        <f>4.95/1000</f>
        <v>4.9500000000000004E-3</v>
      </c>
    </row>
    <row r="9" spans="1:45" x14ac:dyDescent="0.25">
      <c r="A9" s="202" t="s">
        <v>416</v>
      </c>
      <c r="F9" s="459"/>
      <c r="G9" s="202" t="s">
        <v>416</v>
      </c>
      <c r="J9" s="202" t="s">
        <v>416</v>
      </c>
      <c r="M9" s="1"/>
      <c r="O9" s="202" t="s">
        <v>416</v>
      </c>
      <c r="P9" s="1"/>
      <c r="Q9" s="1"/>
      <c r="AA9" s="532" t="s">
        <v>416</v>
      </c>
      <c r="AN9" s="117" t="s">
        <v>822</v>
      </c>
      <c r="AO9" s="117" t="s">
        <v>823</v>
      </c>
      <c r="AP9" t="s">
        <v>824</v>
      </c>
    </row>
    <row r="10" spans="1:45" x14ac:dyDescent="0.25">
      <c r="A10" s="198" t="s">
        <v>138</v>
      </c>
      <c r="B10" s="198" t="s">
        <v>417</v>
      </c>
      <c r="C10" s="448" t="s">
        <v>418</v>
      </c>
      <c r="D10" s="449" t="s">
        <v>447</v>
      </c>
      <c r="F10" s="461"/>
      <c r="G10" s="198" t="s">
        <v>138</v>
      </c>
      <c r="H10" s="198" t="s">
        <v>417</v>
      </c>
      <c r="J10" s="198" t="s">
        <v>138</v>
      </c>
      <c r="K10" s="448" t="s">
        <v>418</v>
      </c>
      <c r="L10" s="449" t="s">
        <v>447</v>
      </c>
      <c r="M10" s="412"/>
      <c r="O10" s="198" t="s">
        <v>138</v>
      </c>
      <c r="P10" s="198" t="s">
        <v>417</v>
      </c>
      <c r="Q10" s="448" t="s">
        <v>418</v>
      </c>
      <c r="R10" s="515" t="s">
        <v>447</v>
      </c>
      <c r="S10" s="515" t="s">
        <v>814</v>
      </c>
      <c r="T10" s="515" t="s">
        <v>826</v>
      </c>
      <c r="U10" s="515" t="s">
        <v>815</v>
      </c>
      <c r="V10" s="515" t="s">
        <v>816</v>
      </c>
      <c r="W10" s="515" t="s">
        <v>817</v>
      </c>
      <c r="X10" s="515" t="s">
        <v>818</v>
      </c>
      <c r="Y10" s="515" t="s">
        <v>825</v>
      </c>
      <c r="AA10" s="533" t="s">
        <v>138</v>
      </c>
      <c r="AB10" s="533" t="s">
        <v>418</v>
      </c>
      <c r="AC10" s="411" t="s">
        <v>752</v>
      </c>
      <c r="AD10" s="518"/>
      <c r="AE10" s="518"/>
      <c r="AF10" s="518"/>
      <c r="AH10" s="727" t="s">
        <v>733</v>
      </c>
      <c r="AI10" s="714"/>
      <c r="AJ10" s="714"/>
      <c r="AK10" s="714"/>
      <c r="AN10" s="117" t="s">
        <v>821</v>
      </c>
    </row>
    <row r="11" spans="1:45" x14ac:dyDescent="0.25">
      <c r="A11" t="s">
        <v>861</v>
      </c>
      <c r="B11" t="s">
        <v>14</v>
      </c>
      <c r="C11" t="s">
        <v>863</v>
      </c>
      <c r="D11" s="153">
        <v>1</v>
      </c>
      <c r="F11" s="462"/>
      <c r="G11" s="12" t="s">
        <v>278</v>
      </c>
      <c r="H11" s="12" t="s">
        <v>78</v>
      </c>
      <c r="I11" s="147"/>
      <c r="J11" s="147" t="s">
        <v>278</v>
      </c>
      <c r="K11" t="s">
        <v>108</v>
      </c>
      <c r="L11" s="147">
        <v>1</v>
      </c>
      <c r="M11" s="18"/>
      <c r="O11" s="456" t="s">
        <v>158</v>
      </c>
      <c r="P11" s="455" t="s">
        <v>100</v>
      </c>
      <c r="Q11" s="456" t="s">
        <v>93</v>
      </c>
      <c r="R11" s="453">
        <v>0.376</v>
      </c>
      <c r="S11" s="89">
        <v>0.75</v>
      </c>
      <c r="T11" s="586">
        <f>AP11</f>
        <v>3.4246575342465758E-2</v>
      </c>
      <c r="U11" s="89">
        <v>21</v>
      </c>
      <c r="V11" s="89">
        <f>0.00495*365*24*S11*0.0036</f>
        <v>0.11707740000000001</v>
      </c>
      <c r="W11" s="89">
        <v>13</v>
      </c>
      <c r="X11" s="89">
        <v>31.536000000000001</v>
      </c>
      <c r="Y11" s="89"/>
      <c r="AA11" s="454" t="str">
        <f>O11</f>
        <v>AUTO-GAS-CAM1</v>
      </c>
      <c r="AB11" s="14" t="s">
        <v>195</v>
      </c>
      <c r="AC11" s="391">
        <f>AB39/R11</f>
        <v>147.71041211964643</v>
      </c>
      <c r="AD11" s="531"/>
      <c r="AE11" s="675">
        <f>V13/(24*365*0.75*0.0036)</f>
        <v>1.3999999999999999E-2</v>
      </c>
      <c r="AF11" s="516" t="s">
        <v>445</v>
      </c>
      <c r="AG11" s="517" t="s">
        <v>670</v>
      </c>
      <c r="AH11" s="320" t="s">
        <v>22</v>
      </c>
      <c r="AI11" s="320" t="s">
        <v>289</v>
      </c>
      <c r="AJ11" s="320" t="s">
        <v>736</v>
      </c>
      <c r="AK11" s="320" t="s">
        <v>737</v>
      </c>
      <c r="AM11" s="320" t="s">
        <v>6</v>
      </c>
      <c r="AN11" s="522">
        <v>0.81</v>
      </c>
      <c r="AO11" s="522">
        <f>AN11/0.0036</f>
        <v>225.00000000000003</v>
      </c>
      <c r="AP11" s="524">
        <f>AO11/(24*365*0.75)</f>
        <v>3.4246575342465758E-2</v>
      </c>
      <c r="AS11" s="89">
        <v>1</v>
      </c>
    </row>
    <row r="12" spans="1:45" x14ac:dyDescent="0.25">
      <c r="A12" t="s">
        <v>862</v>
      </c>
      <c r="B12" t="s">
        <v>26</v>
      </c>
      <c r="C12" t="s">
        <v>864</v>
      </c>
      <c r="D12" s="153">
        <v>1</v>
      </c>
      <c r="F12" s="462"/>
      <c r="G12" s="12" t="s">
        <v>279</v>
      </c>
      <c r="H12" s="12" t="s">
        <v>89</v>
      </c>
      <c r="I12" s="147"/>
      <c r="J12" s="147" t="s">
        <v>279</v>
      </c>
      <c r="K12" t="s">
        <v>109</v>
      </c>
      <c r="L12" s="147">
        <v>1</v>
      </c>
      <c r="M12" s="18"/>
      <c r="O12" s="456" t="s">
        <v>159</v>
      </c>
      <c r="P12" s="89" t="s">
        <v>107</v>
      </c>
      <c r="Q12" s="456" t="s">
        <v>93</v>
      </c>
      <c r="R12" s="453">
        <v>0.35799999999999998</v>
      </c>
      <c r="S12" s="89">
        <v>0.75</v>
      </c>
      <c r="T12" s="585">
        <f>(AJ12/1000)/AS12</f>
        <v>0</v>
      </c>
      <c r="U12" s="585">
        <v>20</v>
      </c>
      <c r="V12" s="89">
        <f>0.014*24*365*S12*0.0036</f>
        <v>0.33112799999999998</v>
      </c>
      <c r="W12" s="89">
        <v>13</v>
      </c>
      <c r="X12" s="89">
        <v>31.536000000000001</v>
      </c>
      <c r="Y12" s="89"/>
      <c r="AA12" s="454" t="str">
        <f t="shared" ref="AA12:AA32" si="0">O12</f>
        <v>AUTO-OIL-CAM1</v>
      </c>
      <c r="AB12" s="14" t="s">
        <v>195</v>
      </c>
      <c r="AC12" s="391">
        <f>AB38/R12</f>
        <v>217.43513320940539</v>
      </c>
      <c r="AD12" s="531"/>
      <c r="AE12" s="675">
        <f>AE11</f>
        <v>1.3999999999999999E-2</v>
      </c>
      <c r="AF12" s="516" t="s">
        <v>1109</v>
      </c>
      <c r="AG12" s="328" t="s">
        <v>6</v>
      </c>
      <c r="AH12" s="160">
        <v>0</v>
      </c>
      <c r="AI12" s="381"/>
      <c r="AJ12" s="160">
        <v>0</v>
      </c>
      <c r="AK12" s="160">
        <v>0</v>
      </c>
      <c r="AS12" s="89">
        <v>1</v>
      </c>
    </row>
    <row r="13" spans="1:45" x14ac:dyDescent="0.25">
      <c r="F13" s="462"/>
      <c r="G13" s="12" t="s">
        <v>280</v>
      </c>
      <c r="H13" s="12" t="s">
        <v>82</v>
      </c>
      <c r="I13" s="147"/>
      <c r="J13" s="147" t="s">
        <v>280</v>
      </c>
      <c r="K13" t="s">
        <v>110</v>
      </c>
      <c r="L13" s="147">
        <v>1</v>
      </c>
      <c r="M13" s="18"/>
      <c r="O13" s="456" t="s">
        <v>160</v>
      </c>
      <c r="P13" s="89" t="str">
        <f>$C$11</f>
        <v>FUEL-DSL</v>
      </c>
      <c r="Q13" s="456" t="s">
        <v>93</v>
      </c>
      <c r="R13" s="453">
        <v>0.35599999999999998</v>
      </c>
      <c r="S13" s="89">
        <v>0.75</v>
      </c>
      <c r="T13" s="585">
        <f>(AK12/1000)/AS13</f>
        <v>0</v>
      </c>
      <c r="U13" s="585">
        <v>20</v>
      </c>
      <c r="V13" s="89">
        <v>0.33112799999999998</v>
      </c>
      <c r="W13" s="89">
        <v>13</v>
      </c>
      <c r="X13" s="89">
        <v>31.536000000000001</v>
      </c>
      <c r="Y13" s="89"/>
      <c r="AA13" s="454" t="str">
        <f t="shared" si="0"/>
        <v>AUTO-DSL-CAM1</v>
      </c>
      <c r="AB13" s="14" t="s">
        <v>195</v>
      </c>
      <c r="AC13" s="391">
        <f>AB37/R13</f>
        <v>211.14150479961498</v>
      </c>
      <c r="AD13" s="531"/>
      <c r="AE13" s="516"/>
      <c r="AF13" s="516"/>
      <c r="AG13" s="328" t="s">
        <v>12</v>
      </c>
      <c r="AH13" s="160">
        <v>19.999999999999996</v>
      </c>
      <c r="AI13" s="160">
        <v>150.07647247502399</v>
      </c>
      <c r="AJ13" s="383">
        <v>0</v>
      </c>
      <c r="AK13" s="384">
        <f>22.8/2</f>
        <v>11.4</v>
      </c>
      <c r="AS13" s="89">
        <v>1</v>
      </c>
    </row>
    <row r="14" spans="1:45" x14ac:dyDescent="0.25">
      <c r="F14" s="463"/>
      <c r="G14" s="12" t="s">
        <v>281</v>
      </c>
      <c r="H14" s="12" t="s">
        <v>86</v>
      </c>
      <c r="I14" s="147"/>
      <c r="J14" s="147" t="s">
        <v>281</v>
      </c>
      <c r="K14" t="s">
        <v>111</v>
      </c>
      <c r="L14" s="147">
        <v>1</v>
      </c>
      <c r="M14" s="407"/>
      <c r="O14" s="519" t="s">
        <v>161</v>
      </c>
      <c r="P14" s="526" t="s">
        <v>101</v>
      </c>
      <c r="Q14" s="519" t="s">
        <v>94</v>
      </c>
      <c r="R14" s="527">
        <v>0.376</v>
      </c>
      <c r="S14" s="89">
        <v>0.75</v>
      </c>
      <c r="T14" s="587">
        <f>(AI13/1000)</f>
        <v>0.15007647247502398</v>
      </c>
      <c r="U14" s="519">
        <v>21</v>
      </c>
      <c r="V14" s="89">
        <v>0.11707740000000001</v>
      </c>
      <c r="W14" s="519">
        <v>13</v>
      </c>
      <c r="X14" s="519">
        <v>31.536000000000001</v>
      </c>
      <c r="Y14" s="89"/>
      <c r="AA14" s="454" t="str">
        <f t="shared" si="0"/>
        <v>AUTO-GAS-CAM2</v>
      </c>
      <c r="AB14" s="14" t="s">
        <v>198</v>
      </c>
      <c r="AC14" s="391">
        <v>147.71041211964643</v>
      </c>
      <c r="AD14" s="531"/>
      <c r="AE14" s="516"/>
      <c r="AF14" s="516"/>
      <c r="AG14" s="328" t="s">
        <v>16</v>
      </c>
      <c r="AH14" s="385">
        <v>0</v>
      </c>
      <c r="AI14" s="381"/>
      <c r="AJ14" s="160">
        <v>48.264281002198103</v>
      </c>
      <c r="AK14" s="384">
        <f>22.8/2</f>
        <v>11.4</v>
      </c>
      <c r="AM14" t="s">
        <v>12</v>
      </c>
      <c r="AN14">
        <f>4.02</f>
        <v>4.0199999999999996</v>
      </c>
      <c r="AO14">
        <f>T14*24*365*0.75</f>
        <v>986.00242416090748</v>
      </c>
      <c r="AP14">
        <f>AO14*0.75</f>
        <v>739.50181812068058</v>
      </c>
      <c r="AQ14">
        <f>AP14*0.0036</f>
        <v>2.6622065452344499</v>
      </c>
      <c r="AS14" s="519">
        <v>1</v>
      </c>
    </row>
    <row r="15" spans="1:45" x14ac:dyDescent="0.25">
      <c r="F15" s="462"/>
      <c r="G15" s="12" t="s">
        <v>282</v>
      </c>
      <c r="H15" s="12" t="s">
        <v>87</v>
      </c>
      <c r="I15" s="147"/>
      <c r="J15" s="147" t="s">
        <v>282</v>
      </c>
      <c r="K15" t="s">
        <v>112</v>
      </c>
      <c r="L15" s="147">
        <v>1</v>
      </c>
      <c r="M15" s="18"/>
      <c r="O15" s="89" t="s">
        <v>162</v>
      </c>
      <c r="P15" s="89" t="s">
        <v>108</v>
      </c>
      <c r="Q15" s="89" t="s">
        <v>94</v>
      </c>
      <c r="R15" s="453">
        <v>0.35799999999999998</v>
      </c>
      <c r="S15" s="89">
        <v>0.75</v>
      </c>
      <c r="T15" s="588">
        <f>(AJ13/1000)/AS15</f>
        <v>0</v>
      </c>
      <c r="U15" s="585">
        <v>20</v>
      </c>
      <c r="V15" s="89">
        <v>0.33112799999999998</v>
      </c>
      <c r="W15" s="89">
        <v>13</v>
      </c>
      <c r="X15" s="89">
        <v>31.536000000000001</v>
      </c>
      <c r="Y15" s="89"/>
      <c r="AA15" s="454" t="str">
        <f t="shared" si="0"/>
        <v>AUTO-OIL-CAM2</v>
      </c>
      <c r="AB15" s="14" t="s">
        <v>198</v>
      </c>
      <c r="AC15" s="391">
        <v>217.43513320940539</v>
      </c>
      <c r="AD15" s="531"/>
      <c r="AE15" s="516"/>
      <c r="AF15" s="516"/>
      <c r="AG15" s="328" t="s">
        <v>20</v>
      </c>
      <c r="AH15" s="160">
        <v>0</v>
      </c>
      <c r="AI15" s="160">
        <v>0</v>
      </c>
      <c r="AJ15" s="160">
        <v>21.228029807445445</v>
      </c>
      <c r="AK15" s="160">
        <v>10.032150192554559</v>
      </c>
      <c r="AS15" s="89">
        <v>1</v>
      </c>
    </row>
    <row r="16" spans="1:45" x14ac:dyDescent="0.25">
      <c r="F16" s="464"/>
      <c r="G16" s="12" t="s">
        <v>283</v>
      </c>
      <c r="H16" s="12" t="s">
        <v>85</v>
      </c>
      <c r="I16" s="147"/>
      <c r="J16" s="147" t="s">
        <v>283</v>
      </c>
      <c r="K16" t="s">
        <v>113</v>
      </c>
      <c r="L16" s="147">
        <v>1</v>
      </c>
      <c r="M16" s="452"/>
      <c r="O16" s="89" t="s">
        <v>163</v>
      </c>
      <c r="P16" s="89" t="str">
        <f>$C$11</f>
        <v>FUEL-DSL</v>
      </c>
      <c r="Q16" s="89" t="s">
        <v>94</v>
      </c>
      <c r="R16" s="453">
        <v>0.35599999999999998</v>
      </c>
      <c r="S16" s="89">
        <v>0.75</v>
      </c>
      <c r="T16" s="588">
        <f>(AK13/1000)/AS16</f>
        <v>1.14E-2</v>
      </c>
      <c r="U16" s="585">
        <v>20</v>
      </c>
      <c r="V16" s="89">
        <v>0.33112799999999998</v>
      </c>
      <c r="W16" s="89">
        <v>13</v>
      </c>
      <c r="X16" s="89">
        <v>31.536000000000001</v>
      </c>
      <c r="Y16" s="89"/>
      <c r="AA16" s="454" t="str">
        <f t="shared" si="0"/>
        <v>AUTO-DSL-CAM2</v>
      </c>
      <c r="AB16" s="14" t="s">
        <v>198</v>
      </c>
      <c r="AC16" s="391">
        <v>211.14150479961498</v>
      </c>
      <c r="AD16" s="531"/>
      <c r="AE16" s="516"/>
      <c r="AF16" s="516"/>
      <c r="AG16" s="328" t="s">
        <v>24</v>
      </c>
      <c r="AH16" s="160">
        <v>0</v>
      </c>
      <c r="AI16" s="160">
        <v>19.445743599518565</v>
      </c>
      <c r="AJ16" s="160">
        <v>41.381229673754405</v>
      </c>
      <c r="AK16" s="160">
        <v>19.556346726727035</v>
      </c>
      <c r="AS16" s="89">
        <v>1</v>
      </c>
    </row>
    <row r="17" spans="6:45" x14ac:dyDescent="0.25">
      <c r="F17" s="462"/>
      <c r="G17" s="12" t="s">
        <v>157</v>
      </c>
      <c r="H17" s="12" t="s">
        <v>857</v>
      </c>
      <c r="I17" s="147"/>
      <c r="J17" s="147" t="s">
        <v>157</v>
      </c>
      <c r="K17" s="12" t="s">
        <v>114</v>
      </c>
      <c r="L17" s="147">
        <v>1</v>
      </c>
      <c r="M17" s="18"/>
      <c r="O17" s="389" t="s">
        <v>164</v>
      </c>
      <c r="P17" s="389" t="s">
        <v>114</v>
      </c>
      <c r="Q17" s="389" t="s">
        <v>94</v>
      </c>
      <c r="R17" s="581">
        <v>0.34</v>
      </c>
      <c r="S17" s="89">
        <v>0.75</v>
      </c>
      <c r="T17" s="589">
        <f>(AH13/1000)/AS17</f>
        <v>1.9999999999999997E-2</v>
      </c>
      <c r="U17" s="389">
        <v>0</v>
      </c>
      <c r="V17" s="389">
        <v>0</v>
      </c>
      <c r="W17" s="389">
        <v>13</v>
      </c>
      <c r="X17" s="389">
        <v>31.536000000000001</v>
      </c>
      <c r="Y17" s="89"/>
      <c r="AA17" s="454" t="str">
        <f t="shared" si="0"/>
        <v>AUTO-LPG-CAM2</v>
      </c>
      <c r="AB17" s="14" t="s">
        <v>198</v>
      </c>
      <c r="AC17" s="391">
        <f>AB40/R17</f>
        <v>139.08823529411762</v>
      </c>
      <c r="AD17" s="531"/>
      <c r="AE17" s="516"/>
      <c r="AF17" s="516"/>
      <c r="AG17" s="328" t="s">
        <v>28</v>
      </c>
      <c r="AH17" s="160">
        <v>0</v>
      </c>
      <c r="AI17" s="160">
        <v>2.2835888766070749</v>
      </c>
      <c r="AJ17" s="160">
        <v>19.677300005487623</v>
      </c>
      <c r="AK17" s="160">
        <v>9.2992911179053053</v>
      </c>
      <c r="AS17" s="389">
        <v>1</v>
      </c>
    </row>
    <row r="18" spans="6:45" x14ac:dyDescent="0.25">
      <c r="F18" s="462"/>
      <c r="G18" s="12" t="s">
        <v>270</v>
      </c>
      <c r="H18" s="12" t="s">
        <v>64</v>
      </c>
      <c r="I18" s="147"/>
      <c r="J18" s="147" t="s">
        <v>270</v>
      </c>
      <c r="K18" s="12" t="s">
        <v>100</v>
      </c>
      <c r="L18" s="147">
        <v>1</v>
      </c>
      <c r="M18" s="18"/>
      <c r="O18" s="519" t="s">
        <v>165</v>
      </c>
      <c r="P18" s="526" t="s">
        <v>102</v>
      </c>
      <c r="Q18" s="519" t="s">
        <v>95</v>
      </c>
      <c r="R18" s="527">
        <v>0.376</v>
      </c>
      <c r="S18" s="89">
        <v>0.75</v>
      </c>
      <c r="T18" s="594">
        <f>0.282-T14</f>
        <v>0.13192352752497599</v>
      </c>
      <c r="U18" s="519">
        <v>21</v>
      </c>
      <c r="V18" s="89">
        <v>0.11707740000000001</v>
      </c>
      <c r="W18" s="519">
        <v>13</v>
      </c>
      <c r="X18" s="519">
        <v>31.536000000000001</v>
      </c>
      <c r="Y18" s="89"/>
      <c r="Z18" s="89"/>
      <c r="AA18" s="454" t="str">
        <f t="shared" si="0"/>
        <v>AUTO-GAS-CAM3</v>
      </c>
      <c r="AB18" s="14" t="s">
        <v>201</v>
      </c>
      <c r="AC18" s="391">
        <v>147.71041211964643</v>
      </c>
      <c r="AD18" s="531"/>
      <c r="AE18" s="588"/>
      <c r="AF18" s="588"/>
      <c r="AG18" s="328" t="s">
        <v>31</v>
      </c>
      <c r="AH18" s="160">
        <v>0</v>
      </c>
      <c r="AI18" s="160">
        <v>0.25423007512003598</v>
      </c>
      <c r="AJ18" s="160">
        <v>0</v>
      </c>
      <c r="AK18" s="160">
        <v>8.8787417554540831</v>
      </c>
      <c r="AM18" s="523" t="s">
        <v>16</v>
      </c>
      <c r="AN18" s="522">
        <v>0.15</v>
      </c>
      <c r="AO18" s="524">
        <f>AN18/0.0036</f>
        <v>41.666666666666664</v>
      </c>
      <c r="AP18" s="524">
        <f>AO18/(24*365*0.75)</f>
        <v>6.3419583967529169E-3</v>
      </c>
      <c r="AS18" s="519">
        <v>1</v>
      </c>
    </row>
    <row r="19" spans="6:45" x14ac:dyDescent="0.25">
      <c r="F19" s="462"/>
      <c r="H19" t="s">
        <v>232</v>
      </c>
      <c r="I19" s="147"/>
      <c r="J19" s="147" t="s">
        <v>271</v>
      </c>
      <c r="K19" s="12" t="s">
        <v>101</v>
      </c>
      <c r="L19" s="147">
        <v>1</v>
      </c>
      <c r="M19" s="18"/>
      <c r="O19" s="89" t="s">
        <v>166</v>
      </c>
      <c r="P19" s="89" t="s">
        <v>109</v>
      </c>
      <c r="Q19" s="89" t="s">
        <v>95</v>
      </c>
      <c r="R19" s="453">
        <v>0.35799999999999998</v>
      </c>
      <c r="S19" s="89">
        <v>0.75</v>
      </c>
      <c r="T19" s="588">
        <f>(AJ14/1000)/AS19</f>
        <v>4.8264281002198102E-2</v>
      </c>
      <c r="U19" s="585">
        <v>20</v>
      </c>
      <c r="V19" s="89">
        <v>0.33112799999999998</v>
      </c>
      <c r="W19" s="89">
        <v>13</v>
      </c>
      <c r="X19" s="89">
        <v>31.536000000000001</v>
      </c>
      <c r="Y19" s="89"/>
      <c r="Z19" s="89"/>
      <c r="AA19" s="454" t="str">
        <f t="shared" si="0"/>
        <v>AUTO-OIL-CAM3</v>
      </c>
      <c r="AB19" s="14" t="s">
        <v>201</v>
      </c>
      <c r="AC19" s="391">
        <v>217.43513320940539</v>
      </c>
      <c r="AD19" s="531"/>
      <c r="AE19" s="516"/>
      <c r="AF19" s="516"/>
      <c r="AH19" s="14"/>
      <c r="AI19" s="14"/>
      <c r="AJ19" s="14"/>
      <c r="AK19" s="14"/>
      <c r="AS19" s="89">
        <v>1</v>
      </c>
    </row>
    <row r="20" spans="6:45" x14ac:dyDescent="0.25">
      <c r="F20" s="462"/>
      <c r="G20" s="12" t="s">
        <v>271</v>
      </c>
      <c r="H20" s="12" t="s">
        <v>66</v>
      </c>
      <c r="I20" s="147"/>
      <c r="J20" s="147" t="s">
        <v>272</v>
      </c>
      <c r="K20" s="12" t="s">
        <v>102</v>
      </c>
      <c r="L20" s="147">
        <v>1</v>
      </c>
      <c r="M20" s="18"/>
      <c r="O20" s="89" t="s">
        <v>167</v>
      </c>
      <c r="P20" s="89" t="str">
        <f>$C$11</f>
        <v>FUEL-DSL</v>
      </c>
      <c r="Q20" s="89" t="s">
        <v>95</v>
      </c>
      <c r="R20" s="453">
        <v>0.35599999999999998</v>
      </c>
      <c r="S20" s="89">
        <v>0.75</v>
      </c>
      <c r="T20" s="588">
        <f>(AK14/1000)/AS20</f>
        <v>1.14E-2</v>
      </c>
      <c r="U20" s="585">
        <v>20</v>
      </c>
      <c r="V20" s="89">
        <v>0.33112799999999998</v>
      </c>
      <c r="W20" s="89">
        <v>13</v>
      </c>
      <c r="X20" s="89">
        <v>31.536000000000001</v>
      </c>
      <c r="Y20" s="89"/>
      <c r="Z20" s="89"/>
      <c r="AA20" s="454" t="str">
        <f t="shared" si="0"/>
        <v>AUTO-DSL-CAM3</v>
      </c>
      <c r="AB20" s="14" t="s">
        <v>201</v>
      </c>
      <c r="AC20" s="391">
        <v>211.14150479961498</v>
      </c>
      <c r="AD20" s="531"/>
      <c r="AE20" s="516"/>
      <c r="AF20" s="516"/>
      <c r="AS20" s="89">
        <v>1</v>
      </c>
    </row>
    <row r="21" spans="6:45" x14ac:dyDescent="0.25">
      <c r="F21" s="462"/>
      <c r="H21" t="s">
        <v>233</v>
      </c>
      <c r="I21" s="147"/>
      <c r="J21" s="147" t="s">
        <v>273</v>
      </c>
      <c r="K21" s="12" t="s">
        <v>103</v>
      </c>
      <c r="L21" s="147">
        <v>1</v>
      </c>
      <c r="M21" s="18"/>
      <c r="O21" s="529" t="s">
        <v>169</v>
      </c>
      <c r="P21" s="526" t="s">
        <v>103</v>
      </c>
      <c r="Q21" s="529" t="s">
        <v>96</v>
      </c>
      <c r="R21" s="527">
        <v>0.376</v>
      </c>
      <c r="S21" s="89">
        <v>0.75</v>
      </c>
      <c r="T21" s="590">
        <f>(AI15/1000)/AS21</f>
        <v>0</v>
      </c>
      <c r="U21" s="519">
        <v>21</v>
      </c>
      <c r="V21" s="89">
        <v>0.11707740000000001</v>
      </c>
      <c r="W21" s="519">
        <v>13</v>
      </c>
      <c r="X21" s="519">
        <v>31.536000000000001</v>
      </c>
      <c r="Y21" s="89"/>
      <c r="Z21" s="89"/>
      <c r="AA21" s="454" t="str">
        <f t="shared" si="0"/>
        <v>AUTO-GAS-CAM4</v>
      </c>
      <c r="AB21" s="14" t="s">
        <v>204</v>
      </c>
      <c r="AC21" s="391">
        <v>147.71041211964643</v>
      </c>
      <c r="AD21" s="531"/>
      <c r="AE21" s="588"/>
      <c r="AF21" s="588"/>
      <c r="AS21" s="519">
        <v>1</v>
      </c>
    </row>
    <row r="22" spans="6:45" x14ac:dyDescent="0.25">
      <c r="F22" s="459"/>
      <c r="G22" s="12" t="s">
        <v>272</v>
      </c>
      <c r="H22" s="12" t="s">
        <v>67</v>
      </c>
      <c r="I22" s="147"/>
      <c r="J22" s="147" t="s">
        <v>274</v>
      </c>
      <c r="K22" s="12" t="s">
        <v>104</v>
      </c>
      <c r="L22" s="147">
        <v>1</v>
      </c>
      <c r="M22" s="1"/>
      <c r="O22" s="456" t="s">
        <v>170</v>
      </c>
      <c r="P22" s="455" t="s">
        <v>110</v>
      </c>
      <c r="Q22" s="456" t="s">
        <v>96</v>
      </c>
      <c r="R22" s="453">
        <v>0.35799999999999998</v>
      </c>
      <c r="S22" s="89">
        <v>0.75</v>
      </c>
      <c r="T22" s="588">
        <f>(AJ15/1000)/AS22</f>
        <v>2.1228029807445446E-2</v>
      </c>
      <c r="U22" s="585">
        <v>20</v>
      </c>
      <c r="V22" s="89">
        <v>0.33112799999999998</v>
      </c>
      <c r="W22" s="89">
        <v>13</v>
      </c>
      <c r="X22" s="89">
        <v>31.536000000000001</v>
      </c>
      <c r="Y22" s="89"/>
      <c r="Z22" s="89"/>
      <c r="AA22" s="454" t="str">
        <f t="shared" si="0"/>
        <v>AUTO-OIL-CAM4</v>
      </c>
      <c r="AB22" s="14" t="s">
        <v>204</v>
      </c>
      <c r="AC22" s="391">
        <v>217.43513320940539</v>
      </c>
      <c r="AD22" s="531"/>
      <c r="AE22" s="516"/>
      <c r="AF22" s="516"/>
      <c r="AG22" s="108"/>
      <c r="AH22" s="711"/>
      <c r="AI22" s="744"/>
      <c r="AJ22" s="744"/>
      <c r="AS22" s="89">
        <v>1</v>
      </c>
    </row>
    <row r="23" spans="6:45" x14ac:dyDescent="0.25">
      <c r="F23" s="459"/>
      <c r="H23" t="s">
        <v>234</v>
      </c>
      <c r="I23" s="147"/>
      <c r="J23" s="147" t="s">
        <v>275</v>
      </c>
      <c r="K23" s="12" t="s">
        <v>105</v>
      </c>
      <c r="L23" s="147">
        <v>1</v>
      </c>
      <c r="M23" s="1"/>
      <c r="O23" s="456" t="s">
        <v>171</v>
      </c>
      <c r="P23" s="89" t="str">
        <f>$C$11</f>
        <v>FUEL-DSL</v>
      </c>
      <c r="Q23" s="456" t="s">
        <v>96</v>
      </c>
      <c r="R23" s="453">
        <v>0.35599999999999998</v>
      </c>
      <c r="S23" s="89">
        <v>0.75</v>
      </c>
      <c r="T23" s="588">
        <f>(AK15/1000)/AS23</f>
        <v>1.0032150192554559E-2</v>
      </c>
      <c r="U23" s="585">
        <v>20</v>
      </c>
      <c r="V23" s="89">
        <v>0.33112799999999998</v>
      </c>
      <c r="W23" s="89">
        <v>13</v>
      </c>
      <c r="X23" s="89">
        <v>31.536000000000001</v>
      </c>
      <c r="Y23" s="89"/>
      <c r="Z23" s="89"/>
      <c r="AA23" s="454" t="str">
        <f t="shared" si="0"/>
        <v>AUTO-DSL-CAM4</v>
      </c>
      <c r="AB23" s="14" t="s">
        <v>204</v>
      </c>
      <c r="AC23" s="391">
        <v>211.14150479961498</v>
      </c>
      <c r="AD23" s="531"/>
      <c r="AE23" s="516"/>
      <c r="AF23" s="516"/>
      <c r="AG23" s="212"/>
      <c r="AH23" s="212"/>
      <c r="AI23" s="212"/>
      <c r="AJ23" s="212"/>
      <c r="AS23" s="89">
        <v>1</v>
      </c>
    </row>
    <row r="24" spans="6:45" x14ac:dyDescent="0.25">
      <c r="F24" s="459"/>
      <c r="G24" s="12" t="s">
        <v>273</v>
      </c>
      <c r="H24" s="12" t="s">
        <v>68</v>
      </c>
      <c r="I24" s="147"/>
      <c r="J24" s="147" t="s">
        <v>276</v>
      </c>
      <c r="K24" s="12" t="s">
        <v>106</v>
      </c>
      <c r="L24" s="147">
        <v>1</v>
      </c>
      <c r="M24" s="1"/>
      <c r="O24" s="529" t="s">
        <v>172</v>
      </c>
      <c r="P24" s="526" t="s">
        <v>104</v>
      </c>
      <c r="Q24" s="529" t="s">
        <v>97</v>
      </c>
      <c r="R24" s="527">
        <v>0.376</v>
      </c>
      <c r="S24" s="89">
        <v>0.75</v>
      </c>
      <c r="T24" s="590">
        <f>(AI16/1000)/AS24</f>
        <v>1.9445743599518565E-2</v>
      </c>
      <c r="U24" s="519">
        <v>21</v>
      </c>
      <c r="V24" s="89">
        <v>0.11707740000000001</v>
      </c>
      <c r="W24" s="519">
        <v>13</v>
      </c>
      <c r="X24" s="519">
        <v>31.536000000000001</v>
      </c>
      <c r="Y24" s="89"/>
      <c r="Z24" s="89"/>
      <c r="AA24" s="454" t="str">
        <f t="shared" si="0"/>
        <v>AUTO-GAS-CAM5</v>
      </c>
      <c r="AB24" s="14" t="s">
        <v>207</v>
      </c>
      <c r="AC24" s="391">
        <v>147.71041211964643</v>
      </c>
      <c r="AD24" s="531"/>
      <c r="AE24" s="588"/>
      <c r="AF24" s="588"/>
      <c r="AG24" s="536"/>
      <c r="AH24" s="537"/>
      <c r="AI24" s="209"/>
      <c r="AJ24" s="209"/>
      <c r="AS24" s="519">
        <v>1</v>
      </c>
    </row>
    <row r="25" spans="6:45" x14ac:dyDescent="0.25">
      <c r="F25" s="459"/>
      <c r="H25" t="s">
        <v>235</v>
      </c>
      <c r="I25" s="147"/>
      <c r="M25" s="1"/>
      <c r="O25" s="456" t="s">
        <v>173</v>
      </c>
      <c r="P25" s="2" t="s">
        <v>111</v>
      </c>
      <c r="Q25" s="456" t="s">
        <v>97</v>
      </c>
      <c r="R25" s="453">
        <v>0.35799999999999998</v>
      </c>
      <c r="S25" s="89">
        <v>0.75</v>
      </c>
      <c r="T25" s="588">
        <f>(AJ16/1000)/AS25</f>
        <v>4.1381229673754405E-2</v>
      </c>
      <c r="U25" s="585">
        <v>20</v>
      </c>
      <c r="V25" s="89">
        <v>0.33112799999999998</v>
      </c>
      <c r="W25" s="89">
        <v>13</v>
      </c>
      <c r="X25" s="89">
        <v>31.536000000000001</v>
      </c>
      <c r="Y25" s="89"/>
      <c r="Z25" s="89"/>
      <c r="AA25" s="454" t="str">
        <f t="shared" si="0"/>
        <v>AUTO-OIL-CAM5</v>
      </c>
      <c r="AB25" s="14" t="s">
        <v>207</v>
      </c>
      <c r="AC25" s="391">
        <v>217.43513320940539</v>
      </c>
      <c r="AD25" s="531"/>
      <c r="AE25" s="516"/>
      <c r="AF25" s="516"/>
      <c r="AG25" s="536"/>
      <c r="AH25" s="209"/>
      <c r="AI25" s="538"/>
      <c r="AJ25" s="209"/>
      <c r="AK25" s="391"/>
      <c r="AS25" s="89">
        <v>1</v>
      </c>
    </row>
    <row r="26" spans="6:45" x14ac:dyDescent="0.25">
      <c r="F26" s="459"/>
      <c r="G26" s="12" t="s">
        <v>274</v>
      </c>
      <c r="H26" s="12" t="s">
        <v>71</v>
      </c>
      <c r="I26" s="147"/>
      <c r="J26" s="1"/>
      <c r="K26" s="12"/>
      <c r="L26" s="1"/>
      <c r="M26" s="1"/>
      <c r="O26" s="456" t="s">
        <v>174</v>
      </c>
      <c r="P26" s="89" t="str">
        <f>$C$11</f>
        <v>FUEL-DSL</v>
      </c>
      <c r="Q26" s="456" t="s">
        <v>97</v>
      </c>
      <c r="R26" s="453">
        <v>0.35599999999999998</v>
      </c>
      <c r="S26" s="89">
        <v>0.75</v>
      </c>
      <c r="T26" s="588">
        <f>(AK16/1000)/AS26</f>
        <v>1.9556346726727035E-2</v>
      </c>
      <c r="U26" s="585">
        <v>20</v>
      </c>
      <c r="V26" s="89">
        <v>0.33112799999999998</v>
      </c>
      <c r="W26" s="89">
        <v>13</v>
      </c>
      <c r="X26" s="89">
        <v>31.536000000000001</v>
      </c>
      <c r="Y26" s="89"/>
      <c r="Z26" s="89"/>
      <c r="AA26" s="454" t="str">
        <f t="shared" si="0"/>
        <v>AUTO-DSL-CAM5</v>
      </c>
      <c r="AB26" s="14" t="s">
        <v>207</v>
      </c>
      <c r="AC26" s="391">
        <v>211.14150479961498</v>
      </c>
      <c r="AD26" s="531"/>
      <c r="AE26" s="516"/>
      <c r="AF26" s="516"/>
      <c r="AG26" s="536"/>
      <c r="AH26" s="538"/>
      <c r="AI26" s="209"/>
      <c r="AJ26" s="209"/>
      <c r="AS26" s="89">
        <v>1</v>
      </c>
    </row>
    <row r="27" spans="6:45" x14ac:dyDescent="0.25">
      <c r="F27" s="459"/>
      <c r="H27" t="s">
        <v>236</v>
      </c>
      <c r="I27" s="147"/>
      <c r="J27" s="1"/>
      <c r="K27" s="1"/>
      <c r="L27" s="1"/>
      <c r="M27" s="1"/>
      <c r="O27" s="529" t="s">
        <v>175</v>
      </c>
      <c r="P27" s="526" t="s">
        <v>105</v>
      </c>
      <c r="Q27" s="529" t="s">
        <v>98</v>
      </c>
      <c r="R27" s="527">
        <v>0.376</v>
      </c>
      <c r="S27" s="89">
        <v>0.75</v>
      </c>
      <c r="T27" s="590">
        <f>(AI17/1000)/AS27</f>
        <v>2.2835888766070747E-3</v>
      </c>
      <c r="U27" s="519">
        <v>21</v>
      </c>
      <c r="V27" s="89">
        <v>0.11707740000000001</v>
      </c>
      <c r="W27" s="519">
        <v>13</v>
      </c>
      <c r="X27" s="519">
        <v>31.536000000000001</v>
      </c>
      <c r="Y27" s="89"/>
      <c r="Z27" s="89"/>
      <c r="AA27" s="454" t="str">
        <f t="shared" si="0"/>
        <v>AUTO-GAS-CAM6</v>
      </c>
      <c r="AB27" s="14" t="s">
        <v>210</v>
      </c>
      <c r="AC27" s="391">
        <v>147.71041211964643</v>
      </c>
      <c r="AD27" s="531"/>
      <c r="AE27" s="516"/>
      <c r="AF27" s="516"/>
      <c r="AG27" s="536"/>
      <c r="AH27" s="209"/>
      <c r="AI27" s="209"/>
      <c r="AJ27" s="209"/>
      <c r="AS27" s="519">
        <v>1</v>
      </c>
    </row>
    <row r="28" spans="6:45" x14ac:dyDescent="0.25">
      <c r="F28" s="459"/>
      <c r="G28" s="12" t="s">
        <v>275</v>
      </c>
      <c r="H28" s="12" t="s">
        <v>74</v>
      </c>
      <c r="I28" s="147"/>
      <c r="J28" s="1"/>
      <c r="K28" s="1"/>
      <c r="L28" s="1"/>
      <c r="M28" s="1"/>
      <c r="O28" s="456" t="s">
        <v>176</v>
      </c>
      <c r="P28" s="2" t="s">
        <v>112</v>
      </c>
      <c r="Q28" s="456" t="s">
        <v>98</v>
      </c>
      <c r="R28" s="453">
        <v>0.35799999999999998</v>
      </c>
      <c r="S28" s="89">
        <v>0.75</v>
      </c>
      <c r="T28" s="588">
        <f>(AJ17/1000)/AS28</f>
        <v>1.9677300005487623E-2</v>
      </c>
      <c r="U28" s="585">
        <v>20</v>
      </c>
      <c r="V28" s="89">
        <v>0.33112799999999998</v>
      </c>
      <c r="W28" s="89">
        <v>13</v>
      </c>
      <c r="X28" s="89">
        <v>31.536000000000001</v>
      </c>
      <c r="Y28" s="89"/>
      <c r="Z28" s="89"/>
      <c r="AA28" s="454" t="str">
        <f t="shared" si="0"/>
        <v>AUTO-OIL-CAM6</v>
      </c>
      <c r="AB28" s="14" t="s">
        <v>210</v>
      </c>
      <c r="AC28" s="391">
        <v>217.43513320940539</v>
      </c>
      <c r="AD28" s="531"/>
      <c r="AE28" s="516"/>
      <c r="AF28" s="516"/>
      <c r="AG28" s="536"/>
      <c r="AH28" s="209"/>
      <c r="AI28" s="209"/>
      <c r="AJ28" s="209"/>
      <c r="AS28" s="89">
        <v>1</v>
      </c>
    </row>
    <row r="29" spans="6:45" x14ac:dyDescent="0.25">
      <c r="F29" s="459"/>
      <c r="H29" t="s">
        <v>237</v>
      </c>
      <c r="I29" s="147"/>
      <c r="J29" s="1"/>
      <c r="K29" s="1"/>
      <c r="L29" s="1"/>
      <c r="M29" s="1"/>
      <c r="O29" s="456" t="s">
        <v>177</v>
      </c>
      <c r="P29" s="89" t="str">
        <f>$C$11</f>
        <v>FUEL-DSL</v>
      </c>
      <c r="Q29" s="456" t="s">
        <v>98</v>
      </c>
      <c r="R29" s="453">
        <v>0.35599999999999998</v>
      </c>
      <c r="S29" s="89">
        <v>0.75</v>
      </c>
      <c r="T29" s="588">
        <f>(AK17/1000)/AS29</f>
        <v>9.2992911179053048E-3</v>
      </c>
      <c r="U29" s="585">
        <v>20</v>
      </c>
      <c r="V29" s="89">
        <v>0.33112799999999998</v>
      </c>
      <c r="W29" s="89">
        <v>13</v>
      </c>
      <c r="X29" s="89">
        <v>31.536000000000001</v>
      </c>
      <c r="Y29" s="89"/>
      <c r="Z29" s="89"/>
      <c r="AA29" s="454" t="str">
        <f t="shared" si="0"/>
        <v>AUTO-DSL-CAM6</v>
      </c>
      <c r="AB29" s="14" t="s">
        <v>210</v>
      </c>
      <c r="AC29" s="391">
        <v>211.14150479961498</v>
      </c>
      <c r="AD29" s="531"/>
      <c r="AE29" s="516"/>
      <c r="AF29" s="516"/>
      <c r="AG29" s="536"/>
      <c r="AH29" s="209"/>
      <c r="AI29" s="209"/>
      <c r="AJ29" s="209"/>
      <c r="AS29" s="89">
        <v>1</v>
      </c>
    </row>
    <row r="30" spans="6:45" x14ac:dyDescent="0.25">
      <c r="F30" s="459"/>
      <c r="G30" s="12" t="s">
        <v>276</v>
      </c>
      <c r="H30" s="12" t="s">
        <v>76</v>
      </c>
      <c r="I30" s="147"/>
      <c r="J30" s="1"/>
      <c r="K30" s="1"/>
      <c r="L30" s="1"/>
      <c r="M30" s="1"/>
      <c r="O30" s="529" t="s">
        <v>178</v>
      </c>
      <c r="P30" s="526" t="s">
        <v>106</v>
      </c>
      <c r="Q30" s="529" t="s">
        <v>99</v>
      </c>
      <c r="R30" s="527">
        <v>0.376</v>
      </c>
      <c r="S30" s="89">
        <v>0.75</v>
      </c>
      <c r="T30" s="590">
        <f>(AI18/1000)/AS30</f>
        <v>2.5423007512003599E-4</v>
      </c>
      <c r="U30" s="519">
        <v>21</v>
      </c>
      <c r="V30" s="89">
        <v>0.11707740000000001</v>
      </c>
      <c r="W30" s="519">
        <v>13</v>
      </c>
      <c r="X30" s="519">
        <v>31.536000000000001</v>
      </c>
      <c r="Y30" s="89"/>
      <c r="Z30" s="89"/>
      <c r="AA30" s="454" t="str">
        <f t="shared" si="0"/>
        <v>AUTO-GAS-CAM7</v>
      </c>
      <c r="AB30" s="14" t="s">
        <v>213</v>
      </c>
      <c r="AC30" s="391">
        <v>147.71041211964643</v>
      </c>
      <c r="AD30" s="531"/>
      <c r="AE30" s="516"/>
      <c r="AF30" s="516"/>
      <c r="AG30" s="536"/>
      <c r="AH30" s="209"/>
      <c r="AI30" s="209"/>
      <c r="AJ30" s="209"/>
      <c r="AS30" s="519">
        <v>1</v>
      </c>
    </row>
    <row r="31" spans="6:45" x14ac:dyDescent="0.25">
      <c r="F31" s="459"/>
      <c r="G31" s="1"/>
      <c r="H31" s="1" t="s">
        <v>238</v>
      </c>
      <c r="I31" s="147"/>
      <c r="J31" s="1"/>
      <c r="K31" s="1"/>
      <c r="L31" s="1"/>
      <c r="M31" s="1"/>
      <c r="O31" s="456" t="s">
        <v>179</v>
      </c>
      <c r="P31" s="2" t="s">
        <v>113</v>
      </c>
      <c r="Q31" s="456" t="s">
        <v>99</v>
      </c>
      <c r="R31" s="453">
        <v>0.35799999999999998</v>
      </c>
      <c r="S31" s="89">
        <v>0.75</v>
      </c>
      <c r="T31" s="588">
        <f>(AJ18/1000)/AS31</f>
        <v>0</v>
      </c>
      <c r="U31" s="585">
        <v>20</v>
      </c>
      <c r="V31" s="89">
        <v>0.33112799999999998</v>
      </c>
      <c r="W31" s="89">
        <v>13</v>
      </c>
      <c r="X31" s="89">
        <v>31.536000000000001</v>
      </c>
      <c r="Y31" s="89"/>
      <c r="Z31" s="89"/>
      <c r="AA31" s="454" t="str">
        <f t="shared" si="0"/>
        <v>AUTO-OIL-CAM7</v>
      </c>
      <c r="AB31" s="14" t="s">
        <v>213</v>
      </c>
      <c r="AC31" s="391">
        <v>217.43513320940539</v>
      </c>
      <c r="AD31" s="531"/>
      <c r="AE31" s="516"/>
      <c r="AF31" s="516"/>
      <c r="AS31" s="89">
        <v>1</v>
      </c>
    </row>
    <row r="32" spans="6:45" x14ac:dyDescent="0.25">
      <c r="F32" s="459"/>
      <c r="I32" s="452"/>
      <c r="J32" s="1"/>
      <c r="K32" s="1"/>
      <c r="L32" s="1"/>
      <c r="M32" s="1"/>
      <c r="O32" s="456" t="s">
        <v>180</v>
      </c>
      <c r="P32" s="89" t="str">
        <f>$C$11</f>
        <v>FUEL-DSL</v>
      </c>
      <c r="Q32" s="456" t="s">
        <v>99</v>
      </c>
      <c r="R32" s="453">
        <v>0.35599999999999998</v>
      </c>
      <c r="S32" s="89">
        <v>0.75</v>
      </c>
      <c r="T32" s="588">
        <f>(AK18/1000)/AS32</f>
        <v>8.8787417554540837E-3</v>
      </c>
      <c r="U32" s="585">
        <v>20</v>
      </c>
      <c r="V32" s="89">
        <v>0.33112799999999998</v>
      </c>
      <c r="W32" s="89">
        <v>13</v>
      </c>
      <c r="X32" s="89">
        <v>31.536000000000001</v>
      </c>
      <c r="Y32" s="89"/>
      <c r="Z32" s="89"/>
      <c r="AA32" s="454" t="str">
        <f t="shared" si="0"/>
        <v>AUTO-DSL-CAM7</v>
      </c>
      <c r="AB32" s="14" t="s">
        <v>213</v>
      </c>
      <c r="AC32" s="391">
        <v>211.14150479961498</v>
      </c>
      <c r="AD32" s="531"/>
      <c r="AE32" s="516"/>
      <c r="AF32" s="516"/>
      <c r="AS32" s="89">
        <v>1</v>
      </c>
    </row>
    <row r="33" spans="5:28" x14ac:dyDescent="0.25">
      <c r="F33" s="459"/>
      <c r="I33" s="1"/>
      <c r="M33" s="1"/>
      <c r="T33" s="89"/>
      <c r="AA33" s="454"/>
    </row>
    <row r="34" spans="5:28" x14ac:dyDescent="0.25">
      <c r="F34" s="459"/>
      <c r="I34" s="1"/>
      <c r="M34" s="1"/>
    </row>
    <row r="35" spans="5:28" x14ac:dyDescent="0.25">
      <c r="F35" s="459"/>
      <c r="G35" s="202"/>
      <c r="H35" s="89"/>
      <c r="I35" s="2"/>
      <c r="M35" s="1"/>
      <c r="O35" s="108"/>
      <c r="P35" s="108"/>
      <c r="Q35" s="108"/>
      <c r="R35" s="108"/>
    </row>
    <row r="36" spans="5:28" x14ac:dyDescent="0.25">
      <c r="F36" s="459"/>
      <c r="G36" s="198" t="s">
        <v>138</v>
      </c>
      <c r="H36" s="198" t="s">
        <v>539</v>
      </c>
      <c r="I36" s="198" t="s">
        <v>43</v>
      </c>
      <c r="J36" s="582" t="s">
        <v>538</v>
      </c>
      <c r="M36" s="1"/>
      <c r="O36" s="443"/>
      <c r="P36" s="108"/>
      <c r="Q36" s="108"/>
      <c r="R36" s="108"/>
    </row>
    <row r="37" spans="5:28" x14ac:dyDescent="0.25">
      <c r="F37" s="459"/>
      <c r="G37" s="89" t="str">
        <f>G17</f>
        <v>FTE-FUEL-LPG-CAM2</v>
      </c>
      <c r="H37" s="89">
        <v>1.85</v>
      </c>
      <c r="I37" s="2" t="s">
        <v>938</v>
      </c>
      <c r="J37" s="89">
        <v>2019</v>
      </c>
      <c r="M37" s="1"/>
      <c r="O37" s="561"/>
      <c r="P37" s="518"/>
      <c r="Q37" s="108"/>
      <c r="R37" s="108"/>
      <c r="AA37" s="534" t="s">
        <v>827</v>
      </c>
      <c r="AB37" s="457">
        <v>75.166375708662926</v>
      </c>
    </row>
    <row r="38" spans="5:28" x14ac:dyDescent="0.25">
      <c r="F38" s="459"/>
      <c r="G38" s="89" t="str">
        <f>G37</f>
        <v>FTE-FUEL-LPG-CAM2</v>
      </c>
      <c r="H38" s="89">
        <v>5</v>
      </c>
      <c r="I38" s="2" t="s">
        <v>938</v>
      </c>
      <c r="J38" s="89">
        <v>0</v>
      </c>
      <c r="M38" s="1"/>
      <c r="O38" s="456"/>
      <c r="P38" s="562"/>
      <c r="Q38" s="108"/>
      <c r="R38" s="108"/>
      <c r="AA38" s="534" t="s">
        <v>828</v>
      </c>
      <c r="AB38" s="458">
        <v>77.841777688967127</v>
      </c>
    </row>
    <row r="39" spans="5:28" x14ac:dyDescent="0.25">
      <c r="F39" s="459"/>
      <c r="I39" s="1"/>
      <c r="M39" s="1"/>
      <c r="O39" s="108"/>
      <c r="P39" s="108"/>
      <c r="Q39" s="108"/>
      <c r="R39" s="108"/>
      <c r="AA39" s="534" t="s">
        <v>751</v>
      </c>
      <c r="AB39" s="457">
        <v>55.539114956987063</v>
      </c>
    </row>
    <row r="40" spans="5:28" x14ac:dyDescent="0.25">
      <c r="E40" s="108"/>
      <c r="F40" s="108"/>
      <c r="G40" s="108"/>
      <c r="H40" s="108"/>
      <c r="I40" s="108"/>
      <c r="J40" s="108"/>
      <c r="K40" s="108"/>
      <c r="L40" s="108"/>
      <c r="O40" s="108"/>
      <c r="P40" s="108"/>
      <c r="Q40" s="108"/>
      <c r="R40" s="108"/>
      <c r="AA40" s="534" t="s">
        <v>829</v>
      </c>
      <c r="AB40">
        <v>47.29</v>
      </c>
    </row>
    <row r="41" spans="5:28" x14ac:dyDescent="0.25">
      <c r="E41" s="108"/>
      <c r="F41" s="108"/>
      <c r="G41" s="563"/>
      <c r="H41" s="563"/>
      <c r="I41" s="108"/>
      <c r="J41" s="563"/>
      <c r="K41" s="108"/>
      <c r="L41" s="108"/>
    </row>
    <row r="42" spans="5:28" x14ac:dyDescent="0.25">
      <c r="E42" s="108"/>
      <c r="F42" s="108"/>
      <c r="G42" s="564"/>
      <c r="H42" s="564"/>
      <c r="I42" s="108"/>
      <c r="J42" s="564"/>
      <c r="K42" s="108"/>
      <c r="L42" s="108"/>
    </row>
    <row r="43" spans="5:28" x14ac:dyDescent="0.25">
      <c r="E43" s="108"/>
      <c r="F43" s="108"/>
      <c r="G43" s="108"/>
      <c r="H43" s="108"/>
      <c r="I43" s="108"/>
      <c r="J43" s="108"/>
      <c r="K43" s="108"/>
      <c r="L43" s="108"/>
    </row>
    <row r="44" spans="5:28" x14ac:dyDescent="0.25">
      <c r="E44" s="108"/>
      <c r="F44" s="108"/>
      <c r="G44" s="567" t="s">
        <v>37</v>
      </c>
      <c r="H44" s="567"/>
      <c r="I44" s="568"/>
      <c r="J44" s="568"/>
      <c r="K44" s="440"/>
      <c r="L44" s="108"/>
    </row>
    <row r="45" spans="5:28" x14ac:dyDescent="0.25">
      <c r="E45" s="108"/>
      <c r="F45" s="108"/>
      <c r="G45" s="569" t="s">
        <v>38</v>
      </c>
      <c r="H45" s="569" t="s">
        <v>40</v>
      </c>
      <c r="I45" s="569" t="s">
        <v>41</v>
      </c>
      <c r="J45" s="569" t="s">
        <v>42</v>
      </c>
      <c r="K45" s="565"/>
      <c r="L45" s="108"/>
    </row>
    <row r="46" spans="5:28" x14ac:dyDescent="0.25">
      <c r="E46" s="108"/>
      <c r="F46" s="108"/>
      <c r="G46" s="89" t="s">
        <v>55</v>
      </c>
      <c r="H46" s="570" t="s">
        <v>917</v>
      </c>
      <c r="I46" t="s">
        <v>915</v>
      </c>
      <c r="J46" s="89" t="s">
        <v>56</v>
      </c>
      <c r="K46" s="108"/>
      <c r="L46" s="108"/>
    </row>
    <row r="47" spans="5:28" x14ac:dyDescent="0.25">
      <c r="E47" s="108"/>
      <c r="F47" s="108"/>
      <c r="G47" s="89"/>
      <c r="H47" s="570" t="s">
        <v>918</v>
      </c>
      <c r="I47" t="s">
        <v>916</v>
      </c>
      <c r="J47" s="89" t="s">
        <v>56</v>
      </c>
      <c r="K47" s="108"/>
      <c r="L47" s="108"/>
    </row>
    <row r="48" spans="5:28" x14ac:dyDescent="0.25">
      <c r="E48" s="108"/>
      <c r="F48" s="563"/>
      <c r="G48" s="108"/>
      <c r="H48" s="108"/>
      <c r="I48" s="563"/>
      <c r="J48" s="108"/>
      <c r="K48" s="108"/>
      <c r="L48" s="108"/>
    </row>
    <row r="49" spans="5:24" x14ac:dyDescent="0.25">
      <c r="E49" s="108"/>
      <c r="F49" s="564"/>
      <c r="G49" s="108"/>
      <c r="H49" s="108"/>
      <c r="I49" s="564"/>
      <c r="J49" s="108"/>
      <c r="K49" s="108"/>
      <c r="L49" s="108"/>
    </row>
    <row r="50" spans="5:24" x14ac:dyDescent="0.25">
      <c r="E50" s="108"/>
      <c r="F50" s="108"/>
      <c r="G50" s="108"/>
      <c r="H50" s="108"/>
      <c r="I50" s="108"/>
      <c r="J50" s="108"/>
      <c r="K50" s="108"/>
      <c r="L50" s="108"/>
    </row>
    <row r="51" spans="5:24" x14ac:dyDescent="0.25">
      <c r="E51" s="108"/>
      <c r="F51" s="440"/>
      <c r="G51" s="428"/>
      <c r="H51" s="571" t="s">
        <v>136</v>
      </c>
      <c r="I51" s="428"/>
      <c r="J51" s="428"/>
      <c r="K51" s="428"/>
      <c r="L51" s="108"/>
    </row>
    <row r="52" spans="5:24" x14ac:dyDescent="0.25">
      <c r="E52" s="108"/>
      <c r="F52" s="566"/>
      <c r="G52" s="572" t="s">
        <v>137</v>
      </c>
      <c r="H52" s="572" t="s">
        <v>138</v>
      </c>
      <c r="I52" s="572" t="s">
        <v>139</v>
      </c>
      <c r="J52" s="572" t="s">
        <v>140</v>
      </c>
      <c r="K52" s="572" t="s">
        <v>141</v>
      </c>
      <c r="L52" s="108"/>
      <c r="U52" s="727" t="s">
        <v>733</v>
      </c>
      <c r="V52" s="714"/>
      <c r="W52" s="714"/>
      <c r="X52" s="714"/>
    </row>
    <row r="53" spans="5:24" x14ac:dyDescent="0.25">
      <c r="E53" s="108"/>
      <c r="F53" s="108"/>
      <c r="G53" s="428" t="s">
        <v>155</v>
      </c>
      <c r="H53" s="428" t="s">
        <v>921</v>
      </c>
      <c r="I53" s="428" t="s">
        <v>919</v>
      </c>
      <c r="J53" s="428" t="s">
        <v>56</v>
      </c>
      <c r="K53" s="428" t="s">
        <v>154</v>
      </c>
      <c r="L53" s="108"/>
      <c r="T53" s="517" t="s">
        <v>670</v>
      </c>
      <c r="U53" s="320" t="s">
        <v>923</v>
      </c>
      <c r="V53" s="320"/>
      <c r="W53" s="320"/>
      <c r="X53" s="320"/>
    </row>
    <row r="54" spans="5:24" x14ac:dyDescent="0.25">
      <c r="E54" s="108"/>
      <c r="F54" s="108"/>
      <c r="G54" s="428"/>
      <c r="H54" s="428" t="s">
        <v>922</v>
      </c>
      <c r="I54" s="428" t="s">
        <v>920</v>
      </c>
      <c r="J54" s="428" t="s">
        <v>56</v>
      </c>
      <c r="K54" s="428" t="s">
        <v>154</v>
      </c>
      <c r="L54" s="108"/>
      <c r="T54" s="328" t="s">
        <v>16</v>
      </c>
      <c r="U54" s="160">
        <v>21</v>
      </c>
      <c r="V54" s="381">
        <f>61+U54</f>
        <v>82</v>
      </c>
      <c r="W54" s="160"/>
      <c r="X54" s="160"/>
    </row>
    <row r="55" spans="5:24" x14ac:dyDescent="0.25">
      <c r="E55" s="108"/>
      <c r="F55" s="108"/>
      <c r="G55" s="89" t="s">
        <v>893</v>
      </c>
      <c r="H55" s="428" t="s">
        <v>924</v>
      </c>
      <c r="I55" s="428" t="s">
        <v>925</v>
      </c>
      <c r="J55" s="428" t="s">
        <v>56</v>
      </c>
      <c r="K55" s="428" t="s">
        <v>156</v>
      </c>
      <c r="L55" s="108"/>
    </row>
    <row r="56" spans="5:24" x14ac:dyDescent="0.25">
      <c r="E56" s="108"/>
      <c r="F56" s="108"/>
      <c r="G56" s="108"/>
      <c r="H56" s="108"/>
      <c r="I56" s="108"/>
      <c r="J56" s="108"/>
      <c r="K56" s="108"/>
      <c r="L56" s="108"/>
    </row>
    <row r="57" spans="5:24" x14ac:dyDescent="0.25">
      <c r="E57" s="108"/>
      <c r="F57" s="108"/>
      <c r="G57" s="108"/>
      <c r="H57" s="108"/>
      <c r="I57" s="108"/>
      <c r="J57" s="108"/>
      <c r="K57" s="108"/>
      <c r="L57" s="108"/>
    </row>
    <row r="58" spans="5:24" x14ac:dyDescent="0.25">
      <c r="E58" s="108"/>
      <c r="F58" s="108"/>
      <c r="G58" s="108"/>
      <c r="H58" s="108"/>
      <c r="I58" s="108"/>
      <c r="J58" s="108"/>
      <c r="K58" s="108"/>
      <c r="L58" s="108"/>
    </row>
    <row r="59" spans="5:24" x14ac:dyDescent="0.25">
      <c r="E59" s="108"/>
      <c r="F59" s="108"/>
      <c r="G59" s="573" t="s">
        <v>416</v>
      </c>
      <c r="H59" s="89"/>
      <c r="I59" s="89"/>
      <c r="J59" s="89"/>
      <c r="K59" s="108"/>
      <c r="L59" s="108"/>
    </row>
    <row r="60" spans="5:24" x14ac:dyDescent="0.25">
      <c r="E60" s="108"/>
      <c r="F60" s="108"/>
      <c r="G60" s="533" t="s">
        <v>138</v>
      </c>
      <c r="H60" s="533" t="s">
        <v>417</v>
      </c>
      <c r="I60" s="533" t="s">
        <v>418</v>
      </c>
      <c r="J60" s="515" t="s">
        <v>744</v>
      </c>
      <c r="K60" s="108"/>
      <c r="L60" s="108"/>
    </row>
    <row r="61" spans="5:24" x14ac:dyDescent="0.25">
      <c r="E61" s="108"/>
      <c r="F61" s="108"/>
      <c r="G61" s="574" t="s">
        <v>921</v>
      </c>
      <c r="H61" s="574"/>
      <c r="I61" s="574" t="s">
        <v>917</v>
      </c>
      <c r="J61" s="575"/>
      <c r="K61" s="108"/>
      <c r="L61" s="108"/>
    </row>
    <row r="62" spans="5:24" x14ac:dyDescent="0.25">
      <c r="E62" s="108"/>
      <c r="F62" s="108"/>
      <c r="G62" s="89" t="s">
        <v>922</v>
      </c>
      <c r="I62" s="89" t="s">
        <v>918</v>
      </c>
      <c r="J62" s="89"/>
      <c r="K62" s="108"/>
      <c r="L62" s="108"/>
    </row>
    <row r="66" spans="7:20" x14ac:dyDescent="0.25">
      <c r="G66" s="202" t="s">
        <v>416</v>
      </c>
      <c r="H66" s="1"/>
      <c r="I66" s="1"/>
    </row>
    <row r="67" spans="7:20" x14ac:dyDescent="0.25">
      <c r="G67" s="198" t="s">
        <v>138</v>
      </c>
      <c r="H67" s="198" t="s">
        <v>417</v>
      </c>
      <c r="I67" s="448" t="s">
        <v>418</v>
      </c>
      <c r="J67" s="515" t="s">
        <v>447</v>
      </c>
      <c r="K67" s="515" t="s">
        <v>814</v>
      </c>
      <c r="L67" s="515" t="s">
        <v>972</v>
      </c>
      <c r="M67" s="515" t="s">
        <v>974</v>
      </c>
      <c r="N67" s="515" t="s">
        <v>973</v>
      </c>
      <c r="O67" s="515" t="s">
        <v>975</v>
      </c>
      <c r="P67" s="515" t="s">
        <v>815</v>
      </c>
      <c r="Q67" s="515" t="s">
        <v>816</v>
      </c>
      <c r="R67" s="515" t="s">
        <v>817</v>
      </c>
      <c r="S67" s="515" t="s">
        <v>818</v>
      </c>
      <c r="T67" s="515" t="s">
        <v>825</v>
      </c>
    </row>
    <row r="68" spans="7:20" x14ac:dyDescent="0.25">
      <c r="G68" s="89" t="str">
        <f>H55</f>
        <v>AUTO-SOLPV-CAM3</v>
      </c>
      <c r="H68" s="89" t="s">
        <v>917</v>
      </c>
      <c r="I68" s="89" t="s">
        <v>95</v>
      </c>
      <c r="J68" s="528">
        <v>1</v>
      </c>
      <c r="K68" s="576">
        <v>0.153</v>
      </c>
      <c r="L68" s="577">
        <f>U54/1000</f>
        <v>2.1000000000000001E-2</v>
      </c>
      <c r="M68">
        <f>L68</f>
        <v>2.1000000000000001E-2</v>
      </c>
      <c r="N68">
        <f>M68</f>
        <v>2.1000000000000001E-2</v>
      </c>
      <c r="O68" s="577">
        <f>V54/1000</f>
        <v>8.2000000000000003E-2</v>
      </c>
      <c r="P68" s="577">
        <v>23</v>
      </c>
      <c r="Q68" s="577">
        <v>0</v>
      </c>
      <c r="R68" s="577">
        <v>30</v>
      </c>
      <c r="S68" s="578">
        <v>31.536000000000001</v>
      </c>
    </row>
  </sheetData>
  <mergeCells count="6">
    <mergeCell ref="U52:X52"/>
    <mergeCell ref="G3:AJ3"/>
    <mergeCell ref="G7:I7"/>
    <mergeCell ref="O5:V5"/>
    <mergeCell ref="AH10:AK10"/>
    <mergeCell ref="AH22:AJ22"/>
  </mergeCells>
  <phoneticPr fontId="49" type="noConversion"/>
  <conditionalFormatting sqref="G20 G11:G18 G22 G24 G26 G28 G30">
    <cfRule type="duplicateValues" dxfId="0" priority="1"/>
  </conditionalFormatting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4274-4586-494B-8747-E4227C3EE137}">
  <dimension ref="C3:AG57"/>
  <sheetViews>
    <sheetView showGridLines="0" topLeftCell="L7" zoomScale="115" zoomScaleNormal="115" workbookViewId="0">
      <selection activeCell="S11" sqref="S11"/>
    </sheetView>
  </sheetViews>
  <sheetFormatPr baseColWidth="10" defaultRowHeight="15" x14ac:dyDescent="0.25"/>
  <cols>
    <col min="5" max="5" width="24.7109375" customWidth="1"/>
    <col min="6" max="6" width="22" customWidth="1"/>
    <col min="7" max="7" width="19.85546875" customWidth="1"/>
    <col min="8" max="8" width="20.85546875" customWidth="1"/>
    <col min="10" max="10" width="15" customWidth="1"/>
    <col min="17" max="17" width="30.5703125" customWidth="1"/>
    <col min="18" max="18" width="22.28515625" customWidth="1"/>
    <col min="20" max="20" width="11.5703125" customWidth="1"/>
    <col min="21" max="21" width="11.5703125" style="108"/>
    <col min="30" max="30" width="14.7109375" customWidth="1"/>
    <col min="31" max="31" width="22.7109375" customWidth="1"/>
  </cols>
  <sheetData>
    <row r="3" spans="3:26" x14ac:dyDescent="0.25">
      <c r="D3" s="712"/>
      <c r="E3" s="712"/>
      <c r="F3" s="712"/>
      <c r="G3" s="712"/>
      <c r="H3" s="712"/>
      <c r="I3" s="712"/>
      <c r="J3" s="712"/>
      <c r="K3" s="712"/>
      <c r="L3" s="712"/>
      <c r="M3" s="712"/>
      <c r="N3" s="712"/>
      <c r="O3" s="712"/>
      <c r="P3" s="712"/>
      <c r="Q3" s="712"/>
      <c r="R3" s="712"/>
      <c r="S3" s="712"/>
      <c r="T3" s="712"/>
      <c r="U3" s="712"/>
      <c r="V3" s="712"/>
      <c r="W3" s="712"/>
      <c r="X3" s="712"/>
      <c r="Y3" s="712"/>
      <c r="Z3" s="712"/>
    </row>
    <row r="5" spans="3:26" ht="15.75" x14ac:dyDescent="0.25">
      <c r="F5" s="741" t="s">
        <v>773</v>
      </c>
      <c r="G5" s="712"/>
      <c r="H5" s="712"/>
      <c r="I5" s="712"/>
      <c r="J5" s="712"/>
      <c r="K5" s="712"/>
      <c r="L5" s="712"/>
      <c r="M5" s="712"/>
    </row>
    <row r="7" spans="3:26" ht="16.5" thickBot="1" x14ac:dyDescent="0.3">
      <c r="C7" s="460"/>
      <c r="D7" s="446"/>
      <c r="K7" s="513" t="s">
        <v>820</v>
      </c>
      <c r="L7" s="513" t="s">
        <v>805</v>
      </c>
      <c r="M7" s="513" t="s">
        <v>806</v>
      </c>
      <c r="N7" s="513" t="s">
        <v>807</v>
      </c>
      <c r="O7" s="513" t="s">
        <v>808</v>
      </c>
    </row>
    <row r="8" spans="3:26" ht="34.5" x14ac:dyDescent="0.25">
      <c r="C8" s="459"/>
      <c r="D8" s="1"/>
      <c r="I8" t="s">
        <v>734</v>
      </c>
      <c r="J8" t="s">
        <v>809</v>
      </c>
      <c r="K8" s="514" t="s">
        <v>819</v>
      </c>
      <c r="L8" s="514" t="s">
        <v>810</v>
      </c>
      <c r="M8" s="514" t="s">
        <v>811</v>
      </c>
      <c r="N8" s="514" t="s">
        <v>812</v>
      </c>
      <c r="O8" s="514" t="s">
        <v>813</v>
      </c>
    </row>
    <row r="9" spans="3:26" x14ac:dyDescent="0.25">
      <c r="C9" s="459"/>
      <c r="D9" s="1"/>
      <c r="F9" s="202" t="s">
        <v>416</v>
      </c>
      <c r="G9" s="1"/>
      <c r="H9" s="1"/>
      <c r="R9" s="532" t="s">
        <v>416</v>
      </c>
    </row>
    <row r="10" spans="3:26" x14ac:dyDescent="0.25">
      <c r="C10" s="461"/>
      <c r="D10" s="412"/>
      <c r="E10" s="198" t="s">
        <v>138</v>
      </c>
      <c r="F10" s="198" t="s">
        <v>417</v>
      </c>
      <c r="G10" s="448" t="s">
        <v>418</v>
      </c>
      <c r="H10" s="515" t="s">
        <v>447</v>
      </c>
      <c r="I10" s="515" t="s">
        <v>814</v>
      </c>
      <c r="J10" s="515" t="s">
        <v>826</v>
      </c>
      <c r="K10" s="515" t="s">
        <v>815</v>
      </c>
      <c r="L10" s="515" t="s">
        <v>816</v>
      </c>
      <c r="M10" s="515" t="s">
        <v>817</v>
      </c>
      <c r="N10" s="515" t="s">
        <v>818</v>
      </c>
      <c r="O10" s="515" t="s">
        <v>825</v>
      </c>
      <c r="Q10" s="533" t="s">
        <v>138</v>
      </c>
      <c r="R10" s="533" t="s">
        <v>418</v>
      </c>
      <c r="S10" s="411" t="s">
        <v>752</v>
      </c>
      <c r="T10" s="518"/>
      <c r="U10"/>
    </row>
    <row r="11" spans="3:26" x14ac:dyDescent="0.25">
      <c r="C11" s="674">
        <f>J11*1000</f>
        <v>14.769716443993461</v>
      </c>
      <c r="D11" s="18"/>
      <c r="E11" s="456" t="str">
        <f>PROCESS!D86</f>
        <v>AUTOCOL-GAS-CAM1</v>
      </c>
      <c r="F11" s="455" t="s">
        <v>100</v>
      </c>
      <c r="G11" s="456" t="s">
        <v>116</v>
      </c>
      <c r="H11" s="672">
        <v>0.376</v>
      </c>
      <c r="I11" s="89">
        <f>75%</f>
        <v>0.75</v>
      </c>
      <c r="J11" s="525">
        <f>AG36/I11</f>
        <v>1.4769716443993462E-2</v>
      </c>
      <c r="K11" s="89">
        <v>21</v>
      </c>
      <c r="L11" s="89">
        <v>0.11707740000000001</v>
      </c>
      <c r="M11" s="89">
        <v>13</v>
      </c>
      <c r="N11" s="89">
        <v>31.536000000000001</v>
      </c>
      <c r="O11" s="89"/>
      <c r="Q11" s="454" t="str">
        <f t="shared" ref="Q11:Q31" si="0">E11</f>
        <v>AUTOCOL-GAS-CAM1</v>
      </c>
      <c r="R11" s="14" t="s">
        <v>195</v>
      </c>
      <c r="S11" s="391">
        <f>S38/H11</f>
        <v>147.71041211964643</v>
      </c>
      <c r="T11" s="531"/>
      <c r="U11"/>
    </row>
    <row r="12" spans="3:26" x14ac:dyDescent="0.25">
      <c r="C12" s="674">
        <f t="shared" ref="C12:C31" si="1">J12*1000</f>
        <v>0</v>
      </c>
      <c r="D12" s="18"/>
      <c r="E12" s="456" t="str">
        <f>PROCESS!D87</f>
        <v>AUTOCOL-OIL-CAM1</v>
      </c>
      <c r="F12" s="89" t="s">
        <v>107</v>
      </c>
      <c r="G12" s="456" t="s">
        <v>116</v>
      </c>
      <c r="H12" s="672">
        <v>0.35799999999999998</v>
      </c>
      <c r="I12" s="89">
        <f>75%</f>
        <v>0.75</v>
      </c>
      <c r="J12" s="89">
        <f>(AA37/1000)/I12</f>
        <v>0</v>
      </c>
      <c r="K12" s="585">
        <v>20</v>
      </c>
      <c r="L12" s="89">
        <v>0.33112799999999998</v>
      </c>
      <c r="M12" s="89">
        <v>13</v>
      </c>
      <c r="N12" s="89">
        <v>31.536000000000001</v>
      </c>
      <c r="O12" s="89"/>
      <c r="Q12" s="454" t="str">
        <f t="shared" si="0"/>
        <v>AUTOCOL-OIL-CAM1</v>
      </c>
      <c r="R12" s="14" t="s">
        <v>195</v>
      </c>
      <c r="S12" s="391">
        <f>S37/H12</f>
        <v>217.43513320940539</v>
      </c>
      <c r="T12" s="531"/>
      <c r="U12"/>
    </row>
    <row r="13" spans="3:26" x14ac:dyDescent="0.25">
      <c r="C13" s="674">
        <f t="shared" si="1"/>
        <v>0</v>
      </c>
      <c r="D13" s="18"/>
      <c r="E13" s="456" t="str">
        <f>PROCESS!D88</f>
        <v>AUTOCOL-DSL-CAM1</v>
      </c>
      <c r="F13" s="89" t="str">
        <f>GenerationUP!$C$11</f>
        <v>FUEL-DSL</v>
      </c>
      <c r="G13" s="456" t="s">
        <v>116</v>
      </c>
      <c r="H13" s="672">
        <v>0.35599999999999998</v>
      </c>
      <c r="I13" s="89">
        <f>75%</f>
        <v>0.75</v>
      </c>
      <c r="J13" s="89">
        <f>(AB37/1000)/I13</f>
        <v>0</v>
      </c>
      <c r="K13" s="585">
        <v>20</v>
      </c>
      <c r="L13" s="89">
        <v>0.33112799999999998</v>
      </c>
      <c r="M13" s="89">
        <v>13</v>
      </c>
      <c r="N13" s="89">
        <v>31.536000000000001</v>
      </c>
      <c r="O13" s="89"/>
      <c r="Q13" s="454" t="str">
        <f t="shared" si="0"/>
        <v>AUTOCOL-DSL-CAM1</v>
      </c>
      <c r="R13" s="14" t="s">
        <v>195</v>
      </c>
      <c r="S13" s="391">
        <f>S36/H13</f>
        <v>211.14150479961498</v>
      </c>
      <c r="T13" s="531"/>
      <c r="U13"/>
    </row>
    <row r="14" spans="3:26" x14ac:dyDescent="0.25">
      <c r="C14" s="674">
        <f t="shared" si="1"/>
        <v>3.6187776</v>
      </c>
      <c r="D14" s="407"/>
      <c r="E14" s="519" t="str">
        <f>PROCESS!D89</f>
        <v>AUTOCOL-GAS-CAM2</v>
      </c>
      <c r="F14" s="526" t="s">
        <v>101</v>
      </c>
      <c r="G14" s="519" t="s">
        <v>117</v>
      </c>
      <c r="H14" s="673">
        <v>0.376</v>
      </c>
      <c r="I14" s="519">
        <f>75%</f>
        <v>0.75</v>
      </c>
      <c r="J14" s="530">
        <f>(Z38/1000)/I14</f>
        <v>3.6187775999999999E-3</v>
      </c>
      <c r="K14" s="519">
        <v>21</v>
      </c>
      <c r="L14" s="89">
        <v>0.11707740000000001</v>
      </c>
      <c r="M14" s="519">
        <v>13</v>
      </c>
      <c r="N14" s="519">
        <v>31.536000000000001</v>
      </c>
      <c r="O14" s="89"/>
      <c r="Q14" s="454" t="str">
        <f t="shared" si="0"/>
        <v>AUTOCOL-GAS-CAM2</v>
      </c>
      <c r="R14" s="14" t="s">
        <v>198</v>
      </c>
      <c r="S14" s="391">
        <v>147.71041211964643</v>
      </c>
      <c r="T14" s="531"/>
      <c r="U14"/>
    </row>
    <row r="15" spans="3:26" x14ac:dyDescent="0.25">
      <c r="C15" s="674">
        <f t="shared" si="1"/>
        <v>0</v>
      </c>
      <c r="D15" s="18"/>
      <c r="E15" s="89" t="str">
        <f>PROCESS!D90</f>
        <v>AUTOCOL-OIL-CAM2</v>
      </c>
      <c r="F15" s="89" t="s">
        <v>108</v>
      </c>
      <c r="G15" s="89" t="s">
        <v>117</v>
      </c>
      <c r="H15" s="672">
        <v>0.35799999999999998</v>
      </c>
      <c r="I15" s="89">
        <f>75%</f>
        <v>0.75</v>
      </c>
      <c r="J15" s="516">
        <f>(AA38/1000)/I15</f>
        <v>0</v>
      </c>
      <c r="K15" s="585">
        <v>20</v>
      </c>
      <c r="L15" s="89">
        <v>0.33112799999999998</v>
      </c>
      <c r="M15" s="89">
        <v>13</v>
      </c>
      <c r="N15" s="89">
        <v>31.536000000000001</v>
      </c>
      <c r="O15" s="89"/>
      <c r="Q15" s="454" t="str">
        <f t="shared" si="0"/>
        <v>AUTOCOL-OIL-CAM2</v>
      </c>
      <c r="R15" s="14" t="s">
        <v>198</v>
      </c>
      <c r="S15" s="391">
        <v>217.43513320940539</v>
      </c>
      <c r="T15" s="531"/>
      <c r="U15"/>
    </row>
    <row r="16" spans="3:26" x14ac:dyDescent="0.25">
      <c r="C16" s="674">
        <f t="shared" si="1"/>
        <v>13.570416</v>
      </c>
      <c r="D16" s="452"/>
      <c r="E16" s="89" t="str">
        <f>PROCESS!D91</f>
        <v>AUTOCOL-DSL-CAM2</v>
      </c>
      <c r="F16" s="89" t="str">
        <f>GenerationUP!$C$11</f>
        <v>FUEL-DSL</v>
      </c>
      <c r="G16" s="89" t="s">
        <v>117</v>
      </c>
      <c r="H16" s="672">
        <v>0.35599999999999998</v>
      </c>
      <c r="I16" s="89">
        <f>75%</f>
        <v>0.75</v>
      </c>
      <c r="J16" s="516">
        <f>(AB38/1000)/I16</f>
        <v>1.3570416E-2</v>
      </c>
      <c r="K16" s="585">
        <v>20</v>
      </c>
      <c r="L16" s="89">
        <v>0.33112799999999998</v>
      </c>
      <c r="M16" s="89">
        <v>13</v>
      </c>
      <c r="N16" s="89">
        <v>31.536000000000001</v>
      </c>
      <c r="O16" s="89"/>
      <c r="Q16" s="454" t="str">
        <f t="shared" si="0"/>
        <v>AUTOCOL-DSL-CAM2</v>
      </c>
      <c r="R16" s="14" t="s">
        <v>198</v>
      </c>
      <c r="S16" s="391">
        <v>211.14150479961498</v>
      </c>
      <c r="T16" s="531"/>
      <c r="U16"/>
    </row>
    <row r="17" spans="3:21" x14ac:dyDescent="0.25">
      <c r="C17" s="674">
        <f t="shared" si="1"/>
        <v>0</v>
      </c>
      <c r="D17" s="18"/>
      <c r="E17" s="519" t="str">
        <f>PROCESS!D92</f>
        <v>AUTOCOL-GAS-CAM3</v>
      </c>
      <c r="F17" s="526" t="s">
        <v>102</v>
      </c>
      <c r="G17" s="519" t="s">
        <v>118</v>
      </c>
      <c r="H17" s="673">
        <v>0.376</v>
      </c>
      <c r="I17" s="519">
        <f>75%</f>
        <v>0.75</v>
      </c>
      <c r="J17" s="521">
        <f>AG43/I17</f>
        <v>0</v>
      </c>
      <c r="K17" s="519">
        <v>21</v>
      </c>
      <c r="L17" s="89">
        <v>0.11707740000000001</v>
      </c>
      <c r="M17" s="519">
        <v>13</v>
      </c>
      <c r="N17" s="519">
        <v>31.536000000000001</v>
      </c>
      <c r="O17" s="89"/>
      <c r="P17" s="89"/>
      <c r="Q17" s="454" t="str">
        <f t="shared" si="0"/>
        <v>AUTOCOL-GAS-CAM3</v>
      </c>
      <c r="R17" s="14" t="s">
        <v>201</v>
      </c>
      <c r="S17" s="391">
        <v>147.71041211964643</v>
      </c>
      <c r="T17" s="531"/>
      <c r="U17"/>
    </row>
    <row r="18" spans="3:21" x14ac:dyDescent="0.25">
      <c r="C18" s="674">
        <f t="shared" si="1"/>
        <v>14.4751104</v>
      </c>
      <c r="D18" s="18"/>
      <c r="E18" s="89" t="str">
        <f>PROCESS!D93</f>
        <v>AUTOCOL-OIL-CAM3</v>
      </c>
      <c r="F18" s="89" t="s">
        <v>109</v>
      </c>
      <c r="G18" s="89" t="s">
        <v>118</v>
      </c>
      <c r="H18" s="672">
        <v>0.35799999999999998</v>
      </c>
      <c r="I18" s="89">
        <f>75%</f>
        <v>0.75</v>
      </c>
      <c r="J18" s="516">
        <f>(AA39/1000)/I18</f>
        <v>1.44751104E-2</v>
      </c>
      <c r="K18" s="585">
        <v>20</v>
      </c>
      <c r="L18" s="89">
        <v>0.33112799999999998</v>
      </c>
      <c r="M18" s="89">
        <v>13</v>
      </c>
      <c r="N18" s="89">
        <v>31.536000000000001</v>
      </c>
      <c r="O18" s="89"/>
      <c r="P18" s="89"/>
      <c r="Q18" s="454" t="str">
        <f t="shared" si="0"/>
        <v>AUTOCOL-OIL-CAM3</v>
      </c>
      <c r="R18" s="14" t="s">
        <v>201</v>
      </c>
      <c r="S18" s="391">
        <v>217.43513320940539</v>
      </c>
      <c r="T18" s="531"/>
      <c r="U18"/>
    </row>
    <row r="19" spans="3:21" x14ac:dyDescent="0.25">
      <c r="C19" s="674">
        <f t="shared" si="1"/>
        <v>13.570416</v>
      </c>
      <c r="D19" s="18"/>
      <c r="E19" s="89" t="str">
        <f>PROCESS!D94</f>
        <v>AUTOCOL-DSL-CAM3</v>
      </c>
      <c r="F19" s="89" t="str">
        <f>GenerationUP!$C$11</f>
        <v>FUEL-DSL</v>
      </c>
      <c r="G19" s="89" t="s">
        <v>118</v>
      </c>
      <c r="H19" s="672">
        <v>0.35599999999999998</v>
      </c>
      <c r="I19" s="89">
        <f>75%</f>
        <v>0.75</v>
      </c>
      <c r="J19" s="516">
        <f>(AB39/1000)/I19</f>
        <v>1.3570416E-2</v>
      </c>
      <c r="K19" s="585">
        <v>20</v>
      </c>
      <c r="L19" s="89">
        <v>0.33112799999999998</v>
      </c>
      <c r="M19" s="89">
        <v>13</v>
      </c>
      <c r="N19" s="89">
        <v>31.536000000000001</v>
      </c>
      <c r="O19" s="89"/>
      <c r="P19" s="89"/>
      <c r="Q19" s="454" t="str">
        <f t="shared" si="0"/>
        <v>AUTOCOL-DSL-CAM3</v>
      </c>
      <c r="R19" s="14" t="s">
        <v>201</v>
      </c>
      <c r="S19" s="391">
        <v>211.14150479961498</v>
      </c>
      <c r="T19" s="531"/>
      <c r="U19"/>
    </row>
    <row r="20" spans="3:21" x14ac:dyDescent="0.25">
      <c r="C20" s="674">
        <f t="shared" si="1"/>
        <v>0.46910080000000021</v>
      </c>
      <c r="D20" s="18"/>
      <c r="E20" s="529" t="str">
        <f>PROCESS!D95</f>
        <v>AUTOCOL-GAS-CAM4</v>
      </c>
      <c r="F20" s="526" t="s">
        <v>103</v>
      </c>
      <c r="G20" s="529" t="s">
        <v>119</v>
      </c>
      <c r="H20" s="673">
        <v>0.376</v>
      </c>
      <c r="I20" s="519">
        <f>75%</f>
        <v>0.75</v>
      </c>
      <c r="J20" s="520">
        <f>(Z40/1000)/I20</f>
        <v>4.6910080000000018E-4</v>
      </c>
      <c r="K20" s="519">
        <v>21</v>
      </c>
      <c r="L20" s="89">
        <v>0.11707740000000001</v>
      </c>
      <c r="M20" s="519">
        <v>13</v>
      </c>
      <c r="N20" s="519">
        <v>31.536000000000001</v>
      </c>
      <c r="O20" s="89"/>
      <c r="P20" s="89"/>
      <c r="Q20" s="454" t="str">
        <f t="shared" si="0"/>
        <v>AUTOCOL-GAS-CAM4</v>
      </c>
      <c r="R20" s="14" t="s">
        <v>204</v>
      </c>
      <c r="S20" s="391">
        <v>147.71041211964643</v>
      </c>
      <c r="T20" s="531"/>
      <c r="U20"/>
    </row>
    <row r="21" spans="3:21" x14ac:dyDescent="0.25">
      <c r="C21" s="674">
        <f t="shared" si="1"/>
        <v>1.8764032000000008</v>
      </c>
      <c r="D21" s="1"/>
      <c r="E21" s="456" t="str">
        <f>PROCESS!D96</f>
        <v>AUTOCOL-OIL-CAM4</v>
      </c>
      <c r="F21" s="455" t="s">
        <v>110</v>
      </c>
      <c r="G21" s="456" t="s">
        <v>119</v>
      </c>
      <c r="H21" s="672">
        <v>0.35799999999999998</v>
      </c>
      <c r="I21" s="89">
        <f>75%</f>
        <v>0.75</v>
      </c>
      <c r="J21" s="516">
        <f>(AA40/1000)/I21</f>
        <v>1.8764032000000007E-3</v>
      </c>
      <c r="K21" s="585">
        <v>20</v>
      </c>
      <c r="L21" s="89">
        <v>0.33112799999999998</v>
      </c>
      <c r="M21" s="89">
        <v>13</v>
      </c>
      <c r="N21" s="89">
        <v>31.536000000000001</v>
      </c>
      <c r="O21" s="89"/>
      <c r="P21" s="89"/>
      <c r="Q21" s="454" t="str">
        <f t="shared" si="0"/>
        <v>AUTOCOL-OIL-CAM4</v>
      </c>
      <c r="R21" s="14" t="s">
        <v>204</v>
      </c>
      <c r="S21" s="391">
        <v>217.43513320940539</v>
      </c>
      <c r="T21" s="531"/>
      <c r="U21"/>
    </row>
    <row r="22" spans="3:21" x14ac:dyDescent="0.25">
      <c r="C22" s="674">
        <f t="shared" si="1"/>
        <v>3.5182560000000009</v>
      </c>
      <c r="D22" s="1"/>
      <c r="E22" s="456" t="str">
        <f>PROCESS!D97</f>
        <v>AUTOCOL-DSL-CAM4</v>
      </c>
      <c r="F22" s="89" t="str">
        <f>GenerationUP!$C$11</f>
        <v>FUEL-DSL</v>
      </c>
      <c r="G22" s="456" t="s">
        <v>119</v>
      </c>
      <c r="H22" s="672">
        <v>0.35599999999999998</v>
      </c>
      <c r="I22" s="89">
        <f>75%</f>
        <v>0.75</v>
      </c>
      <c r="J22" s="516">
        <f>(AB40/1000)/I22</f>
        <v>3.5182560000000009E-3</v>
      </c>
      <c r="K22" s="585">
        <v>20</v>
      </c>
      <c r="L22" s="89">
        <v>0.33112799999999998</v>
      </c>
      <c r="M22" s="89">
        <v>13</v>
      </c>
      <c r="N22" s="89">
        <v>31.536000000000001</v>
      </c>
      <c r="O22" s="89"/>
      <c r="P22" s="89"/>
      <c r="Q22" s="454" t="str">
        <f t="shared" si="0"/>
        <v>AUTOCOL-DSL-CAM4</v>
      </c>
      <c r="R22" s="14" t="s">
        <v>204</v>
      </c>
      <c r="S22" s="391">
        <v>211.14150479961498</v>
      </c>
      <c r="T22" s="531"/>
      <c r="U22"/>
    </row>
    <row r="23" spans="3:21" x14ac:dyDescent="0.25">
      <c r="C23" s="674">
        <f t="shared" si="1"/>
        <v>1.2062592000000001</v>
      </c>
      <c r="D23" s="1"/>
      <c r="E23" s="529" t="str">
        <f>PROCESS!D98</f>
        <v>AUTOCOL-GAS-CAM5</v>
      </c>
      <c r="F23" s="526" t="s">
        <v>104</v>
      </c>
      <c r="G23" s="529" t="s">
        <v>120</v>
      </c>
      <c r="H23" s="673">
        <v>0.376</v>
      </c>
      <c r="I23" s="519">
        <f>75%</f>
        <v>0.75</v>
      </c>
      <c r="J23" s="520">
        <f>(Z41/1000)/I23</f>
        <v>1.2062592000000002E-3</v>
      </c>
      <c r="K23" s="519">
        <v>21</v>
      </c>
      <c r="L23" s="89">
        <v>0.11707740000000001</v>
      </c>
      <c r="M23" s="519">
        <v>13</v>
      </c>
      <c r="N23" s="519">
        <v>31.536000000000001</v>
      </c>
      <c r="O23" s="89"/>
      <c r="P23" s="89"/>
      <c r="Q23" s="454" t="str">
        <f t="shared" si="0"/>
        <v>AUTOCOL-GAS-CAM5</v>
      </c>
      <c r="R23" s="14" t="s">
        <v>207</v>
      </c>
      <c r="S23" s="391">
        <v>147.71041211964643</v>
      </c>
      <c r="T23" s="531"/>
      <c r="U23"/>
    </row>
    <row r="24" spans="3:21" x14ac:dyDescent="0.25">
      <c r="C24" s="674">
        <f t="shared" si="1"/>
        <v>4.8250368000000003</v>
      </c>
      <c r="D24" s="1"/>
      <c r="E24" s="456" t="str">
        <f>PROCESS!D99</f>
        <v>AUTOCOL-OIL-CAM5</v>
      </c>
      <c r="F24" s="2" t="s">
        <v>111</v>
      </c>
      <c r="G24" s="456" t="s">
        <v>120</v>
      </c>
      <c r="H24" s="672">
        <v>0.35799999999999998</v>
      </c>
      <c r="I24" s="89">
        <f>75%</f>
        <v>0.75</v>
      </c>
      <c r="J24" s="516">
        <f>(AA41/1000)/I24</f>
        <v>4.8250368000000007E-3</v>
      </c>
      <c r="K24" s="585">
        <v>20</v>
      </c>
      <c r="L24" s="89">
        <v>0.33112799999999998</v>
      </c>
      <c r="M24" s="89">
        <v>13</v>
      </c>
      <c r="N24" s="89">
        <v>31.536000000000001</v>
      </c>
      <c r="O24" s="89"/>
      <c r="P24" s="89"/>
      <c r="Q24" s="454" t="str">
        <f t="shared" si="0"/>
        <v>AUTOCOL-OIL-CAM5</v>
      </c>
      <c r="R24" s="14" t="s">
        <v>207</v>
      </c>
      <c r="S24" s="391">
        <v>217.43513320940539</v>
      </c>
      <c r="T24" s="531"/>
      <c r="U24"/>
    </row>
    <row r="25" spans="3:21" x14ac:dyDescent="0.25">
      <c r="C25" s="674">
        <f t="shared" si="1"/>
        <v>9.0469439999999999</v>
      </c>
      <c r="D25" s="1"/>
      <c r="E25" s="456" t="str">
        <f>PROCESS!D100</f>
        <v>AUTOCOL-DSL-CAM5</v>
      </c>
      <c r="F25" s="89" t="str">
        <f>GenerationUP!$C$11</f>
        <v>FUEL-DSL</v>
      </c>
      <c r="G25" s="456" t="s">
        <v>120</v>
      </c>
      <c r="H25" s="672">
        <v>0.35599999999999998</v>
      </c>
      <c r="I25" s="89">
        <f>75%</f>
        <v>0.75</v>
      </c>
      <c r="J25" s="516">
        <f>(AB41/1000)/I25</f>
        <v>9.0469439999999995E-3</v>
      </c>
      <c r="K25" s="585">
        <v>20</v>
      </c>
      <c r="L25" s="89">
        <v>0.33112799999999998</v>
      </c>
      <c r="M25" s="89">
        <v>13</v>
      </c>
      <c r="N25" s="89">
        <v>31.536000000000001</v>
      </c>
      <c r="O25" s="89"/>
      <c r="P25" s="89"/>
      <c r="Q25" s="454" t="str">
        <f t="shared" si="0"/>
        <v>AUTOCOL-DSL-CAM5</v>
      </c>
      <c r="R25" s="14" t="s">
        <v>207</v>
      </c>
      <c r="S25" s="391">
        <v>211.14150479961498</v>
      </c>
      <c r="T25" s="531"/>
      <c r="U25"/>
    </row>
    <row r="26" spans="3:21" x14ac:dyDescent="0.25">
      <c r="C26" s="674">
        <f t="shared" si="1"/>
        <v>0.46910080000000021</v>
      </c>
      <c r="D26" s="1"/>
      <c r="E26" s="529" t="str">
        <f>PROCESS!D101</f>
        <v>AUTOCOL-GAS-CAM6</v>
      </c>
      <c r="F26" s="526" t="s">
        <v>105</v>
      </c>
      <c r="G26" s="529" t="s">
        <v>121</v>
      </c>
      <c r="H26" s="673">
        <v>0.376</v>
      </c>
      <c r="I26" s="519">
        <f>75%</f>
        <v>0.75</v>
      </c>
      <c r="J26" s="520">
        <f>(Z42/1000)/I26</f>
        <v>4.6910080000000018E-4</v>
      </c>
      <c r="K26" s="519">
        <v>21</v>
      </c>
      <c r="L26" s="89">
        <v>0.11707740000000001</v>
      </c>
      <c r="M26" s="519">
        <v>13</v>
      </c>
      <c r="N26" s="519">
        <v>31.536000000000001</v>
      </c>
      <c r="O26" s="89"/>
      <c r="P26" s="89"/>
      <c r="Q26" s="454" t="str">
        <f t="shared" si="0"/>
        <v>AUTOCOL-GAS-CAM6</v>
      </c>
      <c r="R26" s="14" t="s">
        <v>210</v>
      </c>
      <c r="S26" s="391">
        <v>147.71041211964643</v>
      </c>
      <c r="T26" s="531"/>
      <c r="U26"/>
    </row>
    <row r="27" spans="3:21" x14ac:dyDescent="0.25">
      <c r="C27" s="674">
        <f t="shared" si="1"/>
        <v>1.8764032000000008</v>
      </c>
      <c r="D27" s="1"/>
      <c r="E27" s="456" t="str">
        <f>PROCESS!D102</f>
        <v>AUTOCOL-OIL-CAM6</v>
      </c>
      <c r="F27" s="2" t="s">
        <v>112</v>
      </c>
      <c r="G27" s="456" t="s">
        <v>121</v>
      </c>
      <c r="H27" s="672">
        <v>0.35799999999999998</v>
      </c>
      <c r="I27" s="89">
        <f>75%</f>
        <v>0.75</v>
      </c>
      <c r="J27" s="516">
        <f>(AA42/1000)/I27</f>
        <v>1.8764032000000007E-3</v>
      </c>
      <c r="K27" s="585">
        <v>20</v>
      </c>
      <c r="L27" s="89">
        <v>0.33112799999999998</v>
      </c>
      <c r="M27" s="89">
        <v>13</v>
      </c>
      <c r="N27" s="89">
        <v>31.536000000000001</v>
      </c>
      <c r="O27" s="89"/>
      <c r="P27" s="89"/>
      <c r="Q27" s="454" t="str">
        <f t="shared" si="0"/>
        <v>AUTOCOL-OIL-CAM6</v>
      </c>
      <c r="R27" s="14" t="s">
        <v>210</v>
      </c>
      <c r="S27" s="391">
        <v>217.43513320940539</v>
      </c>
      <c r="T27" s="531"/>
      <c r="U27"/>
    </row>
    <row r="28" spans="3:21" x14ac:dyDescent="0.25">
      <c r="C28" s="674">
        <f t="shared" si="1"/>
        <v>3.5182560000000009</v>
      </c>
      <c r="D28" s="1"/>
      <c r="E28" s="456" t="str">
        <f>PROCESS!D103</f>
        <v>AUTOCOL-DSL-CAM6</v>
      </c>
      <c r="F28" s="89" t="str">
        <f>GenerationUP!$C$11</f>
        <v>FUEL-DSL</v>
      </c>
      <c r="G28" s="456" t="s">
        <v>121</v>
      </c>
      <c r="H28" s="672">
        <v>0.35599999999999998</v>
      </c>
      <c r="I28" s="89">
        <f>75%</f>
        <v>0.75</v>
      </c>
      <c r="J28" s="516">
        <f>(AB42/1000)/I28</f>
        <v>3.5182560000000009E-3</v>
      </c>
      <c r="K28" s="585">
        <v>20</v>
      </c>
      <c r="L28" s="89">
        <v>0.33112799999999998</v>
      </c>
      <c r="M28" s="89">
        <v>13</v>
      </c>
      <c r="N28" s="89">
        <v>31.536000000000001</v>
      </c>
      <c r="O28" s="89"/>
      <c r="P28" s="89"/>
      <c r="Q28" s="454" t="str">
        <f t="shared" si="0"/>
        <v>AUTOCOL-DSL-CAM6</v>
      </c>
      <c r="R28" s="14" t="s">
        <v>210</v>
      </c>
      <c r="S28" s="391">
        <v>211.14150479961498</v>
      </c>
      <c r="T28" s="531"/>
      <c r="U28"/>
    </row>
    <row r="29" spans="3:21" x14ac:dyDescent="0.25">
      <c r="C29" s="674">
        <f t="shared" si="1"/>
        <v>0.13402879999999998</v>
      </c>
      <c r="D29" s="1"/>
      <c r="E29" s="529" t="str">
        <f>PROCESS!D104</f>
        <v>AUTOCOL-GAS-CAM7</v>
      </c>
      <c r="F29" s="526" t="s">
        <v>106</v>
      </c>
      <c r="G29" s="529" t="s">
        <v>122</v>
      </c>
      <c r="H29" s="673">
        <v>0.376</v>
      </c>
      <c r="I29" s="519">
        <f>75%</f>
        <v>0.75</v>
      </c>
      <c r="J29" s="520">
        <f>(Z43/1000)/I29</f>
        <v>1.3402879999999999E-4</v>
      </c>
      <c r="K29" s="519">
        <v>21</v>
      </c>
      <c r="L29" s="89">
        <v>0.11707740000000001</v>
      </c>
      <c r="M29" s="519">
        <v>13</v>
      </c>
      <c r="N29" s="519">
        <v>31.536000000000001</v>
      </c>
      <c r="O29" s="89"/>
      <c r="P29" s="89"/>
      <c r="Q29" s="454" t="str">
        <f t="shared" si="0"/>
        <v>AUTOCOL-GAS-CAM7</v>
      </c>
      <c r="R29" s="14" t="s">
        <v>213</v>
      </c>
      <c r="S29" s="391">
        <v>147.71041211964643</v>
      </c>
      <c r="T29" s="531"/>
      <c r="U29"/>
    </row>
    <row r="30" spans="3:21" x14ac:dyDescent="0.25">
      <c r="C30" s="674">
        <f t="shared" si="1"/>
        <v>0.5361151999999999</v>
      </c>
      <c r="D30" s="1"/>
      <c r="E30" s="456" t="str">
        <f>PROCESS!D105</f>
        <v>AUTOCOL-OIL-CAM7</v>
      </c>
      <c r="F30" s="2" t="s">
        <v>113</v>
      </c>
      <c r="G30" s="456" t="s">
        <v>122</v>
      </c>
      <c r="H30" s="672">
        <v>0.35799999999999998</v>
      </c>
      <c r="I30" s="89">
        <f>75%</f>
        <v>0.75</v>
      </c>
      <c r="J30" s="516">
        <f>(AA43/1000)/I30</f>
        <v>5.3611519999999995E-4</v>
      </c>
      <c r="K30" s="585">
        <v>20</v>
      </c>
      <c r="L30" s="89">
        <v>0.33112799999999998</v>
      </c>
      <c r="M30" s="89">
        <v>13</v>
      </c>
      <c r="N30" s="89">
        <v>31.536000000000001</v>
      </c>
      <c r="O30" s="89"/>
      <c r="P30" s="89"/>
      <c r="Q30" s="454" t="str">
        <f t="shared" si="0"/>
        <v>AUTOCOL-OIL-CAM7</v>
      </c>
      <c r="R30" s="14" t="s">
        <v>213</v>
      </c>
      <c r="S30" s="391">
        <v>217.43513320940539</v>
      </c>
      <c r="T30" s="531"/>
      <c r="U30"/>
    </row>
    <row r="31" spans="3:21" x14ac:dyDescent="0.25">
      <c r="C31" s="674">
        <f t="shared" si="1"/>
        <v>1.0052159999999999</v>
      </c>
      <c r="D31" s="1"/>
      <c r="E31" s="456" t="str">
        <f>PROCESS!D106</f>
        <v>AUTOCOL-DSL-CAM7</v>
      </c>
      <c r="F31" s="89" t="str">
        <f>GenerationUP!$C$11</f>
        <v>FUEL-DSL</v>
      </c>
      <c r="G31" s="456" t="s">
        <v>122</v>
      </c>
      <c r="H31" s="672">
        <v>0.35599999999999998</v>
      </c>
      <c r="I31" s="89">
        <f>75%</f>
        <v>0.75</v>
      </c>
      <c r="J31" s="516">
        <f>(AB43/1000)/I31</f>
        <v>1.005216E-3</v>
      </c>
      <c r="K31" s="585">
        <v>20</v>
      </c>
      <c r="L31" s="89">
        <v>0.33112799999999998</v>
      </c>
      <c r="M31" s="89">
        <v>13</v>
      </c>
      <c r="N31" s="89">
        <v>31.536000000000001</v>
      </c>
      <c r="O31" s="89"/>
      <c r="P31" s="89"/>
      <c r="Q31" s="454" t="str">
        <f t="shared" si="0"/>
        <v>AUTOCOL-DSL-CAM7</v>
      </c>
      <c r="R31" s="14" t="s">
        <v>213</v>
      </c>
      <c r="S31" s="391">
        <v>211.14150479961498</v>
      </c>
      <c r="T31" s="531"/>
      <c r="U31"/>
    </row>
    <row r="32" spans="3:21" x14ac:dyDescent="0.25">
      <c r="C32" s="459"/>
      <c r="D32" s="1"/>
      <c r="R32" s="454"/>
    </row>
    <row r="33" spans="3:33" x14ac:dyDescent="0.25">
      <c r="C33" s="459"/>
      <c r="D33" s="1"/>
    </row>
    <row r="34" spans="3:33" x14ac:dyDescent="0.25">
      <c r="C34" s="459"/>
      <c r="D34" s="1"/>
      <c r="AE34" s="117" t="s">
        <v>822</v>
      </c>
      <c r="AF34" s="117" t="s">
        <v>823</v>
      </c>
      <c r="AG34" t="s">
        <v>824</v>
      </c>
    </row>
    <row r="35" spans="3:33" x14ac:dyDescent="0.25">
      <c r="C35" s="459"/>
      <c r="D35" s="1"/>
      <c r="W35" s="518"/>
      <c r="Y35" s="727" t="s">
        <v>733</v>
      </c>
      <c r="Z35" s="714"/>
      <c r="AA35" s="714"/>
      <c r="AB35" s="714"/>
      <c r="AE35" s="117" t="s">
        <v>821</v>
      </c>
    </row>
    <row r="36" spans="3:33" x14ac:dyDescent="0.25">
      <c r="C36" s="459"/>
      <c r="D36" s="1"/>
      <c r="R36" s="534" t="s">
        <v>827</v>
      </c>
      <c r="S36" s="457">
        <v>75.166375708662926</v>
      </c>
      <c r="W36" s="516"/>
      <c r="X36" s="517" t="s">
        <v>670</v>
      </c>
      <c r="Y36" s="320" t="s">
        <v>22</v>
      </c>
      <c r="Z36" s="320" t="s">
        <v>289</v>
      </c>
      <c r="AA36" s="320" t="s">
        <v>736</v>
      </c>
      <c r="AB36" s="320" t="s">
        <v>737</v>
      </c>
      <c r="AD36" s="320" t="s">
        <v>6</v>
      </c>
      <c r="AE36" s="522">
        <v>0.26200000000000001</v>
      </c>
      <c r="AF36" s="522">
        <f>AE36/0.0036</f>
        <v>72.777777777777786</v>
      </c>
      <c r="AG36" s="524">
        <f>AF36/(24*365*0.75)</f>
        <v>1.1077287332995097E-2</v>
      </c>
    </row>
    <row r="37" spans="3:33" x14ac:dyDescent="0.25">
      <c r="C37" s="459"/>
      <c r="D37" s="1"/>
      <c r="R37" s="534" t="s">
        <v>828</v>
      </c>
      <c r="S37" s="458">
        <v>77.841777688967127</v>
      </c>
      <c r="W37" s="516"/>
      <c r="X37" s="328" t="s">
        <v>6</v>
      </c>
      <c r="Y37" s="160"/>
      <c r="Z37" s="381"/>
      <c r="AA37" s="160">
        <v>0</v>
      </c>
      <c r="AB37" s="160">
        <v>0</v>
      </c>
    </row>
    <row r="38" spans="3:33" x14ac:dyDescent="0.25">
      <c r="C38" s="459"/>
      <c r="D38" s="1"/>
      <c r="R38" s="534" t="s">
        <v>751</v>
      </c>
      <c r="S38" s="457">
        <v>55.539114956987063</v>
      </c>
      <c r="W38" s="516"/>
      <c r="X38" s="328" t="s">
        <v>12</v>
      </c>
      <c r="Y38" s="160"/>
      <c r="Z38" s="160">
        <v>2.7140832000000001</v>
      </c>
      <c r="AA38" s="383">
        <v>0</v>
      </c>
      <c r="AB38" s="384">
        <v>10.177811999999999</v>
      </c>
    </row>
    <row r="39" spans="3:33" x14ac:dyDescent="0.25">
      <c r="R39" s="534" t="s">
        <v>829</v>
      </c>
      <c r="S39">
        <v>47.29</v>
      </c>
      <c r="W39" s="516"/>
      <c r="X39" s="328" t="s">
        <v>16</v>
      </c>
      <c r="Y39" s="535"/>
      <c r="Z39" s="381"/>
      <c r="AA39" s="160">
        <v>10.856332800000001</v>
      </c>
      <c r="AB39" s="384">
        <v>10.177811999999999</v>
      </c>
    </row>
    <row r="40" spans="3:33" x14ac:dyDescent="0.25">
      <c r="W40" s="516"/>
      <c r="X40" s="328" t="s">
        <v>20</v>
      </c>
      <c r="Y40" s="160"/>
      <c r="Z40" s="160">
        <v>0.35182560000000013</v>
      </c>
      <c r="AA40" s="160">
        <v>1.4073024000000005</v>
      </c>
      <c r="AB40" s="160">
        <v>2.6386920000000007</v>
      </c>
    </row>
    <row r="41" spans="3:33" x14ac:dyDescent="0.25">
      <c r="W41" s="516"/>
      <c r="X41" s="328" t="s">
        <v>24</v>
      </c>
      <c r="Y41" s="160"/>
      <c r="Z41" s="160">
        <v>0.90469440000000012</v>
      </c>
      <c r="AA41" s="160">
        <v>3.6187776000000005</v>
      </c>
      <c r="AB41" s="160">
        <v>6.7852079999999999</v>
      </c>
    </row>
    <row r="42" spans="3:33" x14ac:dyDescent="0.25">
      <c r="W42" s="516"/>
      <c r="X42" s="328" t="s">
        <v>28</v>
      </c>
      <c r="Y42" s="160"/>
      <c r="Z42" s="160">
        <v>0.35182560000000013</v>
      </c>
      <c r="AA42" s="160">
        <v>1.4073024000000005</v>
      </c>
      <c r="AB42" s="160">
        <v>2.6386920000000007</v>
      </c>
    </row>
    <row r="43" spans="3:33" x14ac:dyDescent="0.25">
      <c r="W43" s="516"/>
      <c r="X43" s="328" t="s">
        <v>31</v>
      </c>
      <c r="Y43" s="160"/>
      <c r="Z43" s="160">
        <v>0.1005216</v>
      </c>
      <c r="AA43" s="160">
        <v>0.40208640000000001</v>
      </c>
      <c r="AB43" s="160">
        <v>0.75391200000000003</v>
      </c>
      <c r="AD43" s="523" t="s">
        <v>16</v>
      </c>
      <c r="AE43" s="522">
        <v>0</v>
      </c>
      <c r="AF43" s="524">
        <f>AE43/0.0036</f>
        <v>0</v>
      </c>
      <c r="AG43" s="524">
        <f>AF43/(24*365*0.75)</f>
        <v>0</v>
      </c>
    </row>
    <row r="44" spans="3:33" x14ac:dyDescent="0.25">
      <c r="W44" s="516"/>
      <c r="Y44" s="14"/>
      <c r="Z44" s="14"/>
      <c r="AA44" s="14"/>
      <c r="AB44" s="14"/>
    </row>
    <row r="45" spans="3:33" x14ac:dyDescent="0.25">
      <c r="W45" s="516"/>
    </row>
    <row r="46" spans="3:33" x14ac:dyDescent="0.25">
      <c r="W46" s="516"/>
    </row>
    <row r="47" spans="3:33" x14ac:dyDescent="0.25">
      <c r="W47" s="516"/>
      <c r="Y47" s="711" t="s">
        <v>738</v>
      </c>
      <c r="Z47" s="712"/>
      <c r="AA47" s="712"/>
    </row>
    <row r="48" spans="3:33" x14ac:dyDescent="0.25">
      <c r="W48" s="516"/>
      <c r="X48" s="517" t="s">
        <v>670</v>
      </c>
      <c r="Y48" s="212" t="s">
        <v>604</v>
      </c>
      <c r="Z48" s="212" t="s">
        <v>736</v>
      </c>
      <c r="AA48" s="212" t="s">
        <v>60</v>
      </c>
    </row>
    <row r="49" spans="23:28" x14ac:dyDescent="0.25">
      <c r="W49" s="516"/>
      <c r="X49" s="328" t="s">
        <v>6</v>
      </c>
      <c r="Y49" s="387"/>
      <c r="Z49" s="209">
        <v>0</v>
      </c>
      <c r="AA49" s="209">
        <v>0</v>
      </c>
    </row>
    <row r="50" spans="23:28" x14ac:dyDescent="0.25">
      <c r="W50" s="516"/>
      <c r="X50" s="328" t="s">
        <v>12</v>
      </c>
      <c r="Y50" s="209">
        <v>2.7140832000000001</v>
      </c>
      <c r="Z50" s="389">
        <v>0</v>
      </c>
      <c r="AA50" s="390">
        <f>20.355624/2</f>
        <v>10.177811999999999</v>
      </c>
      <c r="AB50" s="391"/>
    </row>
    <row r="51" spans="23:28" x14ac:dyDescent="0.25">
      <c r="W51" s="516"/>
      <c r="X51" s="328" t="s">
        <v>16</v>
      </c>
      <c r="Y51" s="389">
        <v>0</v>
      </c>
      <c r="Z51" s="209">
        <v>10.856332800000001</v>
      </c>
      <c r="AA51" s="390">
        <f>20.355624/2</f>
        <v>10.177811999999999</v>
      </c>
    </row>
    <row r="52" spans="23:28" x14ac:dyDescent="0.25">
      <c r="W52" s="516"/>
      <c r="X52" s="328" t="s">
        <v>20</v>
      </c>
      <c r="Y52" s="209">
        <v>0.35182560000000013</v>
      </c>
      <c r="Z52" s="209">
        <v>1.4073024000000005</v>
      </c>
      <c r="AA52" s="209">
        <v>2.6386920000000007</v>
      </c>
    </row>
    <row r="53" spans="23:28" x14ac:dyDescent="0.25">
      <c r="W53" s="516"/>
      <c r="X53" s="328" t="s">
        <v>24</v>
      </c>
      <c r="Y53" s="209">
        <v>0.90469440000000012</v>
      </c>
      <c r="Z53" s="209">
        <v>3.6187776000000005</v>
      </c>
      <c r="AA53" s="209">
        <v>6.7852079999999999</v>
      </c>
    </row>
    <row r="54" spans="23:28" x14ac:dyDescent="0.25">
      <c r="W54" s="516"/>
      <c r="X54" s="328" t="s">
        <v>28</v>
      </c>
      <c r="Y54" s="209">
        <v>0.35182560000000013</v>
      </c>
      <c r="Z54" s="209">
        <v>1.4073024000000005</v>
      </c>
      <c r="AA54" s="209">
        <v>2.6386920000000007</v>
      </c>
    </row>
    <row r="55" spans="23:28" x14ac:dyDescent="0.25">
      <c r="W55" s="516"/>
      <c r="X55" s="328" t="s">
        <v>31</v>
      </c>
      <c r="Y55" s="209">
        <v>0.1005216</v>
      </c>
      <c r="Z55" s="209">
        <v>0.40208640000000001</v>
      </c>
      <c r="AA55" s="209">
        <v>0.75391200000000003</v>
      </c>
    </row>
    <row r="56" spans="23:28" x14ac:dyDescent="0.25">
      <c r="W56" s="516"/>
    </row>
    <row r="57" spans="23:28" x14ac:dyDescent="0.25">
      <c r="W57" s="516"/>
    </row>
  </sheetData>
  <mergeCells count="4">
    <mergeCell ref="D3:Z3"/>
    <mergeCell ref="F5:M5"/>
    <mergeCell ref="Y35:AB35"/>
    <mergeCell ref="Y47:AA47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8584-943E-4861-BD38-7BF128532964}">
  <dimension ref="B3:W30"/>
  <sheetViews>
    <sheetView showGridLines="0" zoomScale="70" zoomScaleNormal="70" workbookViewId="0">
      <selection activeCell="W7" sqref="W7"/>
    </sheetView>
  </sheetViews>
  <sheetFormatPr baseColWidth="10" defaultRowHeight="15" x14ac:dyDescent="0.25"/>
  <cols>
    <col min="2" max="2" width="16.7109375" customWidth="1"/>
  </cols>
  <sheetData>
    <row r="3" spans="2:23" x14ac:dyDescent="0.25">
      <c r="C3" s="745" t="s">
        <v>931</v>
      </c>
      <c r="D3" s="745"/>
      <c r="E3" s="745"/>
      <c r="F3" s="745"/>
      <c r="G3" s="745"/>
      <c r="H3" s="745"/>
      <c r="I3" s="745"/>
      <c r="J3" s="745"/>
      <c r="K3" s="745"/>
      <c r="L3" s="745"/>
    </row>
    <row r="5" spans="2:23" x14ac:dyDescent="0.25">
      <c r="B5" s="156" t="s">
        <v>929</v>
      </c>
      <c r="C5" s="138"/>
      <c r="D5" s="138"/>
      <c r="E5" s="137"/>
      <c r="I5" s="391"/>
      <c r="L5" s="138"/>
      <c r="M5" s="138"/>
      <c r="N5" s="138"/>
      <c r="O5" s="138"/>
    </row>
    <row r="6" spans="2:23" s="20" customFormat="1" ht="25.5" x14ac:dyDescent="0.25">
      <c r="B6" s="597" t="s">
        <v>40</v>
      </c>
      <c r="C6" s="597" t="s">
        <v>225</v>
      </c>
      <c r="D6" s="597" t="s">
        <v>226</v>
      </c>
      <c r="E6" s="597" t="s">
        <v>227</v>
      </c>
      <c r="F6" s="597" t="s">
        <v>228</v>
      </c>
      <c r="G6" s="597" t="s">
        <v>229</v>
      </c>
      <c r="H6" s="597" t="s">
        <v>88</v>
      </c>
      <c r="I6" s="597" t="s">
        <v>221</v>
      </c>
      <c r="J6" s="597" t="s">
        <v>223</v>
      </c>
      <c r="K6" s="597" t="s">
        <v>926</v>
      </c>
      <c r="L6" s="597" t="s">
        <v>927</v>
      </c>
      <c r="M6" s="597" t="str" cm="1">
        <f t="array" ref="M6:T6">TRANSPOSE(COMM!AK20:AK27)</f>
        <v>CO2e-CAM1</v>
      </c>
      <c r="N6" s="597" t="str">
        <v>CO2e-CAM2</v>
      </c>
      <c r="O6" s="597" t="str">
        <v>CO2e-CAM3</v>
      </c>
      <c r="P6" s="597" t="str">
        <v>CO2e-CAM4</v>
      </c>
      <c r="Q6" s="597" t="str">
        <v>CO2e-CAM5</v>
      </c>
      <c r="R6" s="597" t="str">
        <v>CO2e-CAM6</v>
      </c>
      <c r="S6" s="597" t="str">
        <v>CO2e-CAM7</v>
      </c>
      <c r="T6" s="597" t="str">
        <v>CO2e-CAM8</v>
      </c>
      <c r="U6" s="597" t="str">
        <f>C29</f>
        <v>CO2e-REF1</v>
      </c>
      <c r="V6" s="597" t="str">
        <f>D29</f>
        <v>CO2e-REF2</v>
      </c>
      <c r="W6" s="597" t="str">
        <f>COMM!AK47</f>
        <v>CO2e-Exp</v>
      </c>
    </row>
    <row r="7" spans="2:23" x14ac:dyDescent="0.25">
      <c r="B7" s="138" t="str">
        <f>COMM!AK46</f>
        <v>CO2e-Tax</v>
      </c>
      <c r="C7" s="138">
        <v>1</v>
      </c>
      <c r="D7" s="138">
        <v>1</v>
      </c>
      <c r="E7" s="137">
        <v>1</v>
      </c>
      <c r="F7" s="579">
        <v>0</v>
      </c>
      <c r="G7" s="137">
        <v>1</v>
      </c>
      <c r="H7" s="137">
        <v>1</v>
      </c>
      <c r="I7" s="137">
        <v>1</v>
      </c>
      <c r="J7" s="137">
        <v>1</v>
      </c>
      <c r="K7" s="579">
        <v>0</v>
      </c>
      <c r="L7" s="579">
        <v>0</v>
      </c>
      <c r="M7" s="138">
        <v>1</v>
      </c>
      <c r="N7" s="138">
        <v>1</v>
      </c>
      <c r="O7" s="138">
        <v>1</v>
      </c>
      <c r="P7" s="138">
        <v>1</v>
      </c>
      <c r="Q7" s="138">
        <v>1</v>
      </c>
      <c r="R7" s="138">
        <v>1</v>
      </c>
      <c r="S7" s="138">
        <v>1</v>
      </c>
      <c r="T7" s="138">
        <v>1</v>
      </c>
      <c r="U7" s="138">
        <v>1</v>
      </c>
      <c r="V7" s="138">
        <v>1</v>
      </c>
      <c r="W7" s="598">
        <v>0</v>
      </c>
    </row>
    <row r="11" spans="2:23" x14ac:dyDescent="0.25">
      <c r="M11" s="138"/>
      <c r="N11" s="138"/>
      <c r="O11" s="138"/>
    </row>
    <row r="12" spans="2:23" x14ac:dyDescent="0.25">
      <c r="M12" s="138"/>
      <c r="N12" s="138"/>
      <c r="O12" s="138"/>
    </row>
    <row r="13" spans="2:23" x14ac:dyDescent="0.25">
      <c r="M13" s="138"/>
      <c r="N13" s="138"/>
      <c r="O13" s="138"/>
    </row>
    <row r="14" spans="2:23" x14ac:dyDescent="0.25">
      <c r="C14" s="745" t="s">
        <v>931</v>
      </c>
      <c r="D14" s="745"/>
      <c r="E14" s="745"/>
      <c r="F14" s="745"/>
      <c r="G14" s="745"/>
      <c r="H14" s="745"/>
      <c r="I14" s="745"/>
      <c r="J14" s="745"/>
      <c r="K14" s="745"/>
      <c r="L14" s="745"/>
    </row>
    <row r="16" spans="2:23" x14ac:dyDescent="0.25">
      <c r="B16" s="156" t="s">
        <v>929</v>
      </c>
      <c r="C16" s="138"/>
      <c r="D16" s="138"/>
      <c r="E16" s="137"/>
      <c r="I16" s="391"/>
      <c r="L16" s="138"/>
    </row>
    <row r="17" spans="2:13" x14ac:dyDescent="0.25">
      <c r="B17" s="411" t="s">
        <v>40</v>
      </c>
      <c r="C17" s="411" t="s">
        <v>225</v>
      </c>
      <c r="D17" s="411" t="s">
        <v>226</v>
      </c>
      <c r="E17" s="411" t="s">
        <v>227</v>
      </c>
      <c r="F17" s="411" t="s">
        <v>228</v>
      </c>
      <c r="G17" s="411" t="s">
        <v>229</v>
      </c>
      <c r="H17" s="411" t="s">
        <v>88</v>
      </c>
      <c r="I17" s="411" t="s">
        <v>221</v>
      </c>
      <c r="J17" s="411" t="s">
        <v>223</v>
      </c>
      <c r="K17" s="411" t="s">
        <v>926</v>
      </c>
      <c r="L17" s="411" t="s">
        <v>927</v>
      </c>
      <c r="M17" s="411" t="str">
        <f>COMM!AK47</f>
        <v>CO2e-Exp</v>
      </c>
    </row>
    <row r="18" spans="2:13" x14ac:dyDescent="0.25">
      <c r="B18" s="138" t="str">
        <f>COMM!AK40</f>
        <v>CO2e-Scope3</v>
      </c>
      <c r="C18" s="138">
        <v>1</v>
      </c>
      <c r="D18" s="138">
        <v>1</v>
      </c>
      <c r="E18" s="137">
        <v>1</v>
      </c>
      <c r="F18" s="137">
        <v>1</v>
      </c>
      <c r="G18" s="137">
        <v>1</v>
      </c>
      <c r="H18" s="137">
        <v>1</v>
      </c>
      <c r="I18" s="137">
        <v>1</v>
      </c>
      <c r="J18" s="137">
        <v>1</v>
      </c>
      <c r="K18" s="137">
        <v>1</v>
      </c>
      <c r="L18" s="137">
        <v>1</v>
      </c>
      <c r="M18" s="137">
        <v>1</v>
      </c>
    </row>
    <row r="21" spans="2:13" x14ac:dyDescent="0.25">
      <c r="C21" s="745" t="s">
        <v>934</v>
      </c>
      <c r="D21" s="745"/>
      <c r="E21" s="745"/>
      <c r="F21" s="745"/>
      <c r="G21" s="745"/>
      <c r="H21" s="745"/>
      <c r="I21" s="745"/>
      <c r="J21" s="745"/>
      <c r="K21" s="745"/>
      <c r="L21" s="745"/>
    </row>
    <row r="23" spans="2:13" x14ac:dyDescent="0.25">
      <c r="B23" s="156" t="s">
        <v>929</v>
      </c>
    </row>
    <row r="24" spans="2:13" x14ac:dyDescent="0.25">
      <c r="B24" s="411" t="s">
        <v>40</v>
      </c>
      <c r="C24" s="411" t="str" cm="1">
        <f t="array" ref="C24:J24">TRANSPOSE(COMM!AK20:AK27)</f>
        <v>CO2e-CAM1</v>
      </c>
      <c r="D24" s="411" t="str">
        <v>CO2e-CAM2</v>
      </c>
      <c r="E24" s="411" t="str">
        <v>CO2e-CAM3</v>
      </c>
      <c r="F24" s="411" t="str">
        <v>CO2e-CAM4</v>
      </c>
      <c r="G24" s="411" t="str">
        <v>CO2e-CAM5</v>
      </c>
      <c r="H24" s="411" t="str">
        <v>CO2e-CAM6</v>
      </c>
      <c r="I24" s="411" t="str">
        <v>CO2e-CAM7</v>
      </c>
      <c r="J24" s="411" t="str">
        <v>CO2e-CAM8</v>
      </c>
    </row>
    <row r="25" spans="2:13" x14ac:dyDescent="0.25">
      <c r="B25" s="138" t="str">
        <f>COMM!AK44</f>
        <v>CO2e-Produccion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8" spans="2:13" x14ac:dyDescent="0.25">
      <c r="B28" s="156" t="s">
        <v>929</v>
      </c>
    </row>
    <row r="29" spans="2:13" x14ac:dyDescent="0.25">
      <c r="B29" s="411" t="s">
        <v>40</v>
      </c>
      <c r="C29" s="411" t="str" cm="1">
        <f t="array" ref="C29:D29">TRANSPOSE(COMM!AK42:AK43)</f>
        <v>CO2e-REF1</v>
      </c>
      <c r="D29" s="411" t="str">
        <v>CO2e-REF2</v>
      </c>
    </row>
    <row r="30" spans="2:13" x14ac:dyDescent="0.25">
      <c r="B30" s="138" t="str">
        <f>COMM!AK45</f>
        <v>CO2e-Refineria</v>
      </c>
      <c r="C30">
        <v>1</v>
      </c>
      <c r="D30">
        <v>1</v>
      </c>
    </row>
  </sheetData>
  <mergeCells count="3">
    <mergeCell ref="C3:L3"/>
    <mergeCell ref="C14:L14"/>
    <mergeCell ref="C21:L2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BASE1</vt:lpstr>
      <vt:lpstr>COMM</vt:lpstr>
      <vt:lpstr>PROCESS</vt:lpstr>
      <vt:lpstr>Fuels</vt:lpstr>
      <vt:lpstr>Exp_Imp</vt:lpstr>
      <vt:lpstr>Demand</vt:lpstr>
      <vt:lpstr>R_Car</vt:lpstr>
      <vt:lpstr>REF2</vt:lpstr>
      <vt:lpstr>R_Bar</vt:lpstr>
      <vt:lpstr>DataCAM</vt:lpstr>
      <vt:lpstr>Upstream</vt:lpstr>
      <vt:lpstr>Midstream</vt:lpstr>
      <vt:lpstr>GenerationUP</vt:lpstr>
      <vt:lpstr>GenerationMID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57314</cp:lastModifiedBy>
  <dcterms:created xsi:type="dcterms:W3CDTF">2015-06-05T18:19:34Z</dcterms:created>
  <dcterms:modified xsi:type="dcterms:W3CDTF">2023-07-18T00:04:55Z</dcterms:modified>
</cp:coreProperties>
</file>