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DataBases\Informes_Gestion_ECP\"/>
    </mc:Choice>
  </mc:AlternateContent>
  <xr:revisionPtr revIDLastSave="0" documentId="13_ncr:1_{2411D15B-FD31-4326-B5BA-91772C7E9A7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UTOGENERACIÓN" sheetId="8" r:id="rId1"/>
    <sheet name="TIMES" sheetId="1" r:id="rId2"/>
    <sheet name="Balance-sin" sheetId="2" r:id="rId3"/>
    <sheet name="Produccion" sheetId="4" r:id="rId4"/>
    <sheet name="Transporte" sheetId="6" r:id="rId5"/>
    <sheet name="Emisiones" sheetId="5" r:id="rId6"/>
    <sheet name="Refineria" sheetId="3" r:id="rId7"/>
    <sheet name="Intensidade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I7" i="8"/>
  <c r="I5" i="8" s="1"/>
  <c r="F5" i="8"/>
  <c r="G5" i="8"/>
  <c r="H5" i="8"/>
  <c r="E5" i="8"/>
  <c r="F7" i="8"/>
  <c r="F37" i="2"/>
  <c r="F42" i="2"/>
  <c r="G42" i="2"/>
  <c r="H42" i="2"/>
  <c r="I42" i="2"/>
  <c r="F38" i="2"/>
  <c r="G38" i="2"/>
  <c r="H38" i="2"/>
  <c r="I38" i="2"/>
  <c r="J38" i="2"/>
  <c r="G15" i="7"/>
  <c r="L15" i="7" s="1"/>
  <c r="L16" i="7" s="1"/>
  <c r="L17" i="7" s="1"/>
  <c r="L3" i="7"/>
  <c r="H24" i="7"/>
  <c r="H22" i="7"/>
  <c r="H20" i="7"/>
  <c r="H19" i="7"/>
  <c r="J42" i="2"/>
  <c r="E12" i="6"/>
  <c r="I46" i="6"/>
  <c r="G46" i="6"/>
  <c r="I45" i="6"/>
  <c r="G45" i="6"/>
  <c r="I41" i="6"/>
  <c r="G41" i="6"/>
  <c r="D46" i="6"/>
  <c r="D45" i="6"/>
  <c r="I24" i="6"/>
  <c r="F35" i="6"/>
  <c r="F22" i="6"/>
  <c r="G20" i="4" l="1"/>
  <c r="F25" i="5"/>
  <c r="L22" i="2"/>
  <c r="E19" i="3"/>
  <c r="E20" i="3"/>
  <c r="E21" i="3"/>
  <c r="E22" i="3"/>
  <c r="E18" i="3"/>
  <c r="D22" i="3"/>
  <c r="D8" i="3"/>
  <c r="D10" i="3" s="1"/>
  <c r="D11" i="3" s="1"/>
  <c r="D4" i="3"/>
  <c r="D3" i="3"/>
  <c r="L11" i="2" l="1"/>
  <c r="L12" i="2"/>
  <c r="L10" i="2"/>
  <c r="J13" i="2"/>
  <c r="J12" i="2" s="1"/>
  <c r="J11" i="2"/>
  <c r="K26" i="2"/>
  <c r="J26" i="2"/>
  <c r="F11" i="2"/>
  <c r="F10" i="2"/>
  <c r="O39" i="1"/>
  <c r="O40" i="1"/>
  <c r="O38" i="1"/>
  <c r="I39" i="1"/>
  <c r="I40" i="1"/>
  <c r="I38" i="1"/>
  <c r="D39" i="1"/>
  <c r="D40" i="1"/>
  <c r="D38" i="1"/>
  <c r="I35" i="1"/>
  <c r="I34" i="1"/>
  <c r="D35" i="1"/>
  <c r="D34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D12" i="1"/>
  <c r="I41" i="1" l="1"/>
  <c r="F13" i="2" s="1"/>
  <c r="H10" i="2" s="1"/>
  <c r="H12" i="2" l="1"/>
  <c r="H11" i="2"/>
  <c r="H13" i="2" l="1"/>
</calcChain>
</file>

<file path=xl/sharedStrings.xml><?xml version="1.0" encoding="utf-8"?>
<sst xmlns="http://schemas.openxmlformats.org/spreadsheetml/2006/main" count="416" uniqueCount="157">
  <si>
    <t>Table Name:</t>
  </si>
  <si>
    <t>Unsaved_143024</t>
  </si>
  <si>
    <t>Attribute</t>
  </si>
  <si>
    <t>Commodity</t>
  </si>
  <si>
    <t>Process</t>
  </si>
  <si>
    <t>VAR_FIn</t>
  </si>
  <si>
    <t>ELC-CAM1</t>
  </si>
  <si>
    <t>PROF-CAM1</t>
  </si>
  <si>
    <t>ELC-CAM2</t>
  </si>
  <si>
    <t>PROF-CAM2</t>
  </si>
  <si>
    <t>ELC-CAM3</t>
  </si>
  <si>
    <t>PROF-CAM3</t>
  </si>
  <si>
    <t>ELC-CAM4</t>
  </si>
  <si>
    <t>PROF-CAM4</t>
  </si>
  <si>
    <t>ELC-CAM5</t>
  </si>
  <si>
    <t>PROF-CAM5</t>
  </si>
  <si>
    <t>ELC-CAM6</t>
  </si>
  <si>
    <t>PROF-CAM6</t>
  </si>
  <si>
    <t>ELC-CAM7</t>
  </si>
  <si>
    <t>PROF-CAM7</t>
  </si>
  <si>
    <t>ELC-REF1</t>
  </si>
  <si>
    <t>REF1</t>
  </si>
  <si>
    <t>ELC-REF2</t>
  </si>
  <si>
    <t>REF2</t>
  </si>
  <si>
    <t>ELC-SIN</t>
  </si>
  <si>
    <t>COMPRA-ELC-CAM1</t>
  </si>
  <si>
    <t>COMPRA-ELC-CAM2</t>
  </si>
  <si>
    <t>COMPRA-ELC-CAM3</t>
  </si>
  <si>
    <t>COMPRA-ELC-CAM4</t>
  </si>
  <si>
    <t>COMPRA-ELC-CAM5</t>
  </si>
  <si>
    <t>COMPRA-ELC-CAM6</t>
  </si>
  <si>
    <t>COMPRA-ELC-CAM7</t>
  </si>
  <si>
    <t>VAR_FOut</t>
  </si>
  <si>
    <t>AUTO-REF1</t>
  </si>
  <si>
    <t>AUTO-REF2</t>
  </si>
  <si>
    <t>IMP-SIN</t>
  </si>
  <si>
    <t>PJ</t>
  </si>
  <si>
    <t>Campo</t>
  </si>
  <si>
    <t>Ref</t>
  </si>
  <si>
    <t>Transporte</t>
  </si>
  <si>
    <t>COMBUSTIBLES</t>
  </si>
  <si>
    <t>ELC</t>
  </si>
  <si>
    <t>EF</t>
  </si>
  <si>
    <t>TOTAL</t>
  </si>
  <si>
    <t>GWh</t>
  </si>
  <si>
    <t>Gwh</t>
  </si>
  <si>
    <t>MIX-FUEL-TRA-CAM2</t>
  </si>
  <si>
    <t>TRA-DSL-CAM1</t>
  </si>
  <si>
    <t>TRA-GAS-CAM2</t>
  </si>
  <si>
    <t>TRA-LOIL-CAM2</t>
  </si>
  <si>
    <t>MIX-FUEL-TRA-CAM3</t>
  </si>
  <si>
    <t>TRA-DSL-CAM2</t>
  </si>
  <si>
    <t>TRA-GAS-CAM3</t>
  </si>
  <si>
    <t>TRA-HOIL-CAM3</t>
  </si>
  <si>
    <t>MIX-FUEL-TRA-CAM4</t>
  </si>
  <si>
    <t>TRA-DSL-CAM3</t>
  </si>
  <si>
    <t>TRA-LOIL-CAM4</t>
  </si>
  <si>
    <t>MIX-FUEL-TRA-CAM5</t>
  </si>
  <si>
    <t>TRA-DSL-CAM4</t>
  </si>
  <si>
    <t>TRA-GAS-CAM5</t>
  </si>
  <si>
    <t>TRA-MOIL-CAM5</t>
  </si>
  <si>
    <t>MIX-FUEL-TRA-CAM6</t>
  </si>
  <si>
    <t>TRA-DSL-CAM6</t>
  </si>
  <si>
    <t>TRA-GAS-CAM6</t>
  </si>
  <si>
    <t>TRA-MOIL-CAM6</t>
  </si>
  <si>
    <t>MIX-FUEL-TRA-CAM7</t>
  </si>
  <si>
    <t>TRA-LOIL-CAM7</t>
  </si>
  <si>
    <t>CO2e-CAM2</t>
  </si>
  <si>
    <t>FUEL-TRA-CAM2</t>
  </si>
  <si>
    <t>CO2e-CAM3</t>
  </si>
  <si>
    <t>FUEL-TRA-CAM3</t>
  </si>
  <si>
    <t>CO2e-CAM4</t>
  </si>
  <si>
    <t>FUEL-TRA-CAM4</t>
  </si>
  <si>
    <t>CO2e-CAM5</t>
  </si>
  <si>
    <t>FUEL-TRA-CAM5</t>
  </si>
  <si>
    <t>CO2e-CAM6</t>
  </si>
  <si>
    <t>FUEL-TRA-CAM6</t>
  </si>
  <si>
    <t>CO2e-CAM7</t>
  </si>
  <si>
    <t>FUEL-TRA-CAM7</t>
  </si>
  <si>
    <t>DSL</t>
  </si>
  <si>
    <t>GAS</t>
  </si>
  <si>
    <t>OIL</t>
  </si>
  <si>
    <t>Refinería</t>
  </si>
  <si>
    <t>Producción</t>
  </si>
  <si>
    <t>%</t>
  </si>
  <si>
    <t>UO</t>
  </si>
  <si>
    <t>RN</t>
  </si>
  <si>
    <t>FOSSIL</t>
  </si>
  <si>
    <t>Compras al SIN</t>
  </si>
  <si>
    <t>Augoeneración Ref</t>
  </si>
  <si>
    <t>Ventas</t>
  </si>
  <si>
    <t>ECP, 2019</t>
  </si>
  <si>
    <t>Carga</t>
  </si>
  <si>
    <t>kbal</t>
  </si>
  <si>
    <t>tj/KBL</t>
  </si>
  <si>
    <t>TJ</t>
  </si>
  <si>
    <t>TJ/PJ</t>
  </si>
  <si>
    <t>PJ/PJ</t>
  </si>
  <si>
    <t>Consumo</t>
  </si>
  <si>
    <t>Gas para procesar</t>
  </si>
  <si>
    <t>Gas para CHP/power</t>
  </si>
  <si>
    <t>Refinery Gas</t>
  </si>
  <si>
    <t>Fuel Oil</t>
  </si>
  <si>
    <t>PJ/PJ oil</t>
  </si>
  <si>
    <t>Renovable</t>
  </si>
  <si>
    <t>Fosil</t>
  </si>
  <si>
    <t>Compras SIN</t>
  </si>
  <si>
    <t>ECP</t>
  </si>
  <si>
    <t>Intensidad</t>
  </si>
  <si>
    <t>Crudo</t>
  </si>
  <si>
    <t>Prod total</t>
  </si>
  <si>
    <t>kboepd</t>
  </si>
  <si>
    <t>kbopd</t>
  </si>
  <si>
    <t>Kwg/bbl</t>
  </si>
  <si>
    <t>Emisiones</t>
  </si>
  <si>
    <t>Mt CO2</t>
  </si>
  <si>
    <t>Scope 2</t>
  </si>
  <si>
    <t>Scope 1</t>
  </si>
  <si>
    <t>kt / año</t>
  </si>
  <si>
    <t>Unsaved_1557</t>
  </si>
  <si>
    <t>CO2e-CAM1</t>
  </si>
  <si>
    <t>SCOPE 2</t>
  </si>
  <si>
    <t>Kt CO2</t>
  </si>
  <si>
    <t>kt</t>
  </si>
  <si>
    <t>kt CO2</t>
  </si>
  <si>
    <t>COL-GAS-CAM1</t>
  </si>
  <si>
    <t>COL-GAS-CAM2</t>
  </si>
  <si>
    <t>COL-GAS-CAM5</t>
  </si>
  <si>
    <t>COL-GAS-CAM6</t>
  </si>
  <si>
    <t xml:space="preserve">Transporte </t>
  </si>
  <si>
    <t>SEC</t>
  </si>
  <si>
    <t>SGE</t>
  </si>
  <si>
    <t>kg CO2/GJ</t>
  </si>
  <si>
    <t>kt/PJ</t>
  </si>
  <si>
    <t>Petróleo transportado</t>
  </si>
  <si>
    <t>kbe/d</t>
  </si>
  <si>
    <t>Modelo</t>
  </si>
  <si>
    <t>Emisiones directas</t>
  </si>
  <si>
    <t>Emisiones indirectas</t>
  </si>
  <si>
    <t>Emisiones 2</t>
  </si>
  <si>
    <t>kt CO2eq</t>
  </si>
  <si>
    <t>VAR_Comnet</t>
  </si>
  <si>
    <t>-</t>
  </si>
  <si>
    <t>Total</t>
  </si>
  <si>
    <t>COL-GAS-CAM7</t>
  </si>
  <si>
    <t>LOIL</t>
  </si>
  <si>
    <t>HOIL</t>
  </si>
  <si>
    <t>MOIL</t>
  </si>
  <si>
    <t>kg/PJ</t>
  </si>
  <si>
    <t>1 BOE</t>
  </si>
  <si>
    <t>J/bl</t>
  </si>
  <si>
    <t>PJ/bl</t>
  </si>
  <si>
    <t>F.E kg/Kwh</t>
  </si>
  <si>
    <t>F.E. Según UPME</t>
  </si>
  <si>
    <t>SIN</t>
  </si>
  <si>
    <t>AUTO</t>
  </si>
  <si>
    <t>FOSILES sin refineria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</si>
</sst>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0"/>
    <numFmt numFmtId="166" formatCode="0.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11" fontId="0" fillId="0" borderId="0" xfId="0" applyNumberFormat="1"/>
    <xf numFmtId="0" fontId="0" fillId="0" borderId="7" xfId="0" applyBorder="1"/>
    <xf numFmtId="2" fontId="0" fillId="0" borderId="0" xfId="0" applyNumberFormat="1"/>
    <xf numFmtId="0" fontId="0" fillId="0" borderId="8" xfId="0" applyBorder="1"/>
    <xf numFmtId="2" fontId="0" fillId="0" borderId="5" xfId="0" applyNumberFormat="1" applyBorder="1"/>
    <xf numFmtId="9" fontId="0" fillId="0" borderId="0" xfId="1" applyFont="1"/>
    <xf numFmtId="164" fontId="0" fillId="0" borderId="0" xfId="0" applyNumberFormat="1"/>
    <xf numFmtId="1" fontId="0" fillId="0" borderId="2" xfId="0" applyNumberFormat="1" applyBorder="1"/>
    <xf numFmtId="1" fontId="0" fillId="0" borderId="5" xfId="0" applyNumberFormat="1" applyBorder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165" fontId="0" fillId="0" borderId="0" xfId="0" applyNumberFormat="1"/>
    <xf numFmtId="43" fontId="2" fillId="0" borderId="0" xfId="2" applyFont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6" fontId="0" fillId="0" borderId="0" xfId="0" applyNumberFormat="1"/>
    <xf numFmtId="0" fontId="2" fillId="0" borderId="0" xfId="0" applyFont="1"/>
    <xf numFmtId="1" fontId="2" fillId="0" borderId="0" xfId="0" applyNumberFormat="1" applyFon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27</xdr:row>
      <xdr:rowOff>123825</xdr:rowOff>
    </xdr:from>
    <xdr:to>
      <xdr:col>19</xdr:col>
      <xdr:colOff>96926</xdr:colOff>
      <xdr:row>46</xdr:row>
      <xdr:rowOff>48120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D33D9C-8944-0CD7-2DEF-BEB1B763D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2225" y="5267325"/>
          <a:ext cx="12012701" cy="3543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F2D1-AFBC-43B6-AB77-6C7078F152A5}">
  <sheetPr>
    <tabColor rgb="FFFF0000"/>
  </sheetPr>
  <dimension ref="D4:J8"/>
  <sheetViews>
    <sheetView showGridLines="0" workbookViewId="0">
      <selection activeCell="G10" sqref="G10"/>
    </sheetView>
  </sheetViews>
  <sheetFormatPr baseColWidth="10" defaultRowHeight="15" x14ac:dyDescent="0.25"/>
  <cols>
    <col min="4" max="4" width="23.42578125" customWidth="1"/>
  </cols>
  <sheetData>
    <row r="4" spans="4:10" x14ac:dyDescent="0.25">
      <c r="E4">
        <v>2017</v>
      </c>
      <c r="F4">
        <v>2018</v>
      </c>
      <c r="G4">
        <v>2019</v>
      </c>
      <c r="H4">
        <v>2020</v>
      </c>
      <c r="I4">
        <v>2021</v>
      </c>
    </row>
    <row r="5" spans="4:10" x14ac:dyDescent="0.25">
      <c r="E5" s="19">
        <f>+E6+E7</f>
        <v>6392.6819999999998</v>
      </c>
      <c r="F5" s="19">
        <f t="shared" ref="F5:I5" si="0">+F6+F7</f>
        <v>6882</v>
      </c>
      <c r="G5" s="19">
        <f t="shared" si="0"/>
        <v>7419</v>
      </c>
      <c r="H5" s="19">
        <f t="shared" si="0"/>
        <v>7067</v>
      </c>
      <c r="I5" s="19">
        <f t="shared" si="0"/>
        <v>7377</v>
      </c>
    </row>
    <row r="6" spans="4:10" x14ac:dyDescent="0.25">
      <c r="D6" s="30" t="s">
        <v>154</v>
      </c>
      <c r="E6" s="31">
        <v>1818.588</v>
      </c>
      <c r="F6" s="30">
        <v>2414</v>
      </c>
      <c r="G6" s="30">
        <v>2300</v>
      </c>
      <c r="H6" s="30">
        <v>2425</v>
      </c>
      <c r="I6" s="30">
        <v>2309</v>
      </c>
      <c r="J6" s="30" t="s">
        <v>45</v>
      </c>
    </row>
    <row r="7" spans="4:10" x14ac:dyDescent="0.25">
      <c r="D7" t="s">
        <v>155</v>
      </c>
      <c r="E7" s="19">
        <v>4574.0940000000001</v>
      </c>
      <c r="F7">
        <f>6999-F6-117</f>
        <v>4468</v>
      </c>
      <c r="G7">
        <v>5119</v>
      </c>
      <c r="H7">
        <v>4642</v>
      </c>
      <c r="I7">
        <f>7377-I6</f>
        <v>5068</v>
      </c>
      <c r="J7" t="s">
        <v>45</v>
      </c>
    </row>
    <row r="8" spans="4:10" x14ac:dyDescent="0.25">
      <c r="D8" s="32" t="s">
        <v>156</v>
      </c>
      <c r="F8">
        <v>3036</v>
      </c>
      <c r="G8">
        <v>3297</v>
      </c>
      <c r="H8">
        <v>3030</v>
      </c>
      <c r="I8">
        <v>2813</v>
      </c>
      <c r="J8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showGridLines="0" topLeftCell="B19" workbookViewId="0">
      <selection activeCell="G41" sqref="G41"/>
    </sheetView>
  </sheetViews>
  <sheetFormatPr baseColWidth="10" defaultColWidth="9.140625" defaultRowHeight="15" x14ac:dyDescent="0.25"/>
  <cols>
    <col min="1" max="1" width="24" customWidth="1"/>
    <col min="2" max="2" width="23.5703125" customWidth="1"/>
    <col min="3" max="3" width="26" customWidth="1"/>
  </cols>
  <sheetData>
    <row r="1" spans="1:17" x14ac:dyDescent="0.25">
      <c r="A1" t="s">
        <v>0</v>
      </c>
      <c r="B1" t="s">
        <v>1</v>
      </c>
    </row>
    <row r="2" spans="1:17" x14ac:dyDescent="0.25">
      <c r="A2" t="s">
        <v>2</v>
      </c>
      <c r="B2" t="s">
        <v>3</v>
      </c>
      <c r="C2" t="s">
        <v>4</v>
      </c>
      <c r="D2">
        <v>2019</v>
      </c>
      <c r="E2">
        <v>2020</v>
      </c>
      <c r="F2">
        <v>2023</v>
      </c>
      <c r="G2">
        <v>2025</v>
      </c>
      <c r="H2">
        <v>2027</v>
      </c>
      <c r="I2">
        <v>2030</v>
      </c>
      <c r="J2">
        <v>2033</v>
      </c>
      <c r="K2">
        <v>2035</v>
      </c>
      <c r="L2">
        <v>2037</v>
      </c>
      <c r="M2">
        <v>2040</v>
      </c>
      <c r="N2">
        <v>2043</v>
      </c>
      <c r="O2">
        <v>2045</v>
      </c>
      <c r="P2">
        <v>2047</v>
      </c>
      <c r="Q2">
        <v>2050</v>
      </c>
    </row>
    <row r="3" spans="1:17" x14ac:dyDescent="0.25">
      <c r="A3" t="s">
        <v>5</v>
      </c>
      <c r="B3" t="s">
        <v>6</v>
      </c>
      <c r="C3" t="s">
        <v>7</v>
      </c>
      <c r="D3">
        <v>0.810477299439335</v>
      </c>
      <c r="E3">
        <v>0.65493209803973595</v>
      </c>
      <c r="F3">
        <v>0.57077333660731999</v>
      </c>
      <c r="G3">
        <v>0.45993947276192299</v>
      </c>
      <c r="H3">
        <v>0.29964749880497299</v>
      </c>
    </row>
    <row r="4" spans="1:17" x14ac:dyDescent="0.25">
      <c r="A4" t="s">
        <v>5</v>
      </c>
      <c r="B4" t="s">
        <v>8</v>
      </c>
      <c r="C4" t="s">
        <v>9</v>
      </c>
      <c r="D4">
        <v>9.8346473268648698</v>
      </c>
      <c r="E4">
        <v>9.6549287486859292</v>
      </c>
      <c r="F4">
        <v>7.8884001376220603</v>
      </c>
      <c r="G4">
        <v>5.9238828823559997</v>
      </c>
      <c r="H4">
        <v>0.84485949858120202</v>
      </c>
      <c r="I4">
        <v>0.84485949858120202</v>
      </c>
      <c r="J4">
        <v>0.84485949858120202</v>
      </c>
      <c r="K4">
        <v>0.84485949858120202</v>
      </c>
      <c r="L4">
        <v>0.84485949858120202</v>
      </c>
      <c r="M4">
        <v>0.55251534966910698</v>
      </c>
    </row>
    <row r="5" spans="1:17" x14ac:dyDescent="0.25">
      <c r="A5" t="s">
        <v>5</v>
      </c>
      <c r="B5" t="s">
        <v>10</v>
      </c>
      <c r="C5" t="s">
        <v>11</v>
      </c>
      <c r="D5">
        <v>7.7036757217462597</v>
      </c>
      <c r="E5">
        <v>7.2919152751794796</v>
      </c>
      <c r="F5">
        <v>6.2286010942105197</v>
      </c>
      <c r="G5">
        <v>5.2413155604088901</v>
      </c>
      <c r="H5">
        <v>4.4584071218441004</v>
      </c>
      <c r="I5">
        <v>3.2840444639969202</v>
      </c>
      <c r="J5">
        <v>2.7332350230307698</v>
      </c>
      <c r="K5">
        <v>2.3179972455698801</v>
      </c>
      <c r="L5">
        <v>1.9309355647691699</v>
      </c>
      <c r="M5">
        <v>1.3505283665471</v>
      </c>
      <c r="N5">
        <v>0.86395218208201396</v>
      </c>
      <c r="O5">
        <v>0.74574376885723903</v>
      </c>
      <c r="P5">
        <v>0.68104057495250803</v>
      </c>
      <c r="Q5">
        <v>0.58398578409540902</v>
      </c>
    </row>
    <row r="6" spans="1:17" x14ac:dyDescent="0.25">
      <c r="A6" t="s">
        <v>5</v>
      </c>
      <c r="B6" t="s">
        <v>12</v>
      </c>
      <c r="C6" t="s">
        <v>13</v>
      </c>
      <c r="D6">
        <v>0.109255702836646</v>
      </c>
      <c r="E6">
        <v>0.103242668308773</v>
      </c>
      <c r="F6">
        <v>8.9628250509813698E-2</v>
      </c>
      <c r="G6">
        <v>8.0551971977174397E-2</v>
      </c>
      <c r="H6">
        <v>6.7845182031479198E-2</v>
      </c>
      <c r="I6">
        <v>3.2198486381176297E-2</v>
      </c>
    </row>
    <row r="7" spans="1:17" x14ac:dyDescent="0.25">
      <c r="A7" t="s">
        <v>5</v>
      </c>
      <c r="B7" t="s">
        <v>14</v>
      </c>
      <c r="C7" t="s">
        <v>15</v>
      </c>
      <c r="D7">
        <v>2.4929417117336898</v>
      </c>
      <c r="E7">
        <v>2.3188489248417299</v>
      </c>
      <c r="F7">
        <v>1.7681707275452101</v>
      </c>
      <c r="G7">
        <v>1.3746746737244799</v>
      </c>
      <c r="H7">
        <v>1.1028891397319101</v>
      </c>
      <c r="I7">
        <v>0.69521083874305001</v>
      </c>
      <c r="J7">
        <v>0.52645187858877396</v>
      </c>
      <c r="K7">
        <v>0.413945905152589</v>
      </c>
      <c r="L7">
        <v>0.34981332848570201</v>
      </c>
      <c r="M7">
        <v>0.25361446348536898</v>
      </c>
      <c r="N7">
        <v>0.18300531739055201</v>
      </c>
      <c r="O7">
        <v>0.14701695546419899</v>
      </c>
      <c r="P7">
        <v>0.11687971917605</v>
      </c>
      <c r="Q7">
        <v>8.6575323683759906E-2</v>
      </c>
    </row>
    <row r="8" spans="1:17" x14ac:dyDescent="0.25">
      <c r="A8" t="s">
        <v>5</v>
      </c>
      <c r="B8" t="s">
        <v>16</v>
      </c>
      <c r="C8" t="s">
        <v>17</v>
      </c>
      <c r="D8">
        <v>0.45154082596841399</v>
      </c>
      <c r="E8">
        <v>0.42087574450918103</v>
      </c>
      <c r="F8">
        <v>0.36279179670247502</v>
      </c>
      <c r="G8">
        <v>0.30656014321331398</v>
      </c>
      <c r="H8">
        <v>0.25973316950277497</v>
      </c>
      <c r="I8">
        <v>0.19274772198267301</v>
      </c>
      <c r="J8">
        <v>0.15808065369417601</v>
      </c>
      <c r="K8">
        <v>0.13496927483517901</v>
      </c>
      <c r="L8">
        <v>0.118355896657877</v>
      </c>
      <c r="M8">
        <v>9.4397537791788499E-2</v>
      </c>
      <c r="N8">
        <v>7.4419142261816895E-2</v>
      </c>
      <c r="O8">
        <v>6.5419685465128399E-2</v>
      </c>
      <c r="P8">
        <v>6.0453907580912201E-2</v>
      </c>
      <c r="Q8">
        <v>5.30052407545877E-2</v>
      </c>
    </row>
    <row r="9" spans="1:17" x14ac:dyDescent="0.25">
      <c r="A9" t="s">
        <v>5</v>
      </c>
      <c r="B9" t="s">
        <v>18</v>
      </c>
      <c r="C9" t="s">
        <v>19</v>
      </c>
      <c r="D9">
        <v>0.165834350009712</v>
      </c>
      <c r="E9">
        <v>0.16282124031641901</v>
      </c>
      <c r="F9">
        <v>0.16312574220162801</v>
      </c>
      <c r="G9">
        <v>0.13829646458810099</v>
      </c>
      <c r="H9">
        <v>0.117864904063295</v>
      </c>
      <c r="I9">
        <v>9.2461556438914294E-2</v>
      </c>
      <c r="J9">
        <v>7.4640495615377403E-2</v>
      </c>
      <c r="K9">
        <v>6.3888589747600394E-2</v>
      </c>
      <c r="L9">
        <v>5.4816773906586E-2</v>
      </c>
      <c r="M9">
        <v>4.4062037082298798E-2</v>
      </c>
      <c r="N9">
        <v>3.3985526539609803E-2</v>
      </c>
      <c r="O9">
        <v>2.7470872868504099E-2</v>
      </c>
      <c r="P9">
        <v>1.13893259528823E-2</v>
      </c>
      <c r="Q9">
        <v>4.6554178568140904E-3</v>
      </c>
    </row>
    <row r="10" spans="1:17" x14ac:dyDescent="0.25">
      <c r="A10" t="s">
        <v>5</v>
      </c>
      <c r="B10" t="s">
        <v>20</v>
      </c>
      <c r="C10" t="s">
        <v>21</v>
      </c>
      <c r="D10">
        <v>2.9616841553795901</v>
      </c>
      <c r="E10">
        <v>3.1527605525008502</v>
      </c>
      <c r="F10">
        <v>3.1527605525008502</v>
      </c>
      <c r="G10">
        <v>3.1527605525008502</v>
      </c>
      <c r="H10">
        <v>3.1527605525008502</v>
      </c>
      <c r="I10">
        <v>3.1527605525008502</v>
      </c>
      <c r="J10">
        <v>3.1527605525008502</v>
      </c>
      <c r="K10">
        <v>3.1527605525008502</v>
      </c>
      <c r="L10">
        <v>3.1527605525008502</v>
      </c>
      <c r="M10">
        <v>3.1527605525008502</v>
      </c>
      <c r="N10">
        <v>3.1527605525008502</v>
      </c>
      <c r="O10">
        <v>3.1527605525008502</v>
      </c>
      <c r="P10">
        <v>3.1527605525008502</v>
      </c>
      <c r="Q10">
        <v>3.1527605525008502</v>
      </c>
    </row>
    <row r="11" spans="1:17" x14ac:dyDescent="0.25">
      <c r="A11" t="s">
        <v>5</v>
      </c>
      <c r="B11" t="s">
        <v>22</v>
      </c>
      <c r="C11" t="s">
        <v>23</v>
      </c>
      <c r="D11">
        <v>2.1370339745013398</v>
      </c>
      <c r="E11">
        <v>2.4440004282952299</v>
      </c>
      <c r="F11">
        <v>2.4440004282952299</v>
      </c>
      <c r="G11">
        <v>2.4440004282952299</v>
      </c>
      <c r="H11">
        <v>2.4440004282952299</v>
      </c>
      <c r="I11">
        <v>2.4440004282952299</v>
      </c>
      <c r="J11">
        <v>2.4440004282952299</v>
      </c>
      <c r="K11">
        <v>2.4440004282952299</v>
      </c>
      <c r="L11">
        <v>2.4440004282952299</v>
      </c>
      <c r="M11">
        <v>2.4440004282952299</v>
      </c>
      <c r="N11">
        <v>2.4440004282952299</v>
      </c>
      <c r="O11">
        <v>2.4440004282952299</v>
      </c>
      <c r="P11">
        <v>2.4440004282952299</v>
      </c>
      <c r="Q11">
        <v>2.4440004282952299</v>
      </c>
    </row>
    <row r="12" spans="1:17" x14ac:dyDescent="0.25">
      <c r="D12">
        <f>+SUM(D3:D11)</f>
        <v>26.667091068479852</v>
      </c>
      <c r="E12">
        <f t="shared" ref="E12:Q12" si="0">+SUM(E3:E11)</f>
        <v>26.204325680677332</v>
      </c>
      <c r="F12">
        <f t="shared" si="0"/>
        <v>22.668252066195109</v>
      </c>
      <c r="G12">
        <f t="shared" si="0"/>
        <v>19.121982149825964</v>
      </c>
      <c r="H12">
        <f t="shared" si="0"/>
        <v>12.748007495355814</v>
      </c>
      <c r="I12">
        <f t="shared" si="0"/>
        <v>10.738283546920016</v>
      </c>
      <c r="J12">
        <f t="shared" si="0"/>
        <v>9.9340285303063798</v>
      </c>
      <c r="K12">
        <f t="shared" si="0"/>
        <v>9.3724214946825306</v>
      </c>
      <c r="L12">
        <f t="shared" si="0"/>
        <v>8.8955420431966168</v>
      </c>
      <c r="M12">
        <f t="shared" si="0"/>
        <v>7.8918787353717423</v>
      </c>
      <c r="N12">
        <f t="shared" si="0"/>
        <v>6.7521231490700728</v>
      </c>
      <c r="O12">
        <f t="shared" si="0"/>
        <v>6.5824122634511504</v>
      </c>
      <c r="P12">
        <f t="shared" si="0"/>
        <v>6.4665245084584324</v>
      </c>
      <c r="Q12">
        <f t="shared" si="0"/>
        <v>6.3249827471866507</v>
      </c>
    </row>
    <row r="13" spans="1:17" x14ac:dyDescent="0.25">
      <c r="A13" t="s">
        <v>5</v>
      </c>
      <c r="B13" t="s">
        <v>24</v>
      </c>
      <c r="C13" t="s">
        <v>25</v>
      </c>
      <c r="D13">
        <v>0.810477299439335</v>
      </c>
      <c r="E13">
        <v>0.65493209803973595</v>
      </c>
      <c r="F13">
        <v>0.57077333660731999</v>
      </c>
      <c r="G13">
        <v>0.45993947276192299</v>
      </c>
      <c r="H13">
        <v>0.29964749880497299</v>
      </c>
    </row>
    <row r="14" spans="1:17" x14ac:dyDescent="0.25">
      <c r="A14" t="s">
        <v>5</v>
      </c>
      <c r="B14" t="s">
        <v>24</v>
      </c>
      <c r="C14" t="s">
        <v>26</v>
      </c>
      <c r="D14">
        <v>9.8346473268648698</v>
      </c>
      <c r="E14">
        <v>9.6549287486859292</v>
      </c>
      <c r="F14">
        <v>7.8884001376220603</v>
      </c>
      <c r="G14">
        <v>5.9238828823559997</v>
      </c>
      <c r="H14">
        <v>0.84485949858120202</v>
      </c>
      <c r="I14">
        <v>0.84485949858120202</v>
      </c>
      <c r="J14">
        <v>0.84485949858120202</v>
      </c>
      <c r="K14">
        <v>0.84485949858120202</v>
      </c>
      <c r="L14">
        <v>0.84485949858120202</v>
      </c>
      <c r="M14">
        <v>0.55251534966910698</v>
      </c>
    </row>
    <row r="15" spans="1:17" x14ac:dyDescent="0.25">
      <c r="A15" t="s">
        <v>5</v>
      </c>
      <c r="B15" t="s">
        <v>24</v>
      </c>
      <c r="C15" t="s">
        <v>27</v>
      </c>
      <c r="D15">
        <v>7.7036757217462597</v>
      </c>
      <c r="E15">
        <v>7.2919152751794796</v>
      </c>
      <c r="F15">
        <v>6.2286010942105197</v>
      </c>
      <c r="G15">
        <v>5.2413155604088901</v>
      </c>
      <c r="H15">
        <v>4.4584071218441004</v>
      </c>
      <c r="I15">
        <v>3.2840444639969202</v>
      </c>
      <c r="J15">
        <v>2.7332350230307698</v>
      </c>
      <c r="K15">
        <v>2.3179972455698801</v>
      </c>
      <c r="L15">
        <v>1.9309355647691699</v>
      </c>
      <c r="M15">
        <v>1.3505283665471</v>
      </c>
      <c r="N15">
        <v>0.86395218208201396</v>
      </c>
      <c r="O15">
        <v>0.74574376885723903</v>
      </c>
      <c r="P15">
        <v>0.68104057495250803</v>
      </c>
      <c r="Q15">
        <v>0.58398578409540902</v>
      </c>
    </row>
    <row r="16" spans="1:17" x14ac:dyDescent="0.25">
      <c r="A16" t="s">
        <v>5</v>
      </c>
      <c r="B16" t="s">
        <v>24</v>
      </c>
      <c r="C16" t="s">
        <v>28</v>
      </c>
      <c r="D16">
        <v>0.109255702836646</v>
      </c>
      <c r="E16">
        <v>0.103242668308773</v>
      </c>
      <c r="F16">
        <v>8.9628250509813698E-2</v>
      </c>
      <c r="G16">
        <v>8.0551971977174397E-2</v>
      </c>
      <c r="H16">
        <v>6.7845182031479198E-2</v>
      </c>
      <c r="I16">
        <v>3.2198486381176297E-2</v>
      </c>
    </row>
    <row r="17" spans="1:17" x14ac:dyDescent="0.25">
      <c r="A17" t="s">
        <v>5</v>
      </c>
      <c r="B17" t="s">
        <v>24</v>
      </c>
      <c r="C17" t="s">
        <v>29</v>
      </c>
      <c r="D17">
        <v>2.4929417117336898</v>
      </c>
      <c r="E17">
        <v>2.3188489248417299</v>
      </c>
      <c r="F17">
        <v>1.7681707275452101</v>
      </c>
      <c r="G17">
        <v>1.3746746737244799</v>
      </c>
      <c r="H17">
        <v>1.1028891397319101</v>
      </c>
      <c r="I17">
        <v>0.69521083874305001</v>
      </c>
      <c r="J17">
        <v>0.52645187858877396</v>
      </c>
      <c r="K17">
        <v>0.413945905152589</v>
      </c>
      <c r="L17">
        <v>0.34981332848570201</v>
      </c>
      <c r="M17">
        <v>0.25361446348536898</v>
      </c>
      <c r="N17">
        <v>0.18300531739055201</v>
      </c>
      <c r="O17">
        <v>0.14701695546419899</v>
      </c>
      <c r="P17">
        <v>0.11687971917605</v>
      </c>
      <c r="Q17">
        <v>8.6575323683759906E-2</v>
      </c>
    </row>
    <row r="18" spans="1:17" x14ac:dyDescent="0.25">
      <c r="A18" t="s">
        <v>5</v>
      </c>
      <c r="B18" t="s">
        <v>24</v>
      </c>
      <c r="C18" t="s">
        <v>30</v>
      </c>
      <c r="D18">
        <v>0.45154082596841399</v>
      </c>
      <c r="E18">
        <v>0.42087574450918103</v>
      </c>
      <c r="F18">
        <v>0.36279179670247502</v>
      </c>
      <c r="G18">
        <v>0.30656014321331398</v>
      </c>
      <c r="H18">
        <v>0.25973316950277497</v>
      </c>
      <c r="I18">
        <v>0.19274772198267301</v>
      </c>
      <c r="J18">
        <v>0.15808065369417601</v>
      </c>
      <c r="K18">
        <v>0.13496927483517901</v>
      </c>
      <c r="L18">
        <v>0.118355896657877</v>
      </c>
      <c r="M18">
        <v>9.4397537791788499E-2</v>
      </c>
      <c r="N18">
        <v>7.4419142261816895E-2</v>
      </c>
      <c r="O18">
        <v>6.5419685465128399E-2</v>
      </c>
      <c r="P18">
        <v>6.0453907580912201E-2</v>
      </c>
      <c r="Q18">
        <v>5.30052407545877E-2</v>
      </c>
    </row>
    <row r="19" spans="1:17" x14ac:dyDescent="0.25">
      <c r="A19" t="s">
        <v>5</v>
      </c>
      <c r="B19" t="s">
        <v>24</v>
      </c>
      <c r="C19" t="s">
        <v>31</v>
      </c>
      <c r="D19">
        <v>0.165834350009712</v>
      </c>
      <c r="E19">
        <v>0.16282124031641901</v>
      </c>
      <c r="F19">
        <v>0.16312574220162801</v>
      </c>
      <c r="G19">
        <v>0.13829646458810099</v>
      </c>
      <c r="H19">
        <v>0.117864904063295</v>
      </c>
      <c r="I19">
        <v>9.2461556438914294E-2</v>
      </c>
      <c r="J19">
        <v>7.4640495615377403E-2</v>
      </c>
      <c r="K19">
        <v>6.3888589747600394E-2</v>
      </c>
      <c r="L19">
        <v>5.4816773906586E-2</v>
      </c>
      <c r="M19">
        <v>4.4062037082298798E-2</v>
      </c>
      <c r="N19">
        <v>3.3985526539609803E-2</v>
      </c>
      <c r="O19">
        <v>2.7470872868504099E-2</v>
      </c>
      <c r="P19">
        <v>1.13893259528823E-2</v>
      </c>
      <c r="Q19">
        <v>4.6554178568140904E-3</v>
      </c>
    </row>
    <row r="20" spans="1:17" x14ac:dyDescent="0.25">
      <c r="A20" t="s">
        <v>32</v>
      </c>
      <c r="B20" t="s">
        <v>6</v>
      </c>
      <c r="C20" t="s">
        <v>25</v>
      </c>
      <c r="D20">
        <v>0.810477299439335</v>
      </c>
      <c r="E20">
        <v>0.65493209803973595</v>
      </c>
      <c r="F20">
        <v>0.57077333660731999</v>
      </c>
      <c r="G20">
        <v>0.45993947276192299</v>
      </c>
      <c r="H20">
        <v>0.29964749880497299</v>
      </c>
    </row>
    <row r="21" spans="1:17" x14ac:dyDescent="0.25">
      <c r="A21" t="s">
        <v>32</v>
      </c>
      <c r="B21" t="s">
        <v>8</v>
      </c>
      <c r="C21" t="s">
        <v>26</v>
      </c>
      <c r="D21">
        <v>9.8346473268648698</v>
      </c>
      <c r="E21">
        <v>9.6549287486859292</v>
      </c>
      <c r="F21">
        <v>7.8884001376220603</v>
      </c>
      <c r="G21">
        <v>5.9238828823559997</v>
      </c>
      <c r="H21">
        <v>0.84485949858120202</v>
      </c>
      <c r="I21">
        <v>0.84485949858120202</v>
      </c>
      <c r="J21">
        <v>0.84485949858120202</v>
      </c>
      <c r="K21">
        <v>0.84485949858120202</v>
      </c>
      <c r="L21">
        <v>0.84485949858120202</v>
      </c>
      <c r="M21">
        <v>0.55251534966910698</v>
      </c>
    </row>
    <row r="22" spans="1:17" x14ac:dyDescent="0.25">
      <c r="A22" t="s">
        <v>32</v>
      </c>
      <c r="B22" t="s">
        <v>10</v>
      </c>
      <c r="C22" t="s">
        <v>27</v>
      </c>
      <c r="D22">
        <v>7.7036757217462597</v>
      </c>
      <c r="E22">
        <v>7.2919152751794796</v>
      </c>
      <c r="F22">
        <v>6.2286010942105197</v>
      </c>
      <c r="G22">
        <v>5.2413155604088901</v>
      </c>
      <c r="H22">
        <v>4.4584071218441004</v>
      </c>
      <c r="I22">
        <v>3.2840444639969202</v>
      </c>
      <c r="J22">
        <v>2.7332350230307698</v>
      </c>
      <c r="K22">
        <v>2.3179972455698801</v>
      </c>
      <c r="L22">
        <v>1.9309355647691699</v>
      </c>
      <c r="M22">
        <v>1.3505283665471</v>
      </c>
      <c r="N22">
        <v>0.86395218208201396</v>
      </c>
      <c r="O22">
        <v>0.74574376885723903</v>
      </c>
      <c r="P22">
        <v>0.68104057495250803</v>
      </c>
      <c r="Q22">
        <v>0.58398578409540902</v>
      </c>
    </row>
    <row r="23" spans="1:17" x14ac:dyDescent="0.25">
      <c r="A23" t="s">
        <v>32</v>
      </c>
      <c r="B23" t="s">
        <v>12</v>
      </c>
      <c r="C23" t="s">
        <v>28</v>
      </c>
      <c r="D23">
        <v>0.109255702836646</v>
      </c>
      <c r="E23">
        <v>0.103242668308773</v>
      </c>
      <c r="F23">
        <v>8.9628250509813698E-2</v>
      </c>
      <c r="G23">
        <v>8.0551971977174397E-2</v>
      </c>
      <c r="H23">
        <v>6.7845182031479198E-2</v>
      </c>
      <c r="I23">
        <v>3.2198486381176297E-2</v>
      </c>
    </row>
    <row r="24" spans="1:17" x14ac:dyDescent="0.25">
      <c r="A24" t="s">
        <v>32</v>
      </c>
      <c r="B24" t="s">
        <v>14</v>
      </c>
      <c r="C24" t="s">
        <v>29</v>
      </c>
      <c r="D24">
        <v>2.4929417117336898</v>
      </c>
      <c r="E24">
        <v>2.3188489248417299</v>
      </c>
      <c r="F24">
        <v>1.7681707275452101</v>
      </c>
      <c r="G24">
        <v>1.3746746737244799</v>
      </c>
      <c r="H24">
        <v>1.1028891397319101</v>
      </c>
      <c r="I24">
        <v>0.69521083874305001</v>
      </c>
      <c r="J24">
        <v>0.52645187858877396</v>
      </c>
      <c r="K24">
        <v>0.413945905152589</v>
      </c>
      <c r="L24">
        <v>0.34981332848570201</v>
      </c>
      <c r="M24">
        <v>0.25361446348536898</v>
      </c>
      <c r="N24">
        <v>0.18300531739055201</v>
      </c>
      <c r="O24">
        <v>0.14701695546419899</v>
      </c>
      <c r="P24">
        <v>0.11687971917605</v>
      </c>
      <c r="Q24">
        <v>8.6575323683759906E-2</v>
      </c>
    </row>
    <row r="25" spans="1:17" x14ac:dyDescent="0.25">
      <c r="A25" t="s">
        <v>32</v>
      </c>
      <c r="B25" t="s">
        <v>16</v>
      </c>
      <c r="C25" t="s">
        <v>30</v>
      </c>
      <c r="D25">
        <v>0.45154082596841399</v>
      </c>
      <c r="E25">
        <v>0.42087574450918103</v>
      </c>
      <c r="F25">
        <v>0.36279179670247502</v>
      </c>
      <c r="G25">
        <v>0.30656014321331398</v>
      </c>
      <c r="H25">
        <v>0.25973316950277497</v>
      </c>
      <c r="I25">
        <v>0.19274772198267301</v>
      </c>
      <c r="J25">
        <v>0.15808065369417601</v>
      </c>
      <c r="K25">
        <v>0.13496927483517901</v>
      </c>
      <c r="L25">
        <v>0.118355896657877</v>
      </c>
      <c r="M25">
        <v>9.4397537791788499E-2</v>
      </c>
      <c r="N25">
        <v>7.4419142261816895E-2</v>
      </c>
      <c r="O25">
        <v>6.5419685465128399E-2</v>
      </c>
      <c r="P25">
        <v>6.0453907580912201E-2</v>
      </c>
      <c r="Q25">
        <v>5.30052407545877E-2</v>
      </c>
    </row>
    <row r="26" spans="1:17" x14ac:dyDescent="0.25">
      <c r="A26" t="s">
        <v>32</v>
      </c>
      <c r="B26" t="s">
        <v>18</v>
      </c>
      <c r="C26" t="s">
        <v>31</v>
      </c>
      <c r="D26">
        <v>0.165834350009712</v>
      </c>
      <c r="E26">
        <v>0.16282124031641901</v>
      </c>
      <c r="F26">
        <v>0.16312574220162801</v>
      </c>
      <c r="G26">
        <v>0.13829646458810099</v>
      </c>
      <c r="H26">
        <v>0.117864904063295</v>
      </c>
      <c r="I26">
        <v>9.2461556438914294E-2</v>
      </c>
      <c r="J26">
        <v>7.4640495615377403E-2</v>
      </c>
      <c r="K26">
        <v>6.3888589747600394E-2</v>
      </c>
      <c r="L26">
        <v>5.4816773906586E-2</v>
      </c>
      <c r="M26">
        <v>4.4062037082298798E-2</v>
      </c>
      <c r="N26">
        <v>3.3985526539609803E-2</v>
      </c>
      <c r="O26">
        <v>2.7470872868504099E-2</v>
      </c>
      <c r="P26">
        <v>1.13893259528823E-2</v>
      </c>
      <c r="Q26">
        <v>4.6554178568140904E-3</v>
      </c>
    </row>
    <row r="27" spans="1:17" x14ac:dyDescent="0.25">
      <c r="A27" t="s">
        <v>32</v>
      </c>
      <c r="B27" t="s">
        <v>20</v>
      </c>
      <c r="C27" t="s">
        <v>33</v>
      </c>
      <c r="D27">
        <v>3.1491864000000001</v>
      </c>
      <c r="E27">
        <v>3.3523597161290302</v>
      </c>
      <c r="F27">
        <v>3.3523597161290302</v>
      </c>
      <c r="G27">
        <v>3.3523597161290302</v>
      </c>
      <c r="H27">
        <v>3.3523597161290302</v>
      </c>
      <c r="I27">
        <v>3.3523597161290302</v>
      </c>
      <c r="J27">
        <v>3.3523597161290302</v>
      </c>
      <c r="K27">
        <v>3.3523597161290302</v>
      </c>
      <c r="L27">
        <v>3.3523597161290302</v>
      </c>
      <c r="M27">
        <v>3.3523597161290302</v>
      </c>
      <c r="N27">
        <v>3.3523597161290302</v>
      </c>
      <c r="O27">
        <v>3.3523597161290302</v>
      </c>
      <c r="P27">
        <v>3.3523597161290302</v>
      </c>
      <c r="Q27">
        <v>3.3523597161290302</v>
      </c>
    </row>
    <row r="28" spans="1:17" x14ac:dyDescent="0.25">
      <c r="A28" t="s">
        <v>32</v>
      </c>
      <c r="B28" t="s">
        <v>22</v>
      </c>
      <c r="C28" t="s">
        <v>34</v>
      </c>
      <c r="D28">
        <v>2.1512390163934398</v>
      </c>
      <c r="E28">
        <v>2.4602459016393499</v>
      </c>
      <c r="F28">
        <v>2.4602459016393499</v>
      </c>
      <c r="G28">
        <v>2.4602459016393499</v>
      </c>
      <c r="H28">
        <v>2.4602459016393499</v>
      </c>
      <c r="I28">
        <v>2.4602459016393499</v>
      </c>
      <c r="J28">
        <v>2.4602459016393499</v>
      </c>
      <c r="K28">
        <v>2.4602459016393499</v>
      </c>
      <c r="L28">
        <v>2.4602459016393499</v>
      </c>
      <c r="M28">
        <v>2.4602459016393499</v>
      </c>
      <c r="N28">
        <v>2.4602459016393499</v>
      </c>
      <c r="O28">
        <v>2.4602459016393499</v>
      </c>
      <c r="P28">
        <v>2.4602459016393499</v>
      </c>
      <c r="Q28">
        <v>2.4602459016393499</v>
      </c>
    </row>
    <row r="29" spans="1:17" x14ac:dyDescent="0.25">
      <c r="A29" t="s">
        <v>32</v>
      </c>
      <c r="B29" t="s">
        <v>24</v>
      </c>
      <c r="C29" t="s">
        <v>35</v>
      </c>
      <c r="D29">
        <v>21.568372938598898</v>
      </c>
      <c r="E29">
        <v>20.607564699881198</v>
      </c>
      <c r="F29">
        <v>17.071491085399</v>
      </c>
      <c r="G29">
        <v>13.5252211690299</v>
      </c>
      <c r="H29">
        <v>7.1512465145597304</v>
      </c>
      <c r="I29">
        <v>5.1415225661239399</v>
      </c>
      <c r="J29">
        <v>4.3372675495103001</v>
      </c>
      <c r="K29">
        <v>3.7756605138864501</v>
      </c>
      <c r="L29">
        <v>3.29878106240053</v>
      </c>
      <c r="M29">
        <v>2.29511775457566</v>
      </c>
      <c r="N29">
        <v>1.1553621682739901</v>
      </c>
      <c r="O29">
        <v>0.98565128265507096</v>
      </c>
      <c r="P29">
        <v>0.86976352766235199</v>
      </c>
      <c r="Q29">
        <v>0.72822176639057101</v>
      </c>
    </row>
    <row r="32" spans="1:17" x14ac:dyDescent="0.25">
      <c r="D32">
        <v>26.667000000000002</v>
      </c>
      <c r="E32" t="s">
        <v>36</v>
      </c>
    </row>
    <row r="33" spans="1:15" x14ac:dyDescent="0.25">
      <c r="G33" t="s">
        <v>42</v>
      </c>
      <c r="I33" t="s">
        <v>43</v>
      </c>
    </row>
    <row r="34" spans="1:15" x14ac:dyDescent="0.25">
      <c r="B34" s="2" t="s">
        <v>41</v>
      </c>
      <c r="C34" s="3" t="s">
        <v>37</v>
      </c>
      <c r="D34" s="3">
        <f>+SUM(D3:D9)</f>
        <v>21.568372938598923</v>
      </c>
      <c r="E34" s="3" t="s">
        <v>36</v>
      </c>
      <c r="F34" s="3"/>
      <c r="G34" s="4">
        <v>1</v>
      </c>
      <c r="H34" s="3"/>
      <c r="I34" s="17">
        <f>+D34*G34/0.0036</f>
        <v>5991.2147051663678</v>
      </c>
      <c r="J34" s="5" t="s">
        <v>44</v>
      </c>
    </row>
    <row r="35" spans="1:15" x14ac:dyDescent="0.25">
      <c r="B35" s="6" t="s">
        <v>41</v>
      </c>
      <c r="C35" s="7" t="s">
        <v>38</v>
      </c>
      <c r="D35" s="7">
        <f>+SUM(D10:D11)</f>
        <v>5.0987181298809299</v>
      </c>
      <c r="E35" s="7" t="s">
        <v>36</v>
      </c>
      <c r="F35" s="7"/>
      <c r="G35" s="8">
        <v>1</v>
      </c>
      <c r="H35" s="7"/>
      <c r="I35" s="18">
        <f>+D35*G35/0.0036</f>
        <v>1416.3105916335917</v>
      </c>
      <c r="J35" s="9" t="s">
        <v>45</v>
      </c>
    </row>
    <row r="36" spans="1:15" x14ac:dyDescent="0.25">
      <c r="I36" s="19"/>
    </row>
    <row r="37" spans="1:15" x14ac:dyDescent="0.25">
      <c r="B37" s="2"/>
      <c r="C37" s="3" t="s">
        <v>39</v>
      </c>
      <c r="D37" s="3"/>
      <c r="E37" s="3"/>
      <c r="F37" s="3"/>
      <c r="G37" s="3"/>
      <c r="H37" s="3"/>
      <c r="I37" s="17"/>
      <c r="J37" s="5"/>
    </row>
    <row r="38" spans="1:15" x14ac:dyDescent="0.25">
      <c r="B38" s="11" t="s">
        <v>40</v>
      </c>
      <c r="C38" t="s">
        <v>79</v>
      </c>
      <c r="D38" s="12">
        <f>+D45+D48+D51+D53+D56</f>
        <v>2.3563052549129839</v>
      </c>
      <c r="G38" s="1">
        <v>0.35</v>
      </c>
      <c r="I38" s="19">
        <f>+G38*D38/0.0036</f>
        <v>229.08523311654011</v>
      </c>
      <c r="J38" s="13" t="s">
        <v>45</v>
      </c>
      <c r="M38" t="s">
        <v>79</v>
      </c>
      <c r="O38" s="15">
        <f>+D38/SUM($D$38:$D$40)</f>
        <v>0.56219265448964117</v>
      </c>
    </row>
    <row r="39" spans="1:15" x14ac:dyDescent="0.25">
      <c r="B39" s="11"/>
      <c r="C39" t="s">
        <v>80</v>
      </c>
      <c r="D39" s="12">
        <f>+D46+D49+D54+D57</f>
        <v>0.32740044486137365</v>
      </c>
      <c r="G39" s="1">
        <v>0.49</v>
      </c>
      <c r="I39" s="19">
        <f t="shared" ref="I39:I40" si="1">+G39*D39/0.0036</f>
        <v>44.562838328353642</v>
      </c>
      <c r="J39" s="13" t="s">
        <v>45</v>
      </c>
      <c r="M39" t="s">
        <v>80</v>
      </c>
      <c r="O39" s="15">
        <f t="shared" ref="O39:O40" si="2">+D39/SUM($D$38:$D$40)</f>
        <v>7.8114719981177597E-2</v>
      </c>
    </row>
    <row r="40" spans="1:15" x14ac:dyDescent="0.25">
      <c r="B40" s="6"/>
      <c r="C40" s="7" t="s">
        <v>81</v>
      </c>
      <c r="D40" s="14">
        <f>+D47+D50+D52+D55+D58+D59</f>
        <v>1.507571500480134</v>
      </c>
      <c r="E40" s="7"/>
      <c r="F40" s="7"/>
      <c r="G40" s="8">
        <v>0.25</v>
      </c>
      <c r="H40" s="7"/>
      <c r="I40" s="18">
        <f t="shared" si="1"/>
        <v>104.69246531112042</v>
      </c>
      <c r="J40" s="9" t="s">
        <v>45</v>
      </c>
      <c r="M40" t="s">
        <v>81</v>
      </c>
      <c r="O40" s="15">
        <f t="shared" si="2"/>
        <v>0.35969262552918124</v>
      </c>
    </row>
    <row r="41" spans="1:15" x14ac:dyDescent="0.25">
      <c r="D41" s="10"/>
      <c r="I41" s="19">
        <f>+SUM(I38:I40)</f>
        <v>378.34053675601416</v>
      </c>
    </row>
    <row r="43" spans="1:15" x14ac:dyDescent="0.25">
      <c r="A43" t="s">
        <v>0</v>
      </c>
      <c r="B43" t="s">
        <v>1</v>
      </c>
    </row>
    <row r="44" spans="1:15" x14ac:dyDescent="0.25">
      <c r="A44" t="s">
        <v>2</v>
      </c>
      <c r="B44" t="s">
        <v>4</v>
      </c>
      <c r="C44" t="s">
        <v>3</v>
      </c>
      <c r="D44">
        <v>2019</v>
      </c>
    </row>
    <row r="45" spans="1:15" x14ac:dyDescent="0.25">
      <c r="A45" t="s">
        <v>5</v>
      </c>
      <c r="B45" t="s">
        <v>46</v>
      </c>
      <c r="C45" t="s">
        <v>47</v>
      </c>
      <c r="D45">
        <v>0.24816891158066501</v>
      </c>
    </row>
    <row r="46" spans="1:15" x14ac:dyDescent="0.25">
      <c r="A46" t="s">
        <v>5</v>
      </c>
      <c r="B46" t="s">
        <v>46</v>
      </c>
      <c r="C46" t="s">
        <v>48</v>
      </c>
      <c r="D46">
        <v>3.4698388853223697E-2</v>
      </c>
    </row>
    <row r="47" spans="1:15" x14ac:dyDescent="0.25">
      <c r="A47" t="s">
        <v>5</v>
      </c>
      <c r="B47" t="s">
        <v>46</v>
      </c>
      <c r="C47" t="s">
        <v>49</v>
      </c>
      <c r="D47">
        <v>0.15086256023140801</v>
      </c>
    </row>
    <row r="48" spans="1:15" x14ac:dyDescent="0.25">
      <c r="A48" t="s">
        <v>5</v>
      </c>
      <c r="B48" t="s">
        <v>50</v>
      </c>
      <c r="C48" t="s">
        <v>51</v>
      </c>
      <c r="D48">
        <v>1.6591549191930299</v>
      </c>
    </row>
    <row r="49" spans="1:4" x14ac:dyDescent="0.25">
      <c r="A49" t="s">
        <v>5</v>
      </c>
      <c r="B49" t="s">
        <v>50</v>
      </c>
      <c r="C49" t="s">
        <v>52</v>
      </c>
      <c r="D49">
        <v>0.231979107242795</v>
      </c>
    </row>
    <row r="50" spans="1:4" x14ac:dyDescent="0.25">
      <c r="A50" t="s">
        <v>5</v>
      </c>
      <c r="B50" t="s">
        <v>50</v>
      </c>
      <c r="C50" t="s">
        <v>53</v>
      </c>
      <c r="D50">
        <v>1.00860481409911</v>
      </c>
    </row>
    <row r="51" spans="1:4" x14ac:dyDescent="0.25">
      <c r="A51" t="s">
        <v>5</v>
      </c>
      <c r="B51" t="s">
        <v>54</v>
      </c>
      <c r="C51" t="s">
        <v>55</v>
      </c>
      <c r="D51">
        <v>1.4680334056641899E-2</v>
      </c>
    </row>
    <row r="52" spans="1:4" x14ac:dyDescent="0.25">
      <c r="A52" t="s">
        <v>5</v>
      </c>
      <c r="B52" t="s">
        <v>54</v>
      </c>
      <c r="C52" t="s">
        <v>56</v>
      </c>
      <c r="D52">
        <v>7.8295114968757098E-3</v>
      </c>
    </row>
    <row r="53" spans="1:4" x14ac:dyDescent="0.25">
      <c r="A53" t="s">
        <v>5</v>
      </c>
      <c r="B53" t="s">
        <v>57</v>
      </c>
      <c r="C53" t="s">
        <v>58</v>
      </c>
      <c r="D53">
        <v>0.36887530386342299</v>
      </c>
    </row>
    <row r="54" spans="1:4" x14ac:dyDescent="0.25">
      <c r="A54" t="s">
        <v>5</v>
      </c>
      <c r="B54" t="s">
        <v>57</v>
      </c>
      <c r="C54" t="s">
        <v>59</v>
      </c>
      <c r="D54">
        <v>5.1575270448989297E-2</v>
      </c>
    </row>
    <row r="55" spans="1:4" x14ac:dyDescent="0.25">
      <c r="A55" t="s">
        <v>5</v>
      </c>
      <c r="B55" t="s">
        <v>57</v>
      </c>
      <c r="C55" t="s">
        <v>60</v>
      </c>
      <c r="D55">
        <v>0.22424030629995401</v>
      </c>
    </row>
    <row r="56" spans="1:4" x14ac:dyDescent="0.25">
      <c r="A56" t="s">
        <v>5</v>
      </c>
      <c r="B56" t="s">
        <v>61</v>
      </c>
      <c r="C56" t="s">
        <v>62</v>
      </c>
      <c r="D56">
        <v>6.5425786219223597E-2</v>
      </c>
    </row>
    <row r="57" spans="1:4" x14ac:dyDescent="0.25">
      <c r="A57" t="s">
        <v>5</v>
      </c>
      <c r="B57" t="s">
        <v>61</v>
      </c>
      <c r="C57" t="s">
        <v>63</v>
      </c>
      <c r="D57">
        <v>9.1476783163656206E-3</v>
      </c>
    </row>
    <row r="58" spans="1:4" x14ac:dyDescent="0.25">
      <c r="A58" t="s">
        <v>5</v>
      </c>
      <c r="B58" t="s">
        <v>61</v>
      </c>
      <c r="C58" t="s">
        <v>64</v>
      </c>
      <c r="D58">
        <v>3.9772514418980998E-2</v>
      </c>
    </row>
    <row r="59" spans="1:4" x14ac:dyDescent="0.25">
      <c r="A59" t="s">
        <v>5</v>
      </c>
      <c r="B59" t="s">
        <v>65</v>
      </c>
      <c r="C59" t="s">
        <v>66</v>
      </c>
      <c r="D59">
        <v>7.6261793933805194E-2</v>
      </c>
    </row>
    <row r="60" spans="1:4" x14ac:dyDescent="0.25">
      <c r="A60" t="s">
        <v>32</v>
      </c>
      <c r="B60" t="s">
        <v>46</v>
      </c>
      <c r="C60" t="s">
        <v>67</v>
      </c>
      <c r="D60">
        <v>32.324485329545297</v>
      </c>
    </row>
    <row r="61" spans="1:4" x14ac:dyDescent="0.25">
      <c r="A61" t="s">
        <v>32</v>
      </c>
      <c r="B61" t="s">
        <v>46</v>
      </c>
      <c r="C61" t="s">
        <v>68</v>
      </c>
      <c r="D61">
        <v>0.43372986066529601</v>
      </c>
    </row>
    <row r="62" spans="1:4" x14ac:dyDescent="0.25">
      <c r="A62" t="s">
        <v>32</v>
      </c>
      <c r="B62" t="s">
        <v>50</v>
      </c>
      <c r="C62" t="s">
        <v>69</v>
      </c>
      <c r="D62">
        <v>216.10816803484099</v>
      </c>
    </row>
    <row r="63" spans="1:4" x14ac:dyDescent="0.25">
      <c r="A63" t="s">
        <v>32</v>
      </c>
      <c r="B63" t="s">
        <v>50</v>
      </c>
      <c r="C63" t="s">
        <v>70</v>
      </c>
      <c r="D63">
        <v>2.89973884053494</v>
      </c>
    </row>
    <row r="64" spans="1:4" x14ac:dyDescent="0.25">
      <c r="A64" t="s">
        <v>32</v>
      </c>
      <c r="B64" t="s">
        <v>54</v>
      </c>
      <c r="C64" t="s">
        <v>71</v>
      </c>
      <c r="D64">
        <v>1.7129305985832399</v>
      </c>
    </row>
    <row r="65" spans="1:4" x14ac:dyDescent="0.25">
      <c r="A65" t="s">
        <v>32</v>
      </c>
      <c r="B65" t="s">
        <v>54</v>
      </c>
      <c r="C65" t="s">
        <v>72</v>
      </c>
      <c r="D65">
        <v>2.2509845553517701E-2</v>
      </c>
    </row>
    <row r="66" spans="1:4" x14ac:dyDescent="0.25">
      <c r="A66" t="s">
        <v>32</v>
      </c>
      <c r="B66" t="s">
        <v>57</v>
      </c>
      <c r="C66" t="s">
        <v>73</v>
      </c>
      <c r="D66">
        <v>48.046728626156302</v>
      </c>
    </row>
    <row r="67" spans="1:4" x14ac:dyDescent="0.25">
      <c r="A67" t="s">
        <v>32</v>
      </c>
      <c r="B67" t="s">
        <v>57</v>
      </c>
      <c r="C67" t="s">
        <v>74</v>
      </c>
      <c r="D67">
        <v>0.64469088061236601</v>
      </c>
    </row>
    <row r="68" spans="1:4" x14ac:dyDescent="0.25">
      <c r="A68" t="s">
        <v>32</v>
      </c>
      <c r="B68" t="s">
        <v>61</v>
      </c>
      <c r="C68" t="s">
        <v>75</v>
      </c>
      <c r="D68">
        <v>7.2377074451164498</v>
      </c>
    </row>
    <row r="69" spans="1:4" x14ac:dyDescent="0.25">
      <c r="A69" t="s">
        <v>32</v>
      </c>
      <c r="B69" t="s">
        <v>61</v>
      </c>
      <c r="C69" t="s">
        <v>76</v>
      </c>
      <c r="D69">
        <v>0.11434597895456999</v>
      </c>
    </row>
    <row r="70" spans="1:4" x14ac:dyDescent="0.25">
      <c r="A70" t="s">
        <v>32</v>
      </c>
      <c r="B70" t="s">
        <v>65</v>
      </c>
      <c r="C70" t="s">
        <v>77</v>
      </c>
      <c r="D70">
        <v>5.9363536095570799</v>
      </c>
    </row>
    <row r="71" spans="1:4" x14ac:dyDescent="0.25">
      <c r="A71" t="s">
        <v>32</v>
      </c>
      <c r="B71" t="s">
        <v>65</v>
      </c>
      <c r="C71" t="s">
        <v>78</v>
      </c>
      <c r="D71">
        <v>7.6261793933805194E-2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15D46-1125-40BF-BD9E-6210E181128B}">
  <dimension ref="E8:L43"/>
  <sheetViews>
    <sheetView showGridLines="0" tabSelected="1" topLeftCell="D1" zoomScale="130" zoomScaleNormal="130" workbookViewId="0">
      <selection activeCell="F12" sqref="F12"/>
    </sheetView>
  </sheetViews>
  <sheetFormatPr baseColWidth="10" defaultRowHeight="15" x14ac:dyDescent="0.25"/>
  <cols>
    <col min="5" max="5" width="17.85546875" customWidth="1"/>
    <col min="7" max="8" width="8.140625" customWidth="1"/>
  </cols>
  <sheetData>
    <row r="8" spans="5:12" x14ac:dyDescent="0.25">
      <c r="J8" t="s">
        <v>91</v>
      </c>
    </row>
    <row r="9" spans="5:12" x14ac:dyDescent="0.25">
      <c r="F9" s="33" t="s">
        <v>85</v>
      </c>
      <c r="G9" s="33"/>
      <c r="H9" s="20" t="s">
        <v>84</v>
      </c>
    </row>
    <row r="10" spans="5:12" x14ac:dyDescent="0.25">
      <c r="E10" t="s">
        <v>82</v>
      </c>
      <c r="F10" s="19">
        <f>+TIMES!I35</f>
        <v>1416.3105916335917</v>
      </c>
      <c r="G10" t="s">
        <v>45</v>
      </c>
      <c r="H10" s="15">
        <f>+F10/$F$13</f>
        <v>0.18190791132432499</v>
      </c>
      <c r="J10">
        <v>1822</v>
      </c>
      <c r="K10" t="s">
        <v>45</v>
      </c>
      <c r="L10" s="15">
        <f>+J10/$J$13</f>
        <v>0.24558565844453431</v>
      </c>
    </row>
    <row r="11" spans="5:12" x14ac:dyDescent="0.25">
      <c r="E11" t="s">
        <v>83</v>
      </c>
      <c r="F11" s="19">
        <f>+TIMES!I34</f>
        <v>5991.2147051663678</v>
      </c>
      <c r="G11" t="s">
        <v>45</v>
      </c>
      <c r="H11" s="15">
        <f t="shared" ref="H11:H12" si="0">+F11/$F$13</f>
        <v>0.76949883715502587</v>
      </c>
      <c r="J11">
        <f>3031+1646</f>
        <v>4677</v>
      </c>
      <c r="K11" t="s">
        <v>45</v>
      </c>
      <c r="L11" s="15">
        <f t="shared" ref="L11:L12" si="1">+J11/$J$13</f>
        <v>0.63040841083704002</v>
      </c>
    </row>
    <row r="12" spans="5:12" x14ac:dyDescent="0.25">
      <c r="E12" t="s">
        <v>39</v>
      </c>
      <c r="F12" s="19">
        <f>+TIMES!I41</f>
        <v>378.34053675601416</v>
      </c>
      <c r="G12" t="s">
        <v>45</v>
      </c>
      <c r="H12" s="15">
        <f t="shared" si="0"/>
        <v>4.859325152064916E-2</v>
      </c>
      <c r="J12" s="21">
        <f>+J13-J10-J11</f>
        <v>920</v>
      </c>
      <c r="K12" t="s">
        <v>45</v>
      </c>
      <c r="L12" s="15">
        <f t="shared" si="1"/>
        <v>0.12400593071842567</v>
      </c>
    </row>
    <row r="13" spans="5:12" x14ac:dyDescent="0.25">
      <c r="E13" t="s">
        <v>43</v>
      </c>
      <c r="F13" s="19">
        <f>+F10+F11+F12</f>
        <v>7785.8658335559739</v>
      </c>
      <c r="G13" t="s">
        <v>45</v>
      </c>
      <c r="H13" s="1">
        <f>+H12+H10+H11</f>
        <v>1</v>
      </c>
      <c r="J13">
        <f>5119+2300</f>
        <v>7419</v>
      </c>
      <c r="K13" t="s">
        <v>45</v>
      </c>
    </row>
    <row r="20" spans="5:12" x14ac:dyDescent="0.25">
      <c r="F20" s="22"/>
      <c r="G20" s="23"/>
      <c r="H20" s="23"/>
      <c r="I20" s="23"/>
      <c r="J20" s="23">
        <v>2018</v>
      </c>
      <c r="K20" s="24">
        <v>2019</v>
      </c>
    </row>
    <row r="21" spans="5:12" x14ac:dyDescent="0.25">
      <c r="E21" s="2" t="s">
        <v>86</v>
      </c>
      <c r="F21" s="3"/>
      <c r="G21" s="3"/>
      <c r="H21" s="3"/>
      <c r="I21" s="3"/>
      <c r="J21" s="3">
        <v>105</v>
      </c>
      <c r="K21" s="5">
        <v>88.2</v>
      </c>
    </row>
    <row r="22" spans="5:12" x14ac:dyDescent="0.25">
      <c r="E22" s="11" t="s">
        <v>87</v>
      </c>
      <c r="J22">
        <v>3036</v>
      </c>
      <c r="K22" s="13">
        <v>3297</v>
      </c>
      <c r="L22">
        <f>+K22+K23</f>
        <v>5597</v>
      </c>
    </row>
    <row r="23" spans="5:12" x14ac:dyDescent="0.25">
      <c r="E23" s="11" t="s">
        <v>88</v>
      </c>
      <c r="J23">
        <v>2414</v>
      </c>
      <c r="K23" s="13">
        <v>2300</v>
      </c>
    </row>
    <row r="24" spans="5:12" x14ac:dyDescent="0.25">
      <c r="E24" s="11" t="s">
        <v>89</v>
      </c>
      <c r="J24">
        <v>1561</v>
      </c>
      <c r="K24" s="13">
        <v>1822</v>
      </c>
    </row>
    <row r="25" spans="5:12" x14ac:dyDescent="0.25">
      <c r="E25" s="6" t="s">
        <v>90</v>
      </c>
      <c r="F25" s="7"/>
      <c r="G25" s="7"/>
      <c r="H25" s="7"/>
      <c r="I25" s="7"/>
      <c r="J25" s="7">
        <v>-117</v>
      </c>
      <c r="K25" s="9">
        <v>-123.5</v>
      </c>
    </row>
    <row r="26" spans="5:12" x14ac:dyDescent="0.25">
      <c r="F26" s="22">
        <v>5861</v>
      </c>
      <c r="G26" s="23">
        <v>641</v>
      </c>
      <c r="H26" s="23">
        <v>5408</v>
      </c>
      <c r="I26" s="23">
        <v>6333</v>
      </c>
      <c r="J26" s="23">
        <f>+SUM(J21:J25)</f>
        <v>6999</v>
      </c>
      <c r="K26" s="24">
        <f>+SUM(K21:K25)</f>
        <v>7383.7</v>
      </c>
    </row>
    <row r="36" spans="5:11" x14ac:dyDescent="0.25">
      <c r="F36">
        <v>2015</v>
      </c>
      <c r="G36">
        <v>2016</v>
      </c>
      <c r="H36">
        <v>2017</v>
      </c>
      <c r="I36">
        <v>2018</v>
      </c>
      <c r="J36">
        <v>2019</v>
      </c>
    </row>
    <row r="37" spans="5:11" x14ac:dyDescent="0.25">
      <c r="E37" t="s">
        <v>88</v>
      </c>
      <c r="F37">
        <f>240*365*24/1000</f>
        <v>2102.4</v>
      </c>
      <c r="G37">
        <v>1384</v>
      </c>
      <c r="H37">
        <v>1818.588</v>
      </c>
      <c r="I37">
        <v>2414</v>
      </c>
      <c r="J37">
        <v>2300</v>
      </c>
      <c r="K37" t="s">
        <v>45</v>
      </c>
    </row>
    <row r="38" spans="5:11" x14ac:dyDescent="0.25">
      <c r="E38" t="s">
        <v>139</v>
      </c>
      <c r="F38">
        <f>154+89</f>
        <v>243</v>
      </c>
      <c r="G38">
        <f>259+119+0</f>
        <v>378</v>
      </c>
      <c r="H38">
        <f>346+62+0</f>
        <v>408</v>
      </c>
      <c r="I38">
        <f>392+60+0.07</f>
        <v>452.07</v>
      </c>
      <c r="J38">
        <f>55+366</f>
        <v>421</v>
      </c>
      <c r="K38" t="s">
        <v>140</v>
      </c>
    </row>
    <row r="42" spans="5:11" x14ac:dyDescent="0.25">
      <c r="E42" t="s">
        <v>152</v>
      </c>
      <c r="F42" s="25">
        <f t="shared" ref="F42:I42" si="2">+(F38*1000000)/(F37*1000000)</f>
        <v>0.11558219178082192</v>
      </c>
      <c r="G42" s="25">
        <f t="shared" si="2"/>
        <v>0.27312138728323698</v>
      </c>
      <c r="H42" s="25">
        <f t="shared" si="2"/>
        <v>0.22434988023675512</v>
      </c>
      <c r="I42" s="25">
        <f t="shared" si="2"/>
        <v>0.18727009113504556</v>
      </c>
      <c r="J42" s="25">
        <f>+(J38*1000000)/(J37*1000000)</f>
        <v>0.18304347826086956</v>
      </c>
    </row>
    <row r="43" spans="5:11" x14ac:dyDescent="0.25">
      <c r="E43" t="s">
        <v>153</v>
      </c>
      <c r="F43">
        <v>0.19900000000000001</v>
      </c>
      <c r="H43">
        <v>0.11</v>
      </c>
      <c r="I43">
        <v>0.13</v>
      </c>
      <c r="J43">
        <v>0.16600000000000001</v>
      </c>
    </row>
  </sheetData>
  <mergeCells count="1">
    <mergeCell ref="F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2D6A-840E-4A5E-A80B-474A4ACACF3B}">
  <dimension ref="B4:G20"/>
  <sheetViews>
    <sheetView showGridLines="0" workbookViewId="0">
      <selection activeCell="F26" sqref="F26"/>
    </sheetView>
  </sheetViews>
  <sheetFormatPr baseColWidth="10" defaultRowHeight="15" x14ac:dyDescent="0.25"/>
  <sheetData>
    <row r="4" spans="2:7" x14ac:dyDescent="0.25">
      <c r="G4" t="s">
        <v>44</v>
      </c>
    </row>
    <row r="5" spans="2:7" x14ac:dyDescent="0.25">
      <c r="G5" t="s">
        <v>107</v>
      </c>
    </row>
    <row r="6" spans="2:7" x14ac:dyDescent="0.25">
      <c r="D6">
        <v>2016</v>
      </c>
      <c r="E6">
        <v>2017</v>
      </c>
      <c r="F6">
        <v>2018</v>
      </c>
      <c r="G6">
        <v>2019</v>
      </c>
    </row>
    <row r="7" spans="2:7" x14ac:dyDescent="0.25">
      <c r="C7" t="s">
        <v>104</v>
      </c>
    </row>
    <row r="8" spans="2:7" x14ac:dyDescent="0.25">
      <c r="C8" t="s">
        <v>105</v>
      </c>
    </row>
    <row r="9" spans="2:7" x14ac:dyDescent="0.25">
      <c r="C9" t="s">
        <v>106</v>
      </c>
    </row>
    <row r="10" spans="2:7" x14ac:dyDescent="0.25">
      <c r="C10" t="s">
        <v>83</v>
      </c>
      <c r="E10" t="s">
        <v>45</v>
      </c>
      <c r="G10">
        <v>4677</v>
      </c>
    </row>
    <row r="14" spans="2:7" x14ac:dyDescent="0.25">
      <c r="B14" t="s">
        <v>111</v>
      </c>
      <c r="C14" t="s">
        <v>110</v>
      </c>
      <c r="D14">
        <v>718</v>
      </c>
      <c r="E14">
        <v>715</v>
      </c>
      <c r="F14">
        <v>720</v>
      </c>
      <c r="G14">
        <v>725</v>
      </c>
    </row>
    <row r="15" spans="2:7" x14ac:dyDescent="0.25">
      <c r="B15" t="s">
        <v>112</v>
      </c>
      <c r="C15" t="s">
        <v>109</v>
      </c>
      <c r="D15">
        <v>552</v>
      </c>
      <c r="E15">
        <v>545</v>
      </c>
      <c r="F15">
        <v>549</v>
      </c>
      <c r="G15">
        <v>548</v>
      </c>
    </row>
    <row r="16" spans="2:7" x14ac:dyDescent="0.25">
      <c r="B16" t="s">
        <v>113</v>
      </c>
      <c r="C16" t="s">
        <v>108</v>
      </c>
    </row>
    <row r="19" spans="2:7" x14ac:dyDescent="0.25">
      <c r="B19" t="s">
        <v>84</v>
      </c>
      <c r="C19" t="s">
        <v>114</v>
      </c>
      <c r="G19" s="1">
        <v>0.45</v>
      </c>
    </row>
    <row r="20" spans="2:7" x14ac:dyDescent="0.25">
      <c r="B20" t="s">
        <v>115</v>
      </c>
      <c r="C20" t="s">
        <v>114</v>
      </c>
      <c r="G20" s="12">
        <f>4581/1000</f>
        <v>4.5810000000000004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CE71-53B9-40F0-8B45-F70BAD9B4AA7}">
  <dimension ref="B9:L46"/>
  <sheetViews>
    <sheetView showGridLines="0" topLeftCell="A49" workbookViewId="0">
      <selection activeCell="D45" sqref="D45"/>
    </sheetView>
  </sheetViews>
  <sheetFormatPr baseColWidth="10" defaultRowHeight="15" x14ac:dyDescent="0.25"/>
  <cols>
    <col min="4" max="4" width="25.140625" customWidth="1"/>
  </cols>
  <sheetData>
    <row r="9" spans="3:5" x14ac:dyDescent="0.25">
      <c r="E9">
        <v>2019</v>
      </c>
    </row>
    <row r="10" spans="3:5" x14ac:dyDescent="0.25">
      <c r="C10" t="s">
        <v>124</v>
      </c>
      <c r="D10" t="s">
        <v>137</v>
      </c>
      <c r="E10">
        <v>168.2</v>
      </c>
    </row>
    <row r="11" spans="3:5" x14ac:dyDescent="0.25">
      <c r="D11" t="s">
        <v>138</v>
      </c>
      <c r="E11">
        <v>55</v>
      </c>
    </row>
    <row r="12" spans="3:5" x14ac:dyDescent="0.25">
      <c r="E12">
        <f>+E11+E10</f>
        <v>223.2</v>
      </c>
    </row>
    <row r="16" spans="3:5" x14ac:dyDescent="0.25">
      <c r="C16" t="s">
        <v>0</v>
      </c>
      <c r="D16" t="s">
        <v>119</v>
      </c>
    </row>
    <row r="17" spans="3:9" x14ac:dyDescent="0.25">
      <c r="C17" t="s">
        <v>2</v>
      </c>
      <c r="D17" t="s">
        <v>4</v>
      </c>
      <c r="E17" t="s">
        <v>3</v>
      </c>
      <c r="F17">
        <v>2019</v>
      </c>
    </row>
    <row r="18" spans="3:9" x14ac:dyDescent="0.25">
      <c r="C18" t="s">
        <v>32</v>
      </c>
      <c r="D18" t="s">
        <v>125</v>
      </c>
      <c r="E18" t="s">
        <v>120</v>
      </c>
      <c r="F18">
        <v>8.5513953853469307</v>
      </c>
    </row>
    <row r="19" spans="3:9" x14ac:dyDescent="0.25">
      <c r="C19" t="s">
        <v>32</v>
      </c>
      <c r="D19" t="s">
        <v>126</v>
      </c>
      <c r="E19" t="s">
        <v>67</v>
      </c>
      <c r="F19">
        <v>29.070277142567999</v>
      </c>
    </row>
    <row r="20" spans="3:9" x14ac:dyDescent="0.25">
      <c r="C20" t="s">
        <v>32</v>
      </c>
      <c r="D20" t="s">
        <v>127</v>
      </c>
      <c r="E20" t="s">
        <v>73</v>
      </c>
      <c r="F20">
        <v>0.498260185665865</v>
      </c>
    </row>
    <row r="21" spans="3:9" x14ac:dyDescent="0.25">
      <c r="C21" t="s">
        <v>32</v>
      </c>
      <c r="D21" t="s">
        <v>128</v>
      </c>
      <c r="E21" t="s">
        <v>75</v>
      </c>
      <c r="F21">
        <v>0.120456850886541</v>
      </c>
    </row>
    <row r="22" spans="3:9" x14ac:dyDescent="0.25">
      <c r="F22" s="26">
        <f>+SUM(F18:F21)</f>
        <v>38.240389564467336</v>
      </c>
    </row>
    <row r="24" spans="3:9" x14ac:dyDescent="0.25">
      <c r="H24" s="27" t="s">
        <v>136</v>
      </c>
      <c r="I24" s="28">
        <f>+F22+F35</f>
        <v>349.60676320826667</v>
      </c>
    </row>
    <row r="27" spans="3:9" x14ac:dyDescent="0.25">
      <c r="C27" t="s">
        <v>0</v>
      </c>
      <c r="D27" t="s">
        <v>119</v>
      </c>
    </row>
    <row r="28" spans="3:9" x14ac:dyDescent="0.25">
      <c r="C28" t="s">
        <v>2</v>
      </c>
      <c r="D28" t="s">
        <v>4</v>
      </c>
      <c r="E28" t="s">
        <v>3</v>
      </c>
      <c r="F28">
        <v>2019</v>
      </c>
    </row>
    <row r="29" spans="3:9" x14ac:dyDescent="0.25">
      <c r="C29" t="s">
        <v>32</v>
      </c>
      <c r="D29" t="s">
        <v>46</v>
      </c>
      <c r="E29" t="s">
        <v>67</v>
      </c>
      <c r="F29">
        <v>32.324485329545297</v>
      </c>
    </row>
    <row r="30" spans="3:9" x14ac:dyDescent="0.25">
      <c r="C30" t="s">
        <v>32</v>
      </c>
      <c r="D30" t="s">
        <v>50</v>
      </c>
      <c r="E30" t="s">
        <v>69</v>
      </c>
      <c r="F30">
        <v>216.10816803484099</v>
      </c>
    </row>
    <row r="31" spans="3:9" x14ac:dyDescent="0.25">
      <c r="C31" t="s">
        <v>32</v>
      </c>
      <c r="D31" t="s">
        <v>54</v>
      </c>
      <c r="E31" t="s">
        <v>71</v>
      </c>
      <c r="F31">
        <v>1.7129305985832399</v>
      </c>
    </row>
    <row r="32" spans="3:9" x14ac:dyDescent="0.25">
      <c r="C32" t="s">
        <v>32</v>
      </c>
      <c r="D32" t="s">
        <v>57</v>
      </c>
      <c r="E32" t="s">
        <v>73</v>
      </c>
      <c r="F32">
        <v>48.046728626156302</v>
      </c>
    </row>
    <row r="33" spans="2:12" x14ac:dyDescent="0.25">
      <c r="C33" t="s">
        <v>32</v>
      </c>
      <c r="D33" t="s">
        <v>61</v>
      </c>
      <c r="E33" t="s">
        <v>75</v>
      </c>
      <c r="F33">
        <v>7.2377074451164498</v>
      </c>
    </row>
    <row r="34" spans="2:12" x14ac:dyDescent="0.25">
      <c r="C34" t="s">
        <v>32</v>
      </c>
      <c r="D34" t="s">
        <v>65</v>
      </c>
      <c r="E34" t="s">
        <v>77</v>
      </c>
      <c r="F34">
        <v>5.9363536095570799</v>
      </c>
    </row>
    <row r="35" spans="2:12" x14ac:dyDescent="0.25">
      <c r="F35" s="16">
        <f>+SUM(F29:F34)</f>
        <v>311.36637364379936</v>
      </c>
    </row>
    <row r="40" spans="2:12" x14ac:dyDescent="0.25">
      <c r="I40" t="s">
        <v>107</v>
      </c>
      <c r="K40" t="s">
        <v>136</v>
      </c>
    </row>
    <row r="41" spans="2:12" x14ac:dyDescent="0.25">
      <c r="E41" t="s">
        <v>134</v>
      </c>
      <c r="G41">
        <f>+Produccion!G14</f>
        <v>725</v>
      </c>
      <c r="H41" t="s">
        <v>135</v>
      </c>
      <c r="I41" s="16">
        <f>+G41*365*6.1/1000</f>
        <v>1614.2125000000001</v>
      </c>
      <c r="J41" t="s">
        <v>36</v>
      </c>
      <c r="K41">
        <v>1450</v>
      </c>
      <c r="L41" t="s">
        <v>36</v>
      </c>
    </row>
    <row r="44" spans="2:12" x14ac:dyDescent="0.25">
      <c r="C44" t="s">
        <v>129</v>
      </c>
      <c r="G44" s="20" t="s">
        <v>107</v>
      </c>
      <c r="H44" s="20"/>
      <c r="I44" s="20" t="s">
        <v>136</v>
      </c>
    </row>
    <row r="45" spans="2:12" x14ac:dyDescent="0.25">
      <c r="C45" t="s">
        <v>130</v>
      </c>
      <c r="D45">
        <f>4/1000</f>
        <v>4.0000000000000001E-3</v>
      </c>
      <c r="E45" t="s">
        <v>97</v>
      </c>
      <c r="G45" s="20">
        <f>+D45*I41</f>
        <v>6.4568500000000002</v>
      </c>
      <c r="H45" s="20" t="s">
        <v>36</v>
      </c>
      <c r="I45" s="20">
        <f>+D45*K41</f>
        <v>5.8</v>
      </c>
      <c r="J45" t="s">
        <v>36</v>
      </c>
    </row>
    <row r="46" spans="2:12" x14ac:dyDescent="0.25">
      <c r="B46" t="s">
        <v>132</v>
      </c>
      <c r="C46" t="s">
        <v>131</v>
      </c>
      <c r="D46">
        <f>0.3*(1000000)/(1000000)</f>
        <v>0.3</v>
      </c>
      <c r="E46" t="s">
        <v>133</v>
      </c>
      <c r="G46" s="20">
        <f>+D46*I41</f>
        <v>484.26375000000002</v>
      </c>
      <c r="H46" s="20" t="s">
        <v>123</v>
      </c>
      <c r="I46" s="20">
        <f>+D46*K41</f>
        <v>435</v>
      </c>
      <c r="J46" t="s">
        <v>123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4CBE-FB17-41AC-B2D8-20740A6B77D5}">
  <dimension ref="B7:L25"/>
  <sheetViews>
    <sheetView workbookViewId="0">
      <selection activeCell="F21" sqref="F21"/>
    </sheetView>
  </sheetViews>
  <sheetFormatPr baseColWidth="10" defaultRowHeight="15" x14ac:dyDescent="0.25"/>
  <cols>
    <col min="4" max="4" width="19.5703125" customWidth="1"/>
    <col min="5" max="5" width="26.85546875" customWidth="1"/>
  </cols>
  <sheetData>
    <row r="7" spans="2:12" x14ac:dyDescent="0.25">
      <c r="B7" t="s">
        <v>118</v>
      </c>
      <c r="C7" t="s">
        <v>117</v>
      </c>
      <c r="D7">
        <v>7067</v>
      </c>
      <c r="E7">
        <v>7273</v>
      </c>
      <c r="F7">
        <v>7756</v>
      </c>
      <c r="G7">
        <v>7406</v>
      </c>
      <c r="H7">
        <v>7831</v>
      </c>
      <c r="I7">
        <v>8707</v>
      </c>
      <c r="J7">
        <v>10800</v>
      </c>
      <c r="K7">
        <v>11005</v>
      </c>
      <c r="L7">
        <v>10586</v>
      </c>
    </row>
    <row r="8" spans="2:12" x14ac:dyDescent="0.25">
      <c r="B8" t="s">
        <v>118</v>
      </c>
      <c r="C8" t="s">
        <v>116</v>
      </c>
      <c r="D8">
        <v>210</v>
      </c>
      <c r="E8">
        <v>261</v>
      </c>
      <c r="F8">
        <v>244</v>
      </c>
      <c r="G8">
        <v>227</v>
      </c>
      <c r="H8">
        <v>245</v>
      </c>
      <c r="I8">
        <v>379</v>
      </c>
      <c r="J8">
        <v>408</v>
      </c>
      <c r="K8">
        <v>453</v>
      </c>
      <c r="L8">
        <v>521</v>
      </c>
    </row>
    <row r="14" spans="2:12" x14ac:dyDescent="0.25">
      <c r="C14" t="s">
        <v>121</v>
      </c>
      <c r="D14" t="s">
        <v>122</v>
      </c>
    </row>
    <row r="15" spans="2:12" x14ac:dyDescent="0.25">
      <c r="C15" t="s">
        <v>0</v>
      </c>
      <c r="D15" t="s">
        <v>119</v>
      </c>
    </row>
    <row r="16" spans="2:12" x14ac:dyDescent="0.25">
      <c r="C16" t="s">
        <v>2</v>
      </c>
      <c r="D16" t="s">
        <v>3</v>
      </c>
      <c r="E16" t="s">
        <v>4</v>
      </c>
      <c r="F16">
        <v>2019</v>
      </c>
    </row>
    <row r="17" spans="3:7" x14ac:dyDescent="0.25">
      <c r="C17" t="s">
        <v>32</v>
      </c>
      <c r="D17" t="s">
        <v>77</v>
      </c>
      <c r="E17" t="s">
        <v>31</v>
      </c>
      <c r="F17">
        <v>7.6468061393367401</v>
      </c>
    </row>
    <row r="18" spans="3:7" x14ac:dyDescent="0.25">
      <c r="C18" t="s">
        <v>32</v>
      </c>
      <c r="D18" t="s">
        <v>75</v>
      </c>
      <c r="E18" t="s">
        <v>30</v>
      </c>
      <c r="F18">
        <v>20.821049197432401</v>
      </c>
    </row>
    <row r="19" spans="3:7" x14ac:dyDescent="0.25">
      <c r="C19" t="s">
        <v>32</v>
      </c>
      <c r="D19" t="s">
        <v>73</v>
      </c>
      <c r="E19" t="s">
        <v>29</v>
      </c>
      <c r="F19">
        <v>114.952312263276</v>
      </c>
    </row>
    <row r="20" spans="3:7" x14ac:dyDescent="0.25">
      <c r="C20" t="s">
        <v>32</v>
      </c>
      <c r="D20" t="s">
        <v>71</v>
      </c>
      <c r="E20" t="s">
        <v>28</v>
      </c>
      <c r="F20">
        <v>5.0379018530231399</v>
      </c>
    </row>
    <row r="21" spans="3:7" x14ac:dyDescent="0.25">
      <c r="C21" t="s">
        <v>32</v>
      </c>
      <c r="D21" t="s">
        <v>69</v>
      </c>
      <c r="E21" t="s">
        <v>27</v>
      </c>
      <c r="F21">
        <v>355.22504716941103</v>
      </c>
    </row>
    <row r="22" spans="3:7" x14ac:dyDescent="0.25">
      <c r="C22" t="s">
        <v>32</v>
      </c>
      <c r="D22" t="s">
        <v>67</v>
      </c>
      <c r="E22" t="s">
        <v>26</v>
      </c>
      <c r="F22">
        <v>453.48651562765798</v>
      </c>
    </row>
    <row r="23" spans="3:7" x14ac:dyDescent="0.25">
      <c r="C23" t="s">
        <v>32</v>
      </c>
      <c r="D23" t="s">
        <v>120</v>
      </c>
      <c r="E23" t="s">
        <v>25</v>
      </c>
      <c r="F23">
        <v>37.372008807480398</v>
      </c>
    </row>
    <row r="25" spans="3:7" x14ac:dyDescent="0.25">
      <c r="F25">
        <f>+SUM(F17:F23)</f>
        <v>994.54164105761765</v>
      </c>
      <c r="G25" t="s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F492-D298-43F1-836E-1FF841C0F273}">
  <dimension ref="C1:F22"/>
  <sheetViews>
    <sheetView topLeftCell="A19" workbookViewId="0">
      <selection activeCell="F18" sqref="E18:F22"/>
    </sheetView>
  </sheetViews>
  <sheetFormatPr baseColWidth="10" defaultRowHeight="15" x14ac:dyDescent="0.25"/>
  <cols>
    <col min="3" max="3" width="19" customWidth="1"/>
  </cols>
  <sheetData>
    <row r="1" spans="3:5" x14ac:dyDescent="0.25">
      <c r="D1">
        <v>6.1</v>
      </c>
      <c r="E1" t="s">
        <v>94</v>
      </c>
    </row>
    <row r="2" spans="3:5" x14ac:dyDescent="0.25">
      <c r="C2" t="s">
        <v>92</v>
      </c>
      <c r="D2">
        <v>250</v>
      </c>
      <c r="E2" t="s">
        <v>93</v>
      </c>
    </row>
    <row r="3" spans="3:5" x14ac:dyDescent="0.25">
      <c r="D3">
        <f>+D2*D1*365</f>
        <v>556625</v>
      </c>
      <c r="E3" t="s">
        <v>95</v>
      </c>
    </row>
    <row r="4" spans="3:5" x14ac:dyDescent="0.25">
      <c r="D4" s="19">
        <f>+D3/1000</f>
        <v>556.625</v>
      </c>
      <c r="E4" t="s">
        <v>36</v>
      </c>
    </row>
    <row r="7" spans="3:5" x14ac:dyDescent="0.25">
      <c r="C7" t="s">
        <v>82</v>
      </c>
      <c r="D7">
        <v>64.400000000000006</v>
      </c>
      <c r="E7" t="s">
        <v>96</v>
      </c>
    </row>
    <row r="8" spans="3:5" x14ac:dyDescent="0.25">
      <c r="D8">
        <f>+D7/1000</f>
        <v>6.4399999999999999E-2</v>
      </c>
      <c r="E8" t="s">
        <v>97</v>
      </c>
    </row>
    <row r="10" spans="3:5" x14ac:dyDescent="0.25">
      <c r="C10" t="s">
        <v>98</v>
      </c>
      <c r="D10" s="16">
        <f>+D8*D4</f>
        <v>35.846649999999997</v>
      </c>
      <c r="E10" t="s">
        <v>36</v>
      </c>
    </row>
    <row r="11" spans="3:5" x14ac:dyDescent="0.25">
      <c r="D11" s="19">
        <f>+D10/0.0036</f>
        <v>9957.4027777777774</v>
      </c>
      <c r="E11" t="s">
        <v>44</v>
      </c>
    </row>
    <row r="18" spans="3:6" x14ac:dyDescent="0.25">
      <c r="C18" t="s">
        <v>99</v>
      </c>
      <c r="D18">
        <v>17.3</v>
      </c>
      <c r="E18">
        <f>+D18/1000</f>
        <v>1.7299999999999999E-2</v>
      </c>
      <c r="F18" t="s">
        <v>103</v>
      </c>
    </row>
    <row r="19" spans="3:6" x14ac:dyDescent="0.25">
      <c r="C19" t="s">
        <v>100</v>
      </c>
      <c r="D19">
        <v>3.1</v>
      </c>
      <c r="E19">
        <f t="shared" ref="E19:E22" si="0">+D19/1000</f>
        <v>3.0999999999999999E-3</v>
      </c>
      <c r="F19" t="s">
        <v>103</v>
      </c>
    </row>
    <row r="20" spans="3:6" x14ac:dyDescent="0.25">
      <c r="C20" t="s">
        <v>101</v>
      </c>
      <c r="D20">
        <v>50.4</v>
      </c>
      <c r="E20">
        <f t="shared" si="0"/>
        <v>5.04E-2</v>
      </c>
      <c r="F20" t="s">
        <v>103</v>
      </c>
    </row>
    <row r="21" spans="3:6" x14ac:dyDescent="0.25">
      <c r="C21" t="s">
        <v>102</v>
      </c>
      <c r="D21">
        <v>13.2</v>
      </c>
      <c r="E21">
        <f t="shared" si="0"/>
        <v>1.32E-2</v>
      </c>
      <c r="F21" t="s">
        <v>103</v>
      </c>
    </row>
    <row r="22" spans="3:6" x14ac:dyDescent="0.25">
      <c r="D22">
        <f>+SUM(D18:D21)</f>
        <v>84</v>
      </c>
      <c r="E22">
        <f t="shared" si="0"/>
        <v>8.4000000000000005E-2</v>
      </c>
      <c r="F22" t="s">
        <v>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2590-6C3E-43DE-8B18-E36E7BA445AA}">
  <dimension ref="A2:M24"/>
  <sheetViews>
    <sheetView topLeftCell="A19" workbookViewId="0">
      <selection activeCell="G15" sqref="G15"/>
    </sheetView>
  </sheetViews>
  <sheetFormatPr baseColWidth="10" defaultRowHeight="15" x14ac:dyDescent="0.25"/>
  <cols>
    <col min="3" max="3" width="21" customWidth="1"/>
    <col min="4" max="4" width="22.5703125" customWidth="1"/>
    <col min="12" max="12" width="12" bestFit="1" customWidth="1"/>
  </cols>
  <sheetData>
    <row r="2" spans="4:13" x14ac:dyDescent="0.25">
      <c r="K2" t="s">
        <v>149</v>
      </c>
      <c r="L2" s="29">
        <v>6117863200</v>
      </c>
      <c r="M2" t="s">
        <v>150</v>
      </c>
    </row>
    <row r="3" spans="4:13" x14ac:dyDescent="0.25">
      <c r="L3">
        <f>+L2/(1000000000000000)</f>
        <v>6.1178631999999998E-6</v>
      </c>
      <c r="M3" t="s">
        <v>151</v>
      </c>
    </row>
    <row r="5" spans="4:13" x14ac:dyDescent="0.25">
      <c r="D5" t="s">
        <v>0</v>
      </c>
      <c r="E5" t="s">
        <v>119</v>
      </c>
    </row>
    <row r="6" spans="4:13" x14ac:dyDescent="0.25">
      <c r="D6" t="s">
        <v>2</v>
      </c>
      <c r="E6" t="s">
        <v>3</v>
      </c>
      <c r="F6" t="s">
        <v>4</v>
      </c>
      <c r="G6">
        <v>2019</v>
      </c>
    </row>
    <row r="7" spans="4:13" x14ac:dyDescent="0.25">
      <c r="D7" t="s">
        <v>141</v>
      </c>
      <c r="E7" t="s">
        <v>120</v>
      </c>
      <c r="F7" t="s">
        <v>142</v>
      </c>
      <c r="G7">
        <v>78.453748437361</v>
      </c>
    </row>
    <row r="8" spans="4:13" x14ac:dyDescent="0.25">
      <c r="D8" t="s">
        <v>141</v>
      </c>
      <c r="E8" t="s">
        <v>67</v>
      </c>
      <c r="F8" t="s">
        <v>142</v>
      </c>
      <c r="G8">
        <v>836.84817739122798</v>
      </c>
    </row>
    <row r="9" spans="4:13" x14ac:dyDescent="0.25">
      <c r="D9" t="s">
        <v>141</v>
      </c>
      <c r="E9" t="s">
        <v>69</v>
      </c>
      <c r="F9" t="s">
        <v>142</v>
      </c>
      <c r="G9">
        <v>1005.65074901144</v>
      </c>
    </row>
    <row r="10" spans="4:13" x14ac:dyDescent="0.25">
      <c r="D10" t="s">
        <v>141</v>
      </c>
      <c r="E10" t="s">
        <v>71</v>
      </c>
      <c r="F10" t="s">
        <v>142</v>
      </c>
      <c r="G10">
        <v>79.385887250841193</v>
      </c>
    </row>
    <row r="11" spans="4:13" x14ac:dyDescent="0.25">
      <c r="D11" t="s">
        <v>141</v>
      </c>
      <c r="E11" t="s">
        <v>73</v>
      </c>
      <c r="F11" t="s">
        <v>142</v>
      </c>
      <c r="G11">
        <v>288.34679525708901</v>
      </c>
    </row>
    <row r="12" spans="4:13" x14ac:dyDescent="0.25">
      <c r="D12" t="s">
        <v>141</v>
      </c>
      <c r="E12" t="s">
        <v>75</v>
      </c>
      <c r="F12" t="s">
        <v>142</v>
      </c>
      <c r="G12">
        <v>56.330072358166298</v>
      </c>
    </row>
    <row r="13" spans="4:13" x14ac:dyDescent="0.25">
      <c r="D13" t="s">
        <v>141</v>
      </c>
      <c r="E13" t="s">
        <v>77</v>
      </c>
      <c r="F13" t="s">
        <v>142</v>
      </c>
      <c r="G13">
        <v>32.409767632036299</v>
      </c>
    </row>
    <row r="15" spans="4:13" x14ac:dyDescent="0.25">
      <c r="F15" t="s">
        <v>143</v>
      </c>
      <c r="G15" s="16">
        <f>+SUM(G7:G13)</f>
        <v>2377.425197338162</v>
      </c>
      <c r="H15" t="s">
        <v>123</v>
      </c>
      <c r="K15" t="s">
        <v>108</v>
      </c>
      <c r="L15">
        <f>+G15/H24</f>
        <v>1.7630639288488013</v>
      </c>
      <c r="M15" t="s">
        <v>133</v>
      </c>
    </row>
    <row r="16" spans="4:13" x14ac:dyDescent="0.25">
      <c r="L16">
        <f>+L15*1000000</f>
        <v>1763063.9288488012</v>
      </c>
      <c r="M16" t="s">
        <v>148</v>
      </c>
    </row>
    <row r="17" spans="1:13" x14ac:dyDescent="0.25">
      <c r="L17">
        <f>+L16*L3</f>
        <v>10.786183929551498</v>
      </c>
      <c r="M17" t="s">
        <v>148</v>
      </c>
    </row>
    <row r="18" spans="1:13" x14ac:dyDescent="0.25">
      <c r="A18" t="s">
        <v>0</v>
      </c>
      <c r="B18" t="s">
        <v>119</v>
      </c>
    </row>
    <row r="19" spans="1:13" x14ac:dyDescent="0.25">
      <c r="A19" t="s">
        <v>3</v>
      </c>
      <c r="B19" t="s">
        <v>2</v>
      </c>
      <c r="C19" t="s">
        <v>4</v>
      </c>
      <c r="D19">
        <v>2019</v>
      </c>
      <c r="F19" t="s">
        <v>83</v>
      </c>
      <c r="G19" t="s">
        <v>80</v>
      </c>
      <c r="H19">
        <f>+SUM(D20:D24)</f>
        <v>319.74327549474634</v>
      </c>
    </row>
    <row r="20" spans="1:13" x14ac:dyDescent="0.25">
      <c r="A20" t="s">
        <v>80</v>
      </c>
      <c r="B20" t="s">
        <v>32</v>
      </c>
      <c r="C20" t="s">
        <v>125</v>
      </c>
      <c r="D20">
        <v>68.431414044116394</v>
      </c>
      <c r="G20" t="s">
        <v>145</v>
      </c>
      <c r="H20">
        <f>108.43+5.63</f>
        <v>114.06</v>
      </c>
    </row>
    <row r="21" spans="1:13" x14ac:dyDescent="0.25">
      <c r="A21" t="s">
        <v>80</v>
      </c>
      <c r="B21" t="s">
        <v>32</v>
      </c>
      <c r="C21" t="s">
        <v>126</v>
      </c>
      <c r="D21">
        <v>232.631059830194</v>
      </c>
      <c r="G21" t="s">
        <v>146</v>
      </c>
      <c r="H21">
        <v>724.93</v>
      </c>
    </row>
    <row r="22" spans="1:13" x14ac:dyDescent="0.25">
      <c r="A22" t="s">
        <v>80</v>
      </c>
      <c r="B22" t="s">
        <v>32</v>
      </c>
      <c r="C22" t="s">
        <v>127</v>
      </c>
      <c r="D22">
        <v>3.9872614386916001</v>
      </c>
      <c r="G22" t="s">
        <v>147</v>
      </c>
      <c r="H22">
        <f>161.17+28.559</f>
        <v>189.72899999999998</v>
      </c>
    </row>
    <row r="23" spans="1:13" x14ac:dyDescent="0.25">
      <c r="A23" t="s">
        <v>80</v>
      </c>
      <c r="B23" t="s">
        <v>32</v>
      </c>
      <c r="C23" t="s">
        <v>128</v>
      </c>
      <c r="D23">
        <v>0.96394006662257004</v>
      </c>
    </row>
    <row r="24" spans="1:13" x14ac:dyDescent="0.25">
      <c r="A24" t="s">
        <v>80</v>
      </c>
      <c r="B24" t="s">
        <v>32</v>
      </c>
      <c r="C24" t="s">
        <v>144</v>
      </c>
      <c r="D24">
        <v>13.7296001151218</v>
      </c>
      <c r="H24">
        <f>+SUM(H19:H22)</f>
        <v>1348.4622754947463</v>
      </c>
      <c r="I2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AUTOGENERACIÓN</vt:lpstr>
      <vt:lpstr>TIMES</vt:lpstr>
      <vt:lpstr>Balance-sin</vt:lpstr>
      <vt:lpstr>Produccion</vt:lpstr>
      <vt:lpstr>Transporte</vt:lpstr>
      <vt:lpstr>Emisiones</vt:lpstr>
      <vt:lpstr>Refineria</vt:lpstr>
      <vt:lpstr>Intensidades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2022-11-29T16:14:57Z</dcterms:modified>
</cp:coreProperties>
</file>