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58803C56-3BFF-40E5-AD8D-0D5C7A5690BB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Administrador - Modo de exibição pessoal" guid="{32201620-89A9-4506-AEA0-182AE7351A12}" mergeInterval="0" personalView="1" maximized="1" xWindow="-8" yWindow="-8" windowWidth="1382" windowHeight="744" activeSheetId="1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Celio-User - Modo de exibição pessoal" guid="{46FA8AE4-A950-4850-8083-FC760E3C6A1A}" mergeInterval="0" personalView="1" maximized="1" windowWidth="1276" windowHeight="829" activeSheetId="1"/>
    <customWorkbookView name="celio - Modo de exibição pessoal" guid="{9AD4D41E-1DA8-4761-B4EA-D1FDEC235935}" mergeInterval="0" personalView="1" maximized="1" windowWidth="1916" windowHeight="85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USER - Modo de exibição pessoal" guid="{6DBD48F2-5501-4283-84E8-2ADA5A5A2B73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<sst xmlns="http://schemas.openxmlformats.org/spreadsheetml/2006/main" count="100" uniqueCount="72">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</sst>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4" fillId="8" borderId="0" xfId="0" applyFont="1" applyFill="1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164" fontId="4" fillId="3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42" fillId="5" borderId="0" xfId="0" applyFont="1" applyFill="1" applyAlignment="1">
      <alignment horizontal="center"/>
    </xf>
    <xf numFmtId="0" fontId="4" fillId="4" borderId="9" xfId="0" applyFont="1" applyFill="1" applyBorder="1" applyAlignment="1" applyProtection="1"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40" fillId="5" borderId="0" xfId="0" applyFont="1" applyFill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5" fillId="4" borderId="9" xfId="0" applyFont="1" applyFill="1" applyBorder="1" applyAlignment="1" applyProtection="1">
      <alignment wrapText="1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2" fontId="42" fillId="5" borderId="0" xfId="0" applyNumberFormat="1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right" vertical="center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558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548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538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528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518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508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498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488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3" Type="http://schemas.openxmlformats.org/officeDocument/2006/relationships/revisionLog" Target="revisionLog8.xml"/><Relationship Id="rId29" Type="http://schemas.openxmlformats.org/officeDocument/2006/relationships/revisionLog" Target="revisionLog1.xml"/><Relationship Id="rId32" Type="http://schemas.openxmlformats.org/officeDocument/2006/relationships/revisionLog" Target="revisionLog7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AA9FD29-761F-4E10-92D7-F2FBA02453D8}" diskRevisions="1" revisionId="642" version="16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39880B94-00AE-4E5B-AF03-3B05F80383FE}" dateTime="2022-02-02T18:23:09" maxSheetId="2" userName="Administrador" r:id="rId31" minRId="635" maxRId="637">
    <sheetIdMap count="1">
      <sheetId val="1"/>
    </sheetIdMap>
  </header>
  <header guid="{FB8776B2-9F0B-49B0-8E9A-59D525A9D384}" dateTime="2022-02-02T18:24:10" maxSheetId="2" userName="Administrador" r:id="rId32" minRId="638">
    <sheetIdMap count="1">
      <sheetId val="1"/>
    </sheetIdMap>
  </header>
  <header guid="{7AA9FD29-761F-4E10-92D7-F2FBA02453D8}" dateTime="2022-02-02T18:36:18" maxSheetId="2" userName="Administrador" r:id="rId33" minRId="639" maxRId="64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AC14" t="inlineStr">
      <is>
        <t>01</t>
      </is>
    </oc>
    <nc r="AC14" t="inlineStr">
      <is>
        <t>02</t>
      </is>
    </nc>
  </rcc>
  <rcc rId="636" sId="1" numFmtId="4">
    <oc r="V51">
      <v>417446</v>
    </oc>
    <nc r="V51">
      <v>417426</v>
    </nc>
  </rcc>
  <rcc rId="637" sId="1" numFmtId="4">
    <oc r="AB51">
      <v>7402389</v>
    </oc>
    <nc r="AB51">
      <v>7402391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4">
    <oc r="M16">
      <v>0.8</v>
    </oc>
    <nc r="M16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AC14" t="inlineStr">
      <is>
        <t>02</t>
      </is>
    </oc>
    <nc r="AC14" t="inlineStr">
      <is>
        <t>06</t>
      </is>
    </nc>
  </rcc>
  <rcc rId="640" sId="1">
    <oc r="AG14">
      <v>568</v>
    </oc>
    <nc r="AG14">
      <v>563</v>
    </nc>
  </rcc>
  <rcc rId="641" sId="1" numFmtId="4">
    <oc r="V51">
      <v>417426</v>
    </oc>
    <nc r="V51">
      <v>417268</v>
    </nc>
  </rcc>
  <rcc rId="642" sId="1" numFmtId="4">
    <oc r="AB51">
      <v>7402391</v>
    </oc>
    <nc r="AB51">
      <v>7402424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EACDA4-69E9-43DC-870B-0582F2E0A4E5}" name="Administrador" id="-524738169" dateTime="2022-02-02T18:17:06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40" zoomScale="130" zoomScaleNormal="130" workbookViewId="0">
      <selection activeCell="O52" sqref="O52:AI52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264" t="s">
        <v>54</v>
      </c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52"/>
      <c r="AJ1" s="53"/>
      <c r="AK1" s="347" t="str">
        <f>S1</f>
        <v>Araucária</v>
      </c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9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268" t="s">
        <v>17</v>
      </c>
      <c r="D2" s="268"/>
      <c r="E2" s="268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82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35"/>
      <c r="AJ2" s="38"/>
      <c r="AK2" s="350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2"/>
      <c r="AZ2" s="342" t="str">
        <f>O7</f>
        <v>Cliente:</v>
      </c>
      <c r="BA2" s="343"/>
      <c r="BB2" s="340" t="str">
        <f>R7</f>
        <v>Olivia Shizuka Abe</v>
      </c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1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282"/>
      <c r="C3" s="283"/>
      <c r="D3" s="280" t="s">
        <v>38</v>
      </c>
      <c r="E3" s="281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266" t="s">
        <v>55</v>
      </c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35"/>
      <c r="AI3" s="35"/>
      <c r="AJ3" s="38"/>
      <c r="AK3" s="353" t="str">
        <f>S3</f>
        <v>ENGENHARIA AMBIENTAL E CIVIL</v>
      </c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5"/>
      <c r="AZ3" s="342" t="str">
        <f>O9</f>
        <v>Obra:</v>
      </c>
      <c r="BA3" s="343"/>
      <c r="BB3" s="340" t="str">
        <f>R9</f>
        <v>Loteamento</v>
      </c>
      <c r="BC3" s="340"/>
      <c r="BD3" s="340"/>
      <c r="BE3" s="340"/>
      <c r="BF3" s="340"/>
      <c r="BG3" s="340"/>
      <c r="BH3" s="340"/>
      <c r="BI3" s="340"/>
      <c r="BJ3" s="340"/>
      <c r="BK3" s="340"/>
      <c r="BL3" s="340"/>
      <c r="BM3" s="340"/>
      <c r="BN3" s="341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288" t="s">
        <v>1</v>
      </c>
      <c r="B4" s="292" t="s">
        <v>37</v>
      </c>
      <c r="C4" s="292" t="s">
        <v>36</v>
      </c>
      <c r="D4" s="270" t="s">
        <v>37</v>
      </c>
      <c r="E4" s="270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395" t="s">
        <v>53</v>
      </c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5"/>
      <c r="AI4" s="35"/>
      <c r="AJ4" s="38"/>
      <c r="AK4" s="356" t="str">
        <f>R5</f>
        <v>Rua José Rodrigues de Oliveira, nº 454, Jardim Monte Cristo, Paranavaí - PR.</v>
      </c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8"/>
      <c r="AZ4" s="342" t="str">
        <f>O11</f>
        <v>Local:</v>
      </c>
      <c r="BA4" s="343"/>
      <c r="BB4" s="340" t="str">
        <f>R11</f>
        <v>Estrada Estrada do Matadouro, s/n - Gleba Patrimônio Marialva</v>
      </c>
      <c r="BC4" s="340"/>
      <c r="BD4" s="340"/>
      <c r="BE4" s="340"/>
      <c r="BF4" s="340"/>
      <c r="BG4" s="340"/>
      <c r="BH4" s="340"/>
      <c r="BI4" s="340"/>
      <c r="BJ4" s="340"/>
      <c r="BK4" s="340"/>
      <c r="BL4" s="340"/>
      <c r="BM4" s="340"/>
      <c r="BN4" s="341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289"/>
      <c r="B5" s="271"/>
      <c r="C5" s="271"/>
      <c r="D5" s="271"/>
      <c r="E5" s="271"/>
      <c r="F5" s="91"/>
      <c r="G5" s="91"/>
      <c r="H5" s="91"/>
      <c r="I5" s="91"/>
      <c r="J5" s="90"/>
      <c r="K5" s="306" t="s">
        <v>18</v>
      </c>
      <c r="L5" s="307"/>
      <c r="M5" s="307"/>
      <c r="N5" s="307"/>
      <c r="O5" s="307"/>
      <c r="P5" s="307"/>
      <c r="Q5" s="307"/>
      <c r="R5" s="308" t="s">
        <v>62</v>
      </c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9"/>
      <c r="AI5" s="35"/>
      <c r="AJ5" s="38"/>
      <c r="AK5" s="359"/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1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289"/>
      <c r="B6" s="271"/>
      <c r="C6" s="271"/>
      <c r="D6" s="271"/>
      <c r="E6" s="271"/>
      <c r="F6" s="91"/>
      <c r="G6" s="91"/>
      <c r="H6" s="91"/>
      <c r="I6" s="91"/>
      <c r="J6" s="90"/>
      <c r="K6" s="307"/>
      <c r="L6" s="307"/>
      <c r="M6" s="307"/>
      <c r="N6" s="307"/>
      <c r="O6" s="307"/>
      <c r="P6" s="307"/>
      <c r="Q6" s="307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9"/>
      <c r="AI6" s="35"/>
      <c r="AJ6" s="38"/>
      <c r="AK6" s="183" t="str">
        <f>V46</f>
        <v>Revestimento</v>
      </c>
      <c r="AL6" s="183"/>
      <c r="AM6" s="186" t="str">
        <f>AD32</f>
        <v>Método cravação</v>
      </c>
      <c r="AN6" s="186" t="str">
        <f>AC13</f>
        <v>Cota relação R.N.</v>
      </c>
      <c r="AO6" s="183" t="str">
        <f>M43</f>
        <v>NA Inic.</v>
      </c>
      <c r="AP6" s="183" t="str">
        <f>M44</f>
        <v>NA Final</v>
      </c>
      <c r="AQ6" s="194" t="str">
        <f>B4</f>
        <v>Índice de SPT iniciais/30cm</v>
      </c>
      <c r="AR6" s="194" t="str">
        <f>C4</f>
        <v>Índice SPT finais/30cm</v>
      </c>
      <c r="AS6" s="380" t="str">
        <f>A4</f>
        <v>Amostras</v>
      </c>
      <c r="AT6" s="381"/>
      <c r="AU6" s="382"/>
      <c r="AV6" s="183" t="str">
        <f>M9</f>
        <v>Prof. Camadas (m)</v>
      </c>
      <c r="AW6" s="215" t="str">
        <f>P13</f>
        <v>Perfil de Sondagem</v>
      </c>
      <c r="AX6" s="216"/>
      <c r="AY6" s="216"/>
      <c r="AZ6" s="216"/>
      <c r="BA6" s="216"/>
      <c r="BB6" s="216"/>
      <c r="BC6" s="216"/>
      <c r="BD6" s="216"/>
      <c r="BE6" s="216"/>
      <c r="BF6" s="216"/>
      <c r="BG6" s="174"/>
      <c r="BH6" s="177" t="str">
        <f>W50</f>
        <v>E</v>
      </c>
      <c r="BI6" s="346" t="str">
        <f>X50</f>
        <v>Coordenadas</v>
      </c>
      <c r="BJ6" s="346"/>
      <c r="BK6" s="346"/>
      <c r="BL6" s="346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289"/>
      <c r="B7" s="271"/>
      <c r="C7" s="271"/>
      <c r="D7" s="271"/>
      <c r="E7" s="271"/>
      <c r="F7" s="91"/>
      <c r="G7" s="91"/>
      <c r="H7" s="91"/>
      <c r="I7" s="91"/>
      <c r="J7" s="92"/>
      <c r="K7" s="93"/>
      <c r="L7" s="35"/>
      <c r="M7" s="35"/>
      <c r="N7" s="35"/>
      <c r="O7" s="196" t="s">
        <v>19</v>
      </c>
      <c r="P7" s="198"/>
      <c r="Q7" s="198"/>
      <c r="R7" s="293" t="s">
        <v>67</v>
      </c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5"/>
      <c r="AH7" s="36"/>
      <c r="AI7" s="35"/>
      <c r="AJ7" s="38"/>
      <c r="AK7" s="184"/>
      <c r="AL7" s="184"/>
      <c r="AM7" s="187"/>
      <c r="AN7" s="187"/>
      <c r="AO7" s="184"/>
      <c r="AP7" s="184"/>
      <c r="AQ7" s="195"/>
      <c r="AR7" s="195"/>
      <c r="AS7" s="383"/>
      <c r="AT7" s="384"/>
      <c r="AU7" s="385"/>
      <c r="AV7" s="184"/>
      <c r="AW7" s="172"/>
      <c r="AX7" s="172"/>
      <c r="AY7" s="171"/>
      <c r="AZ7" s="173" t="str">
        <f>P14</f>
        <v>N°</v>
      </c>
      <c r="BA7" s="217" t="str">
        <f>R14</f>
        <v>001/2022</v>
      </c>
      <c r="BB7" s="217"/>
      <c r="BC7" s="217"/>
      <c r="BD7" s="170"/>
      <c r="BE7" s="170"/>
      <c r="BF7" s="170"/>
      <c r="BG7" s="375">
        <f>V51</f>
        <v>417268</v>
      </c>
      <c r="BH7" s="375"/>
      <c r="BI7" s="375"/>
      <c r="BJ7" s="375"/>
      <c r="BK7" s="367">
        <f>AB51</f>
        <v>7402424</v>
      </c>
      <c r="BL7" s="367"/>
      <c r="BM7" s="367"/>
      <c r="BN7" s="368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289"/>
      <c r="B8" s="271"/>
      <c r="C8" s="271"/>
      <c r="D8" s="271"/>
      <c r="E8" s="271"/>
      <c r="F8" s="91"/>
      <c r="G8" s="91"/>
      <c r="H8" s="91"/>
      <c r="I8" s="91"/>
      <c r="J8" s="92"/>
      <c r="K8" s="93"/>
      <c r="L8" s="35"/>
      <c r="M8" s="35"/>
      <c r="N8" s="35"/>
      <c r="O8" s="198"/>
      <c r="P8" s="198"/>
      <c r="Q8" s="198"/>
      <c r="R8" s="296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8"/>
      <c r="AH8" s="36"/>
      <c r="AI8" s="35"/>
      <c r="AJ8" s="38"/>
      <c r="AK8" s="184"/>
      <c r="AL8" s="184"/>
      <c r="AM8" s="187"/>
      <c r="AN8" s="187"/>
      <c r="AO8" s="184"/>
      <c r="AP8" s="184"/>
      <c r="AQ8" s="195"/>
      <c r="AR8" s="195"/>
      <c r="AS8" s="383"/>
      <c r="AT8" s="384"/>
      <c r="AU8" s="385"/>
      <c r="AV8" s="184"/>
      <c r="AW8" s="391" t="str">
        <f>Y14</f>
        <v>Furo</v>
      </c>
      <c r="AX8" s="392"/>
      <c r="AY8" s="344" t="str">
        <f>AA14</f>
        <v>SM</v>
      </c>
      <c r="AZ8" s="389" t="str">
        <f>AC14</f>
        <v>06</v>
      </c>
      <c r="BA8" s="148"/>
      <c r="BB8" s="344" t="str">
        <f>AE14</f>
        <v>Cota</v>
      </c>
      <c r="BC8" s="344"/>
      <c r="BD8" s="376">
        <f>AG14</f>
        <v>563</v>
      </c>
      <c r="BE8" s="376"/>
      <c r="BF8" s="377"/>
      <c r="BG8" s="149"/>
      <c r="BH8" s="369" t="s">
        <v>44</v>
      </c>
      <c r="BI8" s="370"/>
      <c r="BJ8" s="370"/>
      <c r="BK8" s="370"/>
      <c r="BL8" s="370"/>
      <c r="BM8" s="370"/>
      <c r="BN8" s="371"/>
      <c r="BO8" s="85"/>
    </row>
    <row r="9" spans="1:94" ht="10.5" customHeight="1" x14ac:dyDescent="0.2">
      <c r="A9" s="289"/>
      <c r="B9" s="271"/>
      <c r="C9" s="271"/>
      <c r="D9" s="271"/>
      <c r="E9" s="271"/>
      <c r="F9" s="91"/>
      <c r="G9" s="91"/>
      <c r="H9" s="91"/>
      <c r="I9" s="91"/>
      <c r="J9" s="94"/>
      <c r="K9" s="88"/>
      <c r="L9" s="30"/>
      <c r="M9" s="311" t="s">
        <v>31</v>
      </c>
      <c r="N9" s="312"/>
      <c r="O9" s="221" t="s">
        <v>20</v>
      </c>
      <c r="P9" s="196"/>
      <c r="Q9" s="196"/>
      <c r="R9" s="299" t="s">
        <v>65</v>
      </c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1"/>
      <c r="AH9" s="9"/>
      <c r="AI9" s="35"/>
      <c r="AJ9" s="38"/>
      <c r="AK9" s="184"/>
      <c r="AL9" s="184"/>
      <c r="AM9" s="187"/>
      <c r="AN9" s="187"/>
      <c r="AO9" s="184"/>
      <c r="AP9" s="184"/>
      <c r="AQ9" s="195"/>
      <c r="AR9" s="195"/>
      <c r="AS9" s="383"/>
      <c r="AT9" s="384"/>
      <c r="AU9" s="385"/>
      <c r="AV9" s="184"/>
      <c r="AW9" s="393"/>
      <c r="AX9" s="394"/>
      <c r="AY9" s="345"/>
      <c r="AZ9" s="390"/>
      <c r="BA9" s="150"/>
      <c r="BB9" s="345"/>
      <c r="BC9" s="345"/>
      <c r="BD9" s="378"/>
      <c r="BE9" s="378"/>
      <c r="BF9" s="379"/>
      <c r="BG9" s="151"/>
      <c r="BH9" s="372" t="s">
        <v>45</v>
      </c>
      <c r="BI9" s="373"/>
      <c r="BJ9" s="373"/>
      <c r="BK9" s="373"/>
      <c r="BL9" s="373"/>
      <c r="BM9" s="373"/>
      <c r="BN9" s="374"/>
      <c r="BO9" s="85"/>
    </row>
    <row r="10" spans="1:94" ht="4.5" customHeight="1" x14ac:dyDescent="0.2">
      <c r="A10" s="289"/>
      <c r="B10" s="271"/>
      <c r="C10" s="271"/>
      <c r="D10" s="271"/>
      <c r="E10" s="271"/>
      <c r="F10" s="91"/>
      <c r="G10" s="91"/>
      <c r="H10" s="91"/>
      <c r="I10" s="91"/>
      <c r="J10" s="90"/>
      <c r="K10" s="88"/>
      <c r="L10" s="30"/>
      <c r="M10" s="313"/>
      <c r="N10" s="314"/>
      <c r="O10" s="222"/>
      <c r="P10" s="223"/>
      <c r="Q10" s="223"/>
      <c r="R10" s="302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4"/>
      <c r="AH10" s="9"/>
      <c r="AI10" s="35"/>
      <c r="AJ10" s="38"/>
      <c r="AK10" s="184"/>
      <c r="AL10" s="184"/>
      <c r="AM10" s="187"/>
      <c r="AN10" s="187"/>
      <c r="AO10" s="184"/>
      <c r="AP10" s="184"/>
      <c r="AQ10" s="195"/>
      <c r="AR10" s="195"/>
      <c r="AS10" s="383"/>
      <c r="AT10" s="384"/>
      <c r="AU10" s="385"/>
      <c r="AV10" s="184"/>
      <c r="AW10" s="229" t="s">
        <v>16</v>
      </c>
      <c r="AX10" s="230"/>
      <c r="AY10" s="230"/>
      <c r="AZ10" s="230"/>
      <c r="BA10" s="230"/>
      <c r="BB10" s="230"/>
      <c r="BC10" s="230"/>
      <c r="BD10" s="230"/>
      <c r="BE10" s="230"/>
      <c r="BF10" s="231"/>
      <c r="BG10" s="362"/>
      <c r="BH10" s="363"/>
      <c r="BI10" s="363"/>
      <c r="BJ10" s="363"/>
      <c r="BK10" s="363"/>
      <c r="BL10" s="363"/>
      <c r="BM10" s="363"/>
      <c r="BN10" s="364"/>
      <c r="BO10" s="85"/>
    </row>
    <row r="11" spans="1:94" ht="10.5" customHeight="1" x14ac:dyDescent="0.2">
      <c r="A11" s="289"/>
      <c r="B11" s="271"/>
      <c r="C11" s="271"/>
      <c r="D11" s="271"/>
      <c r="E11" s="271"/>
      <c r="F11" s="91"/>
      <c r="G11" s="91"/>
      <c r="H11" s="91"/>
      <c r="I11" s="91"/>
      <c r="J11" s="92"/>
      <c r="K11" s="93"/>
      <c r="L11" s="35"/>
      <c r="M11" s="313"/>
      <c r="N11" s="314"/>
      <c r="O11" s="221" t="s">
        <v>21</v>
      </c>
      <c r="P11" s="197"/>
      <c r="Q11" s="197"/>
      <c r="R11" s="299" t="s">
        <v>68</v>
      </c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1"/>
      <c r="AH11" s="9"/>
      <c r="AI11" s="35"/>
      <c r="AJ11" s="38"/>
      <c r="AK11" s="184"/>
      <c r="AL11" s="184"/>
      <c r="AM11" s="187"/>
      <c r="AN11" s="187"/>
      <c r="AO11" s="184"/>
      <c r="AP11" s="184"/>
      <c r="AQ11" s="195"/>
      <c r="AR11" s="195"/>
      <c r="AS11" s="383"/>
      <c r="AT11" s="384"/>
      <c r="AU11" s="385"/>
      <c r="AV11" s="184"/>
      <c r="AW11" s="229"/>
      <c r="AX11" s="230"/>
      <c r="AY11" s="230"/>
      <c r="AZ11" s="230"/>
      <c r="BA11" s="230"/>
      <c r="BB11" s="230"/>
      <c r="BC11" s="230"/>
      <c r="BD11" s="230"/>
      <c r="BE11" s="230"/>
      <c r="BF11" s="231"/>
      <c r="BG11" s="365"/>
      <c r="BH11" s="363"/>
      <c r="BI11" s="363"/>
      <c r="BJ11" s="363"/>
      <c r="BK11" s="363"/>
      <c r="BL11" s="363"/>
      <c r="BM11" s="363"/>
      <c r="BN11" s="364"/>
      <c r="BO11" s="85"/>
    </row>
    <row r="12" spans="1:94" ht="10.5" customHeight="1" x14ac:dyDescent="0.2">
      <c r="A12" s="289"/>
      <c r="B12" s="271"/>
      <c r="C12" s="271"/>
      <c r="D12" s="271"/>
      <c r="E12" s="271"/>
      <c r="F12" s="91"/>
      <c r="G12" s="91"/>
      <c r="H12" s="91"/>
      <c r="I12" s="91"/>
      <c r="J12" s="92"/>
      <c r="K12" s="93"/>
      <c r="L12" s="30"/>
      <c r="M12" s="313"/>
      <c r="N12" s="314"/>
      <c r="O12" s="222"/>
      <c r="P12" s="223"/>
      <c r="Q12" s="223"/>
      <c r="R12" s="302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4"/>
      <c r="AH12" s="9"/>
      <c r="AI12" s="35"/>
      <c r="AJ12" s="38"/>
      <c r="AK12" s="185"/>
      <c r="AL12" s="185"/>
      <c r="AM12" s="188"/>
      <c r="AN12" s="188"/>
      <c r="AO12" s="185"/>
      <c r="AP12" s="185"/>
      <c r="AQ12" s="195"/>
      <c r="AR12" s="195"/>
      <c r="AS12" s="386"/>
      <c r="AT12" s="387"/>
      <c r="AU12" s="388"/>
      <c r="AV12" s="185"/>
      <c r="AW12" s="366" t="str">
        <f>P15</f>
        <v>Camadas - Classificação dos solos</v>
      </c>
      <c r="AX12" s="367"/>
      <c r="AY12" s="367"/>
      <c r="AZ12" s="367"/>
      <c r="BA12" s="367"/>
      <c r="BB12" s="367"/>
      <c r="BC12" s="367"/>
      <c r="BD12" s="367"/>
      <c r="BE12" s="367"/>
      <c r="BF12" s="368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290"/>
      <c r="B13" s="272"/>
      <c r="C13" s="272"/>
      <c r="D13" s="272"/>
      <c r="E13" s="272"/>
      <c r="F13" s="91"/>
      <c r="G13" s="91"/>
      <c r="H13" s="91"/>
      <c r="I13" s="91"/>
      <c r="J13" s="92"/>
      <c r="K13" s="93"/>
      <c r="L13" s="30"/>
      <c r="M13" s="313"/>
      <c r="N13" s="314"/>
      <c r="O13" s="30"/>
      <c r="P13" s="254" t="s">
        <v>48</v>
      </c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36"/>
      <c r="AB13" s="36"/>
      <c r="AC13" s="238" t="s">
        <v>32</v>
      </c>
      <c r="AD13" s="238"/>
      <c r="AE13" s="238"/>
      <c r="AF13" s="238"/>
      <c r="AG13" s="238"/>
      <c r="AH13" s="238"/>
      <c r="AI13" s="239"/>
      <c r="AJ13" s="240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13"/>
      <c r="N14" s="314"/>
      <c r="O14" s="34"/>
      <c r="P14" s="196" t="s">
        <v>13</v>
      </c>
      <c r="Q14" s="199"/>
      <c r="R14" s="224" t="s">
        <v>66</v>
      </c>
      <c r="S14" s="225"/>
      <c r="T14" s="225"/>
      <c r="U14" s="225"/>
      <c r="V14" s="225"/>
      <c r="W14" s="225"/>
      <c r="X14" s="226"/>
      <c r="Y14" s="286" t="s">
        <v>15</v>
      </c>
      <c r="Z14" s="287"/>
      <c r="AA14" s="224" t="s">
        <v>64</v>
      </c>
      <c r="AB14" s="225"/>
      <c r="AC14" s="192" t="s">
        <v>71</v>
      </c>
      <c r="AD14" s="193"/>
      <c r="AE14" s="286" t="s">
        <v>14</v>
      </c>
      <c r="AF14" s="287"/>
      <c r="AG14" s="224">
        <v>563</v>
      </c>
      <c r="AH14" s="225"/>
      <c r="AI14" s="35"/>
      <c r="AJ14" s="38"/>
      <c r="AK14" s="236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232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31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15"/>
      <c r="N15" s="316"/>
      <c r="O15" s="40"/>
      <c r="P15" s="227" t="s">
        <v>22</v>
      </c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17"/>
      <c r="AD15" s="17"/>
      <c r="AE15" s="17"/>
      <c r="AF15" s="17"/>
      <c r="AG15" s="17"/>
      <c r="AH15" s="17"/>
      <c r="AI15" s="17"/>
      <c r="AJ15" s="38"/>
      <c r="AK15" s="236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23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31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17" t="s">
        <v>69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1"/>
      <c r="AJ16" s="43">
        <f>IF(K35=L16,M16,0)</f>
        <v>0</v>
      </c>
      <c r="AK16" s="236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23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431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189" t="s">
        <v>70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1"/>
      <c r="AJ17" s="43">
        <f>IF(K35=L17,M17,0)</f>
        <v>5</v>
      </c>
      <c r="AK17" s="236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23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431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189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1"/>
      <c r="AJ18" s="43">
        <f>IF(K35=L18,M18,0)</f>
        <v>0</v>
      </c>
      <c r="AK18" s="236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23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31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189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1"/>
      <c r="AJ19" s="43">
        <f>IF(K35=L19,M19,0)</f>
        <v>0</v>
      </c>
      <c r="AK19" s="236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23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31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189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1"/>
      <c r="AJ20" s="43">
        <f>IF(K35=L20,M20,0)</f>
        <v>0</v>
      </c>
      <c r="AK20" s="236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23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431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189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1"/>
      <c r="AJ21" s="43">
        <f>IF(K35=L21,M21,0)</f>
        <v>0</v>
      </c>
      <c r="AK21" s="236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23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431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189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1"/>
      <c r="AJ22" s="43">
        <f>IF(K35=L22,M22,0)</f>
        <v>0</v>
      </c>
      <c r="AK22" s="236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23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31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189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1"/>
      <c r="AJ23" s="43">
        <f>IF(K35=L23,M23,0)</f>
        <v>0</v>
      </c>
      <c r="AK23" s="236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23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431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189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1"/>
      <c r="AJ24" s="43">
        <f>IF(K35=L24,M24,0)</f>
        <v>0</v>
      </c>
      <c r="AK24" s="236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23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431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189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1"/>
      <c r="AJ25" s="43">
        <f>IF(K35=L25,M25,0)</f>
        <v>0</v>
      </c>
      <c r="AK25" s="237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233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430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189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1"/>
      <c r="AJ26" s="43">
        <f>IF(K35=L26,M26,0)</f>
        <v>0</v>
      </c>
      <c r="AK26" s="237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23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430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189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1"/>
      <c r="AJ27" s="43">
        <f>IF(K35=L27,M27,0)</f>
        <v>0</v>
      </c>
      <c r="AK27" s="237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233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430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189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1"/>
      <c r="AJ28" s="43">
        <f>IF(K35=L28,M28,0)</f>
        <v>0</v>
      </c>
      <c r="AK28" s="237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23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430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189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43">
        <f>IF(K35=L29,M29,0)</f>
        <v>0</v>
      </c>
      <c r="AK29" s="237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23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430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243"/>
      <c r="N30" s="244"/>
      <c r="O30" s="42">
        <f t="shared" si="7"/>
        <v>0</v>
      </c>
      <c r="P30" s="189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1"/>
      <c r="AJ30" s="43">
        <f>IF(K35=L30,M30,0)</f>
        <v>0</v>
      </c>
      <c r="AK30" s="237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23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430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237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23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430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2" t="s">
        <v>63</v>
      </c>
      <c r="N32" s="190"/>
      <c r="O32" s="190"/>
      <c r="P32" s="190"/>
      <c r="Q32" s="190"/>
      <c r="R32" s="190"/>
      <c r="S32" s="190"/>
      <c r="T32" s="190"/>
      <c r="U32" s="191"/>
      <c r="V32" s="220">
        <f>IF(AJ31&gt;0,AJ31,0)</f>
        <v>5</v>
      </c>
      <c r="W32" s="220"/>
      <c r="X32" s="10" t="s">
        <v>10</v>
      </c>
      <c r="Y32" s="34"/>
      <c r="Z32" s="34"/>
      <c r="AA32" s="34"/>
      <c r="AB32" s="36"/>
      <c r="AC32" s="36"/>
      <c r="AD32" s="441" t="s">
        <v>34</v>
      </c>
      <c r="AE32" s="441"/>
      <c r="AF32" s="441"/>
      <c r="AG32" s="441"/>
      <c r="AH32" s="441"/>
      <c r="AI32" s="441"/>
      <c r="AJ32" s="145"/>
      <c r="AK32" s="237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23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430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2"/>
      <c r="N33" s="190"/>
      <c r="O33" s="190"/>
      <c r="P33" s="190"/>
      <c r="Q33" s="190"/>
      <c r="R33" s="190"/>
      <c r="S33" s="190"/>
      <c r="T33" s="190"/>
      <c r="U33" s="191"/>
      <c r="V33" s="245">
        <f>V32</f>
        <v>5</v>
      </c>
      <c r="W33" s="246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18">
        <v>5</v>
      </c>
      <c r="AG33" s="219"/>
      <c r="AH33" s="47" t="s">
        <v>10</v>
      </c>
      <c r="AI33" s="48" t="s">
        <v>40</v>
      </c>
      <c r="AJ33" s="49" t="s">
        <v>35</v>
      </c>
      <c r="AK33" s="237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23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430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2"/>
      <c r="N34" s="190"/>
      <c r="O34" s="190"/>
      <c r="P34" s="190"/>
      <c r="Q34" s="190"/>
      <c r="R34" s="190"/>
      <c r="S34" s="190"/>
      <c r="T34" s="190"/>
      <c r="U34" s="191"/>
      <c r="V34" s="245">
        <f>V33</f>
        <v>5</v>
      </c>
      <c r="W34" s="246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18"/>
      <c r="AG34" s="219"/>
      <c r="AH34" s="47" t="s">
        <v>10</v>
      </c>
      <c r="AI34" s="48" t="s">
        <v>56</v>
      </c>
      <c r="AJ34" s="49" t="s">
        <v>35</v>
      </c>
      <c r="AK34" s="237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23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430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249"/>
      <c r="N35" s="250"/>
      <c r="O35" s="250"/>
      <c r="P35" s="250"/>
      <c r="Q35" s="250"/>
      <c r="R35" s="250"/>
      <c r="S35" s="250"/>
      <c r="T35" s="250"/>
      <c r="U35" s="251"/>
      <c r="V35" s="245">
        <f>V34</f>
        <v>5</v>
      </c>
      <c r="W35" s="246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18"/>
      <c r="AG35" s="219"/>
      <c r="AH35" s="47" t="s">
        <v>10</v>
      </c>
      <c r="AI35" s="48"/>
      <c r="AJ35" s="49" t="s">
        <v>35</v>
      </c>
      <c r="AK35" s="237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23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430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18"/>
      <c r="AG36" s="219"/>
      <c r="AH36" s="47" t="s">
        <v>10</v>
      </c>
      <c r="AI36" s="48"/>
      <c r="AJ36" s="50" t="s">
        <v>35</v>
      </c>
      <c r="AK36" s="237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23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430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252" t="s">
        <v>43</v>
      </c>
      <c r="N37" s="252"/>
      <c r="O37" s="252"/>
      <c r="P37" s="252"/>
      <c r="Q37" s="252"/>
      <c r="R37" s="252"/>
      <c r="S37" s="252"/>
      <c r="T37" s="252"/>
      <c r="U37" s="252"/>
      <c r="V37" s="252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18"/>
      <c r="AG37" s="219"/>
      <c r="AH37" s="47" t="s">
        <v>10</v>
      </c>
      <c r="AI37" s="48"/>
      <c r="AJ37" s="50" t="s">
        <v>35</v>
      </c>
      <c r="AK37" s="237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23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30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445" t="s">
        <v>25</v>
      </c>
      <c r="N38" s="445"/>
      <c r="O38" s="446"/>
      <c r="P38" s="274">
        <v>44579</v>
      </c>
      <c r="Q38" s="275"/>
      <c r="R38" s="275"/>
      <c r="S38" s="275"/>
      <c r="T38" s="275"/>
      <c r="U38" s="275"/>
      <c r="V38" s="276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18"/>
      <c r="AG38" s="219"/>
      <c r="AH38" s="47" t="s">
        <v>10</v>
      </c>
      <c r="AI38" s="48"/>
      <c r="AJ38" s="50" t="s">
        <v>35</v>
      </c>
      <c r="AK38" s="237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23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430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444" t="s">
        <v>26</v>
      </c>
      <c r="N39" s="444"/>
      <c r="O39" s="444"/>
      <c r="P39" s="212">
        <v>44579</v>
      </c>
      <c r="Q39" s="213"/>
      <c r="R39" s="213"/>
      <c r="S39" s="213"/>
      <c r="T39" s="213"/>
      <c r="U39" s="213"/>
      <c r="V39" s="214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18"/>
      <c r="AG39" s="219"/>
      <c r="AH39" s="47" t="s">
        <v>10</v>
      </c>
      <c r="AI39" s="48"/>
      <c r="AJ39" s="50" t="s">
        <v>35</v>
      </c>
      <c r="AK39" s="237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23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430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444" t="s">
        <v>27</v>
      </c>
      <c r="N40" s="444"/>
      <c r="O40" s="444"/>
      <c r="P40" s="212">
        <v>44579</v>
      </c>
      <c r="Q40" s="213"/>
      <c r="R40" s="213"/>
      <c r="S40" s="213"/>
      <c r="T40" s="213"/>
      <c r="U40" s="213"/>
      <c r="V40" s="214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247"/>
      <c r="AG40" s="248"/>
      <c r="AH40" s="47" t="s">
        <v>10</v>
      </c>
      <c r="AI40" s="48"/>
      <c r="AJ40" s="50" t="s">
        <v>35</v>
      </c>
      <c r="AK40" s="234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23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430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201"/>
      <c r="AG41" s="202"/>
      <c r="AH41" s="47" t="s">
        <v>10</v>
      </c>
      <c r="AI41" s="48"/>
      <c r="AJ41" s="50" t="s">
        <v>35</v>
      </c>
      <c r="AK41" s="234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23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30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0" t="s">
        <v>42</v>
      </c>
      <c r="N42" s="200"/>
      <c r="O42" s="200"/>
      <c r="P42" s="200"/>
      <c r="Q42" s="200"/>
      <c r="R42" s="200"/>
      <c r="S42" s="200"/>
      <c r="T42" s="200"/>
      <c r="U42" s="200"/>
      <c r="V42" s="200" t="s">
        <v>0</v>
      </c>
      <c r="W42" s="253"/>
      <c r="X42" s="253"/>
      <c r="Y42" s="253"/>
      <c r="Z42" s="253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234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233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30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196" t="s">
        <v>46</v>
      </c>
      <c r="N43" s="197"/>
      <c r="O43" s="197"/>
      <c r="P43" s="284">
        <v>38</v>
      </c>
      <c r="Q43" s="305"/>
      <c r="R43" s="18" t="s">
        <v>10</v>
      </c>
      <c r="S43" s="205" t="s">
        <v>23</v>
      </c>
      <c r="T43" s="206"/>
      <c r="U43" s="207">
        <v>44579</v>
      </c>
      <c r="V43" s="208"/>
      <c r="W43" s="208"/>
      <c r="X43" s="209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234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196" t="s">
        <v>47</v>
      </c>
      <c r="N44" s="197"/>
      <c r="O44" s="197"/>
      <c r="P44" s="320">
        <v>38</v>
      </c>
      <c r="Q44" s="426"/>
      <c r="R44" s="18" t="s">
        <v>10</v>
      </c>
      <c r="S44" s="205" t="s">
        <v>23</v>
      </c>
      <c r="T44" s="206"/>
      <c r="U44" s="427">
        <v>44580</v>
      </c>
      <c r="V44" s="428"/>
      <c r="W44" s="428"/>
      <c r="X44" s="429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234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203">
        <f>38-P44</f>
        <v>0</v>
      </c>
      <c r="Y45" s="204"/>
      <c r="Z45" s="203">
        <f>IF(P44=38,0,38-P43)</f>
        <v>0</v>
      </c>
      <c r="AA45" s="204"/>
      <c r="AB45" s="36"/>
      <c r="AC45" s="36"/>
      <c r="AD45" s="77"/>
      <c r="AE45" s="29"/>
      <c r="AF45" s="81"/>
      <c r="AG45" s="29"/>
      <c r="AH45" s="146"/>
      <c r="AI45" s="29"/>
      <c r="AJ45" s="78"/>
      <c r="AK45" s="234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0" t="s">
        <v>4</v>
      </c>
      <c r="N46" s="200"/>
      <c r="O46" s="200"/>
      <c r="P46" s="200"/>
      <c r="Q46" s="200"/>
      <c r="R46" s="200"/>
      <c r="S46" s="200"/>
      <c r="T46" s="200"/>
      <c r="U46" s="139"/>
      <c r="V46" s="200" t="s">
        <v>3</v>
      </c>
      <c r="W46" s="200"/>
      <c r="X46" s="200"/>
      <c r="Y46" s="200"/>
      <c r="Z46" s="200"/>
      <c r="AA46" s="200"/>
      <c r="AB46" s="200"/>
      <c r="AC46" s="142"/>
      <c r="AD46" s="77"/>
      <c r="AE46" s="29"/>
      <c r="AF46" s="81"/>
      <c r="AG46" s="29"/>
      <c r="AH46" s="146"/>
      <c r="AI46" s="29"/>
      <c r="AJ46" s="78"/>
      <c r="AK46" s="234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196" t="s">
        <v>12</v>
      </c>
      <c r="N47" s="197"/>
      <c r="O47" s="197"/>
      <c r="P47" s="199"/>
      <c r="Q47" s="11"/>
      <c r="R47" s="14"/>
      <c r="S47" s="33" t="s">
        <v>5</v>
      </c>
      <c r="T47" s="34"/>
      <c r="U47" s="139"/>
      <c r="V47" s="196" t="s">
        <v>29</v>
      </c>
      <c r="W47" s="197"/>
      <c r="X47" s="197"/>
      <c r="Y47" s="198"/>
      <c r="Z47" s="19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234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196" t="s">
        <v>11</v>
      </c>
      <c r="N48" s="197"/>
      <c r="O48" s="197"/>
      <c r="P48" s="199"/>
      <c r="Q48" s="12"/>
      <c r="R48" s="13"/>
      <c r="S48" s="33" t="s">
        <v>5</v>
      </c>
      <c r="T48" s="34"/>
      <c r="U48" s="139"/>
      <c r="V48" s="196" t="s">
        <v>24</v>
      </c>
      <c r="W48" s="197"/>
      <c r="X48" s="197"/>
      <c r="Y48" s="198"/>
      <c r="Z48" s="199"/>
      <c r="AA48" s="284"/>
      <c r="AB48" s="285"/>
      <c r="AC48" s="33" t="s">
        <v>10</v>
      </c>
      <c r="AD48" s="35"/>
      <c r="AE48" s="35"/>
      <c r="AF48" s="34"/>
      <c r="AG48" s="34"/>
      <c r="AH48" s="34"/>
      <c r="AI48" s="34"/>
      <c r="AJ48" s="38"/>
      <c r="AK48" s="234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196" t="s">
        <v>6</v>
      </c>
      <c r="N49" s="223"/>
      <c r="O49" s="223"/>
      <c r="P49" s="223"/>
      <c r="Q49" s="442"/>
      <c r="R49" s="443"/>
      <c r="S49" s="33" t="s">
        <v>9</v>
      </c>
      <c r="T49" s="34"/>
      <c r="U49" s="139"/>
      <c r="V49" s="139"/>
      <c r="W49" s="139"/>
      <c r="X49" s="139"/>
      <c r="Y49" s="273"/>
      <c r="Z49" s="273"/>
      <c r="AA49" s="273"/>
      <c r="AB49" s="139"/>
      <c r="AC49" s="139"/>
      <c r="AD49" s="139"/>
      <c r="AE49" s="139"/>
      <c r="AF49" s="140"/>
      <c r="AG49" s="140"/>
      <c r="AH49" s="140"/>
      <c r="AI49" s="140"/>
      <c r="AJ49" s="38"/>
      <c r="AK49" s="234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196" t="s">
        <v>7</v>
      </c>
      <c r="N50" s="223"/>
      <c r="O50" s="223"/>
      <c r="P50" s="223"/>
      <c r="Q50" s="320"/>
      <c r="R50" s="321"/>
      <c r="S50" s="33" t="s">
        <v>8</v>
      </c>
      <c r="T50" s="139"/>
      <c r="U50" s="140"/>
      <c r="V50" s="180"/>
      <c r="W50" s="178" t="s">
        <v>50</v>
      </c>
      <c r="X50" s="254" t="s">
        <v>49</v>
      </c>
      <c r="Y50" s="254"/>
      <c r="Z50" s="254"/>
      <c r="AA50" s="254"/>
      <c r="AB50" s="254"/>
      <c r="AC50" s="254"/>
      <c r="AD50" s="254"/>
      <c r="AE50" s="254"/>
      <c r="AF50" s="179" t="s">
        <v>51</v>
      </c>
      <c r="AG50" s="181"/>
      <c r="AH50" s="139"/>
      <c r="AI50" s="139"/>
      <c r="AJ50" s="86"/>
      <c r="AK50" s="235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255">
        <v>417268</v>
      </c>
      <c r="W51" s="256"/>
      <c r="X51" s="256"/>
      <c r="Y51" s="256"/>
      <c r="Z51" s="256"/>
      <c r="AA51" s="257"/>
      <c r="AB51" s="255">
        <v>7402424</v>
      </c>
      <c r="AC51" s="256"/>
      <c r="AD51" s="256"/>
      <c r="AE51" s="256"/>
      <c r="AF51" s="256"/>
      <c r="AG51" s="257"/>
      <c r="AH51" s="140"/>
      <c r="AI51" s="140"/>
      <c r="AJ51" s="38"/>
      <c r="AK51" s="329" t="str">
        <f>M42</f>
        <v>Nível d'agua</v>
      </c>
      <c r="AL51" s="330"/>
      <c r="AM51" s="330"/>
      <c r="AN51" s="330"/>
      <c r="AO51" s="330"/>
      <c r="AP51" s="330"/>
      <c r="AQ51" s="331"/>
      <c r="AR51" s="396" t="str">
        <f>M46</f>
        <v>Amostrador</v>
      </c>
      <c r="AS51" s="397"/>
      <c r="AT51" s="397"/>
      <c r="AU51" s="397"/>
      <c r="AV51" s="397"/>
      <c r="AW51" s="108"/>
      <c r="AX51" s="397" t="str">
        <f>V46</f>
        <v>Revestimento</v>
      </c>
      <c r="AY51" s="436"/>
      <c r="AZ51" s="436"/>
      <c r="BA51" s="436"/>
      <c r="BB51" s="436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433" t="str">
        <f>M37</f>
        <v>Data de execução</v>
      </c>
      <c r="BI51" s="434"/>
      <c r="BJ51" s="434"/>
      <c r="BK51" s="434"/>
      <c r="BL51" s="434"/>
      <c r="BM51" s="434"/>
      <c r="BN51" s="435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8"/>
      <c r="AK52" s="332" t="str">
        <f>M43</f>
        <v>NA Inic.</v>
      </c>
      <c r="AL52" s="333"/>
      <c r="AM52" s="416" t="str">
        <f>IF(P43=38,"",P43)</f>
        <v/>
      </c>
      <c r="AN52" s="417"/>
      <c r="AO52" s="159" t="str">
        <f>R43</f>
        <v>m</v>
      </c>
      <c r="AP52" s="420">
        <f>U43</f>
        <v>44579</v>
      </c>
      <c r="AQ52" s="421"/>
      <c r="AR52" s="401" t="str">
        <f>M47</f>
        <v>Ø interno</v>
      </c>
      <c r="AS52" s="402"/>
      <c r="AT52" s="402"/>
      <c r="AU52" s="402"/>
      <c r="AV52" s="402"/>
      <c r="AW52" s="113" t="str">
        <f>IF(Q47&gt;0,Q47,"")</f>
        <v/>
      </c>
      <c r="AX52" s="114">
        <f>R47</f>
        <v>0</v>
      </c>
      <c r="AY52" s="115" t="str">
        <f>S47</f>
        <v>"</v>
      </c>
      <c r="AZ52" s="415" t="str">
        <f>M49</f>
        <v>Peso</v>
      </c>
      <c r="BA52" s="415"/>
      <c r="BB52" s="415"/>
      <c r="BC52" s="415"/>
      <c r="BD52" s="424">
        <f>Q49</f>
        <v>0</v>
      </c>
      <c r="BE52" s="424"/>
      <c r="BF52" s="112" t="str">
        <f>S49</f>
        <v>kg</v>
      </c>
      <c r="BG52" s="116"/>
      <c r="BH52" s="401" t="str">
        <f>M39</f>
        <v>Inicio</v>
      </c>
      <c r="BI52" s="415"/>
      <c r="BJ52" s="415"/>
      <c r="BK52" s="409">
        <f>P39</f>
        <v>44579</v>
      </c>
      <c r="BL52" s="410"/>
      <c r="BM52" s="410"/>
      <c r="BN52" s="411"/>
      <c r="BO52" s="85"/>
    </row>
    <row r="53" spans="1:82" ht="15" customHeight="1" x14ac:dyDescent="0.2">
      <c r="A53" s="279" t="s">
        <v>59</v>
      </c>
      <c r="B53" s="200"/>
      <c r="C53" s="200"/>
      <c r="D53" s="200"/>
      <c r="E53" s="200"/>
      <c r="F53" s="200"/>
      <c r="G53" s="200"/>
      <c r="H53" s="200"/>
      <c r="I53" s="200"/>
      <c r="J53" s="93"/>
      <c r="K53" s="93"/>
      <c r="L53" s="35"/>
      <c r="M53" s="34"/>
      <c r="N53" s="200" t="s">
        <v>57</v>
      </c>
      <c r="O53" s="200"/>
      <c r="P53" s="200"/>
      <c r="Q53" s="200"/>
      <c r="R53" s="200"/>
      <c r="S53" s="200"/>
      <c r="T53" s="200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34" t="str">
        <f>M44</f>
        <v>NA Final</v>
      </c>
      <c r="AL53" s="335"/>
      <c r="AM53" s="418" t="str">
        <f>IF(P44=38,"",P44)</f>
        <v/>
      </c>
      <c r="AN53" s="419"/>
      <c r="AO53" s="160" t="str">
        <f>R44</f>
        <v>m</v>
      </c>
      <c r="AP53" s="422">
        <f>U44</f>
        <v>44580</v>
      </c>
      <c r="AQ53" s="423"/>
      <c r="AR53" s="399" t="str">
        <f>M48</f>
        <v>Ø externo</v>
      </c>
      <c r="AS53" s="400"/>
      <c r="AT53" s="400"/>
      <c r="AU53" s="400"/>
      <c r="AV53" s="400"/>
      <c r="AW53" s="118" t="str">
        <f>IF(Q48&gt;0,Q48,"")</f>
        <v/>
      </c>
      <c r="AX53" s="119">
        <f>R48</f>
        <v>0</v>
      </c>
      <c r="AY53" s="117" t="str">
        <f>S48</f>
        <v>"</v>
      </c>
      <c r="AZ53" s="425" t="str">
        <f>M50</f>
        <v>Altura de queda</v>
      </c>
      <c r="BA53" s="425"/>
      <c r="BB53" s="425"/>
      <c r="BC53" s="425"/>
      <c r="BD53" s="432">
        <f>Q50</f>
        <v>0</v>
      </c>
      <c r="BE53" s="432"/>
      <c r="BF53" s="117" t="str">
        <f>S50</f>
        <v>cm</v>
      </c>
      <c r="BG53" s="120"/>
      <c r="BH53" s="399" t="str">
        <f>M40</f>
        <v>término</v>
      </c>
      <c r="BI53" s="425"/>
      <c r="BJ53" s="425"/>
      <c r="BK53" s="412">
        <f>P40</f>
        <v>44579</v>
      </c>
      <c r="BL53" s="413"/>
      <c r="BM53" s="413"/>
      <c r="BN53" s="414"/>
      <c r="BO53" s="85"/>
    </row>
    <row r="54" spans="1:82" ht="15" customHeight="1" x14ac:dyDescent="0.2">
      <c r="A54" s="336" t="s">
        <v>60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6" t="s">
        <v>58</v>
      </c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5"/>
      <c r="Z54" s="35"/>
      <c r="AA54" s="35"/>
      <c r="AB54" s="35"/>
      <c r="AC54" s="196" t="s">
        <v>28</v>
      </c>
      <c r="AD54" s="197"/>
      <c r="AE54" s="398"/>
      <c r="AF54" s="277" t="s">
        <v>2</v>
      </c>
      <c r="AG54" s="278"/>
      <c r="AH54" s="77"/>
      <c r="AI54" s="35"/>
      <c r="AJ54" s="38"/>
      <c r="AK54" s="327" t="str">
        <f>E55</f>
        <v>Obs:</v>
      </c>
      <c r="AL54" s="328"/>
      <c r="AM54" s="328"/>
      <c r="AN54" s="406" t="str">
        <f>F55</f>
        <v>-</v>
      </c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8"/>
      <c r="BO54" s="85"/>
    </row>
    <row r="55" spans="1:82" ht="15" customHeight="1" x14ac:dyDescent="0.2">
      <c r="A55" s="338"/>
      <c r="B55" s="339"/>
      <c r="C55" s="156"/>
      <c r="D55" s="156"/>
      <c r="E55" s="156" t="s">
        <v>39</v>
      </c>
      <c r="F55" s="318" t="s">
        <v>61</v>
      </c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403" t="str">
        <f>N53</f>
        <v>Eng.ª Civil</v>
      </c>
      <c r="AL55" s="404"/>
      <c r="AM55" s="405"/>
      <c r="AN55" s="403" t="str">
        <f>N54</f>
        <v>Rosemary Tuzi Domiciliano</v>
      </c>
      <c r="AO55" s="404"/>
      <c r="AP55" s="404"/>
      <c r="AQ55" s="404"/>
      <c r="AR55" s="404"/>
      <c r="AS55" s="404"/>
      <c r="AT55" s="404"/>
      <c r="AU55" s="405"/>
      <c r="AV55" s="403" t="str">
        <f>A53</f>
        <v>CREA-PR</v>
      </c>
      <c r="AW55" s="405"/>
      <c r="AX55" s="403" t="str">
        <f>A54</f>
        <v>117336/D</v>
      </c>
      <c r="AY55" s="404"/>
      <c r="AZ55" s="404"/>
      <c r="BA55" s="404"/>
      <c r="BB55" s="404"/>
      <c r="BC55" s="404"/>
      <c r="BD55" s="404"/>
      <c r="BE55" s="405"/>
      <c r="BF55" s="107"/>
      <c r="BG55" s="439">
        <f>P38</f>
        <v>44579</v>
      </c>
      <c r="BH55" s="440"/>
      <c r="BI55" s="440"/>
      <c r="BJ55" s="440"/>
      <c r="BK55" s="404" t="str">
        <f>AC54</f>
        <v>Folha</v>
      </c>
      <c r="BL55" s="404"/>
      <c r="BM55" s="437" t="str">
        <f>AF54</f>
        <v>01</v>
      </c>
      <c r="BN55" s="438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260" t="str">
        <f t="shared" ref="J57:J71" si="13">IF(M16&gt;0,P16,"")</f>
        <v>argila  marrom avermelhada, friável com presença de matéria orgânica</v>
      </c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260" t="str">
        <f t="shared" si="13"/>
        <v>argila  marrom avermelhada, friável</v>
      </c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260" t="str">
        <f t="shared" si="13"/>
        <v/>
      </c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260" t="str">
        <f t="shared" si="13"/>
        <v/>
      </c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260" t="str">
        <f t="shared" si="13"/>
        <v/>
      </c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260" t="str">
        <f t="shared" si="13"/>
        <v/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260" t="str">
        <f t="shared" si="13"/>
        <v/>
      </c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260" t="str">
        <f t="shared" si="13"/>
        <v/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260" t="str">
        <f t="shared" si="13"/>
        <v/>
      </c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260" t="str">
        <f t="shared" si="13"/>
        <v/>
      </c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260" t="str">
        <f t="shared" si="13"/>
        <v/>
      </c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262" t="str">
        <f t="shared" si="13"/>
        <v/>
      </c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262" t="str">
        <f t="shared" si="13"/>
        <v/>
      </c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22" t="str">
        <f t="shared" si="13"/>
        <v/>
      </c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22" t="str">
        <f t="shared" si="13"/>
        <v/>
      </c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258">
        <f>100-AG14</f>
        <v>-463</v>
      </c>
      <c r="AC72" s="259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259">
        <f>130-AG14</f>
        <v>-433</v>
      </c>
      <c r="K73" s="259"/>
      <c r="L73" s="123"/>
      <c r="M73" s="325">
        <f>5-J73</f>
        <v>438</v>
      </c>
      <c r="N73" s="325"/>
      <c r="O73" s="127"/>
      <c r="P73" s="128">
        <f>130-M73-J73</f>
        <v>125</v>
      </c>
      <c r="Q73" s="127"/>
      <c r="R73" s="241">
        <f t="shared" ref="R73:R87" si="14">IF(M73&gt;0,P73,0)</f>
        <v>125</v>
      </c>
      <c r="S73" s="241"/>
      <c r="T73" s="129">
        <f t="shared" ref="T73:T87" si="15">IF(M73&gt;0,M73,0)</f>
        <v>438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558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25">
        <f>10-J73</f>
        <v>443</v>
      </c>
      <c r="N74" s="325"/>
      <c r="O74" s="127"/>
      <c r="P74" s="128">
        <f>130-M74-J73</f>
        <v>120</v>
      </c>
      <c r="Q74" s="127"/>
      <c r="R74" s="241">
        <f t="shared" si="14"/>
        <v>120</v>
      </c>
      <c r="S74" s="241"/>
      <c r="T74" s="129">
        <f t="shared" si="15"/>
        <v>443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553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25">
        <f>15-J73</f>
        <v>448</v>
      </c>
      <c r="N75" s="325"/>
      <c r="O75" s="127"/>
      <c r="P75" s="128">
        <f>130-M75-J73</f>
        <v>115</v>
      </c>
      <c r="Q75" s="127"/>
      <c r="R75" s="241">
        <f t="shared" si="14"/>
        <v>115</v>
      </c>
      <c r="S75" s="241"/>
      <c r="T75" s="129">
        <f t="shared" si="15"/>
        <v>448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548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25">
        <f>20-J73</f>
        <v>453</v>
      </c>
      <c r="N76" s="325"/>
      <c r="O76" s="127"/>
      <c r="P76" s="128">
        <f>130-M76-J73</f>
        <v>110</v>
      </c>
      <c r="Q76" s="127"/>
      <c r="R76" s="241">
        <f t="shared" si="14"/>
        <v>110</v>
      </c>
      <c r="S76" s="241"/>
      <c r="T76" s="129">
        <f t="shared" si="15"/>
        <v>453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543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25">
        <f>25-J73</f>
        <v>458</v>
      </c>
      <c r="N77" s="325"/>
      <c r="O77" s="127"/>
      <c r="P77" s="128">
        <f>130-M77-J73</f>
        <v>105</v>
      </c>
      <c r="Q77" s="127"/>
      <c r="R77" s="241">
        <f t="shared" si="14"/>
        <v>105</v>
      </c>
      <c r="S77" s="241"/>
      <c r="T77" s="129">
        <f t="shared" si="15"/>
        <v>458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259">
        <f>5-AB72</f>
        <v>468</v>
      </c>
      <c r="AE77" s="259"/>
      <c r="AF77" s="122">
        <f>100-AD77-AB72</f>
        <v>95</v>
      </c>
      <c r="AG77" s="123"/>
      <c r="AH77" s="123"/>
      <c r="AI77" s="123"/>
      <c r="AJ77" s="123"/>
      <c r="AK77" s="123">
        <f t="shared" si="19"/>
        <v>538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25">
        <f>30-J73</f>
        <v>463</v>
      </c>
      <c r="N78" s="325"/>
      <c r="O78" s="127"/>
      <c r="P78" s="128">
        <f>130-M78-J73</f>
        <v>100</v>
      </c>
      <c r="Q78" s="127"/>
      <c r="R78" s="241">
        <f t="shared" si="14"/>
        <v>100</v>
      </c>
      <c r="S78" s="241"/>
      <c r="T78" s="129">
        <f t="shared" si="15"/>
        <v>463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259">
        <f>10-AB72</f>
        <v>473</v>
      </c>
      <c r="AE78" s="259"/>
      <c r="AF78" s="122">
        <f>100-AD78-AB72</f>
        <v>90</v>
      </c>
      <c r="AG78" s="123"/>
      <c r="AH78" s="123"/>
      <c r="AI78" s="123"/>
      <c r="AJ78" s="123"/>
      <c r="AK78" s="123">
        <f t="shared" si="19"/>
        <v>533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25">
        <f>35-J73</f>
        <v>468</v>
      </c>
      <c r="N79" s="325"/>
      <c r="O79" s="127"/>
      <c r="P79" s="128">
        <f>130-M79-J73</f>
        <v>95</v>
      </c>
      <c r="Q79" s="127"/>
      <c r="R79" s="326">
        <f t="shared" si="14"/>
        <v>95</v>
      </c>
      <c r="S79" s="326"/>
      <c r="T79" s="129">
        <f t="shared" si="15"/>
        <v>468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259">
        <f>15-AB72</f>
        <v>478</v>
      </c>
      <c r="AE79" s="259"/>
      <c r="AF79" s="122">
        <f>100-AD79-AB72</f>
        <v>85</v>
      </c>
      <c r="AG79" s="123"/>
      <c r="AH79" s="123"/>
      <c r="AI79" s="123"/>
      <c r="AJ79" s="123"/>
      <c r="AK79" s="123">
        <f t="shared" si="19"/>
        <v>528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25">
        <f>40-J73</f>
        <v>473</v>
      </c>
      <c r="N80" s="325"/>
      <c r="O80" s="127"/>
      <c r="P80" s="128">
        <f>130-M80-J73</f>
        <v>90</v>
      </c>
      <c r="Q80" s="127"/>
      <c r="R80" s="241">
        <f t="shared" si="14"/>
        <v>90</v>
      </c>
      <c r="S80" s="241"/>
      <c r="T80" s="129">
        <f t="shared" si="15"/>
        <v>473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259">
        <f>20-AB72</f>
        <v>483</v>
      </c>
      <c r="AE80" s="259"/>
      <c r="AF80" s="122">
        <f>100-AD80-AB72</f>
        <v>80</v>
      </c>
      <c r="AG80" s="123"/>
      <c r="AH80" s="123"/>
      <c r="AI80" s="123"/>
      <c r="AJ80" s="123"/>
      <c r="AK80" s="123">
        <f t="shared" si="19"/>
        <v>523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259"/>
      <c r="K81" s="259"/>
      <c r="L81" s="123"/>
      <c r="M81" s="325">
        <f>45-J73</f>
        <v>478</v>
      </c>
      <c r="N81" s="325"/>
      <c r="O81" s="127"/>
      <c r="P81" s="128">
        <f>130-M81-J73</f>
        <v>85</v>
      </c>
      <c r="Q81" s="127"/>
      <c r="R81" s="241">
        <f t="shared" si="14"/>
        <v>85</v>
      </c>
      <c r="S81" s="241"/>
      <c r="T81" s="129">
        <f t="shared" si="15"/>
        <v>478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259">
        <f>25-AB72</f>
        <v>488</v>
      </c>
      <c r="AE81" s="259"/>
      <c r="AF81" s="122">
        <f>100-AD81-AB72</f>
        <v>75</v>
      </c>
      <c r="AG81" s="123"/>
      <c r="AH81" s="123"/>
      <c r="AI81" s="123"/>
      <c r="AJ81" s="123"/>
      <c r="AK81" s="123">
        <f t="shared" si="19"/>
        <v>518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25">
        <f>50-J73</f>
        <v>483</v>
      </c>
      <c r="N82" s="325"/>
      <c r="O82" s="127"/>
      <c r="P82" s="128">
        <f>130-M82-J73</f>
        <v>80</v>
      </c>
      <c r="Q82" s="127"/>
      <c r="R82" s="241">
        <f t="shared" si="14"/>
        <v>80</v>
      </c>
      <c r="S82" s="241"/>
      <c r="T82" s="129">
        <f t="shared" si="15"/>
        <v>483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259">
        <f>30-AB72</f>
        <v>493</v>
      </c>
      <c r="AE82" s="259"/>
      <c r="AF82" s="122">
        <f>100-AD82-AB72</f>
        <v>70</v>
      </c>
      <c r="AG82" s="123"/>
      <c r="AH82" s="123"/>
      <c r="AI82" s="123"/>
      <c r="AJ82" s="123"/>
      <c r="AK82" s="123">
        <f t="shared" si="19"/>
        <v>513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25">
        <f>55-J73</f>
        <v>488</v>
      </c>
      <c r="N83" s="325"/>
      <c r="O83" s="127"/>
      <c r="P83" s="128">
        <f>130-M83-J73</f>
        <v>75</v>
      </c>
      <c r="Q83" s="127"/>
      <c r="R83" s="241">
        <f t="shared" si="14"/>
        <v>75</v>
      </c>
      <c r="S83" s="241"/>
      <c r="T83" s="129">
        <f t="shared" si="15"/>
        <v>488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259">
        <f>35-AB72</f>
        <v>498</v>
      </c>
      <c r="AE83" s="259"/>
      <c r="AF83" s="122">
        <f>100-AD83-AB72</f>
        <v>65</v>
      </c>
      <c r="AG83" s="123"/>
      <c r="AH83" s="123"/>
      <c r="AI83" s="123"/>
      <c r="AJ83" s="123"/>
      <c r="AK83" s="123">
        <f t="shared" si="19"/>
        <v>508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25">
        <f>60-J73</f>
        <v>493</v>
      </c>
      <c r="N84" s="325"/>
      <c r="O84" s="127"/>
      <c r="P84" s="128">
        <f>130-M84-J73</f>
        <v>70</v>
      </c>
      <c r="Q84" s="127"/>
      <c r="R84" s="241">
        <f t="shared" si="14"/>
        <v>70</v>
      </c>
      <c r="S84" s="241"/>
      <c r="T84" s="129">
        <f t="shared" si="15"/>
        <v>493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259">
        <f>40-AB72</f>
        <v>503</v>
      </c>
      <c r="AE84" s="259"/>
      <c r="AF84" s="122">
        <f>100-AD84-AB72</f>
        <v>60</v>
      </c>
      <c r="AG84" s="123"/>
      <c r="AH84" s="123"/>
      <c r="AI84" s="123"/>
      <c r="AJ84" s="123"/>
      <c r="AK84" s="123">
        <f t="shared" si="19"/>
        <v>503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25">
        <f>65-J73</f>
        <v>498</v>
      </c>
      <c r="N85" s="325"/>
      <c r="O85" s="127"/>
      <c r="P85" s="128">
        <f>130-M85-J73</f>
        <v>65</v>
      </c>
      <c r="Q85" s="127"/>
      <c r="R85" s="241">
        <f t="shared" si="14"/>
        <v>65</v>
      </c>
      <c r="S85" s="241"/>
      <c r="T85" s="129">
        <f t="shared" si="15"/>
        <v>498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259">
        <f>45-AB72</f>
        <v>508</v>
      </c>
      <c r="AE85" s="259"/>
      <c r="AF85" s="122">
        <f>100-AD85-AB72</f>
        <v>55</v>
      </c>
      <c r="AG85" s="123"/>
      <c r="AH85" s="123"/>
      <c r="AI85" s="123"/>
      <c r="AJ85" s="123"/>
      <c r="AK85" s="123">
        <f t="shared" si="19"/>
        <v>498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25">
        <f>70-J73</f>
        <v>503</v>
      </c>
      <c r="N86" s="325"/>
      <c r="O86" s="127"/>
      <c r="P86" s="128">
        <f>130-M86-J73</f>
        <v>60</v>
      </c>
      <c r="Q86" s="127"/>
      <c r="R86" s="241">
        <f t="shared" si="14"/>
        <v>60</v>
      </c>
      <c r="S86" s="241"/>
      <c r="T86" s="129">
        <f t="shared" si="15"/>
        <v>503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493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25">
        <f>75-J73</f>
        <v>508</v>
      </c>
      <c r="N87" s="325"/>
      <c r="O87" s="127"/>
      <c r="P87" s="128">
        <f>130-M87-J73</f>
        <v>55</v>
      </c>
      <c r="Q87" s="127"/>
      <c r="R87" s="241">
        <f t="shared" si="14"/>
        <v>55</v>
      </c>
      <c r="S87" s="241"/>
      <c r="T87" s="129">
        <f t="shared" si="15"/>
        <v>508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488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5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2022-01-05T16:14:34Z</cp:lastPrinted>
  <dcterms:created xsi:type="dcterms:W3CDTF">2009-03-18T17:22:20Z</dcterms:created>
  <dcterms:modified xsi:type="dcterms:W3CDTF">2022-02-02T21:36:18Z</dcterms:modified>
</cp:coreProperties>
</file>