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URL\Segundo Ciclo\Fundamentos de administracion y analisis financiero\"/>
    </mc:Choice>
  </mc:AlternateContent>
  <xr:revisionPtr revIDLastSave="0" documentId="13_ncr:1_{48CF58A1-2F4B-4743-A02A-AF80EE963DD7}" xr6:coauthVersionLast="47" xr6:coauthVersionMax="47" xr10:uidLastSave="{00000000-0000-0000-0000-000000000000}"/>
  <bookViews>
    <workbookView xWindow="-120" yWindow="-120" windowWidth="20730" windowHeight="11040" xr2:uid="{F80B7C83-C51D-4214-8178-51B34B3AD22A}"/>
  </bookViews>
  <sheets>
    <sheet name="ENCABEZADO" sheetId="1" r:id="rId1"/>
    <sheet name="FORMULARIO"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14" i="1" l="1"/>
  <c r="G107" i="1"/>
  <c r="F107" i="1"/>
  <c r="G106" i="1"/>
  <c r="G105" i="1"/>
  <c r="G104" i="1"/>
  <c r="F106" i="1"/>
  <c r="F105" i="1"/>
  <c r="F104" i="1"/>
  <c r="F103" i="1"/>
  <c r="G103" i="1"/>
  <c r="G102" i="1"/>
  <c r="F102" i="1"/>
  <c r="G101" i="1"/>
  <c r="G100" i="1"/>
  <c r="F101" i="1"/>
  <c r="G95" i="1"/>
  <c r="H95" i="1"/>
  <c r="I95" i="1"/>
  <c r="F95" i="1"/>
  <c r="I89" i="1"/>
  <c r="H89" i="1"/>
  <c r="G89" i="1"/>
  <c r="F89" i="1"/>
  <c r="G77" i="1"/>
  <c r="G73" i="1"/>
  <c r="G76" i="1"/>
  <c r="G72" i="1"/>
  <c r="F47" i="1"/>
  <c r="I66" i="1"/>
  <c r="F42" i="1"/>
  <c r="B50" i="1"/>
  <c r="B44" i="1"/>
  <c r="B43" i="1"/>
  <c r="B41" i="1"/>
  <c r="B36" i="1"/>
  <c r="B35" i="1"/>
  <c r="B63" i="1" s="1"/>
  <c r="B46" i="1" l="1"/>
  <c r="B49" i="1" s="1"/>
  <c r="B51" i="1" s="1"/>
  <c r="B52" i="1" s="1"/>
  <c r="B53" i="1" s="1"/>
  <c r="B54" i="1" l="1"/>
  <c r="B55" i="1" s="1"/>
  <c r="B56" i="1" s="1"/>
  <c r="B57" i="1" s="1"/>
  <c r="B37" i="1" s="1"/>
  <c r="B65" i="1"/>
  <c r="B61" i="1"/>
  <c r="B62" i="1" s="1"/>
  <c r="B64" i="1" s="1"/>
  <c r="B66" i="1" s="1"/>
  <c r="B38" i="1" l="1"/>
  <c r="C37" i="1" s="1"/>
  <c r="I65" i="1"/>
  <c r="F64" i="1" s="1"/>
  <c r="G78" i="1" s="1"/>
  <c r="I57" i="1"/>
  <c r="F56" i="1" s="1"/>
  <c r="G74" i="1" s="1"/>
  <c r="F74" i="1" l="1"/>
  <c r="H72" i="1" s="1"/>
  <c r="I72" i="1" s="1"/>
  <c r="F78" i="1"/>
  <c r="H76" i="1" s="1"/>
  <c r="I76" i="1" s="1"/>
  <c r="C38" i="1"/>
  <c r="C34" i="1"/>
  <c r="C35" i="1"/>
  <c r="C36" i="1"/>
  <c r="H35" i="1"/>
  <c r="G112" i="1" l="1"/>
  <c r="G1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Vanessa Paz</author>
  </authors>
  <commentList>
    <comment ref="E16" authorId="0" shapeId="0" xr:uid="{5EAE2920-CA33-4047-9006-A8D3D53F84FF}">
      <text>
        <r>
          <rPr>
            <sz val="9"/>
            <color indexed="81"/>
            <rFont val="Tahoma"/>
            <family val="2"/>
          </rPr>
          <t xml:space="preserve">Acciones comunes y utilidades retenidas al 31 de diciembre del 2021
</t>
        </r>
      </text>
    </comment>
  </commentList>
</comments>
</file>

<file path=xl/sharedStrings.xml><?xml version="1.0" encoding="utf-8"?>
<sst xmlns="http://schemas.openxmlformats.org/spreadsheetml/2006/main" count="124" uniqueCount="102">
  <si>
    <t>Precio de venta por unidad</t>
  </si>
  <si>
    <t>Opción</t>
  </si>
  <si>
    <t>Tienda</t>
  </si>
  <si>
    <t>Inversión Inicial</t>
  </si>
  <si>
    <t>FNE anual proyectado</t>
  </si>
  <si>
    <t>Unidades vendidas en el año</t>
  </si>
  <si>
    <t>Escuintla</t>
  </si>
  <si>
    <t>Costo de materias primas</t>
  </si>
  <si>
    <t>Q 75.00 / unidad</t>
  </si>
  <si>
    <t>Antigua</t>
  </si>
  <si>
    <t>Costo de mano de obra</t>
  </si>
  <si>
    <t>Q 50.00 / unidad</t>
  </si>
  <si>
    <t>Quetzaltenango</t>
  </si>
  <si>
    <t>Gastos Indirectos de fábrica  (Costos Fijos)</t>
  </si>
  <si>
    <t>Zacapa</t>
  </si>
  <si>
    <t>Gastos de Administración y Ventas</t>
  </si>
  <si>
    <t>Valor adeudado de un Préstamo Bancario</t>
  </si>
  <si>
    <t>Q 120,000  (Saldo al final del año)</t>
  </si>
  <si>
    <t>Tasa interés sobre préstamo bancario actual</t>
  </si>
  <si>
    <t>10% anual</t>
  </si>
  <si>
    <t>Número de acciones preferentes</t>
  </si>
  <si>
    <t>1,300 en circulación</t>
  </si>
  <si>
    <t>Precio actual/ acción preferente</t>
  </si>
  <si>
    <t>Número de acciones comunes</t>
  </si>
  <si>
    <t>2,500 en circulación</t>
  </si>
  <si>
    <t>ISR</t>
  </si>
  <si>
    <t>Precio actual/ acción común</t>
  </si>
  <si>
    <t>Política de Dividendos comunes</t>
  </si>
  <si>
    <t>35% sobre utilidades</t>
  </si>
  <si>
    <t>Utilidades Retenidas acumuladas (inicio de año)</t>
  </si>
  <si>
    <t>Tasa de rendimiento de acciones preferentes</t>
  </si>
  <si>
    <t>20% sobre el precio de la acción</t>
  </si>
  <si>
    <t>Punto de Ruptura = es aquél que existe cuando a una empresa se le acaba una de sus fuentes de financiamiento actuales y debe</t>
  </si>
  <si>
    <t>pagar un costo más elevado para obtener más fondos de ese tipo</t>
  </si>
  <si>
    <t>Calculo del WACC actual de la emperasa</t>
  </si>
  <si>
    <t xml:space="preserve">Fuentes de financiamiento </t>
  </si>
  <si>
    <t xml:space="preserve">Monto </t>
  </si>
  <si>
    <t>wi</t>
  </si>
  <si>
    <t>ki</t>
  </si>
  <si>
    <t>Prestamo bancario</t>
  </si>
  <si>
    <t>Capital preferente</t>
  </si>
  <si>
    <t xml:space="preserve">Capital Comun </t>
  </si>
  <si>
    <t xml:space="preserve">Total </t>
  </si>
  <si>
    <t>Calculo de las Utilidades del periodo (2023)</t>
  </si>
  <si>
    <r>
      <t xml:space="preserve">Utilidades retenidas </t>
    </r>
    <r>
      <rPr>
        <u/>
        <sz val="11"/>
        <color theme="1"/>
        <rFont val="Calibri"/>
        <family val="2"/>
        <scheme val="minor"/>
      </rPr>
      <t>al 2023</t>
    </r>
    <r>
      <rPr>
        <sz val="11"/>
        <color theme="1"/>
        <rFont val="Calibri"/>
        <family val="2"/>
        <scheme val="minor"/>
      </rPr>
      <t xml:space="preserve"> = 125000 + UR 2023</t>
    </r>
  </si>
  <si>
    <t>Ingresos por ventas</t>
  </si>
  <si>
    <t>(-) Coosto de Ventas</t>
  </si>
  <si>
    <t xml:space="preserve">  Materia Prima</t>
  </si>
  <si>
    <t xml:space="preserve">  Mano de Obra</t>
  </si>
  <si>
    <t xml:space="preserve">  GIF (Gastos Fijos)</t>
  </si>
  <si>
    <t>Uilidad Bruta</t>
  </si>
  <si>
    <t>Gastos de Administracion y Ventas</t>
  </si>
  <si>
    <t>(-) Gastos de Operación</t>
  </si>
  <si>
    <t>Utilidad anres de interers e impuestos (UAII)</t>
  </si>
  <si>
    <t>(-) Intereses</t>
  </si>
  <si>
    <t>Utilida antes de Impuestos (UAI)</t>
  </si>
  <si>
    <t>(-) Impuestos (ISR 25%)</t>
  </si>
  <si>
    <t>Calculo de las Uilidad retenida al (2023)</t>
  </si>
  <si>
    <t xml:space="preserve">Saldo al inicio del periodo </t>
  </si>
  <si>
    <t xml:space="preserve">(+) Utilidad del periodo </t>
  </si>
  <si>
    <t>Utilidad disponible para accionistas comunes y preferentes</t>
  </si>
  <si>
    <t>(-) Pago de dividendos preferentes</t>
  </si>
  <si>
    <t xml:space="preserve">Utilidad disponible para accionistas comunes </t>
  </si>
  <si>
    <t>(-) Pago de dividendos comunes</t>
  </si>
  <si>
    <t xml:space="preserve">Saldo al final de periodo </t>
  </si>
  <si>
    <t>Utilidad neta (del peridodo)</t>
  </si>
  <si>
    <t>(-) Dividendos preferentes</t>
  </si>
  <si>
    <t>Utilidad dispobnible para accionistas comunes (UDAC)</t>
  </si>
  <si>
    <t>(-) Dividendos comunes</t>
  </si>
  <si>
    <t>Utilidad retenida del 2023</t>
  </si>
  <si>
    <t>En esta empresda hay mas de dos wacc y eso depende de los puntos de ruptura</t>
  </si>
  <si>
    <t>A</t>
  </si>
  <si>
    <t xml:space="preserve">Punto de ruptura de las utildiades retenidas </t>
  </si>
  <si>
    <t>Costo despues de impuesto del prestamo bancario = kd</t>
  </si>
  <si>
    <t xml:space="preserve">Kd = </t>
  </si>
  <si>
    <t xml:space="preserve">Ki = </t>
  </si>
  <si>
    <t>Costo de las acciones preferentes = Kp</t>
  </si>
  <si>
    <t>T0= Tasa fiscal vigente en el pais como ISR</t>
  </si>
  <si>
    <t>Kp=</t>
  </si>
  <si>
    <t xml:space="preserve">Dp= dividendo por accion </t>
  </si>
  <si>
    <t>Np=Benefico de la venta de acciones preferentes</t>
  </si>
  <si>
    <t>Costro de las acciones comunes actuales y utilidades retenidas = Ks= Kr</t>
  </si>
  <si>
    <t>g = tasa de crecimiento = 6%</t>
  </si>
  <si>
    <t>P0= precio actual por accion Q28</t>
  </si>
  <si>
    <t xml:space="preserve">D1= dividiendo por accional final de año </t>
  </si>
  <si>
    <t>Ks=Kr=</t>
  </si>
  <si>
    <t>Costro de las acciones comunes nuevas = Kn</t>
  </si>
  <si>
    <t>Kn=</t>
  </si>
  <si>
    <t>Nn= precio actual por accion</t>
  </si>
  <si>
    <t>Calculo del WACC y de la TMAR</t>
  </si>
  <si>
    <t xml:space="preserve">Fuentes de Financiamiento </t>
  </si>
  <si>
    <t>WACC</t>
  </si>
  <si>
    <t>TMAR</t>
  </si>
  <si>
    <t>Capital Comun  Nuevo</t>
  </si>
  <si>
    <t>Año</t>
  </si>
  <si>
    <t>TIR</t>
  </si>
  <si>
    <t>Gráfico POI</t>
  </si>
  <si>
    <t>X</t>
  </si>
  <si>
    <t>Y</t>
  </si>
  <si>
    <t>Intervalos</t>
  </si>
  <si>
    <t>Hasta 403920</t>
  </si>
  <si>
    <t>arriba 403920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</si>
</sst>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quot;#,##0;[Red]\-&quot;Q&quot;#,##0"/>
    <numFmt numFmtId="8" formatCode="&quot;Q&quot;#,##0.00;[Red]\-&quot;Q&quot;#,##0.00"/>
    <numFmt numFmtId="164" formatCode="_-[$Q-100A]* #,##0.00_-;\-[$Q-100A]* #,##0.00_-;_-[$Q-100A]* &quot;-&quot;??_-;_-@_-"/>
    <numFmt numFmtId="165" formatCode="0.0%"/>
    <numFmt numFmtId="166" formatCode="&quot;Q&quot;#,##0.0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11"/>
      <color rgb="FFFF0000"/>
      <name val="Calibri"/>
      <family val="2"/>
      <scheme val="minor"/>
    </font>
    <font>
      <b/>
      <sz val="11"/>
      <color theme="4"/>
      <name val="Calibri"/>
      <family val="2"/>
      <scheme val="minor"/>
    </font>
    <font>
      <u/>
      <sz val="11"/>
      <color theme="1"/>
      <name val="Calibri"/>
      <family val="2"/>
      <scheme val="minor"/>
    </font>
    <font>
      <i/>
      <sz val="11"/>
      <color theme="1"/>
      <name val="Calibri"/>
      <family val="2"/>
      <scheme val="minor"/>
    </font>
    <font>
      <b/>
      <sz val="11"/>
      <name val="Calibri"/>
      <family val="2"/>
      <scheme val="minor"/>
    </font>
    <font>
      <sz val="11"/>
      <name val="Calibri"/>
      <family val="2"/>
      <scheme val="minor"/>
    </font>
    <font>
      <sz val="11"/>
      <color theme="1"/>
      <name val="Wingdings 2"/>
      <family val="1"/>
      <charset val="2"/>
    </font>
  </fonts>
  <fills count="9">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34998626667073579"/>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80">
    <xf numFmtId="0" fontId="0" fillId="0" borderId="0" xfId="0"/>
    <xf numFmtId="0" fontId="2" fillId="2" borderId="1" xfId="0" applyFont="1" applyFill="1" applyBorder="1" applyAlignment="1">
      <alignment horizontal="justify" vertical="center" wrapText="1"/>
    </xf>
    <xf numFmtId="0" fontId="2" fillId="2" borderId="2" xfId="0" applyFont="1" applyFill="1" applyBorder="1" applyAlignment="1">
      <alignment horizontal="justify" vertical="center" wrapText="1"/>
    </xf>
    <xf numFmtId="0" fontId="0" fillId="2" borderId="3" xfId="0" applyFill="1" applyBorder="1" applyAlignment="1">
      <alignment horizontal="center" vertical="center" wrapText="1"/>
    </xf>
    <xf numFmtId="0" fontId="0" fillId="2" borderId="4" xfId="0" applyFill="1" applyBorder="1" applyAlignment="1">
      <alignment horizontal="justify" vertical="center" wrapText="1"/>
    </xf>
    <xf numFmtId="6" fontId="0" fillId="2" borderId="4" xfId="0" applyNumberFormat="1" applyFill="1" applyBorder="1" applyAlignment="1">
      <alignment horizontal="justify" vertical="center" wrapText="1"/>
    </xf>
    <xf numFmtId="0" fontId="0" fillId="0" borderId="0" xfId="0" applyAlignment="1">
      <alignment horizontal="center" vertical="center" wrapText="1"/>
    </xf>
    <xf numFmtId="0" fontId="0" fillId="0" borderId="0" xfId="0" applyAlignment="1">
      <alignment horizontal="justify" vertical="center" wrapText="1"/>
    </xf>
    <xf numFmtId="6" fontId="0" fillId="0" borderId="0" xfId="0" applyNumberFormat="1" applyAlignment="1">
      <alignment horizontal="justify" vertical="center" wrapText="1"/>
    </xf>
    <xf numFmtId="0" fontId="2" fillId="0" borderId="0" xfId="0" applyFont="1"/>
    <xf numFmtId="0" fontId="2" fillId="0" borderId="0" xfId="0" applyFont="1" applyAlignment="1">
      <alignment horizontal="center" vertical="center" wrapText="1"/>
    </xf>
    <xf numFmtId="0" fontId="2" fillId="0" borderId="0" xfId="0" applyFont="1" applyAlignment="1">
      <alignment horizontal="center"/>
    </xf>
    <xf numFmtId="6" fontId="0" fillId="0" borderId="0" xfId="0" applyNumberFormat="1" applyAlignment="1">
      <alignment horizontal="center" vertical="center" wrapText="1"/>
    </xf>
    <xf numFmtId="2" fontId="0" fillId="0" borderId="0" xfId="1" applyNumberFormat="1" applyFont="1" applyFill="1" applyBorder="1" applyAlignment="1">
      <alignment horizontal="center"/>
    </xf>
    <xf numFmtId="6" fontId="2" fillId="0" borderId="0" xfId="0" applyNumberFormat="1" applyFont="1" applyAlignment="1">
      <alignment horizontal="center" vertical="center" wrapText="1"/>
    </xf>
    <xf numFmtId="2" fontId="2" fillId="0" borderId="0" xfId="1" applyNumberFormat="1" applyFont="1" applyFill="1" applyBorder="1" applyAlignment="1">
      <alignment horizontal="center"/>
    </xf>
    <xf numFmtId="0" fontId="4" fillId="0" borderId="0" xfId="0" applyFont="1"/>
    <xf numFmtId="0" fontId="0" fillId="0" borderId="0" xfId="0" applyAlignment="1">
      <alignment horizontal="right"/>
    </xf>
    <xf numFmtId="165" fontId="2" fillId="0" borderId="0" xfId="1" applyNumberFormat="1" applyFont="1" applyFill="1" applyBorder="1" applyAlignment="1">
      <alignment horizontal="center"/>
    </xf>
    <xf numFmtId="164" fontId="0" fillId="0" borderId="0" xfId="0" applyNumberFormat="1"/>
    <xf numFmtId="0" fontId="0" fillId="3" borderId="3" xfId="0" applyFill="1" applyBorder="1" applyAlignment="1">
      <alignment vertical="center" wrapText="1"/>
    </xf>
    <xf numFmtId="6" fontId="0" fillId="3" borderId="4" xfId="0" applyNumberFormat="1" applyFill="1" applyBorder="1" applyAlignment="1">
      <alignment horizontal="left" vertical="center" wrapText="1"/>
    </xf>
    <xf numFmtId="0" fontId="0" fillId="3" borderId="4" xfId="0" applyFill="1" applyBorder="1" applyAlignment="1">
      <alignment horizontal="left" vertical="center" wrapText="1"/>
    </xf>
    <xf numFmtId="9" fontId="0" fillId="3" borderId="4" xfId="0" applyNumberFormat="1" applyFill="1" applyBorder="1" applyAlignment="1">
      <alignment horizontal="left" vertical="center" wrapText="1"/>
    </xf>
    <xf numFmtId="0" fontId="5" fillId="0" borderId="0" xfId="0" applyFont="1"/>
    <xf numFmtId="0" fontId="2" fillId="0" borderId="5" xfId="0" applyFont="1" applyBorder="1"/>
    <xf numFmtId="0" fontId="5" fillId="0" borderId="6" xfId="0" applyFont="1" applyBorder="1"/>
    <xf numFmtId="166" fontId="0" fillId="0" borderId="0" xfId="0" applyNumberFormat="1"/>
    <xf numFmtId="0" fontId="2" fillId="0" borderId="0" xfId="0" applyFont="1" applyAlignment="1">
      <alignment horizontal="right"/>
    </xf>
    <xf numFmtId="0" fontId="7" fillId="0" borderId="0" xfId="0" applyFont="1"/>
    <xf numFmtId="0" fontId="0" fillId="4" borderId="0" xfId="0" applyFill="1"/>
    <xf numFmtId="166" fontId="0" fillId="4" borderId="0" xfId="0" applyNumberFormat="1" applyFill="1"/>
    <xf numFmtId="0" fontId="0" fillId="4" borderId="3" xfId="0" applyFill="1" applyBorder="1" applyAlignment="1">
      <alignment vertical="center" wrapText="1"/>
    </xf>
    <xf numFmtId="0" fontId="0" fillId="4" borderId="4" xfId="0" applyFill="1" applyBorder="1" applyAlignment="1">
      <alignment horizontal="left" vertical="center" wrapText="1"/>
    </xf>
    <xf numFmtId="6" fontId="0" fillId="4" borderId="4" xfId="0" applyNumberFormat="1" applyFill="1" applyBorder="1" applyAlignment="1">
      <alignment horizontal="left" vertical="center" wrapText="1"/>
    </xf>
    <xf numFmtId="0" fontId="0" fillId="5" borderId="0" xfId="0" applyFill="1"/>
    <xf numFmtId="166" fontId="0" fillId="5" borderId="0" xfId="0" applyNumberFormat="1" applyFill="1"/>
    <xf numFmtId="0" fontId="0" fillId="6" borderId="0" xfId="0" applyFill="1"/>
    <xf numFmtId="166" fontId="0" fillId="6" borderId="0" xfId="0" applyNumberFormat="1" applyFill="1"/>
    <xf numFmtId="0" fontId="0" fillId="6" borderId="3" xfId="0" applyFill="1" applyBorder="1" applyAlignment="1">
      <alignment vertical="center" wrapText="1"/>
    </xf>
    <xf numFmtId="0" fontId="0" fillId="6" borderId="4" xfId="0" applyFill="1" applyBorder="1" applyAlignment="1">
      <alignment horizontal="left" vertical="center" wrapText="1"/>
    </xf>
    <xf numFmtId="0" fontId="0" fillId="5" borderId="3" xfId="0" applyFill="1" applyBorder="1" applyAlignment="1">
      <alignment vertical="center" wrapText="1"/>
    </xf>
    <xf numFmtId="0" fontId="0" fillId="5" borderId="4" xfId="0" applyFill="1" applyBorder="1" applyAlignment="1">
      <alignment horizontal="left" vertical="center" wrapText="1"/>
    </xf>
    <xf numFmtId="166" fontId="0" fillId="0" borderId="5" xfId="0" applyNumberFormat="1" applyBorder="1"/>
    <xf numFmtId="0" fontId="7" fillId="0" borderId="0" xfId="0" applyFont="1" applyAlignment="1">
      <alignment horizontal="right"/>
    </xf>
    <xf numFmtId="0" fontId="2" fillId="2" borderId="1" xfId="0" applyFont="1" applyFill="1" applyBorder="1" applyAlignment="1">
      <alignment vertical="center" wrapText="1"/>
    </xf>
    <xf numFmtId="8" fontId="2" fillId="2" borderId="2" xfId="0" applyNumberFormat="1" applyFont="1" applyFill="1" applyBorder="1" applyAlignment="1">
      <alignment horizontal="left" vertical="center" wrapText="1"/>
    </xf>
    <xf numFmtId="0" fontId="2" fillId="2" borderId="3" xfId="0" applyFont="1" applyFill="1" applyBorder="1" applyAlignment="1">
      <alignment vertical="center" wrapText="1"/>
    </xf>
    <xf numFmtId="0" fontId="2" fillId="2" borderId="4" xfId="0" applyFont="1" applyFill="1" applyBorder="1" applyAlignment="1">
      <alignment horizontal="left" vertical="center" wrapText="1"/>
    </xf>
    <xf numFmtId="6" fontId="2" fillId="2" borderId="4" xfId="0" applyNumberFormat="1" applyFont="1" applyFill="1" applyBorder="1" applyAlignment="1">
      <alignment horizontal="left" vertical="center" wrapText="1"/>
    </xf>
    <xf numFmtId="0" fontId="2" fillId="3" borderId="3" xfId="0" applyFont="1" applyFill="1" applyBorder="1" applyAlignment="1">
      <alignment vertical="center" wrapText="1"/>
    </xf>
    <xf numFmtId="6" fontId="2" fillId="3" borderId="4" xfId="0" applyNumberFormat="1" applyFont="1" applyFill="1" applyBorder="1" applyAlignment="1">
      <alignment horizontal="left" vertical="center" wrapText="1"/>
    </xf>
    <xf numFmtId="6" fontId="0" fillId="5" borderId="4" xfId="0" applyNumberFormat="1" applyFill="1" applyBorder="1" applyAlignment="1">
      <alignment horizontal="left" vertical="center" wrapText="1"/>
    </xf>
    <xf numFmtId="0" fontId="0" fillId="0" borderId="0" xfId="0" applyAlignment="1">
      <alignment horizontal="left"/>
    </xf>
    <xf numFmtId="0" fontId="2" fillId="0" borderId="5" xfId="0" applyFont="1" applyBorder="1" applyAlignment="1">
      <alignment horizontal="left"/>
    </xf>
    <xf numFmtId="166" fontId="0" fillId="0" borderId="7" xfId="0" applyNumberFormat="1" applyBorder="1"/>
    <xf numFmtId="0" fontId="0" fillId="0" borderId="5" xfId="0" applyBorder="1"/>
    <xf numFmtId="166" fontId="2" fillId="0" borderId="0" xfId="0" applyNumberFormat="1" applyFont="1"/>
    <xf numFmtId="0" fontId="0" fillId="7" borderId="0" xfId="0" applyFill="1"/>
    <xf numFmtId="166" fontId="0" fillId="7" borderId="0" xfId="0" applyNumberFormat="1" applyFill="1"/>
    <xf numFmtId="165" fontId="0" fillId="0" borderId="0" xfId="1" applyNumberFormat="1" applyFont="1"/>
    <xf numFmtId="0" fontId="5" fillId="0" borderId="0" xfId="0" applyFont="1" applyAlignment="1">
      <alignment horizontal="right"/>
    </xf>
    <xf numFmtId="9" fontId="5" fillId="0" borderId="0" xfId="0" applyNumberFormat="1" applyFont="1" applyAlignment="1">
      <alignment horizontal="right"/>
    </xf>
    <xf numFmtId="0" fontId="9" fillId="0" borderId="0" xfId="0" applyFont="1" applyAlignment="1">
      <alignment horizontal="right"/>
    </xf>
    <xf numFmtId="165" fontId="9" fillId="0" borderId="0" xfId="1" applyNumberFormat="1" applyFont="1" applyAlignment="1">
      <alignment horizontal="right"/>
    </xf>
    <xf numFmtId="0" fontId="8" fillId="0" borderId="0" xfId="0" applyFont="1"/>
    <xf numFmtId="6" fontId="0" fillId="0" borderId="0" xfId="0" applyNumberFormat="1"/>
    <xf numFmtId="0" fontId="0" fillId="8" borderId="5" xfId="0" applyFill="1" applyBorder="1"/>
    <xf numFmtId="165" fontId="0" fillId="0" borderId="0" xfId="0" applyNumberFormat="1"/>
    <xf numFmtId="0" fontId="0" fillId="8" borderId="0" xfId="0" applyFill="1"/>
    <xf numFmtId="165" fontId="0" fillId="0" borderId="5" xfId="0" applyNumberFormat="1" applyBorder="1"/>
    <xf numFmtId="165" fontId="0" fillId="0" borderId="5" xfId="1" applyNumberFormat="1" applyFont="1" applyBorder="1"/>
    <xf numFmtId="165" fontId="2" fillId="0" borderId="0" xfId="0" applyNumberFormat="1" applyFont="1"/>
    <xf numFmtId="0" fontId="0" fillId="0" borderId="0" xfId="0" applyAlignment="1">
      <alignment horizontal="center" vertical="center"/>
    </xf>
    <xf numFmtId="165" fontId="0" fillId="0" borderId="0" xfId="0" applyNumberFormat="1" applyAlignment="1">
      <alignment horizontal="center" vertical="center"/>
    </xf>
    <xf numFmtId="6" fontId="0" fillId="0" borderId="0" xfId="0" applyNumberFormat="1" applyAlignment="1">
      <alignment horizontal="center" vertical="center"/>
    </xf>
    <xf numFmtId="165" fontId="0" fillId="0" borderId="0" xfId="1" applyNumberFormat="1" applyFont="1" applyAlignment="1">
      <alignment horizontal="center" vertical="center"/>
    </xf>
    <xf numFmtId="0" fontId="0" fillId="0" borderId="8" xfId="0" applyBorder="1" applyAlignment="1">
      <alignment horizontal="center"/>
    </xf>
    <xf numFmtId="0" fontId="0" fillId="0" borderId="0" xfId="0" applyAlignment="1">
      <alignment horizontal="center"/>
    </xf>
    <xf numFmtId="0" fontId="10" fillId="0" borderId="0" xfId="0" applyFon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PROGRAMA</a:t>
            </a:r>
            <a:r>
              <a:rPr lang="es-GT" baseline="0"/>
              <a:t> DE OPURTUNIDADES DE INVERSION POI</a:t>
            </a:r>
          </a:p>
          <a:p>
            <a:pPr>
              <a:defRPr/>
            </a:pP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v>POI</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ENCABEZADO!$F$100:$F$107</c:f>
              <c:numCache>
                <c:formatCode>"Q"#,##0.00</c:formatCode>
                <c:ptCount val="8"/>
                <c:pt idx="0">
                  <c:v>0</c:v>
                </c:pt>
                <c:pt idx="1">
                  <c:v>150000</c:v>
                </c:pt>
                <c:pt idx="2">
                  <c:v>150000</c:v>
                </c:pt>
                <c:pt idx="3">
                  <c:v>325000</c:v>
                </c:pt>
                <c:pt idx="4">
                  <c:v>325000</c:v>
                </c:pt>
                <c:pt idx="5">
                  <c:v>525000</c:v>
                </c:pt>
                <c:pt idx="6">
                  <c:v>525000</c:v>
                </c:pt>
                <c:pt idx="7" formatCode="&quot;Q&quot;#,##0_);[Red]\(&quot;Q&quot;#,##0\)">
                  <c:v>825000</c:v>
                </c:pt>
              </c:numCache>
            </c:numRef>
          </c:xVal>
          <c:yVal>
            <c:numRef>
              <c:f>ENCABEZADO!$G$100:$G$107</c:f>
              <c:numCache>
                <c:formatCode>0.0%</c:formatCode>
                <c:ptCount val="8"/>
                <c:pt idx="0">
                  <c:v>0.38825524639108</c:v>
                </c:pt>
                <c:pt idx="1">
                  <c:v>0.38825524639108</c:v>
                </c:pt>
                <c:pt idx="2">
                  <c:v>0.32272532658880682</c:v>
                </c:pt>
                <c:pt idx="3">
                  <c:v>0.32272532658880682</c:v>
                </c:pt>
                <c:pt idx="4">
                  <c:v>0.28167984493873965</c:v>
                </c:pt>
                <c:pt idx="5">
                  <c:v>0.28167984493873965</c:v>
                </c:pt>
                <c:pt idx="6">
                  <c:v>0.10916174523423483</c:v>
                </c:pt>
                <c:pt idx="7">
                  <c:v>0.10916174523423483</c:v>
                </c:pt>
              </c:numCache>
            </c:numRef>
          </c:yVal>
          <c:smooth val="0"/>
          <c:extLst>
            <c:ext xmlns:c16="http://schemas.microsoft.com/office/drawing/2014/chart" uri="{C3380CC4-5D6E-409C-BE32-E72D297353CC}">
              <c16:uniqueId val="{00000000-D21A-47D7-86F8-C3439201C041}"/>
            </c:ext>
          </c:extLst>
        </c:ser>
        <c:ser>
          <c:idx val="1"/>
          <c:order val="1"/>
          <c:tx>
            <c:v>TMAR</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ENCABEZADO!$F$111:$F$114</c:f>
              <c:numCache>
                <c:formatCode>"Q"#,##0.00</c:formatCode>
                <c:ptCount val="4"/>
                <c:pt idx="0">
                  <c:v>0</c:v>
                </c:pt>
                <c:pt idx="1">
                  <c:v>403920</c:v>
                </c:pt>
                <c:pt idx="2">
                  <c:v>403920</c:v>
                </c:pt>
                <c:pt idx="3">
                  <c:v>807840</c:v>
                </c:pt>
              </c:numCache>
            </c:numRef>
          </c:xVal>
          <c:yVal>
            <c:numRef>
              <c:f>ENCABEZADO!$G$111:$G$114</c:f>
              <c:numCache>
                <c:formatCode>0.0%</c:formatCode>
                <c:ptCount val="4"/>
                <c:pt idx="0">
                  <c:v>0.24532352941176469</c:v>
                </c:pt>
                <c:pt idx="1">
                  <c:v>0.24532352941176469</c:v>
                </c:pt>
                <c:pt idx="2">
                  <c:v>0.25700000000000001</c:v>
                </c:pt>
                <c:pt idx="3">
                  <c:v>0.25700000000000001</c:v>
                </c:pt>
              </c:numCache>
            </c:numRef>
          </c:yVal>
          <c:smooth val="0"/>
          <c:extLst>
            <c:ext xmlns:c16="http://schemas.microsoft.com/office/drawing/2014/chart" uri="{C3380CC4-5D6E-409C-BE32-E72D297353CC}">
              <c16:uniqueId val="{00000001-D21A-47D7-86F8-C3439201C041}"/>
            </c:ext>
          </c:extLst>
        </c:ser>
        <c:dLbls>
          <c:showLegendKey val="0"/>
          <c:showVal val="0"/>
          <c:showCatName val="0"/>
          <c:showSerName val="0"/>
          <c:showPercent val="0"/>
          <c:showBubbleSize val="0"/>
        </c:dLbls>
        <c:axId val="903517103"/>
        <c:axId val="749534335"/>
      </c:scatterChart>
      <c:valAx>
        <c:axId val="9035171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INVERSIÓN</a:t>
                </a:r>
                <a:r>
                  <a:rPr lang="es-GT" baseline="0"/>
                  <a:t> INICIAL ACUMULADA</a:t>
                </a:r>
                <a:endParaRPr lang="es-G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quot;Q&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749534335"/>
        <c:crosses val="autoZero"/>
        <c:crossBetween val="midCat"/>
      </c:valAx>
      <c:valAx>
        <c:axId val="749534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TIR/TMAR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903517103"/>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chart" Target="../charts/chart1.xml"/><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microsoft.com/office/2007/relationships/hdphoto" Target="../media/hdphoto1.wdp"/><Relationship Id="rId1" Type="http://schemas.openxmlformats.org/officeDocument/2006/relationships/image" Target="../media/image5.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0</xdr:col>
      <xdr:colOff>86360</xdr:colOff>
      <xdr:row>0</xdr:row>
      <xdr:rowOff>104776</xdr:rowOff>
    </xdr:from>
    <xdr:to>
      <xdr:col>6</xdr:col>
      <xdr:colOff>1367118</xdr:colOff>
      <xdr:row>5</xdr:row>
      <xdr:rowOff>0</xdr:rowOff>
    </xdr:to>
    <xdr:sp macro="" textlink="">
      <xdr:nvSpPr>
        <xdr:cNvPr id="2" name="CuadroTexto 1">
          <a:extLst>
            <a:ext uri="{FF2B5EF4-FFF2-40B4-BE49-F238E27FC236}">
              <a16:creationId xmlns:a16="http://schemas.microsoft.com/office/drawing/2014/main" id="{F8185789-ECF1-414B-9AD9-261CE1110C11}"/>
            </a:ext>
          </a:extLst>
        </xdr:cNvPr>
        <xdr:cNvSpPr txBox="1"/>
      </xdr:nvSpPr>
      <xdr:spPr>
        <a:xfrm>
          <a:off x="86360" y="104776"/>
          <a:ext cx="11022405" cy="79169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GT" sz="1100" b="1">
              <a:solidFill>
                <a:schemeClr val="dk1"/>
              </a:solidFill>
              <a:effectLst/>
              <a:latin typeface="+mn-lt"/>
              <a:ea typeface="+mn-ea"/>
              <a:cs typeface="+mn-cs"/>
            </a:rPr>
            <a:t>Fábrica</a:t>
          </a:r>
          <a:r>
            <a:rPr lang="es-GT" sz="1100" b="1" baseline="0">
              <a:solidFill>
                <a:schemeClr val="dk1"/>
              </a:solidFill>
              <a:effectLst/>
              <a:latin typeface="+mn-lt"/>
              <a:ea typeface="+mn-ea"/>
              <a:cs typeface="+mn-cs"/>
            </a:rPr>
            <a:t> Fashion </a:t>
          </a:r>
          <a:r>
            <a:rPr lang="es-GT" sz="1100">
              <a:solidFill>
                <a:schemeClr val="dk1"/>
              </a:solidFill>
              <a:effectLst/>
              <a:latin typeface="+mn-lt"/>
              <a:ea typeface="+mn-ea"/>
              <a:cs typeface="+mn-cs"/>
            </a:rPr>
            <a:t>es una empresa en Guatemala que ofrece diseños especiales de ropa basados en las tendencias actuales y a un precio accesible.  Actualmente sólo opera con una tienda en la ciudad capital, pero desea abrir otras tiendas el próximo año.  La misión de la empresa es convertirse en la primera opción de</a:t>
          </a:r>
          <a:r>
            <a:rPr lang="es-GT" sz="1100" baseline="0">
              <a:solidFill>
                <a:schemeClr val="dk1"/>
              </a:solidFill>
              <a:effectLst/>
              <a:latin typeface="+mn-lt"/>
              <a:ea typeface="+mn-ea"/>
              <a:cs typeface="+mn-cs"/>
            </a:rPr>
            <a:t> ropa casual </a:t>
          </a:r>
          <a:r>
            <a:rPr lang="es-GT" sz="1100">
              <a:solidFill>
                <a:schemeClr val="dk1"/>
              </a:solidFill>
              <a:effectLst/>
              <a:latin typeface="+mn-lt"/>
              <a:ea typeface="+mn-ea"/>
              <a:cs typeface="+mn-cs"/>
            </a:rPr>
            <a:t>para sus clientes, por su estilo y valor.   Usted, como analista financiero de la empresa, ha sido designado para analizar diferentes oportunidades de inversión que se tienen para el año 2024.  Usted cuenta con la siguiente información correspondiente al año 2023. </a:t>
          </a:r>
        </a:p>
        <a:p>
          <a:endParaRPr lang="es-GT" sz="1100"/>
        </a:p>
      </xdr:txBody>
    </xdr:sp>
    <xdr:clientData/>
  </xdr:twoCellAnchor>
  <xdr:twoCellAnchor>
    <xdr:from>
      <xdr:col>0</xdr:col>
      <xdr:colOff>45197</xdr:colOff>
      <xdr:row>22</xdr:row>
      <xdr:rowOff>66115</xdr:rowOff>
    </xdr:from>
    <xdr:to>
      <xdr:col>6</xdr:col>
      <xdr:colOff>1054847</xdr:colOff>
      <xdr:row>29</xdr:row>
      <xdr:rowOff>47065</xdr:rowOff>
    </xdr:to>
    <xdr:sp macro="" textlink="">
      <xdr:nvSpPr>
        <xdr:cNvPr id="3" name="CuadroTexto 2">
          <a:extLst>
            <a:ext uri="{FF2B5EF4-FFF2-40B4-BE49-F238E27FC236}">
              <a16:creationId xmlns:a16="http://schemas.microsoft.com/office/drawing/2014/main" id="{79DFC2FE-59B5-49C6-B812-17C40265B42B}"/>
            </a:ext>
          </a:extLst>
        </xdr:cNvPr>
        <xdr:cNvSpPr txBox="1"/>
      </xdr:nvSpPr>
      <xdr:spPr>
        <a:xfrm>
          <a:off x="45197" y="4324350"/>
          <a:ext cx="10579474" cy="123600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Para poder captar fondos, si se emiten acciones comunes estas tendrán el mismo precio que tienen al día de hoy más un costo de flotación del 8%.  Se considera que los dividendos comunes pueden crecer a una </a:t>
          </a:r>
          <a:r>
            <a:rPr lang="es-GT" sz="1100" b="0">
              <a:solidFill>
                <a:schemeClr val="dk1"/>
              </a:solidFill>
              <a:effectLst/>
              <a:latin typeface="+mn-lt"/>
              <a:ea typeface="+mn-ea"/>
              <a:cs typeface="+mn-cs"/>
            </a:rPr>
            <a:t>tasa del 6% anual.  </a:t>
          </a:r>
        </a:p>
        <a:p>
          <a:pPr marL="0" marR="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Las opciones de inversión que se han logrado identificar al momento son 4 diferentes tiendas ubicadas en distintos puntos del país: Escuintla, Antigua Guatemala, Quetzaltenango y Zacapa.  A continuación se detalla la inversión inicial requerida, así como el Flujo Neto de efectivo proyectado para los 5 años a utilizarse como período de análisis de la inversión.</a:t>
          </a:r>
        </a:p>
        <a:p>
          <a:pPr marL="0" marR="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Si la empresa desea evaluar las diferentes opciones de apertura de tienda, utilizando como </a:t>
          </a:r>
          <a:r>
            <a:rPr lang="es-GT" sz="1100" b="1">
              <a:solidFill>
                <a:schemeClr val="dk1"/>
              </a:solidFill>
              <a:effectLst/>
              <a:latin typeface="+mn-lt"/>
              <a:ea typeface="+mn-ea"/>
              <a:cs typeface="+mn-cs"/>
            </a:rPr>
            <a:t>TMAR 3% arriba de su WACC actual</a:t>
          </a:r>
          <a:r>
            <a:rPr lang="es-GT" sz="1100">
              <a:solidFill>
                <a:schemeClr val="dk1"/>
              </a:solidFill>
              <a:effectLst/>
              <a:latin typeface="+mn-lt"/>
              <a:ea typeface="+mn-ea"/>
              <a:cs typeface="+mn-cs"/>
            </a:rPr>
            <a:t>, y si se considera que la elección de cada alternativa es independiente de la otra, utilizando como </a:t>
          </a:r>
          <a:r>
            <a:rPr lang="es-GT" sz="1100" b="1">
              <a:solidFill>
                <a:schemeClr val="dk1"/>
              </a:solidFill>
              <a:effectLst/>
              <a:latin typeface="+mn-lt"/>
              <a:ea typeface="+mn-ea"/>
              <a:cs typeface="+mn-cs"/>
            </a:rPr>
            <a:t>método de evaluación de la TIR, indique en cuál o cuáles tiendas recomienda invertir para el año 2024</a:t>
          </a:r>
          <a:r>
            <a:rPr lang="es-GT" sz="1100" b="1" baseline="0">
              <a:solidFill>
                <a:schemeClr val="dk1"/>
              </a:solidFill>
              <a:effectLst/>
              <a:latin typeface="+mn-lt"/>
              <a:ea typeface="+mn-ea"/>
              <a:cs typeface="+mn-cs"/>
            </a:rPr>
            <a:t> </a:t>
          </a:r>
          <a:r>
            <a:rPr lang="es-GT" sz="1100">
              <a:solidFill>
                <a:schemeClr val="dk1"/>
              </a:solidFill>
              <a:effectLst/>
              <a:latin typeface="+mn-lt"/>
              <a:ea typeface="+mn-ea"/>
              <a:cs typeface="+mn-cs"/>
            </a:rPr>
            <a:t>a la Fábrica Fashion.</a:t>
          </a:r>
        </a:p>
        <a:p>
          <a:endParaRPr lang="es-GT" sz="1100"/>
        </a:p>
      </xdr:txBody>
    </xdr:sp>
    <xdr:clientData/>
  </xdr:twoCellAnchor>
  <xdr:twoCellAnchor editAs="oneCell">
    <xdr:from>
      <xdr:col>4</xdr:col>
      <xdr:colOff>223344</xdr:colOff>
      <xdr:row>33</xdr:row>
      <xdr:rowOff>91965</xdr:rowOff>
    </xdr:from>
    <xdr:to>
      <xdr:col>4</xdr:col>
      <xdr:colOff>918766</xdr:colOff>
      <xdr:row>36</xdr:row>
      <xdr:rowOff>82518</xdr:rowOff>
    </xdr:to>
    <xdr:pic>
      <xdr:nvPicPr>
        <xdr:cNvPr id="4" name="Imagen 3">
          <a:extLst>
            <a:ext uri="{FF2B5EF4-FFF2-40B4-BE49-F238E27FC236}">
              <a16:creationId xmlns:a16="http://schemas.microsoft.com/office/drawing/2014/main" id="{B62ABF56-79EF-3DFA-A8B8-32D143D41D6A}"/>
            </a:ext>
          </a:extLst>
        </xdr:cNvPr>
        <xdr:cNvPicPr>
          <a:picLocks noChangeAspect="1"/>
        </xdr:cNvPicPr>
      </xdr:nvPicPr>
      <xdr:blipFill>
        <a:blip xmlns:r="http://schemas.openxmlformats.org/officeDocument/2006/relationships" r:embed="rId1"/>
        <a:stretch>
          <a:fillRect/>
        </a:stretch>
      </xdr:blipFill>
      <xdr:spPr>
        <a:xfrm>
          <a:off x="7173310" y="6542689"/>
          <a:ext cx="695422" cy="562053"/>
        </a:xfrm>
        <a:prstGeom prst="rect">
          <a:avLst/>
        </a:prstGeom>
      </xdr:spPr>
    </xdr:pic>
    <xdr:clientData/>
  </xdr:twoCellAnchor>
  <xdr:oneCellAnchor>
    <xdr:from>
      <xdr:col>5</xdr:col>
      <xdr:colOff>357352</xdr:colOff>
      <xdr:row>34</xdr:row>
      <xdr:rowOff>45325</xdr:rowOff>
    </xdr:from>
    <xdr:ext cx="1956112" cy="320344"/>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36183D73-C34D-4BCE-E5EE-0B56D39AC5D9}"/>
                </a:ext>
              </a:extLst>
            </xdr:cNvPr>
            <xdr:cNvSpPr txBox="1"/>
          </xdr:nvSpPr>
          <xdr:spPr>
            <a:xfrm>
              <a:off x="8686800" y="6686549"/>
              <a:ext cx="1956112"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𝑃𝑢𝑛𝑡𝑜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𝑟𝑢𝑝𝑡𝑢𝑟𝑎</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𝑄</m:t>
                        </m:r>
                        <m:r>
                          <a:rPr lang="es-ES" sz="1100" b="0" i="1">
                            <a:latin typeface="Cambria Math" panose="02040503050406030204" pitchFamily="18" charset="0"/>
                          </a:rPr>
                          <m:t> 155,420</m:t>
                        </m:r>
                      </m:num>
                      <m:den>
                        <m:r>
                          <a:rPr lang="es-ES" sz="1100" b="0" i="1">
                            <a:latin typeface="Cambria Math" panose="02040503050406030204" pitchFamily="18" charset="0"/>
                          </a:rPr>
                          <m:t>0.385</m:t>
                        </m:r>
                      </m:den>
                    </m:f>
                  </m:oMath>
                </m:oMathPara>
              </a14:m>
              <a:endParaRPr lang="es-GT" sz="1100"/>
            </a:p>
          </xdr:txBody>
        </xdr:sp>
      </mc:Choice>
      <mc:Fallback xmlns="">
        <xdr:sp macro="" textlink="">
          <xdr:nvSpPr>
            <xdr:cNvPr id="5" name="CuadroTexto 4">
              <a:extLst>
                <a:ext uri="{FF2B5EF4-FFF2-40B4-BE49-F238E27FC236}">
                  <a16:creationId xmlns:a16="http://schemas.microsoft.com/office/drawing/2014/main" id="{36183D73-C34D-4BCE-E5EE-0B56D39AC5D9}"/>
                </a:ext>
              </a:extLst>
            </xdr:cNvPr>
            <xdr:cNvSpPr txBox="1"/>
          </xdr:nvSpPr>
          <xdr:spPr>
            <a:xfrm>
              <a:off x="8686800" y="6686549"/>
              <a:ext cx="1956112"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𝑃𝑢𝑛𝑡𝑜 𝑑𝑒 𝑟𝑢𝑝𝑡𝑢𝑟𝑎=(𝑄 155,420)/0.385</a:t>
              </a:r>
              <a:endParaRPr lang="es-GT" sz="1100"/>
            </a:p>
          </xdr:txBody>
        </xdr:sp>
      </mc:Fallback>
    </mc:AlternateContent>
    <xdr:clientData/>
  </xdr:oneCellAnchor>
  <xdr:twoCellAnchor editAs="oneCell">
    <xdr:from>
      <xdr:col>6</xdr:col>
      <xdr:colOff>860534</xdr:colOff>
      <xdr:row>40</xdr:row>
      <xdr:rowOff>19707</xdr:rowOff>
    </xdr:from>
    <xdr:to>
      <xdr:col>7</xdr:col>
      <xdr:colOff>681369</xdr:colOff>
      <xdr:row>41</xdr:row>
      <xdr:rowOff>95944</xdr:rowOff>
    </xdr:to>
    <xdr:pic>
      <xdr:nvPicPr>
        <xdr:cNvPr id="6" name="Imagen 5">
          <a:extLst>
            <a:ext uri="{FF2B5EF4-FFF2-40B4-BE49-F238E27FC236}">
              <a16:creationId xmlns:a16="http://schemas.microsoft.com/office/drawing/2014/main" id="{E10BEF0D-531B-DA75-98BB-A9F0BFC610FC}"/>
            </a:ext>
          </a:extLst>
        </xdr:cNvPr>
        <xdr:cNvPicPr>
          <a:picLocks noChangeAspect="1"/>
        </xdr:cNvPicPr>
      </xdr:nvPicPr>
      <xdr:blipFill>
        <a:blip xmlns:r="http://schemas.openxmlformats.org/officeDocument/2006/relationships" r:embed="rId2"/>
        <a:stretch>
          <a:fillRect/>
        </a:stretch>
      </xdr:blipFill>
      <xdr:spPr>
        <a:xfrm>
          <a:off x="10168758" y="7803931"/>
          <a:ext cx="1200318" cy="266737"/>
        </a:xfrm>
        <a:prstGeom prst="rect">
          <a:avLst/>
        </a:prstGeom>
      </xdr:spPr>
    </xdr:pic>
    <xdr:clientData/>
  </xdr:twoCellAnchor>
  <xdr:twoCellAnchor editAs="oneCell">
    <xdr:from>
      <xdr:col>6</xdr:col>
      <xdr:colOff>505811</xdr:colOff>
      <xdr:row>44</xdr:row>
      <xdr:rowOff>177362</xdr:rowOff>
    </xdr:from>
    <xdr:to>
      <xdr:col>6</xdr:col>
      <xdr:colOff>1086917</xdr:colOff>
      <xdr:row>47</xdr:row>
      <xdr:rowOff>101231</xdr:rowOff>
    </xdr:to>
    <xdr:pic>
      <xdr:nvPicPr>
        <xdr:cNvPr id="7" name="Imagen 6">
          <a:extLst>
            <a:ext uri="{FF2B5EF4-FFF2-40B4-BE49-F238E27FC236}">
              <a16:creationId xmlns:a16="http://schemas.microsoft.com/office/drawing/2014/main" id="{7045A5B8-7B18-DE6A-0EA9-96B856C32632}"/>
            </a:ext>
          </a:extLst>
        </xdr:cNvPr>
        <xdr:cNvPicPr>
          <a:picLocks noChangeAspect="1"/>
        </xdr:cNvPicPr>
      </xdr:nvPicPr>
      <xdr:blipFill>
        <a:blip xmlns:r="http://schemas.openxmlformats.org/officeDocument/2006/relationships" r:embed="rId3"/>
        <a:stretch>
          <a:fillRect/>
        </a:stretch>
      </xdr:blipFill>
      <xdr:spPr>
        <a:xfrm>
          <a:off x="9814035" y="8723586"/>
          <a:ext cx="581106" cy="495369"/>
        </a:xfrm>
        <a:prstGeom prst="rect">
          <a:avLst/>
        </a:prstGeom>
      </xdr:spPr>
    </xdr:pic>
    <xdr:clientData/>
  </xdr:twoCellAnchor>
  <xdr:twoCellAnchor editAs="oneCell">
    <xdr:from>
      <xdr:col>6</xdr:col>
      <xdr:colOff>137949</xdr:colOff>
      <xdr:row>53</xdr:row>
      <xdr:rowOff>39413</xdr:rowOff>
    </xdr:from>
    <xdr:to>
      <xdr:col>6</xdr:col>
      <xdr:colOff>1214424</xdr:colOff>
      <xdr:row>55</xdr:row>
      <xdr:rowOff>163308</xdr:rowOff>
    </xdr:to>
    <xdr:pic>
      <xdr:nvPicPr>
        <xdr:cNvPr id="8" name="Imagen 7">
          <a:extLst>
            <a:ext uri="{FF2B5EF4-FFF2-40B4-BE49-F238E27FC236}">
              <a16:creationId xmlns:a16="http://schemas.microsoft.com/office/drawing/2014/main" id="{987F6FA2-36B9-410F-E0CE-CD2496BE93D5}"/>
            </a:ext>
          </a:extLst>
        </xdr:cNvPr>
        <xdr:cNvPicPr>
          <a:picLocks noChangeAspect="1"/>
        </xdr:cNvPicPr>
      </xdr:nvPicPr>
      <xdr:blipFill>
        <a:blip xmlns:r="http://schemas.openxmlformats.org/officeDocument/2006/relationships" r:embed="rId4"/>
        <a:stretch>
          <a:fillRect/>
        </a:stretch>
      </xdr:blipFill>
      <xdr:spPr>
        <a:xfrm>
          <a:off x="9446173" y="10300137"/>
          <a:ext cx="1076475" cy="504895"/>
        </a:xfrm>
        <a:prstGeom prst="rect">
          <a:avLst/>
        </a:prstGeom>
      </xdr:spPr>
    </xdr:pic>
    <xdr:clientData/>
  </xdr:twoCellAnchor>
  <xdr:twoCellAnchor>
    <xdr:from>
      <xdr:col>7</xdr:col>
      <xdr:colOff>65942</xdr:colOff>
      <xdr:row>98</xdr:row>
      <xdr:rowOff>64476</xdr:rowOff>
    </xdr:from>
    <xdr:to>
      <xdr:col>16</xdr:col>
      <xdr:colOff>303067</xdr:colOff>
      <xdr:row>116</xdr:row>
      <xdr:rowOff>0</xdr:rowOff>
    </xdr:to>
    <xdr:graphicFrame macro="">
      <xdr:nvGraphicFramePr>
        <xdr:cNvPr id="11" name="Gráfico 10">
          <a:extLst>
            <a:ext uri="{FF2B5EF4-FFF2-40B4-BE49-F238E27FC236}">
              <a16:creationId xmlns:a16="http://schemas.microsoft.com/office/drawing/2014/main" id="{5B5F25F4-5F63-31D8-100B-B91D043A8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813954</xdr:colOff>
      <xdr:row>103</xdr:row>
      <xdr:rowOff>17318</xdr:rowOff>
    </xdr:from>
    <xdr:to>
      <xdr:col>8</xdr:col>
      <xdr:colOff>571500</xdr:colOff>
      <xdr:row>104</xdr:row>
      <xdr:rowOff>86591</xdr:rowOff>
    </xdr:to>
    <xdr:sp macro="" textlink="">
      <xdr:nvSpPr>
        <xdr:cNvPr id="16" name="CuadroTexto 15">
          <a:extLst>
            <a:ext uri="{FF2B5EF4-FFF2-40B4-BE49-F238E27FC236}">
              <a16:creationId xmlns:a16="http://schemas.microsoft.com/office/drawing/2014/main" id="{BC679BD6-38B8-8169-C0A1-1A9F0D3F80DD}"/>
            </a:ext>
          </a:extLst>
        </xdr:cNvPr>
        <xdr:cNvSpPr txBox="1"/>
      </xdr:nvSpPr>
      <xdr:spPr>
        <a:xfrm>
          <a:off x="11750386" y="20279591"/>
          <a:ext cx="718705" cy="259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Escuintla</a:t>
          </a:r>
        </a:p>
      </xdr:txBody>
    </xdr:sp>
    <xdr:clientData/>
  </xdr:twoCellAnchor>
  <xdr:twoCellAnchor>
    <xdr:from>
      <xdr:col>9</xdr:col>
      <xdr:colOff>204354</xdr:colOff>
      <xdr:row>104</xdr:row>
      <xdr:rowOff>83127</xdr:rowOff>
    </xdr:from>
    <xdr:to>
      <xdr:col>10</xdr:col>
      <xdr:colOff>161059</xdr:colOff>
      <xdr:row>105</xdr:row>
      <xdr:rowOff>152400</xdr:rowOff>
    </xdr:to>
    <xdr:sp macro="" textlink="">
      <xdr:nvSpPr>
        <xdr:cNvPr id="17" name="CuadroTexto 16">
          <a:extLst>
            <a:ext uri="{FF2B5EF4-FFF2-40B4-BE49-F238E27FC236}">
              <a16:creationId xmlns:a16="http://schemas.microsoft.com/office/drawing/2014/main" id="{4F8D63DF-4764-4869-B1BF-3EAE2187EC56}"/>
            </a:ext>
          </a:extLst>
        </xdr:cNvPr>
        <xdr:cNvSpPr txBox="1"/>
      </xdr:nvSpPr>
      <xdr:spPr>
        <a:xfrm>
          <a:off x="12967854" y="20535900"/>
          <a:ext cx="718705" cy="259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Antigua</a:t>
          </a:r>
        </a:p>
      </xdr:txBody>
    </xdr:sp>
    <xdr:clientData/>
  </xdr:twoCellAnchor>
  <xdr:twoCellAnchor>
    <xdr:from>
      <xdr:col>10</xdr:col>
      <xdr:colOff>616527</xdr:colOff>
      <xdr:row>105</xdr:row>
      <xdr:rowOff>62344</xdr:rowOff>
    </xdr:from>
    <xdr:to>
      <xdr:col>12</xdr:col>
      <xdr:colOff>190500</xdr:colOff>
      <xdr:row>106</xdr:row>
      <xdr:rowOff>131617</xdr:rowOff>
    </xdr:to>
    <xdr:sp macro="" textlink="">
      <xdr:nvSpPr>
        <xdr:cNvPr id="18" name="CuadroTexto 17">
          <a:extLst>
            <a:ext uri="{FF2B5EF4-FFF2-40B4-BE49-F238E27FC236}">
              <a16:creationId xmlns:a16="http://schemas.microsoft.com/office/drawing/2014/main" id="{8B0BD22C-FA45-4E9C-83E6-8C9488D803A5}"/>
            </a:ext>
          </a:extLst>
        </xdr:cNvPr>
        <xdr:cNvSpPr txBox="1"/>
      </xdr:nvSpPr>
      <xdr:spPr>
        <a:xfrm>
          <a:off x="14142027" y="20705617"/>
          <a:ext cx="1097973" cy="259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Quetzaltennago</a:t>
          </a:r>
        </a:p>
      </xdr:txBody>
    </xdr:sp>
    <xdr:clientData/>
  </xdr:twoCellAnchor>
  <xdr:twoCellAnchor>
    <xdr:from>
      <xdr:col>12</xdr:col>
      <xdr:colOff>621722</xdr:colOff>
      <xdr:row>109</xdr:row>
      <xdr:rowOff>24245</xdr:rowOff>
    </xdr:from>
    <xdr:to>
      <xdr:col>14</xdr:col>
      <xdr:colOff>195695</xdr:colOff>
      <xdr:row>110</xdr:row>
      <xdr:rowOff>93518</xdr:rowOff>
    </xdr:to>
    <xdr:sp macro="" textlink="">
      <xdr:nvSpPr>
        <xdr:cNvPr id="19" name="CuadroTexto 18">
          <a:extLst>
            <a:ext uri="{FF2B5EF4-FFF2-40B4-BE49-F238E27FC236}">
              <a16:creationId xmlns:a16="http://schemas.microsoft.com/office/drawing/2014/main" id="{13563384-3BE1-43A9-BF15-28A2A2A8EB42}"/>
            </a:ext>
          </a:extLst>
        </xdr:cNvPr>
        <xdr:cNvSpPr txBox="1"/>
      </xdr:nvSpPr>
      <xdr:spPr>
        <a:xfrm>
          <a:off x="15671222" y="21429518"/>
          <a:ext cx="1097973" cy="259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Zacapa</a:t>
          </a:r>
        </a:p>
      </xdr:txBody>
    </xdr:sp>
    <xdr:clientData/>
  </xdr:twoCellAnchor>
  <xdr:twoCellAnchor>
    <xdr:from>
      <xdr:col>7</xdr:col>
      <xdr:colOff>895349</xdr:colOff>
      <xdr:row>106</xdr:row>
      <xdr:rowOff>55417</xdr:rowOff>
    </xdr:from>
    <xdr:to>
      <xdr:col>9</xdr:col>
      <xdr:colOff>166254</xdr:colOff>
      <xdr:row>107</xdr:row>
      <xdr:rowOff>124690</xdr:rowOff>
    </xdr:to>
    <xdr:sp macro="" textlink="">
      <xdr:nvSpPr>
        <xdr:cNvPr id="20" name="CuadroTexto 19">
          <a:extLst>
            <a:ext uri="{FF2B5EF4-FFF2-40B4-BE49-F238E27FC236}">
              <a16:creationId xmlns:a16="http://schemas.microsoft.com/office/drawing/2014/main" id="{733B3C68-7512-4100-A38F-B4E6A586078A}"/>
            </a:ext>
          </a:extLst>
        </xdr:cNvPr>
        <xdr:cNvSpPr txBox="1"/>
      </xdr:nvSpPr>
      <xdr:spPr>
        <a:xfrm>
          <a:off x="11831781" y="20889190"/>
          <a:ext cx="1097973" cy="259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TMAR</a:t>
          </a:r>
          <a:r>
            <a:rPr lang="es-GT" sz="1100" baseline="0"/>
            <a:t> = 24.5%</a:t>
          </a:r>
        </a:p>
        <a:p>
          <a:endParaRPr lang="es-GT" sz="1100"/>
        </a:p>
      </xdr:txBody>
    </xdr:sp>
    <xdr:clientData/>
  </xdr:twoCellAnchor>
  <xdr:twoCellAnchor>
    <xdr:from>
      <xdr:col>12</xdr:col>
      <xdr:colOff>557645</xdr:colOff>
      <xdr:row>102</xdr:row>
      <xdr:rowOff>185304</xdr:rowOff>
    </xdr:from>
    <xdr:to>
      <xdr:col>14</xdr:col>
      <xdr:colOff>692727</xdr:colOff>
      <xdr:row>104</xdr:row>
      <xdr:rowOff>95250</xdr:rowOff>
    </xdr:to>
    <xdr:sp macro="" textlink="">
      <xdr:nvSpPr>
        <xdr:cNvPr id="21" name="CuadroTexto 20">
          <a:extLst>
            <a:ext uri="{FF2B5EF4-FFF2-40B4-BE49-F238E27FC236}">
              <a16:creationId xmlns:a16="http://schemas.microsoft.com/office/drawing/2014/main" id="{F84B3D55-C4C9-4AB2-9A47-28CB1BECB04E}"/>
            </a:ext>
          </a:extLst>
        </xdr:cNvPr>
        <xdr:cNvSpPr txBox="1"/>
      </xdr:nvSpPr>
      <xdr:spPr>
        <a:xfrm>
          <a:off x="15607145" y="20257077"/>
          <a:ext cx="1659082" cy="2909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solidFill>
                <a:schemeClr val="accent1">
                  <a:lumMod val="60000"/>
                  <a:lumOff val="40000"/>
                </a:schemeClr>
              </a:solidFill>
            </a:rPr>
            <a:t>ÁREA DE ACEPTACIÓN</a:t>
          </a:r>
        </a:p>
      </xdr:txBody>
    </xdr:sp>
    <xdr:clientData/>
  </xdr:twoCellAnchor>
  <xdr:twoCellAnchor>
    <xdr:from>
      <xdr:col>8</xdr:col>
      <xdr:colOff>381000</xdr:colOff>
      <xdr:row>109</xdr:row>
      <xdr:rowOff>34636</xdr:rowOff>
    </xdr:from>
    <xdr:to>
      <xdr:col>10</xdr:col>
      <xdr:colOff>412173</xdr:colOff>
      <xdr:row>110</xdr:row>
      <xdr:rowOff>135082</xdr:rowOff>
    </xdr:to>
    <xdr:sp macro="" textlink="">
      <xdr:nvSpPr>
        <xdr:cNvPr id="22" name="CuadroTexto 21">
          <a:extLst>
            <a:ext uri="{FF2B5EF4-FFF2-40B4-BE49-F238E27FC236}">
              <a16:creationId xmlns:a16="http://schemas.microsoft.com/office/drawing/2014/main" id="{BABD1D30-B3AA-4EC2-84B2-2FAAF35891BE}"/>
            </a:ext>
          </a:extLst>
        </xdr:cNvPr>
        <xdr:cNvSpPr txBox="1"/>
      </xdr:nvSpPr>
      <xdr:spPr>
        <a:xfrm>
          <a:off x="12278591" y="21439909"/>
          <a:ext cx="1659082" cy="2909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solidFill>
                <a:schemeClr val="accent1">
                  <a:lumMod val="60000"/>
                  <a:lumOff val="40000"/>
                </a:schemeClr>
              </a:solidFill>
            </a:rPr>
            <a:t>ÁREA DE RECHAZO</a:t>
          </a:r>
        </a:p>
      </xdr:txBody>
    </xdr:sp>
    <xdr:clientData/>
  </xdr:twoCellAnchor>
  <xdr:twoCellAnchor>
    <xdr:from>
      <xdr:col>12</xdr:col>
      <xdr:colOff>476249</xdr:colOff>
      <xdr:row>105</xdr:row>
      <xdr:rowOff>121226</xdr:rowOff>
    </xdr:from>
    <xdr:to>
      <xdr:col>14</xdr:col>
      <xdr:colOff>50222</xdr:colOff>
      <xdr:row>106</xdr:row>
      <xdr:rowOff>190499</xdr:rowOff>
    </xdr:to>
    <xdr:sp macro="" textlink="">
      <xdr:nvSpPr>
        <xdr:cNvPr id="23" name="CuadroTexto 22">
          <a:extLst>
            <a:ext uri="{FF2B5EF4-FFF2-40B4-BE49-F238E27FC236}">
              <a16:creationId xmlns:a16="http://schemas.microsoft.com/office/drawing/2014/main" id="{4E21A4CE-4CA0-4611-81C5-D8615B2B1E48}"/>
            </a:ext>
          </a:extLst>
        </xdr:cNvPr>
        <xdr:cNvSpPr txBox="1"/>
      </xdr:nvSpPr>
      <xdr:spPr>
        <a:xfrm>
          <a:off x="15525749" y="20764499"/>
          <a:ext cx="1097973" cy="259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TMAR</a:t>
          </a:r>
          <a:r>
            <a:rPr lang="es-GT" sz="1100" baseline="0"/>
            <a:t> = 25.7%</a:t>
          </a:r>
          <a:endParaRPr lang="es-GT" sz="1100"/>
        </a:p>
      </xdr:txBody>
    </xdr:sp>
    <xdr:clientData/>
  </xdr:twoCellAnchor>
  <xdr:twoCellAnchor>
    <xdr:from>
      <xdr:col>13</xdr:col>
      <xdr:colOff>519545</xdr:colOff>
      <xdr:row>108</xdr:row>
      <xdr:rowOff>103909</xdr:rowOff>
    </xdr:from>
    <xdr:to>
      <xdr:col>14</xdr:col>
      <xdr:colOff>233795</xdr:colOff>
      <xdr:row>110</xdr:row>
      <xdr:rowOff>173182</xdr:rowOff>
    </xdr:to>
    <xdr:sp macro="" textlink="">
      <xdr:nvSpPr>
        <xdr:cNvPr id="24" name="Signo de multiplicación 23">
          <a:extLst>
            <a:ext uri="{FF2B5EF4-FFF2-40B4-BE49-F238E27FC236}">
              <a16:creationId xmlns:a16="http://schemas.microsoft.com/office/drawing/2014/main" id="{5B67DD1E-01A8-A4B0-5AF8-8ABFB20075DD}"/>
            </a:ext>
          </a:extLst>
        </xdr:cNvPr>
        <xdr:cNvSpPr/>
      </xdr:nvSpPr>
      <xdr:spPr>
        <a:xfrm>
          <a:off x="16331045" y="21318682"/>
          <a:ext cx="476250" cy="450273"/>
        </a:xfrm>
        <a:prstGeom prst="mathMultiply">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16</xdr:col>
      <xdr:colOff>571500</xdr:colOff>
      <xdr:row>98</xdr:row>
      <xdr:rowOff>0</xdr:rowOff>
    </xdr:from>
    <xdr:to>
      <xdr:col>19</xdr:col>
      <xdr:colOff>60614</xdr:colOff>
      <xdr:row>115</xdr:row>
      <xdr:rowOff>77932</xdr:rowOff>
    </xdr:to>
    <xdr:sp macro="" textlink="">
      <xdr:nvSpPr>
        <xdr:cNvPr id="25" name="CuadroTexto 24">
          <a:extLst>
            <a:ext uri="{FF2B5EF4-FFF2-40B4-BE49-F238E27FC236}">
              <a16:creationId xmlns:a16="http://schemas.microsoft.com/office/drawing/2014/main" id="{DBF73208-9B32-BD6C-F697-994905F50764}"/>
            </a:ext>
          </a:extLst>
        </xdr:cNvPr>
        <xdr:cNvSpPr txBox="1"/>
      </xdr:nvSpPr>
      <xdr:spPr>
        <a:xfrm>
          <a:off x="18669000" y="19309773"/>
          <a:ext cx="1775114" cy="33164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Se</a:t>
          </a:r>
          <a:r>
            <a:rPr lang="es-GT" sz="1100" baseline="0"/>
            <a:t> recomienda a la empresa abrir 3 nuevas sucursales en el siguiente orden de prioridad:</a:t>
          </a:r>
        </a:p>
        <a:p>
          <a:r>
            <a:rPr lang="es-GT" sz="1100" baseline="0"/>
            <a:t>1. Escuintla</a:t>
          </a:r>
        </a:p>
        <a:p>
          <a:r>
            <a:rPr lang="es-GT" sz="1100" baseline="0"/>
            <a:t>2. Antigua</a:t>
          </a:r>
        </a:p>
        <a:p>
          <a:r>
            <a:rPr lang="es-GT" sz="1100" baseline="0"/>
            <a:t>3. Quetzaltenango</a:t>
          </a:r>
        </a:p>
        <a:p>
          <a:endParaRPr lang="es-GT" sz="1100" baseline="0"/>
        </a:p>
        <a:p>
          <a:r>
            <a:rPr lang="es-GT" sz="1100" baseline="0"/>
            <a:t>No se recomienda abrir sucurzal en Zacapa porque TIR &lt; TMAR</a:t>
          </a:r>
          <a:endParaRPr lang="es-GT" sz="1100"/>
        </a:p>
      </xdr:txBody>
    </xdr:sp>
    <xdr:clientData/>
  </xdr:twoCellAnchor>
  <xdr:twoCellAnchor>
    <xdr:from>
      <xdr:col>8</xdr:col>
      <xdr:colOff>623456</xdr:colOff>
      <xdr:row>102</xdr:row>
      <xdr:rowOff>0</xdr:rowOff>
    </xdr:from>
    <xdr:to>
      <xdr:col>9</xdr:col>
      <xdr:colOff>181843</xdr:colOff>
      <xdr:row>104</xdr:row>
      <xdr:rowOff>43295</xdr:rowOff>
    </xdr:to>
    <xdr:sp macro="" textlink="">
      <xdr:nvSpPr>
        <xdr:cNvPr id="9" name="CuadroTexto 8">
          <a:extLst>
            <a:ext uri="{FF2B5EF4-FFF2-40B4-BE49-F238E27FC236}">
              <a16:creationId xmlns:a16="http://schemas.microsoft.com/office/drawing/2014/main" id="{FD42451E-401A-3BC9-38D2-721E3AB10ED1}"/>
            </a:ext>
          </a:extLst>
        </xdr:cNvPr>
        <xdr:cNvSpPr txBox="1"/>
      </xdr:nvSpPr>
      <xdr:spPr>
        <a:xfrm>
          <a:off x="12521047" y="20071773"/>
          <a:ext cx="424296" cy="424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2800">
              <a:solidFill>
                <a:schemeClr val="accent6"/>
              </a:solidFill>
              <a:latin typeface="Wingdings 2" panose="05020102010507070707" pitchFamily="18" charset="2"/>
            </a:rPr>
            <a:t>P</a:t>
          </a:r>
        </a:p>
      </xdr:txBody>
    </xdr:sp>
    <xdr:clientData/>
  </xdr:twoCellAnchor>
  <xdr:twoCellAnchor>
    <xdr:from>
      <xdr:col>10</xdr:col>
      <xdr:colOff>117765</xdr:colOff>
      <xdr:row>103</xdr:row>
      <xdr:rowOff>91787</xdr:rowOff>
    </xdr:from>
    <xdr:to>
      <xdr:col>10</xdr:col>
      <xdr:colOff>542061</xdr:colOff>
      <xdr:row>105</xdr:row>
      <xdr:rowOff>135082</xdr:rowOff>
    </xdr:to>
    <xdr:sp macro="" textlink="">
      <xdr:nvSpPr>
        <xdr:cNvPr id="10" name="CuadroTexto 9">
          <a:extLst>
            <a:ext uri="{FF2B5EF4-FFF2-40B4-BE49-F238E27FC236}">
              <a16:creationId xmlns:a16="http://schemas.microsoft.com/office/drawing/2014/main" id="{898CFB26-D460-49CE-9F77-FA2B4CAA7144}"/>
            </a:ext>
          </a:extLst>
        </xdr:cNvPr>
        <xdr:cNvSpPr txBox="1"/>
      </xdr:nvSpPr>
      <xdr:spPr>
        <a:xfrm>
          <a:off x="13643265" y="20354060"/>
          <a:ext cx="424296" cy="424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2800">
              <a:solidFill>
                <a:schemeClr val="accent6"/>
              </a:solidFill>
              <a:latin typeface="Wingdings 2" panose="05020102010507070707" pitchFamily="18" charset="2"/>
            </a:rPr>
            <a:t>P</a:t>
          </a:r>
        </a:p>
      </xdr:txBody>
    </xdr:sp>
    <xdr:clientData/>
  </xdr:twoCellAnchor>
  <xdr:twoCellAnchor>
    <xdr:from>
      <xdr:col>12</xdr:col>
      <xdr:colOff>79665</xdr:colOff>
      <xdr:row>103</xdr:row>
      <xdr:rowOff>174914</xdr:rowOff>
    </xdr:from>
    <xdr:to>
      <xdr:col>12</xdr:col>
      <xdr:colOff>503961</xdr:colOff>
      <xdr:row>106</xdr:row>
      <xdr:rowOff>27709</xdr:rowOff>
    </xdr:to>
    <xdr:sp macro="" textlink="">
      <xdr:nvSpPr>
        <xdr:cNvPr id="12" name="CuadroTexto 11">
          <a:extLst>
            <a:ext uri="{FF2B5EF4-FFF2-40B4-BE49-F238E27FC236}">
              <a16:creationId xmlns:a16="http://schemas.microsoft.com/office/drawing/2014/main" id="{7E12182E-8D05-4FD9-8C0F-0F673216C8EC}"/>
            </a:ext>
          </a:extLst>
        </xdr:cNvPr>
        <xdr:cNvSpPr txBox="1"/>
      </xdr:nvSpPr>
      <xdr:spPr>
        <a:xfrm>
          <a:off x="15129165" y="20437187"/>
          <a:ext cx="424296" cy="424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2800">
              <a:solidFill>
                <a:schemeClr val="accent6"/>
              </a:solidFill>
              <a:latin typeface="Wingdings 2" panose="05020102010507070707" pitchFamily="18" charset="2"/>
            </a:rPr>
            <a:t>P</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45720</xdr:colOff>
      <xdr:row>27</xdr:row>
      <xdr:rowOff>128913</xdr:rowOff>
    </xdr:to>
    <xdr:pic>
      <xdr:nvPicPr>
        <xdr:cNvPr id="2" name="Imagen 1">
          <a:extLst>
            <a:ext uri="{FF2B5EF4-FFF2-40B4-BE49-F238E27FC236}">
              <a16:creationId xmlns:a16="http://schemas.microsoft.com/office/drawing/2014/main" id="{0501AF82-6832-AF96-0D10-BA6C3522839C}"/>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colorTemperature colorTemp="4700"/>
                  </a14:imgEffect>
                </a14:imgLayer>
              </a14:imgProps>
            </a:ext>
          </a:extLst>
        </a:blip>
        <a:stretch>
          <a:fillRect/>
        </a:stretch>
      </xdr:blipFill>
      <xdr:spPr>
        <a:xfrm>
          <a:off x="0" y="0"/>
          <a:ext cx="5593080" cy="5066673"/>
        </a:xfrm>
        <a:prstGeom prst="rect">
          <a:avLst/>
        </a:prstGeom>
      </xdr:spPr>
    </xdr:pic>
    <xdr:clientData/>
  </xdr:twoCellAnchor>
  <xdr:twoCellAnchor editAs="oneCell">
    <xdr:from>
      <xdr:col>7</xdr:col>
      <xdr:colOff>106680</xdr:colOff>
      <xdr:row>0</xdr:row>
      <xdr:rowOff>83820</xdr:rowOff>
    </xdr:from>
    <xdr:to>
      <xdr:col>17</xdr:col>
      <xdr:colOff>23142</xdr:colOff>
      <xdr:row>27</xdr:row>
      <xdr:rowOff>53340</xdr:rowOff>
    </xdr:to>
    <xdr:pic>
      <xdr:nvPicPr>
        <xdr:cNvPr id="3" name="Imagen 2">
          <a:extLst>
            <a:ext uri="{FF2B5EF4-FFF2-40B4-BE49-F238E27FC236}">
              <a16:creationId xmlns:a16="http://schemas.microsoft.com/office/drawing/2014/main" id="{C0659813-D6B9-AD2C-E3B3-D316309C5346}"/>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colorTemperature colorTemp="4700"/>
                  </a14:imgEffect>
                </a14:imgLayer>
              </a14:imgProps>
            </a:ext>
          </a:extLst>
        </a:blip>
        <a:stretch>
          <a:fillRect/>
        </a:stretch>
      </xdr:blipFill>
      <xdr:spPr>
        <a:xfrm>
          <a:off x="5654040" y="83820"/>
          <a:ext cx="7841262" cy="490728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0658F-178F-458F-B962-C5EE2A43F8F9}">
  <sheetPr>
    <pageSetUpPr fitToPage="1"/>
  </sheetPr>
  <dimension ref="A6:J120"/>
  <sheetViews>
    <sheetView tabSelected="1" topLeftCell="F92" zoomScale="110" zoomScaleNormal="85" workbookViewId="0">
      <selection activeCell="I98" sqref="I98"/>
    </sheetView>
  </sheetViews>
  <sheetFormatPr baseColWidth="10" defaultRowHeight="15" x14ac:dyDescent="0.25"/>
  <cols>
    <col min="1" max="1" width="50.7109375" customWidth="1"/>
    <col min="2" max="2" width="32.28515625" customWidth="1"/>
    <col min="3" max="3" width="8.28515625" customWidth="1"/>
    <col min="4" max="4" width="12.85546875" bestFit="1" customWidth="1"/>
    <col min="5" max="5" width="24.28515625" customWidth="1"/>
    <col min="6" max="6" width="14.7109375" customWidth="1"/>
    <col min="7" max="7" width="20.7109375" customWidth="1"/>
    <col min="8" max="8" width="14.42578125" customWidth="1"/>
    <col min="9" max="9" width="13" bestFit="1" customWidth="1"/>
  </cols>
  <sheetData>
    <row r="6" spans="1:7" ht="15.75" thickBot="1" x14ac:dyDescent="0.3"/>
    <row r="7" spans="1:7" ht="18.75" customHeight="1" thickBot="1" x14ac:dyDescent="0.3">
      <c r="A7" s="45" t="s">
        <v>0</v>
      </c>
      <c r="B7" s="46">
        <v>300</v>
      </c>
      <c r="D7" s="1" t="s">
        <v>1</v>
      </c>
      <c r="E7" s="2" t="s">
        <v>2</v>
      </c>
      <c r="F7" s="2" t="s">
        <v>3</v>
      </c>
      <c r="G7" s="2" t="s">
        <v>4</v>
      </c>
    </row>
    <row r="8" spans="1:7" ht="15.75" thickBot="1" x14ac:dyDescent="0.3">
      <c r="A8" s="47" t="s">
        <v>5</v>
      </c>
      <c r="B8" s="48">
        <v>600</v>
      </c>
      <c r="D8" s="3">
        <v>1</v>
      </c>
      <c r="E8" s="4" t="s">
        <v>6</v>
      </c>
      <c r="F8" s="5">
        <v>150000</v>
      </c>
      <c r="G8" s="5">
        <v>72250</v>
      </c>
    </row>
    <row r="9" spans="1:7" ht="15.75" thickBot="1" x14ac:dyDescent="0.3">
      <c r="A9" s="47" t="s">
        <v>7</v>
      </c>
      <c r="B9" s="48" t="s">
        <v>8</v>
      </c>
      <c r="D9" s="3">
        <v>2</v>
      </c>
      <c r="E9" s="4" t="s">
        <v>9</v>
      </c>
      <c r="F9" s="5">
        <v>175000</v>
      </c>
      <c r="G9" s="5">
        <v>75000</v>
      </c>
    </row>
    <row r="10" spans="1:7" ht="16.5" customHeight="1" thickBot="1" x14ac:dyDescent="0.3">
      <c r="A10" s="47" t="s">
        <v>10</v>
      </c>
      <c r="B10" s="48" t="s">
        <v>11</v>
      </c>
      <c r="D10" s="3">
        <v>3</v>
      </c>
      <c r="E10" s="4" t="s">
        <v>12</v>
      </c>
      <c r="F10" s="5">
        <v>200000</v>
      </c>
      <c r="G10" s="5">
        <v>79250</v>
      </c>
    </row>
    <row r="11" spans="1:7" ht="15.75" thickBot="1" x14ac:dyDescent="0.3">
      <c r="A11" s="47" t="s">
        <v>13</v>
      </c>
      <c r="B11" s="49">
        <v>10000</v>
      </c>
      <c r="D11" s="3">
        <v>4</v>
      </c>
      <c r="E11" s="4" t="s">
        <v>14</v>
      </c>
      <c r="F11" s="5">
        <v>300000</v>
      </c>
      <c r="G11" s="5">
        <v>81000</v>
      </c>
    </row>
    <row r="12" spans="1:7" ht="15.75" thickBot="1" x14ac:dyDescent="0.3">
      <c r="A12" s="50" t="s">
        <v>15</v>
      </c>
      <c r="B12" s="51">
        <v>5000</v>
      </c>
      <c r="D12" s="6"/>
      <c r="E12" s="7"/>
      <c r="F12" s="8"/>
      <c r="G12" s="8"/>
    </row>
    <row r="13" spans="1:7" ht="15.75" thickBot="1" x14ac:dyDescent="0.3">
      <c r="A13" s="39" t="s">
        <v>16</v>
      </c>
      <c r="B13" s="40" t="s">
        <v>17</v>
      </c>
      <c r="E13" s="10"/>
      <c r="F13" s="11"/>
      <c r="G13" s="11"/>
    </row>
    <row r="14" spans="1:7" ht="15.75" thickBot="1" x14ac:dyDescent="0.3">
      <c r="A14" s="20" t="s">
        <v>18</v>
      </c>
      <c r="B14" s="22" t="s">
        <v>19</v>
      </c>
      <c r="E14" s="7"/>
      <c r="F14" s="12"/>
      <c r="G14" s="13"/>
    </row>
    <row r="15" spans="1:7" ht="15.75" thickBot="1" x14ac:dyDescent="0.3">
      <c r="A15" s="32" t="s">
        <v>20</v>
      </c>
      <c r="B15" s="33" t="s">
        <v>21</v>
      </c>
      <c r="F15" s="12"/>
      <c r="G15" s="13"/>
    </row>
    <row r="16" spans="1:7" ht="15.75" thickBot="1" x14ac:dyDescent="0.3">
      <c r="A16" s="32" t="s">
        <v>22</v>
      </c>
      <c r="B16" s="34">
        <v>45</v>
      </c>
      <c r="F16" s="12"/>
      <c r="G16" s="13"/>
    </row>
    <row r="17" spans="1:7" ht="15.75" thickBot="1" x14ac:dyDescent="0.3">
      <c r="A17" s="41" t="s">
        <v>23</v>
      </c>
      <c r="B17" s="42" t="s">
        <v>24</v>
      </c>
      <c r="E17" s="9"/>
      <c r="F17" s="14"/>
      <c r="G17" s="15"/>
    </row>
    <row r="18" spans="1:7" ht="15.75" thickBot="1" x14ac:dyDescent="0.3">
      <c r="A18" s="20" t="s">
        <v>25</v>
      </c>
      <c r="B18" s="23">
        <v>0.25</v>
      </c>
    </row>
    <row r="19" spans="1:7" ht="15.75" thickBot="1" x14ac:dyDescent="0.3">
      <c r="A19" s="41" t="s">
        <v>26</v>
      </c>
      <c r="B19" s="52">
        <v>28</v>
      </c>
    </row>
    <row r="20" spans="1:7" ht="15.75" thickBot="1" x14ac:dyDescent="0.3">
      <c r="A20" s="20" t="s">
        <v>27</v>
      </c>
      <c r="B20" s="22" t="s">
        <v>28</v>
      </c>
    </row>
    <row r="21" spans="1:7" ht="15.75" thickBot="1" x14ac:dyDescent="0.3">
      <c r="A21" s="20" t="s">
        <v>29</v>
      </c>
      <c r="B21" s="21">
        <v>125000</v>
      </c>
    </row>
    <row r="22" spans="1:7" ht="15.75" thickBot="1" x14ac:dyDescent="0.3">
      <c r="A22" s="20" t="s">
        <v>30</v>
      </c>
      <c r="B22" s="22" t="s">
        <v>31</v>
      </c>
    </row>
    <row r="31" spans="1:7" x14ac:dyDescent="0.25">
      <c r="B31" t="s">
        <v>70</v>
      </c>
    </row>
    <row r="32" spans="1:7" x14ac:dyDescent="0.25">
      <c r="A32" s="25" t="s">
        <v>34</v>
      </c>
    </row>
    <row r="33" spans="1:8" x14ac:dyDescent="0.25">
      <c r="A33" s="26" t="s">
        <v>35</v>
      </c>
      <c r="B33" s="24" t="s">
        <v>36</v>
      </c>
      <c r="C33" s="24" t="s">
        <v>37</v>
      </c>
      <c r="D33" s="24"/>
      <c r="E33" s="24" t="s">
        <v>72</v>
      </c>
    </row>
    <row r="34" spans="1:8" x14ac:dyDescent="0.25">
      <c r="A34" s="37" t="s">
        <v>39</v>
      </c>
      <c r="B34" s="38">
        <v>120000</v>
      </c>
      <c r="C34" s="60">
        <f>B34/$B$38</f>
        <v>0.29708853238265004</v>
      </c>
    </row>
    <row r="35" spans="1:8" x14ac:dyDescent="0.25">
      <c r="A35" s="30" t="s">
        <v>40</v>
      </c>
      <c r="B35" s="31">
        <f>1300*45</f>
        <v>58500</v>
      </c>
      <c r="C35" s="60">
        <f t="shared" ref="C35:C38" si="0">B35/$B$38</f>
        <v>0.14483065953654189</v>
      </c>
      <c r="H35" s="27">
        <f>155420/C37</f>
        <v>403920</v>
      </c>
    </row>
    <row r="36" spans="1:8" x14ac:dyDescent="0.25">
      <c r="A36" s="35" t="s">
        <v>41</v>
      </c>
      <c r="B36" s="36">
        <f>28*2500</f>
        <v>70000</v>
      </c>
      <c r="C36" s="60">
        <f t="shared" si="0"/>
        <v>0.17330164388987918</v>
      </c>
    </row>
    <row r="37" spans="1:8" x14ac:dyDescent="0.25">
      <c r="A37" s="58" t="s">
        <v>44</v>
      </c>
      <c r="B37" s="59">
        <f>125000+B57</f>
        <v>155420</v>
      </c>
      <c r="C37" s="60">
        <f>B37/$B$38</f>
        <v>0.38477916419092889</v>
      </c>
    </row>
    <row r="38" spans="1:8" x14ac:dyDescent="0.25">
      <c r="A38" s="28" t="s">
        <v>42</v>
      </c>
      <c r="B38" s="57">
        <f>SUM(B34:B37)</f>
        <v>403920</v>
      </c>
      <c r="C38" s="60">
        <f t="shared" si="0"/>
        <v>1</v>
      </c>
    </row>
    <row r="39" spans="1:8" x14ac:dyDescent="0.25">
      <c r="B39" s="27"/>
      <c r="E39" s="24" t="s">
        <v>73</v>
      </c>
    </row>
    <row r="40" spans="1:8" x14ac:dyDescent="0.25">
      <c r="A40" s="29" t="s">
        <v>43</v>
      </c>
      <c r="B40" s="27"/>
      <c r="E40" s="24"/>
      <c r="F40" s="61"/>
      <c r="G40" s="61"/>
    </row>
    <row r="41" spans="1:8" x14ac:dyDescent="0.25">
      <c r="A41" t="s">
        <v>45</v>
      </c>
      <c r="B41" s="27">
        <f>600*300</f>
        <v>180000</v>
      </c>
      <c r="E41" s="61" t="s">
        <v>74</v>
      </c>
      <c r="F41" s="62">
        <v>0.1</v>
      </c>
    </row>
    <row r="42" spans="1:8" x14ac:dyDescent="0.25">
      <c r="A42" t="s">
        <v>46</v>
      </c>
      <c r="B42" s="27"/>
      <c r="E42" s="63" t="s">
        <v>75</v>
      </c>
      <c r="F42" s="64">
        <f>F41*(1-0.25)</f>
        <v>7.5000000000000011E-2</v>
      </c>
      <c r="G42" s="61"/>
    </row>
    <row r="43" spans="1:8" x14ac:dyDescent="0.25">
      <c r="A43" s="29" t="s">
        <v>47</v>
      </c>
      <c r="B43" s="27">
        <f>600*75</f>
        <v>45000</v>
      </c>
      <c r="E43" s="65"/>
      <c r="F43" s="63"/>
      <c r="G43" s="63" t="s">
        <v>77</v>
      </c>
    </row>
    <row r="44" spans="1:8" x14ac:dyDescent="0.25">
      <c r="A44" s="29" t="s">
        <v>48</v>
      </c>
      <c r="B44" s="27">
        <f>50*600</f>
        <v>30000</v>
      </c>
      <c r="F44" s="61"/>
      <c r="G44" s="61"/>
    </row>
    <row r="45" spans="1:8" x14ac:dyDescent="0.25">
      <c r="A45" s="29" t="s">
        <v>49</v>
      </c>
      <c r="B45" s="43">
        <v>10000</v>
      </c>
      <c r="E45" s="24" t="s">
        <v>76</v>
      </c>
      <c r="F45" s="61"/>
      <c r="G45" s="61"/>
    </row>
    <row r="46" spans="1:8" x14ac:dyDescent="0.25">
      <c r="A46" s="17" t="s">
        <v>50</v>
      </c>
      <c r="B46" s="27">
        <f>B41-B43-B44-B45</f>
        <v>95000</v>
      </c>
    </row>
    <row r="47" spans="1:8" x14ac:dyDescent="0.25">
      <c r="A47" s="29" t="s">
        <v>52</v>
      </c>
      <c r="E47" s="61" t="s">
        <v>78</v>
      </c>
      <c r="F47" s="27">
        <f>B63/1300</f>
        <v>9</v>
      </c>
    </row>
    <row r="48" spans="1:8" x14ac:dyDescent="0.25">
      <c r="A48" t="s">
        <v>51</v>
      </c>
      <c r="B48" s="43">
        <v>5000</v>
      </c>
      <c r="E48" s="61"/>
    </row>
    <row r="49" spans="1:10" x14ac:dyDescent="0.25">
      <c r="A49" s="44" t="s">
        <v>53</v>
      </c>
      <c r="B49" s="27">
        <f>B46-B48</f>
        <v>90000</v>
      </c>
    </row>
    <row r="50" spans="1:10" x14ac:dyDescent="0.25">
      <c r="A50" t="s">
        <v>54</v>
      </c>
      <c r="B50" s="43">
        <f>120000*0.1</f>
        <v>12000</v>
      </c>
      <c r="G50" t="s">
        <v>79</v>
      </c>
    </row>
    <row r="51" spans="1:10" x14ac:dyDescent="0.25">
      <c r="A51" s="17" t="s">
        <v>55</v>
      </c>
      <c r="B51" s="27">
        <f>B49-B50</f>
        <v>78000</v>
      </c>
      <c r="C51" s="17"/>
      <c r="D51" s="18"/>
      <c r="G51" t="s">
        <v>80</v>
      </c>
      <c r="J51" s="66">
        <v>45</v>
      </c>
    </row>
    <row r="52" spans="1:10" x14ac:dyDescent="0.25">
      <c r="A52" t="s">
        <v>56</v>
      </c>
      <c r="B52" s="43">
        <f>B51*0.25</f>
        <v>19500</v>
      </c>
    </row>
    <row r="53" spans="1:10" x14ac:dyDescent="0.25">
      <c r="A53" s="17" t="s">
        <v>65</v>
      </c>
      <c r="B53" s="27">
        <f>B51-B52</f>
        <v>58500</v>
      </c>
      <c r="E53" s="24" t="s">
        <v>81</v>
      </c>
    </row>
    <row r="54" spans="1:10" x14ac:dyDescent="0.25">
      <c r="A54" s="53" t="s">
        <v>66</v>
      </c>
      <c r="B54" s="43">
        <f>B53*0.2</f>
        <v>11700</v>
      </c>
    </row>
    <row r="55" spans="1:10" x14ac:dyDescent="0.25">
      <c r="A55" s="17" t="s">
        <v>67</v>
      </c>
      <c r="B55" s="27">
        <f>B53-B54</f>
        <v>46800</v>
      </c>
    </row>
    <row r="56" spans="1:10" x14ac:dyDescent="0.25">
      <c r="A56" s="53" t="s">
        <v>68</v>
      </c>
      <c r="B56" s="43">
        <f>B55*0.35</f>
        <v>16379.999999999998</v>
      </c>
      <c r="E56" s="61" t="s">
        <v>85</v>
      </c>
      <c r="F56" s="60">
        <f>I57/28+6%</f>
        <v>0.29399999999999998</v>
      </c>
    </row>
    <row r="57" spans="1:10" ht="15.75" thickBot="1" x14ac:dyDescent="0.3">
      <c r="A57" s="17" t="s">
        <v>69</v>
      </c>
      <c r="B57" s="55">
        <f>B55-B56</f>
        <v>30420</v>
      </c>
      <c r="G57" t="s">
        <v>84</v>
      </c>
      <c r="I57" s="27">
        <f>B65/2500</f>
        <v>6.5519999999999996</v>
      </c>
    </row>
    <row r="58" spans="1:10" x14ac:dyDescent="0.25">
      <c r="C58" s="17"/>
      <c r="D58" s="18"/>
      <c r="G58" t="s">
        <v>83</v>
      </c>
    </row>
    <row r="59" spans="1:10" x14ac:dyDescent="0.25">
      <c r="A59" s="54" t="s">
        <v>57</v>
      </c>
      <c r="B59" s="27"/>
      <c r="G59" t="s">
        <v>82</v>
      </c>
    </row>
    <row r="60" spans="1:10" x14ac:dyDescent="0.25">
      <c r="A60" t="s">
        <v>58</v>
      </c>
      <c r="B60" s="27">
        <v>125000</v>
      </c>
    </row>
    <row r="61" spans="1:10" x14ac:dyDescent="0.25">
      <c r="A61" t="s">
        <v>59</v>
      </c>
      <c r="B61" s="43">
        <f>B53</f>
        <v>58500</v>
      </c>
      <c r="E61" s="24" t="s">
        <v>86</v>
      </c>
    </row>
    <row r="62" spans="1:10" x14ac:dyDescent="0.25">
      <c r="A62" t="s">
        <v>60</v>
      </c>
      <c r="B62" s="27">
        <f>B60+B61</f>
        <v>183500</v>
      </c>
    </row>
    <row r="63" spans="1:10" x14ac:dyDescent="0.25">
      <c r="A63" t="s">
        <v>61</v>
      </c>
      <c r="B63" s="43">
        <f>B35*0.2</f>
        <v>11700</v>
      </c>
    </row>
    <row r="64" spans="1:10" x14ac:dyDescent="0.25">
      <c r="A64" t="s">
        <v>62</v>
      </c>
      <c r="B64" s="27">
        <f>B62-B63</f>
        <v>171800</v>
      </c>
      <c r="E64" s="61" t="s">
        <v>87</v>
      </c>
      <c r="F64" s="60">
        <f>I65/25.76+6%</f>
        <v>0.31434782608695649</v>
      </c>
    </row>
    <row r="65" spans="1:9" x14ac:dyDescent="0.25">
      <c r="A65" t="s">
        <v>63</v>
      </c>
      <c r="B65" s="43">
        <f>(B53-B63)*0.35</f>
        <v>16379.999999999998</v>
      </c>
      <c r="G65" t="s">
        <v>84</v>
      </c>
      <c r="I65" s="27">
        <f>B65/2500</f>
        <v>6.5519999999999996</v>
      </c>
    </row>
    <row r="66" spans="1:9" x14ac:dyDescent="0.25">
      <c r="A66" s="17" t="s">
        <v>64</v>
      </c>
      <c r="B66" s="27">
        <f>B64-B65</f>
        <v>155420</v>
      </c>
      <c r="G66" t="s">
        <v>88</v>
      </c>
      <c r="I66">
        <f>28-28*0.08</f>
        <v>25.759999999999998</v>
      </c>
    </row>
    <row r="67" spans="1:9" x14ac:dyDescent="0.25">
      <c r="B67" s="27"/>
      <c r="G67" t="s">
        <v>82</v>
      </c>
    </row>
    <row r="68" spans="1:9" x14ac:dyDescent="0.25">
      <c r="B68" s="27"/>
    </row>
    <row r="69" spans="1:9" x14ac:dyDescent="0.25">
      <c r="B69" s="27"/>
    </row>
    <row r="70" spans="1:9" x14ac:dyDescent="0.25">
      <c r="B70" s="27"/>
      <c r="C70" s="17"/>
      <c r="D70" s="18"/>
      <c r="E70" s="24" t="s">
        <v>89</v>
      </c>
    </row>
    <row r="71" spans="1:9" x14ac:dyDescent="0.25">
      <c r="A71" s="16"/>
      <c r="B71" s="27"/>
      <c r="D71" s="67" t="s">
        <v>99</v>
      </c>
      <c r="E71" s="67" t="s">
        <v>90</v>
      </c>
      <c r="F71" s="67" t="s">
        <v>37</v>
      </c>
      <c r="G71" s="67" t="s">
        <v>38</v>
      </c>
      <c r="H71" s="69" t="s">
        <v>91</v>
      </c>
      <c r="I71" s="69" t="s">
        <v>92</v>
      </c>
    </row>
    <row r="72" spans="1:9" x14ac:dyDescent="0.25">
      <c r="B72" s="27"/>
      <c r="D72" s="77" t="s">
        <v>100</v>
      </c>
      <c r="E72" t="s">
        <v>39</v>
      </c>
      <c r="F72" s="68">
        <v>0.29708853238265004</v>
      </c>
      <c r="G72" s="60">
        <f>F42</f>
        <v>7.5000000000000011E-2</v>
      </c>
      <c r="H72" s="76">
        <f>SUMPRODUCT(F72:F74,G72:G74)</f>
        <v>0.21532352941176469</v>
      </c>
      <c r="I72" s="76">
        <f>H72+3%</f>
        <v>0.24532352941176469</v>
      </c>
    </row>
    <row r="73" spans="1:9" x14ac:dyDescent="0.25">
      <c r="B73" s="27"/>
      <c r="D73" s="78"/>
      <c r="E73" t="s">
        <v>40</v>
      </c>
      <c r="F73" s="68">
        <v>0.14483065953654189</v>
      </c>
      <c r="G73" s="60">
        <f>20%</f>
        <v>0.2</v>
      </c>
      <c r="H73" s="76"/>
      <c r="I73" s="76"/>
    </row>
    <row r="74" spans="1:9" x14ac:dyDescent="0.25">
      <c r="B74" s="19"/>
      <c r="D74" s="78"/>
      <c r="E74" t="s">
        <v>41</v>
      </c>
      <c r="F74" s="68">
        <f>17.3301643889879%+B37/$B$38</f>
        <v>0.55808080808080796</v>
      </c>
      <c r="G74" s="60">
        <f>F56</f>
        <v>0.29399999999999998</v>
      </c>
      <c r="H74" s="76"/>
      <c r="I74" s="76"/>
    </row>
    <row r="75" spans="1:9" x14ac:dyDescent="0.25">
      <c r="E75" s="56"/>
      <c r="F75" s="70"/>
      <c r="G75" s="71"/>
      <c r="H75" s="56"/>
      <c r="I75" s="56"/>
    </row>
    <row r="76" spans="1:9" x14ac:dyDescent="0.25">
      <c r="D76" s="77" t="s">
        <v>101</v>
      </c>
      <c r="E76" t="s">
        <v>39</v>
      </c>
      <c r="F76" s="68">
        <v>0.29708853238265004</v>
      </c>
      <c r="G76" s="68">
        <f>F42</f>
        <v>7.5000000000000011E-2</v>
      </c>
      <c r="H76" s="76">
        <f>SUMPRODUCT(F76:F78,G76:G78)</f>
        <v>0.22667926063706112</v>
      </c>
      <c r="I76" s="76">
        <f>H76+3%</f>
        <v>0.25667926063706115</v>
      </c>
    </row>
    <row r="77" spans="1:9" x14ac:dyDescent="0.25">
      <c r="D77" s="78"/>
      <c r="E77" t="s">
        <v>40</v>
      </c>
      <c r="F77" s="68">
        <v>0.14483065953654189</v>
      </c>
      <c r="G77" s="60">
        <f>20%</f>
        <v>0.2</v>
      </c>
      <c r="H77" s="76"/>
      <c r="I77" s="76"/>
    </row>
    <row r="78" spans="1:9" x14ac:dyDescent="0.25">
      <c r="D78" s="78"/>
      <c r="E78" t="s">
        <v>93</v>
      </c>
      <c r="F78" s="68">
        <f>17.3301643889879%+B37/$B$38</f>
        <v>0.55808080808080796</v>
      </c>
      <c r="G78" s="68">
        <f>F64</f>
        <v>0.31434782608695649</v>
      </c>
      <c r="H78" s="76"/>
      <c r="I78" s="76"/>
    </row>
    <row r="79" spans="1:9" x14ac:dyDescent="0.25">
      <c r="D79" s="18"/>
      <c r="E79" s="56"/>
      <c r="F79" s="70"/>
      <c r="G79" s="71"/>
      <c r="H79" s="56"/>
      <c r="I79" s="56"/>
    </row>
    <row r="81" spans="5:9" ht="15.75" thickBot="1" x14ac:dyDescent="0.3"/>
    <row r="82" spans="5:9" ht="30.75" thickBot="1" x14ac:dyDescent="0.3">
      <c r="E82" s="1" t="s">
        <v>1</v>
      </c>
      <c r="F82" s="2" t="s">
        <v>2</v>
      </c>
      <c r="G82" s="2" t="s">
        <v>3</v>
      </c>
      <c r="H82" s="2" t="s">
        <v>4</v>
      </c>
    </row>
    <row r="83" spans="5:9" ht="15.75" thickBot="1" x14ac:dyDescent="0.3">
      <c r="E83" s="3">
        <v>1</v>
      </c>
      <c r="F83" s="4" t="s">
        <v>6</v>
      </c>
      <c r="G83" s="5">
        <v>150000</v>
      </c>
      <c r="H83" s="5">
        <v>72250</v>
      </c>
    </row>
    <row r="84" spans="5:9" ht="15.75" thickBot="1" x14ac:dyDescent="0.3">
      <c r="E84" s="3">
        <v>2</v>
      </c>
      <c r="F84" s="4" t="s">
        <v>9</v>
      </c>
      <c r="G84" s="5">
        <v>175000</v>
      </c>
      <c r="H84" s="5">
        <v>75000</v>
      </c>
    </row>
    <row r="85" spans="5:9" ht="30.75" thickBot="1" x14ac:dyDescent="0.3">
      <c r="E85" s="3">
        <v>3</v>
      </c>
      <c r="F85" s="4" t="s">
        <v>12</v>
      </c>
      <c r="G85" s="5">
        <v>200000</v>
      </c>
      <c r="H85" s="5">
        <v>79250</v>
      </c>
    </row>
    <row r="86" spans="5:9" ht="15.75" thickBot="1" x14ac:dyDescent="0.3">
      <c r="E86" s="3">
        <v>4</v>
      </c>
      <c r="F86" s="4" t="s">
        <v>14</v>
      </c>
      <c r="G86" s="5">
        <v>300000</v>
      </c>
      <c r="H86" s="5">
        <v>81000</v>
      </c>
    </row>
    <row r="88" spans="5:9" x14ac:dyDescent="0.25">
      <c r="E88" s="9" t="s">
        <v>94</v>
      </c>
      <c r="F88" s="25" t="s">
        <v>6</v>
      </c>
      <c r="G88" s="25" t="s">
        <v>9</v>
      </c>
      <c r="H88" s="25" t="s">
        <v>12</v>
      </c>
      <c r="I88" s="25" t="s">
        <v>14</v>
      </c>
    </row>
    <row r="89" spans="5:9" x14ac:dyDescent="0.25">
      <c r="E89">
        <v>0</v>
      </c>
      <c r="F89" s="27">
        <f>-G83</f>
        <v>-150000</v>
      </c>
      <c r="G89" s="27">
        <f>-G84</f>
        <v>-175000</v>
      </c>
      <c r="H89" s="27">
        <f>-G85</f>
        <v>-200000</v>
      </c>
      <c r="I89" s="27">
        <f>-G86</f>
        <v>-300000</v>
      </c>
    </row>
    <row r="90" spans="5:9" x14ac:dyDescent="0.25">
      <c r="E90">
        <v>1</v>
      </c>
      <c r="F90" s="27">
        <v>72250</v>
      </c>
      <c r="G90" s="27">
        <v>75000</v>
      </c>
      <c r="H90" s="27">
        <v>79250</v>
      </c>
      <c r="I90" s="27">
        <v>81000</v>
      </c>
    </row>
    <row r="91" spans="5:9" x14ac:dyDescent="0.25">
      <c r="E91">
        <v>2</v>
      </c>
      <c r="F91" s="27">
        <v>72250</v>
      </c>
      <c r="G91" s="27">
        <v>75000</v>
      </c>
      <c r="H91" s="27">
        <v>79250</v>
      </c>
      <c r="I91" s="27">
        <v>81000</v>
      </c>
    </row>
    <row r="92" spans="5:9" x14ac:dyDescent="0.25">
      <c r="E92">
        <v>3</v>
      </c>
      <c r="F92" s="27">
        <v>72250</v>
      </c>
      <c r="G92" s="27">
        <v>75000</v>
      </c>
      <c r="H92" s="27">
        <v>79250</v>
      </c>
      <c r="I92" s="27">
        <v>81000</v>
      </c>
    </row>
    <row r="93" spans="5:9" x14ac:dyDescent="0.25">
      <c r="E93">
        <v>4</v>
      </c>
      <c r="F93" s="27">
        <v>72250</v>
      </c>
      <c r="G93" s="27">
        <v>75000</v>
      </c>
      <c r="H93" s="27">
        <v>79250</v>
      </c>
      <c r="I93" s="27">
        <v>81000</v>
      </c>
    </row>
    <row r="94" spans="5:9" x14ac:dyDescent="0.25">
      <c r="E94">
        <v>5</v>
      </c>
      <c r="F94" s="43">
        <v>72250</v>
      </c>
      <c r="G94" s="43">
        <v>75000</v>
      </c>
      <c r="H94" s="43">
        <v>79250</v>
      </c>
      <c r="I94" s="43">
        <v>81000</v>
      </c>
    </row>
    <row r="95" spans="5:9" x14ac:dyDescent="0.25">
      <c r="E95" s="28" t="s">
        <v>95</v>
      </c>
      <c r="F95" s="72">
        <f>IRR(F89:F94)</f>
        <v>0.38825524639108</v>
      </c>
      <c r="G95" s="72">
        <f t="shared" ref="G95:I95" si="1">IRR(G89:G94)</f>
        <v>0.32272532658880682</v>
      </c>
      <c r="H95" s="72">
        <f t="shared" si="1"/>
        <v>0.28167984493873965</v>
      </c>
      <c r="I95" s="72">
        <f t="shared" si="1"/>
        <v>0.10916174523423483</v>
      </c>
    </row>
    <row r="98" spans="5:9" x14ac:dyDescent="0.25">
      <c r="E98" s="9" t="s">
        <v>96</v>
      </c>
      <c r="I98" s="79"/>
    </row>
    <row r="99" spans="5:9" x14ac:dyDescent="0.25">
      <c r="F99" s="73" t="s">
        <v>97</v>
      </c>
      <c r="G99" s="73" t="s">
        <v>98</v>
      </c>
    </row>
    <row r="100" spans="5:9" x14ac:dyDescent="0.25">
      <c r="F100" s="27">
        <v>0</v>
      </c>
      <c r="G100" s="74">
        <f>F95</f>
        <v>0.38825524639108</v>
      </c>
    </row>
    <row r="101" spans="5:9" x14ac:dyDescent="0.25">
      <c r="F101" s="27">
        <f>150000</f>
        <v>150000</v>
      </c>
      <c r="G101" s="74">
        <f>G100</f>
        <v>0.38825524639108</v>
      </c>
    </row>
    <row r="102" spans="5:9" x14ac:dyDescent="0.25">
      <c r="F102" s="27">
        <f>150000</f>
        <v>150000</v>
      </c>
      <c r="G102" s="74">
        <f>G95</f>
        <v>0.32272532658880682</v>
      </c>
    </row>
    <row r="103" spans="5:9" x14ac:dyDescent="0.25">
      <c r="F103" s="27">
        <f>F102+175000</f>
        <v>325000</v>
      </c>
      <c r="G103" s="74">
        <f>G95</f>
        <v>0.32272532658880682</v>
      </c>
    </row>
    <row r="104" spans="5:9" x14ac:dyDescent="0.25">
      <c r="F104" s="27">
        <f>F102+175000</f>
        <v>325000</v>
      </c>
      <c r="G104" s="74">
        <f>H95</f>
        <v>0.28167984493873965</v>
      </c>
    </row>
    <row r="105" spans="5:9" x14ac:dyDescent="0.25">
      <c r="F105" s="27">
        <f>F104+200000</f>
        <v>525000</v>
      </c>
      <c r="G105" s="74">
        <f>H95</f>
        <v>0.28167984493873965</v>
      </c>
    </row>
    <row r="106" spans="5:9" x14ac:dyDescent="0.25">
      <c r="F106" s="27">
        <f>F104+200000</f>
        <v>525000</v>
      </c>
      <c r="G106" s="74">
        <f>I95</f>
        <v>0.10916174523423483</v>
      </c>
    </row>
    <row r="107" spans="5:9" x14ac:dyDescent="0.25">
      <c r="F107" s="75">
        <f>F106+300000</f>
        <v>825000</v>
      </c>
      <c r="G107" s="74">
        <f>I95</f>
        <v>0.10916174523423483</v>
      </c>
    </row>
    <row r="108" spans="5:9" x14ac:dyDescent="0.25">
      <c r="F108" s="73"/>
      <c r="G108" s="73"/>
    </row>
    <row r="109" spans="5:9" x14ac:dyDescent="0.25">
      <c r="F109" s="73"/>
      <c r="G109" s="73"/>
    </row>
    <row r="110" spans="5:9" x14ac:dyDescent="0.25">
      <c r="F110" s="73" t="s">
        <v>97</v>
      </c>
      <c r="G110" s="73" t="s">
        <v>98</v>
      </c>
    </row>
    <row r="111" spans="5:9" x14ac:dyDescent="0.25">
      <c r="F111" s="27">
        <v>0</v>
      </c>
      <c r="G111" s="74">
        <f>I72</f>
        <v>0.24532352941176469</v>
      </c>
    </row>
    <row r="112" spans="5:9" x14ac:dyDescent="0.25">
      <c r="F112" s="27">
        <v>403920</v>
      </c>
      <c r="G112" s="74">
        <f>I72</f>
        <v>0.24532352941176469</v>
      </c>
    </row>
    <row r="113" spans="6:7" x14ac:dyDescent="0.25">
      <c r="F113" s="27">
        <v>403920</v>
      </c>
      <c r="G113" s="74">
        <v>0.25700000000000001</v>
      </c>
    </row>
    <row r="114" spans="6:7" x14ac:dyDescent="0.25">
      <c r="F114" s="27">
        <f>F113+F113</f>
        <v>807840</v>
      </c>
      <c r="G114" s="74">
        <v>0.25700000000000001</v>
      </c>
    </row>
    <row r="115" spans="6:7" x14ac:dyDescent="0.25">
      <c r="F115" s="27"/>
      <c r="G115" s="74"/>
    </row>
    <row r="116" spans="6:7" x14ac:dyDescent="0.25">
      <c r="F116" s="27"/>
      <c r="G116" s="74"/>
    </row>
    <row r="117" spans="6:7" x14ac:dyDescent="0.25">
      <c r="F117" s="27"/>
      <c r="G117" s="74"/>
    </row>
    <row r="118" spans="6:7" x14ac:dyDescent="0.25">
      <c r="F118" s="27"/>
    </row>
    <row r="119" spans="6:7" x14ac:dyDescent="0.25">
      <c r="F119" s="27"/>
    </row>
    <row r="120" spans="6:7" x14ac:dyDescent="0.25">
      <c r="F120" s="27"/>
    </row>
  </sheetData>
  <mergeCells count="6">
    <mergeCell ref="H72:H74"/>
    <mergeCell ref="H76:H78"/>
    <mergeCell ref="I72:I74"/>
    <mergeCell ref="I76:I78"/>
    <mergeCell ref="D72:D74"/>
    <mergeCell ref="D76:D78"/>
  </mergeCells>
  <pageMargins left="0.25" right="0.25" top="0.75" bottom="0.75" header="0.3" footer="0.3"/>
  <pageSetup scale="79"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77D3E-59A0-41D4-A342-1ABF1D0BD400}">
  <dimension ref="A29:H30"/>
  <sheetViews>
    <sheetView topLeftCell="A7" workbookViewId="0">
      <selection activeCell="H30" sqref="H30"/>
    </sheetView>
  </sheetViews>
  <sheetFormatPr baseColWidth="10" defaultRowHeight="15" x14ac:dyDescent="0.25"/>
  <sheetData>
    <row r="29" spans="1:8" x14ac:dyDescent="0.25">
      <c r="A29" s="9" t="s">
        <v>32</v>
      </c>
    </row>
    <row r="30" spans="1:8" x14ac:dyDescent="0.25">
      <c r="A30" s="9" t="s">
        <v>33</v>
      </c>
      <c r="H30" t="s">
        <v>71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ENCABEZADO</vt:lpstr>
      <vt:lpstr>FORMULARIO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Paz</dc:creator>
  <cp:lastModifiedBy>Rafael Alvarez</cp:lastModifiedBy>
  <dcterms:created xsi:type="dcterms:W3CDTF">2022-04-02T01:27:58Z</dcterms:created>
  <dcterms:modified xsi:type="dcterms:W3CDTF">2023-10-26T22:18:36Z</dcterms:modified>
</cp:coreProperties>
</file>