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ndivar\Vespertina\2022\Finanzas\"/>
    </mc:Choice>
  </mc:AlternateContent>
  <xr:revisionPtr revIDLastSave="0" documentId="13_ncr:1_{641DFA18-9F75-4663-93B7-10F3EF08A01C}" xr6:coauthVersionLast="47" xr6:coauthVersionMax="47" xr10:uidLastSave="{00000000-0000-0000-0000-000000000000}"/>
  <bookViews>
    <workbookView xWindow="-120" yWindow="-120" windowWidth="29040" windowHeight="15720" activeTab="2" xr2:uid="{4423D5FD-161F-440E-8E6D-BADE4FF1DBE4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C16" i="3"/>
  <c r="E45" i="5"/>
  <c r="L39" i="5"/>
  <c r="H40" i="5"/>
  <c r="E33" i="5"/>
  <c r="B18" i="4"/>
  <c r="F15" i="4"/>
  <c r="D12" i="4"/>
  <c r="E55" i="2"/>
  <c r="D55" i="2"/>
  <c r="C55" i="2"/>
  <c r="E54" i="2"/>
  <c r="D54" i="2"/>
  <c r="C54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D43" i="2"/>
  <c r="D29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E27" i="2"/>
  <c r="D27" i="2"/>
  <c r="C27" i="2"/>
  <c r="E18" i="2"/>
  <c r="D18" i="2"/>
  <c r="C18" i="2"/>
  <c r="E17" i="2"/>
  <c r="D17" i="2"/>
  <c r="C17" i="2"/>
  <c r="E15" i="2"/>
  <c r="D15" i="2"/>
  <c r="C15" i="2"/>
  <c r="E14" i="2"/>
  <c r="D14" i="2"/>
  <c r="C14" i="2"/>
  <c r="C28" i="1"/>
</calcChain>
</file>

<file path=xl/sharedStrings.xml><?xml version="1.0" encoding="utf-8"?>
<sst xmlns="http://schemas.openxmlformats.org/spreadsheetml/2006/main" count="98" uniqueCount="82">
  <si>
    <t>Cuanto cuesta los recursos</t>
  </si>
  <si>
    <t>TMAR</t>
  </si>
  <si>
    <t>WACC</t>
  </si>
  <si>
    <t>promedio ponderado de los costos</t>
  </si>
  <si>
    <t>tasa de rendimiento para que se mantenga</t>
  </si>
  <si>
    <t>a)</t>
  </si>
  <si>
    <t>costo promedio ponderado</t>
  </si>
  <si>
    <t>WACC=CCPP</t>
  </si>
  <si>
    <t>wi</t>
  </si>
  <si>
    <t>proporcion que representa la fuente de financiamiento</t>
  </si>
  <si>
    <t>ki</t>
  </si>
  <si>
    <t>costo que representa la fuente de financiamiento</t>
  </si>
  <si>
    <t>Fuentes</t>
  </si>
  <si>
    <t>Deuda</t>
  </si>
  <si>
    <t>Capital propio</t>
  </si>
  <si>
    <t>=</t>
  </si>
  <si>
    <t>TMAR = WACC + Ganancia deseada</t>
  </si>
  <si>
    <t>TMAR &gt;= WACC despues de impuestos</t>
  </si>
  <si>
    <t>Regla de decisión = se acepta un proyecto si su TIR &gt;= TMAR, de lo contrario se rechaza</t>
  </si>
  <si>
    <t>TMAR = Tasa libre de riesgo + prima riesgo</t>
  </si>
  <si>
    <t>Decisión</t>
  </si>
  <si>
    <t>Proyecto</t>
  </si>
  <si>
    <t>TIR</t>
  </si>
  <si>
    <t>A</t>
  </si>
  <si>
    <t>B</t>
  </si>
  <si>
    <t>Rechazar no gana minimo deseado</t>
  </si>
  <si>
    <t>WACC &gt;= TIR se acepta</t>
  </si>
  <si>
    <t>Acepto gana más de lo deseado</t>
  </si>
  <si>
    <t>b)</t>
  </si>
  <si>
    <t>La empresa se equivocó en el metodo de evaluación de proyectos</t>
  </si>
  <si>
    <t>Debio utilizar el CCPP para establecer la TMAR y con base a ello decidir.</t>
  </si>
  <si>
    <t>Utilizar otros criterios no garantiza la maximización del rendimiento de la empresa.</t>
  </si>
  <si>
    <t>Lo que es relevante es el costo total de todas las fuentes de financiamiento</t>
  </si>
  <si>
    <t>Bono</t>
  </si>
  <si>
    <t>C</t>
  </si>
  <si>
    <t>(I)</t>
  </si>
  <si>
    <t>Beneficio neto</t>
  </si>
  <si>
    <t>Nd</t>
  </si>
  <si>
    <t>Plazo</t>
  </si>
  <si>
    <t>n</t>
  </si>
  <si>
    <t>Costo de bono antes de impuestos</t>
  </si>
  <si>
    <t>Kd</t>
  </si>
  <si>
    <t>Intereses Q</t>
  </si>
  <si>
    <t>I=tasa de interes * valor nominal del bono - valor a la par</t>
  </si>
  <si>
    <t>Nd = valor nominal del bono +/- prima o descuento - gastos de colocación</t>
  </si>
  <si>
    <t>Ki</t>
  </si>
  <si>
    <t>Costo de bono después de impuestos</t>
  </si>
  <si>
    <t>Tasa fiscal (ISR en Guatemala)</t>
  </si>
  <si>
    <t>T =</t>
  </si>
  <si>
    <t>Año</t>
  </si>
  <si>
    <t>KD = TIR</t>
  </si>
  <si>
    <t>COSTO EXACTO</t>
  </si>
  <si>
    <t>Ki=</t>
  </si>
  <si>
    <t>Costo exacto despues de impuestos</t>
  </si>
  <si>
    <t xml:space="preserve">Dividendo annual de </t>
  </si>
  <si>
    <t xml:space="preserve">Valor a la par de </t>
  </si>
  <si>
    <t>Valor de venta de</t>
  </si>
  <si>
    <t>Costos flotantes</t>
  </si>
  <si>
    <t>Dp</t>
  </si>
  <si>
    <t>Tasa de interes * valor nominal de la accion</t>
  </si>
  <si>
    <t>Np</t>
  </si>
  <si>
    <t>costo de colocacion</t>
  </si>
  <si>
    <t>kp</t>
  </si>
  <si>
    <t>Coeficiente beta</t>
  </si>
  <si>
    <t>tasa libre de riesgo</t>
  </si>
  <si>
    <t>Rendimiento de mercado</t>
  </si>
  <si>
    <t>b</t>
  </si>
  <si>
    <t>Rf</t>
  </si>
  <si>
    <t>Km</t>
  </si>
  <si>
    <t>Ks</t>
  </si>
  <si>
    <t>Prima de riesgo</t>
  </si>
  <si>
    <t>prima de riesgo lo que esta adentro del corchete</t>
  </si>
  <si>
    <t>Rendimiento requerido</t>
  </si>
  <si>
    <t>c)</t>
  </si>
  <si>
    <t>acciones que se venden</t>
  </si>
  <si>
    <t>pagar un dividendo</t>
  </si>
  <si>
    <t>g = tasa de crecimiento constante</t>
  </si>
  <si>
    <t>a) Tasa de crecimiento de los dividendos</t>
  </si>
  <si>
    <t xml:space="preserve">b) </t>
  </si>
  <si>
    <t>Valor a recibir de la venta</t>
  </si>
  <si>
    <t>kr=ks=5.4/57.5+10%</t>
  </si>
  <si>
    <t>Kn=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</si>
</sst>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/>
    <xf numFmtId="0" fontId="0" fillId="0" borderId="1" xfId="0" applyBorder="1"/>
    <xf numFmtId="43" fontId="0" fillId="0" borderId="0" xfId="1" applyFont="1"/>
    <xf numFmtId="0" fontId="0" fillId="0" borderId="0" xfId="1" applyNumberFormat="1" applyFont="1"/>
    <xf numFmtId="164" fontId="0" fillId="0" borderId="0" xfId="0" applyNumberFormat="1"/>
    <xf numFmtId="164" fontId="2" fillId="2" borderId="0" xfId="2" applyNumberFormat="1" applyFont="1" applyFill="1"/>
    <xf numFmtId="0" fontId="0" fillId="2" borderId="1" xfId="0" applyFill="1" applyBorder="1"/>
    <xf numFmtId="43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10" fontId="2" fillId="2" borderId="0" xfId="0" applyNumberFormat="1" applyFont="1" applyFill="1"/>
    <xf numFmtId="43" fontId="2" fillId="2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2.png"/><Relationship Id="rId1" Type="http://schemas.openxmlformats.org/officeDocument/2006/relationships/image" Target="../media/image13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</xdr:row>
      <xdr:rowOff>76200</xdr:rowOff>
    </xdr:from>
    <xdr:to>
      <xdr:col>10</xdr:col>
      <xdr:colOff>353518</xdr:colOff>
      <xdr:row>12</xdr:row>
      <xdr:rowOff>104992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CCD7F5-CA1C-45CD-8FDB-817DF63FD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38200"/>
          <a:ext cx="7830643" cy="1552792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13</xdr:row>
      <xdr:rowOff>19050</xdr:rowOff>
    </xdr:from>
    <xdr:to>
      <xdr:col>10</xdr:col>
      <xdr:colOff>601194</xdr:colOff>
      <xdr:row>18</xdr:row>
      <xdr:rowOff>130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F45C4A1-0E48-42A5-ACBA-A7D508C2A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495550"/>
          <a:ext cx="8021169" cy="933580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17</xdr:row>
      <xdr:rowOff>152400</xdr:rowOff>
    </xdr:from>
    <xdr:to>
      <xdr:col>8</xdr:col>
      <xdr:colOff>428925</xdr:colOff>
      <xdr:row>23</xdr:row>
      <xdr:rowOff>138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826BE5-C5DB-4411-82B7-2BE02B772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71975" y="3390900"/>
          <a:ext cx="2152950" cy="990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429810</xdr:colOff>
      <xdr:row>10</xdr:row>
      <xdr:rowOff>152687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F9E129-5626-4C36-B136-24E5C8C7F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87960" cy="205768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0</xdr:row>
      <xdr:rowOff>133350</xdr:rowOff>
    </xdr:from>
    <xdr:to>
      <xdr:col>19</xdr:col>
      <xdr:colOff>191545</xdr:colOff>
      <xdr:row>9</xdr:row>
      <xdr:rowOff>28800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D8CD07-3EA0-4A90-99EF-59EB4AC7B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133350"/>
          <a:ext cx="7487695" cy="160995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16</xdr:row>
      <xdr:rowOff>161925</xdr:rowOff>
    </xdr:from>
    <xdr:to>
      <xdr:col>16</xdr:col>
      <xdr:colOff>153410</xdr:colOff>
      <xdr:row>19</xdr:row>
      <xdr:rowOff>162005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1B9E3B-E67C-4145-A726-4E4A4C4F6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3209925"/>
          <a:ext cx="7240010" cy="5715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39275</xdr:colOff>
      <xdr:row>4</xdr:row>
      <xdr:rowOff>133475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B2B27B-516E-42D0-B30D-CAD45113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1275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714375</xdr:colOff>
      <xdr:row>0</xdr:row>
      <xdr:rowOff>85725</xdr:rowOff>
    </xdr:from>
    <xdr:to>
      <xdr:col>20</xdr:col>
      <xdr:colOff>153385</xdr:colOff>
      <xdr:row>4</xdr:row>
      <xdr:rowOff>57252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BF210A-7196-41EC-9AEB-05891E8A8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375" y="85725"/>
          <a:ext cx="7059010" cy="733527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4</xdr:row>
      <xdr:rowOff>123825</xdr:rowOff>
    </xdr:from>
    <xdr:to>
      <xdr:col>16</xdr:col>
      <xdr:colOff>505429</xdr:colOff>
      <xdr:row>7</xdr:row>
      <xdr:rowOff>181063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719E14-1196-440A-9F7C-ED0D00661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72475" y="885825"/>
          <a:ext cx="4324954" cy="628738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8</xdr:row>
      <xdr:rowOff>85725</xdr:rowOff>
    </xdr:from>
    <xdr:to>
      <xdr:col>18</xdr:col>
      <xdr:colOff>38847</xdr:colOff>
      <xdr:row>11</xdr:row>
      <xdr:rowOff>123910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E869A7-EB16-47C6-9807-D31B2F2DF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1609725"/>
          <a:ext cx="5353797" cy="609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744117</xdr:colOff>
      <xdr:row>5</xdr:row>
      <xdr:rowOff>57291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CA86CD-9726-4366-AE09-9AB53813C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64117" cy="1009791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0</xdr:row>
      <xdr:rowOff>0</xdr:rowOff>
    </xdr:from>
    <xdr:to>
      <xdr:col>21</xdr:col>
      <xdr:colOff>1065</xdr:colOff>
      <xdr:row>8</xdr:row>
      <xdr:rowOff>76423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B65AD0-323A-43EF-9F7D-28A6714FB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0"/>
          <a:ext cx="7630590" cy="16004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39275</xdr:colOff>
      <xdr:row>18</xdr:row>
      <xdr:rowOff>86216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AFC19A-B1E3-46F2-819E-264D0C571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1275" cy="351521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0</xdr:row>
      <xdr:rowOff>0</xdr:rowOff>
    </xdr:from>
    <xdr:to>
      <xdr:col>20</xdr:col>
      <xdr:colOff>410640</xdr:colOff>
      <xdr:row>8</xdr:row>
      <xdr:rowOff>76423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B57AA7-9F88-4B51-9FAE-510C44AD6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0"/>
          <a:ext cx="7630590" cy="1600423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19</xdr:row>
      <xdr:rowOff>133350</xdr:rowOff>
    </xdr:from>
    <xdr:to>
      <xdr:col>9</xdr:col>
      <xdr:colOff>638514</xdr:colOff>
      <xdr:row>24</xdr:row>
      <xdr:rowOff>47746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80D6374-FBB1-4771-82B7-49466E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3752850"/>
          <a:ext cx="2429214" cy="86689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619125</xdr:colOff>
      <xdr:row>24</xdr:row>
      <xdr:rowOff>57150</xdr:rowOff>
    </xdr:from>
    <xdr:to>
      <xdr:col>8</xdr:col>
      <xdr:colOff>514548</xdr:colOff>
      <xdr:row>28</xdr:row>
      <xdr:rowOff>28677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1C60398-1468-4EF5-B6B3-A1C532B53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91125" y="4629150"/>
          <a:ext cx="1419423" cy="733527"/>
        </a:xfrm>
        <a:prstGeom prst="rect">
          <a:avLst/>
        </a:prstGeom>
      </xdr:spPr>
    </xdr:pic>
    <xdr:clientData/>
  </xdr:twoCellAnchor>
  <xdr:twoCellAnchor editAs="oneCell">
    <xdr:from>
      <xdr:col>13</xdr:col>
      <xdr:colOff>628650</xdr:colOff>
      <xdr:row>11</xdr:row>
      <xdr:rowOff>47625</xdr:rowOff>
    </xdr:from>
    <xdr:to>
      <xdr:col>20</xdr:col>
      <xdr:colOff>86394</xdr:colOff>
      <xdr:row>13</xdr:row>
      <xdr:rowOff>9573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150D8AB-003A-42BA-A9A1-ADC8F0BE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4650" y="2143125"/>
          <a:ext cx="4791744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266700</xdr:colOff>
      <xdr:row>12</xdr:row>
      <xdr:rowOff>180975</xdr:rowOff>
    </xdr:from>
    <xdr:to>
      <xdr:col>22</xdr:col>
      <xdr:colOff>29499</xdr:colOff>
      <xdr:row>16</xdr:row>
      <xdr:rowOff>19134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341919B-803C-4350-BCB1-08073718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72700" y="2466975"/>
          <a:ext cx="6620799" cy="600159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17</xdr:row>
      <xdr:rowOff>28575</xdr:rowOff>
    </xdr:from>
    <xdr:to>
      <xdr:col>21</xdr:col>
      <xdr:colOff>86669</xdr:colOff>
      <xdr:row>19</xdr:row>
      <xdr:rowOff>66733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17D83A0-73CC-4FF0-9840-B0E98BD9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24975" y="3267075"/>
          <a:ext cx="676369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18</xdr:col>
      <xdr:colOff>181532</xdr:colOff>
      <xdr:row>24</xdr:row>
      <xdr:rowOff>133448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008BE21-ACA8-44D0-BED4-2A23F51E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06000" y="4000500"/>
          <a:ext cx="3991532" cy="704948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35</xdr:row>
      <xdr:rowOff>123825</xdr:rowOff>
    </xdr:from>
    <xdr:to>
      <xdr:col>6</xdr:col>
      <xdr:colOff>505438</xdr:colOff>
      <xdr:row>40</xdr:row>
      <xdr:rowOff>85853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BF35CDD-6DA9-4022-9AAC-58D678C04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6791325"/>
          <a:ext cx="4391638" cy="914528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25</xdr:row>
      <xdr:rowOff>161925</xdr:rowOff>
    </xdr:from>
    <xdr:to>
      <xdr:col>22</xdr:col>
      <xdr:colOff>1026</xdr:colOff>
      <xdr:row>29</xdr:row>
      <xdr:rowOff>66768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35B0FF2-6FE2-47C9-B478-9D16EDB2C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01250" y="4924425"/>
          <a:ext cx="7354326" cy="666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3D8D-103D-479D-B620-FD96C2D365DB}">
  <dimension ref="A1:N44"/>
  <sheetViews>
    <sheetView topLeftCell="A7" workbookViewId="0">
      <selection activeCell="N46" sqref="N46"/>
    </sheetView>
  </sheetViews>
  <sheetFormatPr baseColWidth="10"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21" spans="1:14" x14ac:dyDescent="0.25">
      <c r="A21" t="s">
        <v>5</v>
      </c>
      <c r="B21" t="s">
        <v>7</v>
      </c>
      <c r="D21" t="s">
        <v>6</v>
      </c>
    </row>
    <row r="24" spans="1:14" x14ac:dyDescent="0.25">
      <c r="A24" t="s">
        <v>12</v>
      </c>
      <c r="C24" t="s">
        <v>8</v>
      </c>
      <c r="D24" t="s">
        <v>10</v>
      </c>
    </row>
    <row r="25" spans="1:14" x14ac:dyDescent="0.25">
      <c r="A25" t="s">
        <v>13</v>
      </c>
      <c r="C25" s="1">
        <v>0.4</v>
      </c>
      <c r="D25" s="2">
        <v>7.0000000000000007E-2</v>
      </c>
      <c r="G25" t="s">
        <v>8</v>
      </c>
      <c r="H25" t="s">
        <v>9</v>
      </c>
    </row>
    <row r="26" spans="1:14" x14ac:dyDescent="0.25">
      <c r="A26" t="s">
        <v>14</v>
      </c>
      <c r="C26" s="1">
        <v>0.6</v>
      </c>
      <c r="D26" s="2">
        <v>0.16</v>
      </c>
      <c r="G26" t="s">
        <v>10</v>
      </c>
      <c r="H26" t="s">
        <v>11</v>
      </c>
    </row>
    <row r="28" spans="1:14" x14ac:dyDescent="0.25">
      <c r="A28" s="5" t="s">
        <v>2</v>
      </c>
      <c r="B28" s="5" t="s">
        <v>15</v>
      </c>
      <c r="C28" s="6">
        <f>SUMPRODUCT(C25:C26,D25:D26)</f>
        <v>0.124</v>
      </c>
    </row>
    <row r="30" spans="1:14" x14ac:dyDescent="0.25">
      <c r="A30" s="5" t="s">
        <v>19</v>
      </c>
    </row>
    <row r="32" spans="1:14" x14ac:dyDescent="0.25">
      <c r="A32" s="5" t="s">
        <v>17</v>
      </c>
      <c r="I32" s="5" t="s">
        <v>2</v>
      </c>
      <c r="J32" s="5" t="s">
        <v>15</v>
      </c>
      <c r="K32" s="6">
        <v>0.124</v>
      </c>
      <c r="N32" s="5" t="s">
        <v>26</v>
      </c>
    </row>
    <row r="33" spans="1:11" x14ac:dyDescent="0.25">
      <c r="A33" t="s">
        <v>16</v>
      </c>
    </row>
    <row r="35" spans="1:11" x14ac:dyDescent="0.25">
      <c r="A35" s="5" t="s">
        <v>18</v>
      </c>
      <c r="I35" t="s">
        <v>21</v>
      </c>
      <c r="J35" t="s">
        <v>22</v>
      </c>
      <c r="K35" t="s">
        <v>20</v>
      </c>
    </row>
    <row r="36" spans="1:11" x14ac:dyDescent="0.25">
      <c r="I36" t="s">
        <v>23</v>
      </c>
      <c r="J36" s="2">
        <v>0.08</v>
      </c>
      <c r="K36" t="s">
        <v>25</v>
      </c>
    </row>
    <row r="37" spans="1:11" x14ac:dyDescent="0.25">
      <c r="I37" t="s">
        <v>24</v>
      </c>
      <c r="J37" s="2">
        <v>0.15</v>
      </c>
      <c r="K37" t="s">
        <v>27</v>
      </c>
    </row>
    <row r="41" spans="1:11" x14ac:dyDescent="0.25">
      <c r="A41" t="s">
        <v>28</v>
      </c>
      <c r="B41" t="s">
        <v>29</v>
      </c>
    </row>
    <row r="42" spans="1:11" x14ac:dyDescent="0.25">
      <c r="B42" t="s">
        <v>30</v>
      </c>
    </row>
    <row r="43" spans="1:11" x14ac:dyDescent="0.25">
      <c r="B43" t="s">
        <v>31</v>
      </c>
    </row>
    <row r="44" spans="1:11" x14ac:dyDescent="0.25">
      <c r="B44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C781-9A36-44AE-82FE-E15EEFEAEADC}">
  <dimension ref="A13:I55"/>
  <sheetViews>
    <sheetView workbookViewId="0">
      <selection activeCell="H16" sqref="H16"/>
    </sheetView>
  </sheetViews>
  <sheetFormatPr baseColWidth="10" defaultRowHeight="15" x14ac:dyDescent="0.25"/>
  <cols>
    <col min="1" max="1" width="32" bestFit="1" customWidth="1"/>
    <col min="3" max="3" width="20.28515625" bestFit="1" customWidth="1"/>
  </cols>
  <sheetData>
    <row r="13" spans="1:8" x14ac:dyDescent="0.25">
      <c r="A13" t="s">
        <v>33</v>
      </c>
      <c r="C13" s="7" t="s">
        <v>23</v>
      </c>
      <c r="D13" s="7" t="s">
        <v>24</v>
      </c>
      <c r="E13" s="7" t="s">
        <v>34</v>
      </c>
    </row>
    <row r="14" spans="1:8" x14ac:dyDescent="0.25">
      <c r="A14" t="s">
        <v>42</v>
      </c>
      <c r="B14" t="s">
        <v>35</v>
      </c>
      <c r="C14" s="8">
        <f>9%*1000</f>
        <v>90</v>
      </c>
      <c r="D14" s="8">
        <f>10%*1000</f>
        <v>100</v>
      </c>
      <c r="E14" s="8">
        <f>9%*1000</f>
        <v>90</v>
      </c>
      <c r="H14" t="s">
        <v>43</v>
      </c>
    </row>
    <row r="15" spans="1:8" x14ac:dyDescent="0.25">
      <c r="A15" t="s">
        <v>36</v>
      </c>
      <c r="B15" t="s">
        <v>37</v>
      </c>
      <c r="C15" s="8">
        <f>1000-20-25</f>
        <v>955</v>
      </c>
      <c r="D15" s="8">
        <f>1000+10-40</f>
        <v>970</v>
      </c>
      <c r="E15" s="8">
        <f>1000-15</f>
        <v>985</v>
      </c>
    </row>
    <row r="16" spans="1:8" x14ac:dyDescent="0.25">
      <c r="A16" t="s">
        <v>38</v>
      </c>
      <c r="B16" t="s">
        <v>39</v>
      </c>
      <c r="C16" s="9">
        <v>20</v>
      </c>
      <c r="D16" s="9">
        <v>16</v>
      </c>
      <c r="E16" s="9">
        <v>25</v>
      </c>
      <c r="H16" t="s">
        <v>44</v>
      </c>
    </row>
    <row r="17" spans="1:9" x14ac:dyDescent="0.25">
      <c r="A17" t="s">
        <v>40</v>
      </c>
      <c r="B17" t="s">
        <v>41</v>
      </c>
      <c r="C17" s="4">
        <f>((C14+(1000-C15)/C16))/((C15+1000)/2)</f>
        <v>9.4373401534526849E-2</v>
      </c>
      <c r="D17" s="4">
        <f t="shared" ref="D17:E17" si="0">((D14+(1000-D15)/D16))/((D15+1000)/2)</f>
        <v>0.1034263959390863</v>
      </c>
      <c r="E17" s="4">
        <f t="shared" si="0"/>
        <v>9.128463476070528E-2</v>
      </c>
    </row>
    <row r="18" spans="1:9" x14ac:dyDescent="0.25">
      <c r="A18" t="s">
        <v>46</v>
      </c>
      <c r="B18" t="s">
        <v>45</v>
      </c>
      <c r="C18" s="11">
        <f>C17*(1-25%)</f>
        <v>7.078005115089514E-2</v>
      </c>
      <c r="D18" s="11">
        <f>D17*(1-25%)</f>
        <v>7.7569796954314721E-2</v>
      </c>
      <c r="E18" s="11">
        <f>E17*(1-25%)</f>
        <v>6.8463476070528967E-2</v>
      </c>
    </row>
    <row r="22" spans="1:9" x14ac:dyDescent="0.25">
      <c r="H22" t="s">
        <v>48</v>
      </c>
      <c r="I22" t="s">
        <v>47</v>
      </c>
    </row>
    <row r="26" spans="1:9" x14ac:dyDescent="0.25">
      <c r="B26" s="7" t="s">
        <v>49</v>
      </c>
      <c r="C26" s="12" t="s">
        <v>23</v>
      </c>
      <c r="D26" s="12" t="s">
        <v>24</v>
      </c>
      <c r="E26" s="12" t="s">
        <v>34</v>
      </c>
    </row>
    <row r="27" spans="1:9" x14ac:dyDescent="0.25">
      <c r="B27">
        <v>0</v>
      </c>
      <c r="C27" s="13">
        <f>C15</f>
        <v>955</v>
      </c>
      <c r="D27" s="13">
        <f t="shared" ref="D27:E27" si="1">D15</f>
        <v>970</v>
      </c>
      <c r="E27" s="13">
        <f t="shared" si="1"/>
        <v>985</v>
      </c>
    </row>
    <row r="28" spans="1:9" x14ac:dyDescent="0.25">
      <c r="B28">
        <v>1</v>
      </c>
      <c r="C28" s="13">
        <f>-$C$14</f>
        <v>-90</v>
      </c>
      <c r="D28" s="13">
        <f>-$D$14</f>
        <v>-100</v>
      </c>
      <c r="E28" s="13">
        <f>-$E$14</f>
        <v>-90</v>
      </c>
    </row>
    <row r="29" spans="1:9" x14ac:dyDescent="0.25">
      <c r="B29">
        <v>2</v>
      </c>
      <c r="C29" s="13">
        <f t="shared" ref="C29:C46" si="2">-$C$14</f>
        <v>-90</v>
      </c>
      <c r="D29" s="13">
        <f t="shared" ref="D29:D42" si="3">-$D$14</f>
        <v>-100</v>
      </c>
      <c r="E29" s="13">
        <f t="shared" ref="E29:E51" si="4">-$E$14</f>
        <v>-90</v>
      </c>
    </row>
    <row r="30" spans="1:9" x14ac:dyDescent="0.25">
      <c r="B30">
        <v>3</v>
      </c>
      <c r="C30" s="13">
        <f t="shared" si="2"/>
        <v>-90</v>
      </c>
      <c r="D30" s="13">
        <f t="shared" si="3"/>
        <v>-100</v>
      </c>
      <c r="E30" s="13">
        <f t="shared" si="4"/>
        <v>-90</v>
      </c>
    </row>
    <row r="31" spans="1:9" x14ac:dyDescent="0.25">
      <c r="B31">
        <v>4</v>
      </c>
      <c r="C31" s="13">
        <f t="shared" si="2"/>
        <v>-90</v>
      </c>
      <c r="D31" s="13">
        <f t="shared" si="3"/>
        <v>-100</v>
      </c>
      <c r="E31" s="13">
        <f t="shared" si="4"/>
        <v>-90</v>
      </c>
    </row>
    <row r="32" spans="1:9" x14ac:dyDescent="0.25">
      <c r="B32">
        <v>5</v>
      </c>
      <c r="C32" s="13">
        <f t="shared" si="2"/>
        <v>-90</v>
      </c>
      <c r="D32" s="13">
        <f t="shared" si="3"/>
        <v>-100</v>
      </c>
      <c r="E32" s="13">
        <f t="shared" si="4"/>
        <v>-90</v>
      </c>
    </row>
    <row r="33" spans="2:5" x14ac:dyDescent="0.25">
      <c r="B33">
        <v>6</v>
      </c>
      <c r="C33" s="13">
        <f t="shared" si="2"/>
        <v>-90</v>
      </c>
      <c r="D33" s="13">
        <f t="shared" si="3"/>
        <v>-100</v>
      </c>
      <c r="E33" s="13">
        <f t="shared" si="4"/>
        <v>-90</v>
      </c>
    </row>
    <row r="34" spans="2:5" x14ac:dyDescent="0.25">
      <c r="B34">
        <v>7</v>
      </c>
      <c r="C34" s="13">
        <f t="shared" si="2"/>
        <v>-90</v>
      </c>
      <c r="D34" s="13">
        <f t="shared" si="3"/>
        <v>-100</v>
      </c>
      <c r="E34" s="13">
        <f t="shared" si="4"/>
        <v>-90</v>
      </c>
    </row>
    <row r="35" spans="2:5" x14ac:dyDescent="0.25">
      <c r="B35">
        <v>8</v>
      </c>
      <c r="C35" s="13">
        <f t="shared" si="2"/>
        <v>-90</v>
      </c>
      <c r="D35" s="13">
        <f t="shared" si="3"/>
        <v>-100</v>
      </c>
      <c r="E35" s="13">
        <f t="shared" si="4"/>
        <v>-90</v>
      </c>
    </row>
    <row r="36" spans="2:5" x14ac:dyDescent="0.25">
      <c r="B36">
        <v>9</v>
      </c>
      <c r="C36" s="13">
        <f t="shared" si="2"/>
        <v>-90</v>
      </c>
      <c r="D36" s="13">
        <f t="shared" si="3"/>
        <v>-100</v>
      </c>
      <c r="E36" s="13">
        <f t="shared" si="4"/>
        <v>-90</v>
      </c>
    </row>
    <row r="37" spans="2:5" x14ac:dyDescent="0.25">
      <c r="B37">
        <v>10</v>
      </c>
      <c r="C37" s="13">
        <f t="shared" si="2"/>
        <v>-90</v>
      </c>
      <c r="D37" s="13">
        <f t="shared" si="3"/>
        <v>-100</v>
      </c>
      <c r="E37" s="13">
        <f t="shared" si="4"/>
        <v>-90</v>
      </c>
    </row>
    <row r="38" spans="2:5" x14ac:dyDescent="0.25">
      <c r="B38">
        <v>11</v>
      </c>
      <c r="C38" s="13">
        <f t="shared" si="2"/>
        <v>-90</v>
      </c>
      <c r="D38" s="13">
        <f t="shared" si="3"/>
        <v>-100</v>
      </c>
      <c r="E38" s="13">
        <f t="shared" si="4"/>
        <v>-90</v>
      </c>
    </row>
    <row r="39" spans="2:5" x14ac:dyDescent="0.25">
      <c r="B39">
        <v>12</v>
      </c>
      <c r="C39" s="13">
        <f t="shared" si="2"/>
        <v>-90</v>
      </c>
      <c r="D39" s="13">
        <f t="shared" si="3"/>
        <v>-100</v>
      </c>
      <c r="E39" s="13">
        <f t="shared" si="4"/>
        <v>-90</v>
      </c>
    </row>
    <row r="40" spans="2:5" x14ac:dyDescent="0.25">
      <c r="B40">
        <v>13</v>
      </c>
      <c r="C40" s="13">
        <f t="shared" si="2"/>
        <v>-90</v>
      </c>
      <c r="D40" s="13">
        <f t="shared" si="3"/>
        <v>-100</v>
      </c>
      <c r="E40" s="13">
        <f t="shared" si="4"/>
        <v>-90</v>
      </c>
    </row>
    <row r="41" spans="2:5" x14ac:dyDescent="0.25">
      <c r="B41">
        <v>14</v>
      </c>
      <c r="C41" s="13">
        <f t="shared" si="2"/>
        <v>-90</v>
      </c>
      <c r="D41" s="13">
        <f t="shared" si="3"/>
        <v>-100</v>
      </c>
      <c r="E41" s="13">
        <f t="shared" si="4"/>
        <v>-90</v>
      </c>
    </row>
    <row r="42" spans="2:5" x14ac:dyDescent="0.25">
      <c r="B42">
        <v>15</v>
      </c>
      <c r="C42" s="13">
        <f t="shared" si="2"/>
        <v>-90</v>
      </c>
      <c r="D42" s="13">
        <f t="shared" si="3"/>
        <v>-100</v>
      </c>
      <c r="E42" s="13">
        <f t="shared" si="4"/>
        <v>-90</v>
      </c>
    </row>
    <row r="43" spans="2:5" x14ac:dyDescent="0.25">
      <c r="B43">
        <v>16</v>
      </c>
      <c r="C43" s="13">
        <f t="shared" si="2"/>
        <v>-90</v>
      </c>
      <c r="D43" s="13">
        <f>-$D$14-1000</f>
        <v>-1100</v>
      </c>
      <c r="E43" s="13">
        <f t="shared" si="4"/>
        <v>-90</v>
      </c>
    </row>
    <row r="44" spans="2:5" x14ac:dyDescent="0.25">
      <c r="B44">
        <v>17</v>
      </c>
      <c r="C44" s="13">
        <f t="shared" si="2"/>
        <v>-90</v>
      </c>
      <c r="E44" s="13">
        <f t="shared" si="4"/>
        <v>-90</v>
      </c>
    </row>
    <row r="45" spans="2:5" x14ac:dyDescent="0.25">
      <c r="B45">
        <v>18</v>
      </c>
      <c r="C45" s="13">
        <f t="shared" si="2"/>
        <v>-90</v>
      </c>
      <c r="E45" s="13">
        <f t="shared" si="4"/>
        <v>-90</v>
      </c>
    </row>
    <row r="46" spans="2:5" x14ac:dyDescent="0.25">
      <c r="B46">
        <v>19</v>
      </c>
      <c r="C46" s="13">
        <f t="shared" si="2"/>
        <v>-90</v>
      </c>
      <c r="E46" s="13">
        <f t="shared" si="4"/>
        <v>-90</v>
      </c>
    </row>
    <row r="47" spans="2:5" x14ac:dyDescent="0.25">
      <c r="B47">
        <v>20</v>
      </c>
      <c r="C47" s="13">
        <f>-$C$14 -1000</f>
        <v>-1090</v>
      </c>
      <c r="E47" s="13">
        <f t="shared" si="4"/>
        <v>-90</v>
      </c>
    </row>
    <row r="48" spans="2:5" x14ac:dyDescent="0.25">
      <c r="B48">
        <v>21</v>
      </c>
      <c r="E48" s="13">
        <f t="shared" si="4"/>
        <v>-90</v>
      </c>
    </row>
    <row r="49" spans="2:7" x14ac:dyDescent="0.25">
      <c r="B49">
        <v>22</v>
      </c>
      <c r="E49" s="13">
        <f t="shared" si="4"/>
        <v>-90</v>
      </c>
    </row>
    <row r="50" spans="2:7" x14ac:dyDescent="0.25">
      <c r="B50">
        <v>23</v>
      </c>
      <c r="E50" s="13">
        <f t="shared" si="4"/>
        <v>-90</v>
      </c>
    </row>
    <row r="51" spans="2:7" x14ac:dyDescent="0.25">
      <c r="B51">
        <v>24</v>
      </c>
      <c r="E51" s="13">
        <f t="shared" si="4"/>
        <v>-90</v>
      </c>
    </row>
    <row r="52" spans="2:7" x14ac:dyDescent="0.25">
      <c r="B52">
        <v>25</v>
      </c>
      <c r="E52" s="13">
        <f>-$E$14-1000</f>
        <v>-1090</v>
      </c>
    </row>
    <row r="54" spans="2:7" x14ac:dyDescent="0.25">
      <c r="B54" s="5" t="s">
        <v>50</v>
      </c>
      <c r="C54" s="10">
        <f>IRR(C27:C52)</f>
        <v>9.5110382838343943E-2</v>
      </c>
      <c r="D54" s="10">
        <f t="shared" ref="D54:E54" si="5">IRR(D27:D52)</f>
        <v>0.1039245175511827</v>
      </c>
      <c r="E54" s="10">
        <f t="shared" si="5"/>
        <v>9.1546267663438874E-2</v>
      </c>
      <c r="G54" t="s">
        <v>51</v>
      </c>
    </row>
    <row r="55" spans="2:7" x14ac:dyDescent="0.25">
      <c r="B55" t="s">
        <v>52</v>
      </c>
      <c r="C55" s="4">
        <f>C54*(1-0.25)</f>
        <v>7.1332787128757957E-2</v>
      </c>
      <c r="D55" s="4">
        <f t="shared" ref="D55:E55" si="6">D54*(1-0.25)</f>
        <v>7.7943388163387028E-2</v>
      </c>
      <c r="E55" s="4">
        <f t="shared" si="6"/>
        <v>6.8659700747579155E-2</v>
      </c>
      <c r="G55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1C1F-BCAB-4F10-9199-D4B8D52CD06D}">
  <dimension ref="A7:M17"/>
  <sheetViews>
    <sheetView tabSelected="1" workbookViewId="0">
      <selection activeCell="M19" sqref="M19"/>
    </sheetView>
  </sheetViews>
  <sheetFormatPr baseColWidth="10" defaultRowHeight="15" x14ac:dyDescent="0.25"/>
  <sheetData>
    <row r="7" spans="1:12" x14ac:dyDescent="0.25">
      <c r="A7" t="s">
        <v>54</v>
      </c>
      <c r="C7" s="2">
        <v>0.12</v>
      </c>
    </row>
    <row r="8" spans="1:12" x14ac:dyDescent="0.25">
      <c r="A8" t="s">
        <v>55</v>
      </c>
      <c r="C8">
        <v>100</v>
      </c>
    </row>
    <row r="9" spans="1:12" x14ac:dyDescent="0.25">
      <c r="A9" t="s">
        <v>56</v>
      </c>
      <c r="C9">
        <v>97.5</v>
      </c>
    </row>
    <row r="10" spans="1:12" x14ac:dyDescent="0.25">
      <c r="A10" t="s">
        <v>57</v>
      </c>
      <c r="C10">
        <v>2.5</v>
      </c>
      <c r="E10" t="s">
        <v>61</v>
      </c>
    </row>
    <row r="13" spans="1:12" x14ac:dyDescent="0.25">
      <c r="A13" t="s">
        <v>58</v>
      </c>
      <c r="B13" s="8">
        <f>12%*100</f>
        <v>12</v>
      </c>
    </row>
    <row r="14" spans="1:12" x14ac:dyDescent="0.25">
      <c r="A14" t="s">
        <v>60</v>
      </c>
      <c r="B14" s="8">
        <f>C9-C10</f>
        <v>95</v>
      </c>
      <c r="L14" t="s">
        <v>44</v>
      </c>
    </row>
    <row r="16" spans="1:12" x14ac:dyDescent="0.25">
      <c r="B16" s="15" t="s">
        <v>62</v>
      </c>
      <c r="C16" s="11">
        <f>B13/B14</f>
        <v>0.12631578947368421</v>
      </c>
    </row>
    <row r="17" spans="12:13" x14ac:dyDescent="0.25">
      <c r="L17" t="s">
        <v>58</v>
      </c>
      <c r="M17" t="s">
        <v>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608B-02CF-414E-9678-87739261B834}">
  <dimension ref="A8:S18"/>
  <sheetViews>
    <sheetView workbookViewId="0">
      <selection activeCell="B18" sqref="B18"/>
    </sheetView>
  </sheetViews>
  <sheetFormatPr baseColWidth="10" defaultRowHeight="15" x14ac:dyDescent="0.25"/>
  <sheetData>
    <row r="8" spans="1:19" x14ac:dyDescent="0.25">
      <c r="A8" t="s">
        <v>63</v>
      </c>
      <c r="C8">
        <v>1.2</v>
      </c>
      <c r="E8" t="s">
        <v>66</v>
      </c>
    </row>
    <row r="9" spans="1:19" x14ac:dyDescent="0.25">
      <c r="A9" t="s">
        <v>64</v>
      </c>
      <c r="C9" s="2">
        <v>0.06</v>
      </c>
      <c r="E9" t="s">
        <v>67</v>
      </c>
    </row>
    <row r="10" spans="1:19" x14ac:dyDescent="0.25">
      <c r="A10" t="s">
        <v>65</v>
      </c>
      <c r="C10" s="2">
        <v>0.11</v>
      </c>
      <c r="E10" t="s">
        <v>68</v>
      </c>
      <c r="S10" t="s">
        <v>71</v>
      </c>
    </row>
    <row r="12" spans="1:19" x14ac:dyDescent="0.25">
      <c r="A12" t="s">
        <v>5</v>
      </c>
      <c r="B12" t="s">
        <v>70</v>
      </c>
      <c r="D12" s="11">
        <f>C8*(C10-C9)</f>
        <v>0.06</v>
      </c>
    </row>
    <row r="15" spans="1:19" x14ac:dyDescent="0.25">
      <c r="A15" t="s">
        <v>28</v>
      </c>
      <c r="B15" t="s">
        <v>72</v>
      </c>
      <c r="E15" t="s">
        <v>69</v>
      </c>
      <c r="F15" s="16">
        <f>C9+D12</f>
        <v>0.12</v>
      </c>
    </row>
    <row r="18" spans="1:2" x14ac:dyDescent="0.25">
      <c r="A18" t="s">
        <v>73</v>
      </c>
      <c r="B18" s="16">
        <f>F15</f>
        <v>0.12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D864-07E9-46D5-AEB7-8F5FB9DFD774}">
  <dimension ref="A10:O45"/>
  <sheetViews>
    <sheetView workbookViewId="0">
      <selection activeCell="E33" sqref="E33"/>
    </sheetView>
  </sheetViews>
  <sheetFormatPr baseColWidth="10" defaultRowHeight="15" x14ac:dyDescent="0.25"/>
  <cols>
    <col min="12" max="12" width="20.28515625" bestFit="1" customWidth="1"/>
  </cols>
  <sheetData>
    <row r="10" spans="15:15" x14ac:dyDescent="0.25">
      <c r="O10" t="s">
        <v>76</v>
      </c>
    </row>
    <row r="22" spans="1:11" x14ac:dyDescent="0.25">
      <c r="A22" t="s">
        <v>74</v>
      </c>
      <c r="D22">
        <v>57.5</v>
      </c>
    </row>
    <row r="23" spans="1:11" x14ac:dyDescent="0.25">
      <c r="A23" t="s">
        <v>75</v>
      </c>
      <c r="D23">
        <v>3.4</v>
      </c>
    </row>
    <row r="26" spans="1:11" x14ac:dyDescent="0.25">
      <c r="K26" s="3">
        <v>0.1</v>
      </c>
    </row>
    <row r="27" spans="1:11" x14ac:dyDescent="0.25">
      <c r="A27" t="s">
        <v>77</v>
      </c>
    </row>
    <row r="32" spans="1:11" x14ac:dyDescent="0.25">
      <c r="A32" t="s">
        <v>78</v>
      </c>
      <c r="B32" t="s">
        <v>74</v>
      </c>
      <c r="E32" s="8">
        <v>57.5</v>
      </c>
    </row>
    <row r="33" spans="1:12" x14ac:dyDescent="0.25">
      <c r="B33" t="s">
        <v>79</v>
      </c>
      <c r="E33" s="17">
        <f>52</f>
        <v>52</v>
      </c>
    </row>
    <row r="36" spans="1:12" x14ac:dyDescent="0.25">
      <c r="A36" t="s">
        <v>73</v>
      </c>
    </row>
    <row r="38" spans="1:12" x14ac:dyDescent="0.25">
      <c r="H38">
        <v>3.4</v>
      </c>
    </row>
    <row r="39" spans="1:12" x14ac:dyDescent="0.25">
      <c r="H39">
        <v>57.5</v>
      </c>
      <c r="J39" t="s">
        <v>80</v>
      </c>
      <c r="L39" s="11">
        <f>H38/H39+H40</f>
        <v>0.15913043478260869</v>
      </c>
    </row>
    <row r="40" spans="1:12" x14ac:dyDescent="0.25">
      <c r="H40" s="2">
        <f>K26</f>
        <v>0.1</v>
      </c>
    </row>
    <row r="45" spans="1:12" x14ac:dyDescent="0.25">
      <c r="D45" t="s">
        <v>81</v>
      </c>
      <c r="E45" s="14">
        <f>H38/E33+K26</f>
        <v>0.16538461538461541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Villatoro</dc:creator>
  <cp:lastModifiedBy>Alexander Villatoro</cp:lastModifiedBy>
  <dcterms:created xsi:type="dcterms:W3CDTF">2022-03-31T01:31:35Z</dcterms:created>
  <dcterms:modified xsi:type="dcterms:W3CDTF">2022-05-13T17:25:07Z</dcterms:modified>
</cp:coreProperties>
</file>