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13_ncr:1_{C8807535-16F8-4CA3-8BB9-116746B5758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9" l="1"/>
  <c r="B25" i="9"/>
  <c r="B23" i="9"/>
  <c r="B21" i="9"/>
  <c r="C23" i="7"/>
  <c r="C18" i="7"/>
  <c r="B15" i="6"/>
  <c r="C18" i="6"/>
  <c r="D16" i="6"/>
  <c r="T26" i="2"/>
  <c r="U15" i="2"/>
  <c r="S31" i="2"/>
  <c r="U14" i="2"/>
  <c r="S25" i="2"/>
  <c r="L25" i="5"/>
  <c r="L24" i="5"/>
  <c r="K21" i="5"/>
  <c r="K16" i="5"/>
  <c r="L18" i="5"/>
  <c r="L22" i="5"/>
  <c r="K20" i="5"/>
  <c r="L17" i="5"/>
  <c r="L8" i="5"/>
  <c r="Q45" i="4"/>
  <c r="K11" i="5"/>
  <c r="R23" i="4"/>
  <c r="V35" i="4"/>
  <c r="V21" i="4"/>
  <c r="V34" i="4"/>
  <c r="R21" i="4"/>
  <c r="V32" i="4"/>
  <c r="V25" i="4"/>
  <c r="V29" i="4"/>
  <c r="R26" i="4"/>
  <c r="R25" i="4"/>
  <c r="V28" i="4"/>
  <c r="V30" i="4" s="1"/>
  <c r="V31" i="4" s="1"/>
  <c r="V27" i="4"/>
  <c r="V26" i="4"/>
  <c r="R27" i="4"/>
  <c r="R28" i="4"/>
  <c r="R30" i="4"/>
  <c r="R31" i="4"/>
  <c r="R32" i="4"/>
  <c r="R35" i="4" s="1"/>
  <c r="R22" i="4"/>
  <c r="V22" i="4"/>
  <c r="V13" i="4"/>
  <c r="V14" i="4"/>
  <c r="V16" i="4"/>
  <c r="V12" i="4"/>
  <c r="V15" i="4" s="1"/>
  <c r="V17" i="4" s="1"/>
  <c r="R16" i="4"/>
  <c r="R14" i="4"/>
  <c r="R13" i="4"/>
  <c r="R12" i="4"/>
  <c r="R15" i="4" s="1"/>
  <c r="R17" i="4" s="1"/>
  <c r="K22" i="3"/>
  <c r="I30" i="3"/>
  <c r="I28" i="3"/>
  <c r="I26" i="3"/>
  <c r="I24" i="3"/>
  <c r="I22" i="3"/>
  <c r="I20" i="3"/>
  <c r="I21" i="3"/>
  <c r="I23" i="3"/>
  <c r="I25" i="3"/>
  <c r="I27" i="3"/>
  <c r="I29" i="3"/>
  <c r="I31" i="3"/>
  <c r="I19" i="3"/>
  <c r="I18" i="3"/>
  <c r="H31" i="3"/>
  <c r="H29" i="3"/>
  <c r="H27" i="3"/>
  <c r="H25" i="3"/>
  <c r="H23" i="3"/>
  <c r="H21" i="3"/>
  <c r="H22" i="3"/>
  <c r="H24" i="3"/>
  <c r="H26" i="3"/>
  <c r="H28" i="3"/>
  <c r="H30" i="3"/>
  <c r="H20" i="3"/>
  <c r="H19" i="3"/>
  <c r="H18" i="3"/>
  <c r="F15" i="3"/>
  <c r="F16" i="3" s="1"/>
  <c r="F17" i="3" s="1"/>
  <c r="F18" i="3" s="1"/>
  <c r="F19" i="3" s="1"/>
  <c r="F20" i="3" s="1"/>
  <c r="F21" i="3" s="1"/>
  <c r="T21" i="2"/>
  <c r="U12" i="2"/>
  <c r="U13" i="2"/>
  <c r="M18" i="2"/>
  <c r="T20" i="2"/>
  <c r="V18" i="4" l="1"/>
  <c r="V19" i="4" s="1"/>
  <c r="R18" i="4"/>
  <c r="R19" i="4" s="1"/>
</calcChain>
</file>

<file path=xl/sharedStrings.xml><?xml version="1.0" encoding="utf-8"?>
<sst xmlns="http://schemas.openxmlformats.org/spreadsheetml/2006/main" count="217" uniqueCount="162">
  <si>
    <t>puto el que se mueva</t>
  </si>
  <si>
    <t>Nuevo equipo</t>
  </si>
  <si>
    <t>A)</t>
  </si>
  <si>
    <t>20% es depreciacion en legislacion Guatemalteca</t>
  </si>
  <si>
    <t>Equipo Viejo</t>
  </si>
  <si>
    <t>Depreciacion Anual</t>
  </si>
  <si>
    <t>Vender Equipo existente</t>
  </si>
  <si>
    <t>años transcurridos</t>
  </si>
  <si>
    <t>depreciación acumulada</t>
  </si>
  <si>
    <t>Valor en libros</t>
  </si>
  <si>
    <t>Sistema actual</t>
  </si>
  <si>
    <t>VALORE EN LIBROS = VALOR DE ADQUISICIPON DE LA MAQUINA ANTIGUA - DEPRECIACIÓN ACUMULADA</t>
  </si>
  <si>
    <t>B)</t>
  </si>
  <si>
    <t>Valor de venta</t>
  </si>
  <si>
    <t>(-) ISR</t>
  </si>
  <si>
    <t>Ingreso neto por la venta de maquina antigua</t>
  </si>
  <si>
    <t>Valor de vetna de maquina antigua</t>
  </si>
  <si>
    <t>(-) Valor en libros</t>
  </si>
  <si>
    <t>Ganancia en Venta del activo</t>
  </si>
  <si>
    <t>ISR(10%)</t>
  </si>
  <si>
    <t>Desembolso por compra de maquinaria nueva</t>
  </si>
  <si>
    <t>Aumento en el Capital de Trabajo</t>
  </si>
  <si>
    <t>Valor Inicial de inverision requerida (año 0)</t>
  </si>
  <si>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</si>
  <si>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</si>
  <si>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</si>
  <si>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</si>
  <si>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</si>
  <si>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</si>
  <si>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</si>
  <si>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CAMBIO</t>
  </si>
  <si>
    <t>Efectivo</t>
  </si>
  <si>
    <t>Cuentas por cobrar</t>
  </si>
  <si>
    <t>FNE POR ACTIVIDADES DED FINANCIAMIENTO</t>
  </si>
  <si>
    <t>Inventario</t>
  </si>
  <si>
    <t>Disminución/aumento en documentos por pagar</t>
  </si>
  <si>
    <t>Planta y Equipo Neto</t>
  </si>
  <si>
    <t>Aumento/dis en deuda a largo plazo</t>
  </si>
  <si>
    <t>ACTIVO TOTAL</t>
  </si>
  <si>
    <t>Pago de dividendos comunes</t>
  </si>
  <si>
    <t>Suma de FNE por actividades de financiamiento</t>
  </si>
  <si>
    <t>PASIVO</t>
  </si>
  <si>
    <t>Cuentas por Pagar</t>
  </si>
  <si>
    <t>Documentos por Pagar</t>
  </si>
  <si>
    <t>Otros pasivos corrientes</t>
  </si>
  <si>
    <t>FNE Financiero</t>
  </si>
  <si>
    <t>Deuda a largo Plazo</t>
  </si>
  <si>
    <t>Disminución en cuentas por pagar</t>
  </si>
  <si>
    <t>Capital Propio</t>
  </si>
  <si>
    <t>Aumento en deuda a largo plazo</t>
  </si>
  <si>
    <t>Utilidades retenidas</t>
  </si>
  <si>
    <t>PASIVO + CAPITAL</t>
  </si>
  <si>
    <t>FNE POR ACTIVIDADES DE INVERSIÓN</t>
  </si>
  <si>
    <t>ESTADO DE RESULTADOS</t>
  </si>
  <si>
    <t>Aumento Plana y Equipo ENto</t>
  </si>
  <si>
    <t>Suuma del FNE por actividades de inversióno</t>
  </si>
  <si>
    <t>Calculo del pago de dividendos (método indirecto cuando no lo dan)</t>
  </si>
  <si>
    <t>Ventas</t>
  </si>
  <si>
    <t>Utilidades del periodo - Cambio en la cuenta utilidades retenidas</t>
  </si>
  <si>
    <t>(-) Costo de Ventas</t>
  </si>
  <si>
    <t>Dividendos:</t>
  </si>
  <si>
    <t>Utilidad Bruta</t>
  </si>
  <si>
    <t>(-) Gastos de Operación</t>
  </si>
  <si>
    <t>Depreciación</t>
  </si>
  <si>
    <t>UAII</t>
  </si>
  <si>
    <t>(-) Gastos por Intereses</t>
  </si>
  <si>
    <t>UAI</t>
  </si>
  <si>
    <t>(-) ISR (25%)</t>
  </si>
  <si>
    <t>UN</t>
  </si>
  <si>
    <t xml:space="preserve">Presupuesto </t>
  </si>
  <si>
    <t>WACC</t>
  </si>
  <si>
    <t>Proyecto</t>
  </si>
  <si>
    <t>Tir</t>
  </si>
  <si>
    <t>Inversión inicial</t>
  </si>
  <si>
    <t>Inversión acumulado</t>
  </si>
  <si>
    <t>F</t>
  </si>
  <si>
    <t>E</t>
  </si>
  <si>
    <t>G</t>
  </si>
  <si>
    <t>X</t>
  </si>
  <si>
    <t>POI</t>
  </si>
  <si>
    <t>TMAR</t>
  </si>
  <si>
    <t>C</t>
  </si>
  <si>
    <t>Y</t>
  </si>
  <si>
    <t>B</t>
  </si>
  <si>
    <t>A</t>
  </si>
  <si>
    <t>D</t>
  </si>
  <si>
    <t>Plan A</t>
  </si>
  <si>
    <t>P</t>
  </si>
  <si>
    <t>Acciones en circulación</t>
  </si>
  <si>
    <t>Ventas capital</t>
  </si>
  <si>
    <t>Bolsitas</t>
  </si>
  <si>
    <t>CV</t>
  </si>
  <si>
    <t>(-) CF</t>
  </si>
  <si>
    <t>Plan B</t>
  </si>
  <si>
    <t>Ventas aledañas</t>
  </si>
  <si>
    <t>Deuda</t>
  </si>
  <si>
    <t xml:space="preserve">Interés </t>
  </si>
  <si>
    <t>PLAN 1 Capital</t>
  </si>
  <si>
    <t>PLAN 2 Capital</t>
  </si>
  <si>
    <t>(-) Costos Variables</t>
  </si>
  <si>
    <t>(-) Costo fijo</t>
  </si>
  <si>
    <t>b)</t>
  </si>
  <si>
    <t>(-) Intereses</t>
  </si>
  <si>
    <t>(-) Impuestos</t>
  </si>
  <si>
    <t>Cantidad de acciones</t>
  </si>
  <si>
    <t>UPA</t>
  </si>
  <si>
    <t>a)</t>
  </si>
  <si>
    <t>Punto de equilibrio</t>
  </si>
  <si>
    <t>c)</t>
  </si>
  <si>
    <t>PALN 1 - ALEDAÑOS</t>
  </si>
  <si>
    <t>PLAN 2 - ALEDAÑOS</t>
  </si>
  <si>
    <t>PUNTO DE EQUILIBRIO</t>
  </si>
  <si>
    <t>Razon de deuda a largo plazo</t>
  </si>
  <si>
    <t>Pasivos corrientes</t>
  </si>
  <si>
    <t>Pasivos no corrientes</t>
  </si>
  <si>
    <t>Margen de utilidad</t>
  </si>
  <si>
    <t>ROE</t>
  </si>
  <si>
    <t>Activos corrientes</t>
  </si>
  <si>
    <t>55% del activo</t>
  </si>
  <si>
    <t>Capital contable = pasivos - activos</t>
  </si>
  <si>
    <t>Razon deuda 0,45 = (Pasivos corrientes + Pasivos no corrientes) / Activo total</t>
  </si>
  <si>
    <t>0,45 = (875+1553,45)/activos totales</t>
  </si>
  <si>
    <t>Activos no corrientes</t>
  </si>
  <si>
    <t>Capital contable común</t>
  </si>
  <si>
    <t>CCC = ACCIONES COMUNES / ROE</t>
  </si>
  <si>
    <t xml:space="preserve"> Activo total</t>
  </si>
  <si>
    <t>Activo no corriente</t>
  </si>
  <si>
    <t>Razón corriente</t>
  </si>
  <si>
    <t>UDAC</t>
  </si>
  <si>
    <t>acciones preferentes</t>
  </si>
  <si>
    <t>Dividendo anual</t>
  </si>
  <si>
    <t>Valor a la par o valor de venta</t>
  </si>
  <si>
    <t>por acción</t>
  </si>
  <si>
    <t>Costso de flotación</t>
  </si>
  <si>
    <t>por accion</t>
  </si>
  <si>
    <t>Costos de acciones preferentes</t>
  </si>
  <si>
    <t>DP</t>
  </si>
  <si>
    <t>DP = Dividendo preferente por acción expresado en forma monetaria</t>
  </si>
  <si>
    <t>NP</t>
  </si>
  <si>
    <t>valor de la venta - costo flotacion</t>
  </si>
  <si>
    <t>Np = Beneficio neto de la acción preferente</t>
  </si>
  <si>
    <t>Dp = Tasa de interés * valor nominal de la acción</t>
  </si>
  <si>
    <t>DP/NP</t>
  </si>
  <si>
    <t>inciso b</t>
  </si>
  <si>
    <t>Interes</t>
  </si>
  <si>
    <t>CPP = WACC</t>
  </si>
  <si>
    <t>Impuesto</t>
  </si>
  <si>
    <t>deuda</t>
  </si>
  <si>
    <t>wi</t>
  </si>
  <si>
    <t>ki</t>
  </si>
  <si>
    <t>Capital accionario</t>
  </si>
  <si>
    <t>11% = wiki + wiki</t>
  </si>
  <si>
    <t>Pasivos Corrientes</t>
  </si>
  <si>
    <t>Prueba ácida</t>
  </si>
  <si>
    <t>Rotación de inventario</t>
  </si>
  <si>
    <t>Razón Corriente</t>
  </si>
  <si>
    <t>Activos Corrientes</t>
  </si>
  <si>
    <t>Inventarios</t>
  </si>
  <si>
    <t>PPI</t>
  </si>
  <si>
    <t>b</t>
  </si>
  <si>
    <t>Costo de ventas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</si>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</sst>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sz val="12"/>
      <color rgb="FF526069"/>
      <name val="Arial"/>
      <charset val="1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</font>
    <font>
      <sz val="11"/>
      <color rgb="FF000000"/>
      <name val="Calibri"/>
    </font>
    <font>
      <sz val="11"/>
      <color rgb="FF0070C0"/>
      <name val="Calibri"/>
    </font>
    <font>
      <b/>
      <i/>
      <sz val="11"/>
      <color rgb="FF0070C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0" xfId="0" applyFont="1" applyAlignment="1">
      <alignment readingOrder="1"/>
    </xf>
    <xf numFmtId="0" fontId="2" fillId="2" borderId="0" xfId="0" applyFont="1" applyFill="1" applyAlignment="1">
      <alignment readingOrder="1"/>
    </xf>
    <xf numFmtId="0" fontId="2" fillId="0" borderId="0" xfId="0" applyFont="1" applyAlignment="1">
      <alignment readingOrder="1"/>
    </xf>
    <xf numFmtId="0" fontId="1" fillId="2" borderId="0" xfId="0" applyFont="1" applyFill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4" fontId="3" fillId="0" borderId="5" xfId="0" applyNumberFormat="1" applyFont="1" applyBorder="1" applyAlignment="1">
      <alignment readingOrder="1"/>
    </xf>
    <xf numFmtId="4" fontId="1" fillId="0" borderId="5" xfId="0" applyNumberFormat="1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4" fontId="7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7" fillId="0" borderId="0" xfId="0" applyFont="1"/>
    <xf numFmtId="0" fontId="7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10" fontId="0" fillId="0" borderId="0" xfId="0" applyNumberFormat="1"/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" fontId="10" fillId="0" borderId="15" xfId="0" applyNumberFormat="1" applyFont="1" applyBorder="1"/>
    <xf numFmtId="4" fontId="11" fillId="0" borderId="0" xfId="0" applyNumberFormat="1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/>
    <xf numFmtId="10" fontId="7" fillId="2" borderId="0" xfId="0" applyNumberFormat="1" applyFont="1" applyFill="1"/>
    <xf numFmtId="0" fontId="1" fillId="0" borderId="0" xfId="0" applyFont="1" applyBorder="1" applyAlignment="1">
      <alignment readingOrder="1"/>
    </xf>
    <xf numFmtId="10" fontId="1" fillId="0" borderId="0" xfId="0" applyNumberFormat="1" applyFont="1" applyBorder="1" applyAlignment="1">
      <alignment readingOrder="1"/>
    </xf>
    <xf numFmtId="9" fontId="1" fillId="0" borderId="0" xfId="0" applyNumberFormat="1" applyFont="1" applyBorder="1" applyAlignment="1">
      <alignment readingOrder="1"/>
    </xf>
    <xf numFmtId="10" fontId="1" fillId="2" borderId="0" xfId="0" applyNumberFormat="1" applyFont="1" applyFill="1" applyBorder="1" applyAlignment="1">
      <alignment readingOrder="1"/>
    </xf>
    <xf numFmtId="0" fontId="1" fillId="2" borderId="0" xfId="0" applyFont="1" applyFill="1" applyBorder="1" applyAlignment="1">
      <alignment readingOrder="1"/>
    </xf>
    <xf numFmtId="9" fontId="2" fillId="0" borderId="0" xfId="0" applyNumberFormat="1" applyFont="1" applyBorder="1" applyAlignment="1">
      <alignment readingOrder="1"/>
    </xf>
    <xf numFmtId="1" fontId="7" fillId="2" borderId="0" xfId="0" applyNumberFormat="1" applyFont="1" applyFill="1"/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2" Type="http://schemas.openxmlformats.org/officeDocument/2006/relationships/image" Target="../media/image8.tmp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tmp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123825</xdr:colOff>
      <xdr:row>12</xdr:row>
      <xdr:rowOff>104775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EC57B6A-7EFA-5E70-9E3E-EA554781B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5100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200025</xdr:colOff>
      <xdr:row>23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4802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409575</xdr:colOff>
      <xdr:row>2</xdr:row>
      <xdr:rowOff>28575</xdr:rowOff>
    </xdr:from>
    <xdr:to>
      <xdr:col>29</xdr:col>
      <xdr:colOff>590550</xdr:colOff>
      <xdr:row>25</xdr:row>
      <xdr:rowOff>38100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3C7226F0-00E7-16B5-1CBA-09CC0133D786}"/>
            </a:ext>
            <a:ext uri="{147F2762-F138-4A5C-976F-8EAC2B608ADB}">
              <a16:predDERef xmlns:a16="http://schemas.microsoft.com/office/drawing/2014/main" pre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2175" y="409575"/>
          <a:ext cx="383857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514350</xdr:colOff>
      <xdr:row>25</xdr:row>
      <xdr:rowOff>76200</xdr:rowOff>
    </xdr:from>
    <xdr:to>
      <xdr:col>29</xdr:col>
      <xdr:colOff>466725</xdr:colOff>
      <xdr:row>36</xdr:row>
      <xdr:rowOff>19050</xdr:rowOff>
    </xdr:to>
    <xdr:pic>
      <xdr:nvPicPr>
        <xdr:cNvPr id="11" name="Imagen 4">
          <a:extLst>
            <a:ext uri="{FF2B5EF4-FFF2-40B4-BE49-F238E27FC236}">
              <a16:creationId xmlns:a16="http://schemas.microsoft.com/office/drawing/2014/main" id="{AD90889E-8004-855B-932B-4786ED6266C9}"/>
            </a:ext>
            <a:ext uri="{147F2762-F138-4A5C-976F-8EAC2B608ADB}">
              <a16:predDERef xmlns:a16="http://schemas.microsoft.com/office/drawing/2014/main" pred="{3C7226F0-00E7-16B5-1CBA-09CC0133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92725" y="5019675"/>
          <a:ext cx="3609975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476250</xdr:colOff>
      <xdr:row>10</xdr:row>
      <xdr:rowOff>9525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0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12</xdr:row>
      <xdr:rowOff>76200</xdr:rowOff>
    </xdr:from>
    <xdr:to>
      <xdr:col>20</xdr:col>
      <xdr:colOff>323850</xdr:colOff>
      <xdr:row>26</xdr:row>
      <xdr:rowOff>152400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4C191365-F241-44C4-6780-06DD351F94BB}"/>
            </a:ext>
            <a:ext uri="{147F2762-F138-4A5C-976F-8EAC2B608ADB}">
              <a16:predDERef xmlns:a16="http://schemas.microsoft.com/office/drawing/2014/main" pre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2362200"/>
          <a:ext cx="4572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200025</xdr:colOff>
      <xdr:row>24</xdr:row>
      <xdr:rowOff>152400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686425" cy="472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27</xdr:row>
      <xdr:rowOff>9525</xdr:rowOff>
    </xdr:from>
    <xdr:to>
      <xdr:col>10</xdr:col>
      <xdr:colOff>390525</xdr:colOff>
      <xdr:row>30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05D61D5-DB8F-D302-9CAE-483647C32176}"/>
            </a:ext>
            <a:ext uri="{147F2762-F138-4A5C-976F-8EAC2B608ADB}">
              <a16:predDERef xmlns:a16="http://schemas.microsoft.com/office/drawing/2014/main" pre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5" y="5153025"/>
          <a:ext cx="2228850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20</xdr:col>
      <xdr:colOff>447675</xdr:colOff>
      <xdr:row>43</xdr:row>
      <xdr:rowOff>95250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0183775-D9EA-B6F6-8390-0788B6277395}"/>
            </a:ext>
            <a:ext uri="{147F2762-F138-4A5C-976F-8EAC2B608ADB}">
              <a16:predDERef xmlns:a16="http://schemas.microsoft.com/office/drawing/2014/main" pred="{705D61D5-DB8F-D302-9CAE-483647C3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048500"/>
          <a:ext cx="9220200" cy="123825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47</xdr:row>
      <xdr:rowOff>19050</xdr:rowOff>
    </xdr:from>
    <xdr:to>
      <xdr:col>20</xdr:col>
      <xdr:colOff>704850</xdr:colOff>
      <xdr:row>57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E44465-668E-49E2-79CA-ED064D9EC0A4}"/>
            </a:ext>
            <a:ext uri="{147F2762-F138-4A5C-976F-8EAC2B608ADB}">
              <a16:predDERef xmlns:a16="http://schemas.microsoft.com/office/drawing/2014/main" pred="{80183775-D9EA-B6F6-8390-0788B627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972550"/>
          <a:ext cx="9725025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58</xdr:row>
      <xdr:rowOff>9525</xdr:rowOff>
    </xdr:from>
    <xdr:to>
      <xdr:col>18</xdr:col>
      <xdr:colOff>533400</xdr:colOff>
      <xdr:row>81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77316E-05AB-E9E0-9491-DED6DB5D0AD6}"/>
            </a:ext>
            <a:ext uri="{147F2762-F138-4A5C-976F-8EAC2B608ADB}">
              <a16:predDERef xmlns:a16="http://schemas.microsoft.com/office/drawing/2014/main" pred="{00E44465-668E-49E2-79CA-ED064D9E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325" y="11058525"/>
          <a:ext cx="7467600" cy="437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171450</xdr:colOff>
      <xdr:row>12</xdr:row>
      <xdr:rowOff>171450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7850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14</xdr:row>
      <xdr:rowOff>38100</xdr:rowOff>
    </xdr:from>
    <xdr:to>
      <xdr:col>8</xdr:col>
      <xdr:colOff>161925</xdr:colOff>
      <xdr:row>16</xdr:row>
      <xdr:rowOff>114300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A935FC8B-1F76-5154-8362-6E426225BB1F}"/>
            </a:ext>
            <a:ext uri="{147F2762-F138-4A5C-976F-8EAC2B608ADB}">
              <a16:predDERef xmlns:a16="http://schemas.microsoft.com/office/drawing/2014/main" pre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2705100"/>
          <a:ext cx="45720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400050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4417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19</xdr:col>
      <xdr:colOff>561975</xdr:colOff>
      <xdr:row>12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0FC09E-AC0A-582A-9545-8EA90093F4DF}"/>
            </a:ext>
            <a:ext uri="{147F2762-F138-4A5C-976F-8EAC2B608ADB}">
              <a16:predDERef xmlns:a16="http://schemas.microsoft.com/office/drawing/2014/main" pre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524000"/>
          <a:ext cx="8486775" cy="885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323850</xdr:colOff>
      <xdr:row>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96550" cy="1857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247650</xdr:colOff>
      <xdr:row>13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245A77-BB0B-C40B-D590-E10156403713}"/>
            </a:ext>
            <a:ext uri="{147F2762-F138-4A5C-976F-8EAC2B608ADB}">
              <a16:predDERef xmlns:a16="http://schemas.microsoft.com/office/drawing/2014/main" pre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2095500"/>
          <a:ext cx="1971675" cy="4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10</xdr:row>
      <xdr:rowOff>161925</xdr:rowOff>
    </xdr:from>
    <xdr:to>
      <xdr:col>16</xdr:col>
      <xdr:colOff>504825</xdr:colOff>
      <xdr:row>13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C9AFF7-5A81-73BB-401E-234AB5400D31}"/>
            </a:ext>
            <a:ext uri="{147F2762-F138-4A5C-976F-8EAC2B608ADB}">
              <a16:predDERef xmlns:a16="http://schemas.microsoft.com/office/drawing/2014/main" pred="{34245A77-BB0B-C40B-D590-E1015640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66925"/>
          <a:ext cx="238125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123825</xdr:colOff>
      <xdr:row>11</xdr:row>
      <xdr:rowOff>161925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66675</xdr:rowOff>
    </xdr:from>
    <xdr:to>
      <xdr:col>14</xdr:col>
      <xdr:colOff>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E8FB17-3088-2AA7-4AA6-9F4111879B35}"/>
            </a:ext>
            <a:ext uri="{147F2762-F138-4A5C-976F-8EAC2B608ADB}">
              <a16:predDERef xmlns:a16="http://schemas.microsoft.com/office/drawing/2014/main" pre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66675"/>
          <a:ext cx="4572000" cy="179070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12</xdr:row>
      <xdr:rowOff>114300</xdr:rowOff>
    </xdr:from>
    <xdr:to>
      <xdr:col>16</xdr:col>
      <xdr:colOff>190500</xdr:colOff>
      <xdr:row>14</xdr:row>
      <xdr:rowOff>180975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7B1DEFFA-1B66-3A00-09CE-FD7719E7CFC1}"/>
            </a:ext>
            <a:ext uri="{147F2762-F138-4A5C-976F-8EAC2B608ADB}">
              <a16:predDERef xmlns:a16="http://schemas.microsoft.com/office/drawing/2014/main" pred="{9CE8FB17-3088-2AA7-4AA6-9F411187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2675" y="2400300"/>
          <a:ext cx="4572000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15</xdr:row>
      <xdr:rowOff>133350</xdr:rowOff>
    </xdr:from>
    <xdr:to>
      <xdr:col>16</xdr:col>
      <xdr:colOff>228600</xdr:colOff>
      <xdr:row>17</xdr:row>
      <xdr:rowOff>171450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B8A0A241-DBCC-321B-359D-2B5B69160CBE}"/>
            </a:ext>
            <a:ext uri="{147F2762-F138-4A5C-976F-8EAC2B608ADB}">
              <a16:predDERef xmlns:a16="http://schemas.microsoft.com/office/drawing/2014/main" pred="{7B1DEFFA-1B66-3A00-09CE-FD7719E7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2990850"/>
          <a:ext cx="457200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18</xdr:row>
      <xdr:rowOff>123825</xdr:rowOff>
    </xdr:from>
    <xdr:to>
      <xdr:col>16</xdr:col>
      <xdr:colOff>228600</xdr:colOff>
      <xdr:row>21</xdr:row>
      <xdr:rowOff>38100</xdr:rowOff>
    </xdr:to>
    <xdr:pic>
      <xdr:nvPicPr>
        <xdr:cNvPr id="9" name="Imagen 7">
          <a:extLst>
            <a:ext uri="{FF2B5EF4-FFF2-40B4-BE49-F238E27FC236}">
              <a16:creationId xmlns:a16="http://schemas.microsoft.com/office/drawing/2014/main" id="{9877C118-A917-4948-CDFC-A2713CF1C4B2}"/>
            </a:ext>
            <a:ext uri="{147F2762-F138-4A5C-976F-8EAC2B608ADB}">
              <a16:predDERef xmlns:a16="http://schemas.microsoft.com/office/drawing/2014/main" pred="{B8A0A241-DBCC-321B-359D-2B5B6916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3552825"/>
          <a:ext cx="4572000" cy="4857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16</xdr:col>
      <xdr:colOff>304800</xdr:colOff>
      <xdr:row>23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28FBB04-730E-D92A-AFAE-B00A416E8DCE}"/>
            </a:ext>
            <a:ext uri="{147F2762-F138-4A5C-976F-8EAC2B608ADB}">
              <a16:predDERef xmlns:a16="http://schemas.microsoft.com/office/drawing/2014/main" pred="{9877C118-A917-4948-CDFC-A2713CF1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6975" y="4191000"/>
          <a:ext cx="4572000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25</xdr:row>
      <xdr:rowOff>85725</xdr:rowOff>
    </xdr:from>
    <xdr:to>
      <xdr:col>15</xdr:col>
      <xdr:colOff>590550</xdr:colOff>
      <xdr:row>35</xdr:row>
      <xdr:rowOff>85725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D70FAA3-765B-666C-B649-A71B029F0DD8}"/>
            </a:ext>
            <a:ext uri="{147F2762-F138-4A5C-976F-8EAC2B608ADB}">
              <a16:predDERef xmlns:a16="http://schemas.microsoft.com/office/drawing/2014/main" pred="{228FBB04-730E-D92A-AFAE-B00A416E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9800" y="4848225"/>
          <a:ext cx="4505325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6"/>
  <sheetViews>
    <sheetView workbookViewId="0">
      <selection activeCell="L22" sqref="L22"/>
    </sheetView>
  </sheetViews>
  <sheetFormatPr baseColWidth="10" defaultColWidth="9.140625" defaultRowHeight="15" x14ac:dyDescent="0.25"/>
  <cols>
    <col min="1" max="1" width="13.5703125" bestFit="1" customWidth="1"/>
  </cols>
  <sheetData>
    <row r="3" spans="1:7" x14ac:dyDescent="0.25">
      <c r="C3" t="s">
        <v>0</v>
      </c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 t="s">
        <v>1</v>
      </c>
      <c r="B16" s="7">
        <v>80000</v>
      </c>
      <c r="C16" s="7" t="s">
        <v>2</v>
      </c>
      <c r="D16" s="7" t="s">
        <v>3</v>
      </c>
      <c r="E16" s="7"/>
      <c r="F16" s="7"/>
      <c r="G16" s="7"/>
    </row>
    <row r="17" spans="1:7" x14ac:dyDescent="0.25">
      <c r="A17" s="7" t="s">
        <v>4</v>
      </c>
      <c r="B17" s="7">
        <v>50000</v>
      </c>
      <c r="C17" s="7"/>
      <c r="D17" s="7" t="s">
        <v>5</v>
      </c>
      <c r="E17" s="7"/>
      <c r="F17" s="7">
        <v>10000</v>
      </c>
      <c r="G17" s="7"/>
    </row>
    <row r="18" spans="1:7" x14ac:dyDescent="0.25">
      <c r="A18" s="7" t="s">
        <v>6</v>
      </c>
      <c r="B18" s="7">
        <v>45000</v>
      </c>
      <c r="C18" s="7"/>
      <c r="D18" s="7" t="s">
        <v>7</v>
      </c>
      <c r="E18" s="7"/>
      <c r="F18" s="7">
        <v>4</v>
      </c>
      <c r="G18" s="7"/>
    </row>
    <row r="19" spans="1:7" x14ac:dyDescent="0.25">
      <c r="A19" s="7"/>
      <c r="B19" s="7"/>
      <c r="C19" s="7"/>
      <c r="D19" s="7" t="s">
        <v>8</v>
      </c>
      <c r="E19" s="7"/>
      <c r="F19" s="7">
        <v>40000</v>
      </c>
      <c r="G19" s="7"/>
    </row>
    <row r="20" spans="1:7" x14ac:dyDescent="0.25">
      <c r="A20" s="8">
        <v>10000</v>
      </c>
      <c r="B20" s="8" t="s">
        <v>9</v>
      </c>
      <c r="C20" s="8" t="s">
        <v>10</v>
      </c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  <row r="22" spans="1:7" x14ac:dyDescent="0.25">
      <c r="A22" s="9" t="s">
        <v>11</v>
      </c>
      <c r="B22" s="7"/>
      <c r="C22" s="7"/>
      <c r="D22" s="7"/>
      <c r="E22" s="7"/>
      <c r="F22" s="7"/>
      <c r="G22" s="9">
        <v>10000</v>
      </c>
    </row>
    <row r="23" spans="1:7" x14ac:dyDescent="0.25">
      <c r="A23" s="7" t="s">
        <v>12</v>
      </c>
      <c r="B23" s="7"/>
      <c r="C23" s="7"/>
      <c r="D23" s="7"/>
      <c r="E23" s="7"/>
      <c r="F23" s="7"/>
      <c r="G23" s="7"/>
    </row>
    <row r="24" spans="1:7" x14ac:dyDescent="0.25">
      <c r="A24" s="7" t="s">
        <v>13</v>
      </c>
      <c r="B24" s="7">
        <v>45000</v>
      </c>
      <c r="C24" s="7"/>
      <c r="D24" s="7"/>
      <c r="E24" s="7"/>
      <c r="F24" s="7"/>
      <c r="G24" s="7"/>
    </row>
    <row r="25" spans="1:7" x14ac:dyDescent="0.25">
      <c r="A25" s="7" t="s">
        <v>14</v>
      </c>
      <c r="B25" s="7">
        <v>3500</v>
      </c>
      <c r="C25" s="7"/>
      <c r="D25" s="7"/>
      <c r="E25" s="7"/>
      <c r="F25" s="7"/>
      <c r="G25" s="7"/>
    </row>
    <row r="26" spans="1:7" x14ac:dyDescent="0.25">
      <c r="A26" s="7"/>
      <c r="B26" s="8">
        <v>41500</v>
      </c>
      <c r="C26" s="8" t="s">
        <v>15</v>
      </c>
      <c r="D26" s="10"/>
      <c r="E26" s="10"/>
      <c r="F26" s="7"/>
      <c r="G26" s="7"/>
    </row>
    <row r="27" spans="1:7" x14ac:dyDescent="0.25">
      <c r="A27" s="7"/>
      <c r="B27" s="7"/>
      <c r="C27" s="7"/>
      <c r="D27" s="7"/>
      <c r="E27" s="7"/>
      <c r="F27" s="7"/>
      <c r="G27" s="7"/>
    </row>
    <row r="28" spans="1:7" x14ac:dyDescent="0.25">
      <c r="A28" s="7" t="s">
        <v>16</v>
      </c>
      <c r="B28" s="7"/>
      <c r="C28" s="7">
        <v>45000</v>
      </c>
      <c r="D28" s="7"/>
      <c r="E28" s="7"/>
      <c r="F28" s="7"/>
      <c r="G28" s="7"/>
    </row>
    <row r="29" spans="1:7" x14ac:dyDescent="0.25">
      <c r="A29" s="7" t="s">
        <v>17</v>
      </c>
      <c r="B29" s="7"/>
      <c r="C29" s="7">
        <v>10000</v>
      </c>
      <c r="D29" s="7"/>
      <c r="E29" s="7"/>
      <c r="F29" s="7"/>
      <c r="G29" s="7"/>
    </row>
    <row r="30" spans="1:7" x14ac:dyDescent="0.25">
      <c r="A30" s="7" t="s">
        <v>18</v>
      </c>
      <c r="B30" s="7"/>
      <c r="C30" s="7">
        <v>35000</v>
      </c>
      <c r="D30" s="7"/>
      <c r="E30" s="7"/>
      <c r="F30" s="7"/>
      <c r="G30" s="7"/>
    </row>
    <row r="31" spans="1:7" x14ac:dyDescent="0.25">
      <c r="A31" s="7" t="s">
        <v>19</v>
      </c>
      <c r="B31" s="7"/>
      <c r="C31" s="7">
        <v>3500</v>
      </c>
      <c r="D31" s="7"/>
      <c r="E31" s="7"/>
      <c r="F31" s="7"/>
      <c r="G31" s="7"/>
    </row>
    <row r="32" spans="1:7" x14ac:dyDescent="0.25">
      <c r="A32" s="7"/>
      <c r="B32" s="7"/>
      <c r="C32" s="7"/>
      <c r="D32" s="7"/>
      <c r="E32" s="7"/>
      <c r="F32" s="7"/>
      <c r="G32" s="7"/>
    </row>
    <row r="33" spans="1:7" x14ac:dyDescent="0.25">
      <c r="A33" s="7" t="s">
        <v>20</v>
      </c>
      <c r="B33" s="7"/>
      <c r="C33" s="7"/>
      <c r="D33" s="7">
        <v>-80000</v>
      </c>
      <c r="E33" s="7"/>
      <c r="F33" s="7"/>
      <c r="G33" s="7"/>
    </row>
    <row r="34" spans="1:7" x14ac:dyDescent="0.25">
      <c r="A34" s="7" t="s">
        <v>15</v>
      </c>
      <c r="B34" s="7"/>
      <c r="C34" s="7"/>
      <c r="D34" s="7">
        <v>41500</v>
      </c>
      <c r="E34" s="7"/>
      <c r="F34" s="7"/>
      <c r="G34" s="7"/>
    </row>
    <row r="35" spans="1:7" x14ac:dyDescent="0.25">
      <c r="A35" s="7" t="s">
        <v>21</v>
      </c>
      <c r="B35" s="7"/>
      <c r="C35" s="7"/>
      <c r="D35" s="7">
        <v>-15000</v>
      </c>
      <c r="E35" s="7"/>
      <c r="F35" s="7"/>
      <c r="G35" s="7"/>
    </row>
    <row r="36" spans="1:7" x14ac:dyDescent="0.25">
      <c r="A36" s="7"/>
      <c r="B36" s="7"/>
      <c r="C36" s="7"/>
      <c r="D36" s="8">
        <v>-136500</v>
      </c>
      <c r="E36" s="8" t="s">
        <v>22</v>
      </c>
      <c r="F36" s="10"/>
      <c r="G3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7E5-B53C-4B18-814C-CC363C2CCF8C}">
  <dimension ref="J4:V39"/>
  <sheetViews>
    <sheetView topLeftCell="I1" workbookViewId="0">
      <selection activeCell="T7" sqref="T7"/>
    </sheetView>
  </sheetViews>
  <sheetFormatPr baseColWidth="10" defaultColWidth="9.140625" defaultRowHeight="15" x14ac:dyDescent="0.25"/>
  <cols>
    <col min="10" max="10" width="40.28515625" customWidth="1"/>
    <col min="11" max="12" width="12.85546875" bestFit="1" customWidth="1"/>
    <col min="13" max="13" width="9.85546875" bestFit="1" customWidth="1"/>
    <col min="14" max="14" width="11.85546875" customWidth="1"/>
    <col min="19" max="19" width="13.5703125" customWidth="1"/>
    <col min="20" max="20" width="12" customWidth="1"/>
    <col min="21" max="22" width="10.42578125" bestFit="1" customWidth="1"/>
  </cols>
  <sheetData>
    <row r="4" spans="10:22" ht="15.75" x14ac:dyDescent="0.25">
      <c r="J4" s="11" t="s">
        <v>23</v>
      </c>
      <c r="K4" s="1"/>
      <c r="L4" s="1"/>
      <c r="M4" s="1"/>
      <c r="N4" s="1"/>
      <c r="O4" s="2"/>
    </row>
    <row r="5" spans="10:22" ht="15.75" x14ac:dyDescent="0.25">
      <c r="J5" s="12" t="s">
        <v>24</v>
      </c>
      <c r="K5" s="4"/>
      <c r="L5" s="4"/>
      <c r="M5" s="4"/>
      <c r="N5" s="4"/>
      <c r="O5" s="5"/>
    </row>
    <row r="6" spans="10:22" ht="15.75" x14ac:dyDescent="0.25">
      <c r="J6" s="12" t="s">
        <v>25</v>
      </c>
      <c r="K6" s="4"/>
      <c r="L6" s="4"/>
      <c r="M6" s="4"/>
      <c r="N6" s="4"/>
      <c r="O6" s="5"/>
    </row>
    <row r="7" spans="10:22" ht="15.75" x14ac:dyDescent="0.25">
      <c r="J7" s="53" t="s">
        <v>26</v>
      </c>
      <c r="K7" s="54"/>
      <c r="L7" s="4"/>
      <c r="M7" s="4"/>
      <c r="N7" s="4"/>
      <c r="O7" s="5"/>
    </row>
    <row r="8" spans="10:22" x14ac:dyDescent="0.25">
      <c r="J8" s="3"/>
      <c r="K8" s="4"/>
      <c r="L8" s="4"/>
      <c r="M8" s="4"/>
      <c r="N8" s="4"/>
      <c r="O8" s="5"/>
    </row>
    <row r="9" spans="10:22" ht="15.75" x14ac:dyDescent="0.25">
      <c r="J9" s="12" t="s">
        <v>27</v>
      </c>
      <c r="K9" s="13" t="s">
        <v>28</v>
      </c>
      <c r="L9" s="13" t="s">
        <v>29</v>
      </c>
      <c r="M9" s="4" t="s">
        <v>30</v>
      </c>
      <c r="N9" s="4"/>
      <c r="O9" s="5"/>
    </row>
    <row r="10" spans="10:22" ht="15.75" x14ac:dyDescent="0.25">
      <c r="J10" s="12" t="s">
        <v>31</v>
      </c>
      <c r="K10" s="14">
        <v>21860</v>
      </c>
      <c r="L10" s="14">
        <v>22050</v>
      </c>
      <c r="M10" s="4">
        <v>190</v>
      </c>
      <c r="N10" s="15"/>
      <c r="O10" s="5"/>
    </row>
    <row r="11" spans="10:22" ht="15.75" x14ac:dyDescent="0.25">
      <c r="J11" s="12" t="s">
        <v>32</v>
      </c>
      <c r="K11" s="14">
        <v>11316</v>
      </c>
      <c r="L11" s="14">
        <v>13850</v>
      </c>
      <c r="M11" s="15">
        <v>2534</v>
      </c>
      <c r="N11" s="15"/>
      <c r="O11" s="5"/>
      <c r="P11" s="20" t="s">
        <v>33</v>
      </c>
      <c r="Q11" s="20"/>
    </row>
    <row r="12" spans="10:22" ht="15.75" x14ac:dyDescent="0.25">
      <c r="J12" s="12" t="s">
        <v>34</v>
      </c>
      <c r="K12" s="14">
        <v>23084</v>
      </c>
      <c r="L12" s="14">
        <v>24650</v>
      </c>
      <c r="M12" s="15">
        <v>1566</v>
      </c>
      <c r="N12" s="15"/>
      <c r="O12" s="5"/>
      <c r="P12" s="21" t="s">
        <v>35</v>
      </c>
      <c r="Q12" s="21"/>
      <c r="U12" s="19">
        <f>M18</f>
        <v>-1000</v>
      </c>
      <c r="V12" s="19"/>
    </row>
    <row r="13" spans="10:22" ht="15.75" x14ac:dyDescent="0.25">
      <c r="J13" s="12" t="s">
        <v>36</v>
      </c>
      <c r="K13" s="14">
        <v>234068</v>
      </c>
      <c r="L13" s="14">
        <v>260525</v>
      </c>
      <c r="M13" s="15">
        <v>26457</v>
      </c>
      <c r="N13" s="15"/>
      <c r="O13" s="5"/>
      <c r="P13" s="21" t="s">
        <v>37</v>
      </c>
      <c r="Q13" s="21"/>
      <c r="U13" s="19">
        <f>M20</f>
        <v>10000</v>
      </c>
      <c r="V13" s="19"/>
    </row>
    <row r="14" spans="10:22" ht="15.75" x14ac:dyDescent="0.25">
      <c r="J14" s="12" t="s">
        <v>38</v>
      </c>
      <c r="K14" s="14">
        <v>290328</v>
      </c>
      <c r="L14" s="14">
        <v>321075</v>
      </c>
      <c r="M14" s="15">
        <v>30747</v>
      </c>
      <c r="N14" s="15"/>
      <c r="O14" s="5"/>
      <c r="P14" s="21" t="s">
        <v>39</v>
      </c>
      <c r="Q14" s="21"/>
      <c r="U14" s="19">
        <f>S31</f>
        <v>-20000</v>
      </c>
    </row>
    <row r="15" spans="10:22" x14ac:dyDescent="0.25">
      <c r="J15" s="3"/>
      <c r="K15" s="4"/>
      <c r="L15" s="4"/>
      <c r="M15" s="4"/>
      <c r="N15" s="15"/>
      <c r="O15" s="5"/>
      <c r="P15" s="22" t="s">
        <v>40</v>
      </c>
      <c r="Q15" s="22"/>
      <c r="U15" s="24">
        <f>U14+U13+U12</f>
        <v>-11000</v>
      </c>
    </row>
    <row r="16" spans="10:22" ht="15.75" x14ac:dyDescent="0.25">
      <c r="J16" s="12" t="s">
        <v>41</v>
      </c>
      <c r="K16" s="4"/>
      <c r="L16" s="4"/>
      <c r="M16" s="4"/>
      <c r="N16" s="15"/>
      <c r="O16" s="5"/>
      <c r="U16" s="19"/>
    </row>
    <row r="17" spans="10:21" ht="15.75" x14ac:dyDescent="0.25">
      <c r="J17" s="12" t="s">
        <v>42</v>
      </c>
      <c r="K17" s="14">
        <v>19320</v>
      </c>
      <c r="L17" s="14">
        <v>22850</v>
      </c>
      <c r="M17" s="15">
        <v>3530</v>
      </c>
      <c r="N17" s="15"/>
      <c r="O17" s="5"/>
    </row>
    <row r="18" spans="10:21" ht="15.75" x14ac:dyDescent="0.25">
      <c r="J18" s="12" t="s">
        <v>43</v>
      </c>
      <c r="K18" s="14">
        <v>10000</v>
      </c>
      <c r="L18" s="14">
        <v>9000</v>
      </c>
      <c r="M18" s="15">
        <f>L18-K18</f>
        <v>-1000</v>
      </c>
      <c r="N18" s="15"/>
      <c r="O18" s="5"/>
    </row>
    <row r="19" spans="10:21" ht="15.75" x14ac:dyDescent="0.25">
      <c r="J19" s="12" t="s">
        <v>44</v>
      </c>
      <c r="K19" s="14">
        <v>9643</v>
      </c>
      <c r="L19" s="14">
        <v>11385</v>
      </c>
      <c r="M19" s="15">
        <v>1742</v>
      </c>
      <c r="N19" s="15"/>
      <c r="P19" s="5" t="s">
        <v>45</v>
      </c>
    </row>
    <row r="20" spans="10:21" ht="15.75" x14ac:dyDescent="0.25">
      <c r="J20" s="12" t="s">
        <v>46</v>
      </c>
      <c r="K20" s="14">
        <v>75000</v>
      </c>
      <c r="L20" s="14">
        <v>85000</v>
      </c>
      <c r="M20" s="15">
        <v>10000</v>
      </c>
      <c r="N20" s="15"/>
      <c r="P20" s="5" t="s">
        <v>47</v>
      </c>
      <c r="T20" s="19">
        <f>M18</f>
        <v>-1000</v>
      </c>
    </row>
    <row r="21" spans="10:21" ht="15.75" x14ac:dyDescent="0.25">
      <c r="J21" s="12" t="s">
        <v>48</v>
      </c>
      <c r="K21" s="14">
        <v>25000</v>
      </c>
      <c r="L21" s="14">
        <v>25000</v>
      </c>
      <c r="M21" s="4">
        <v>0</v>
      </c>
      <c r="N21" s="15"/>
      <c r="P21" s="5" t="s">
        <v>49</v>
      </c>
      <c r="T21" s="19">
        <f>M20</f>
        <v>10000</v>
      </c>
    </row>
    <row r="22" spans="10:21" ht="15.75" x14ac:dyDescent="0.25">
      <c r="J22" s="12" t="s">
        <v>50</v>
      </c>
      <c r="K22" s="14">
        <v>151365</v>
      </c>
      <c r="L22" s="14">
        <v>167840</v>
      </c>
      <c r="M22" s="15">
        <v>16475</v>
      </c>
      <c r="N22" s="15"/>
      <c r="O22" s="5"/>
    </row>
    <row r="23" spans="10:21" ht="15.75" x14ac:dyDescent="0.25">
      <c r="J23" s="12" t="s">
        <v>51</v>
      </c>
      <c r="K23" s="14">
        <v>290328</v>
      </c>
      <c r="L23" s="14">
        <v>321075</v>
      </c>
      <c r="M23" s="15">
        <v>30747</v>
      </c>
      <c r="N23" s="15"/>
      <c r="O23" s="5"/>
    </row>
    <row r="24" spans="10:21" x14ac:dyDescent="0.25">
      <c r="J24" s="3"/>
      <c r="K24" s="4"/>
      <c r="L24" s="4"/>
      <c r="M24" s="4"/>
      <c r="N24" s="4"/>
      <c r="O24" s="5"/>
      <c r="P24" s="36" t="s">
        <v>52</v>
      </c>
      <c r="Q24" s="36"/>
      <c r="R24" s="36"/>
      <c r="S24" s="37"/>
      <c r="T24" s="37"/>
      <c r="U24" s="19"/>
    </row>
    <row r="25" spans="10:21" ht="15.75" x14ac:dyDescent="0.25">
      <c r="J25" s="12" t="s">
        <v>53</v>
      </c>
      <c r="K25" s="4"/>
      <c r="L25" s="4"/>
      <c r="M25" s="4"/>
      <c r="N25" s="4"/>
      <c r="O25" s="5"/>
      <c r="P25" s="38" t="s">
        <v>54</v>
      </c>
      <c r="Q25" s="38"/>
      <c r="R25" s="38"/>
      <c r="S25" s="40">
        <f>M13</f>
        <v>26457</v>
      </c>
      <c r="T25" s="38"/>
    </row>
    <row r="26" spans="10:21" ht="15.75" x14ac:dyDescent="0.25">
      <c r="J26" s="12" t="s">
        <v>25</v>
      </c>
      <c r="K26" s="4"/>
      <c r="L26" s="4"/>
      <c r="M26" s="4"/>
      <c r="N26" s="4"/>
      <c r="O26" s="5"/>
      <c r="P26" s="39" t="s">
        <v>55</v>
      </c>
      <c r="Q26" s="39"/>
      <c r="R26" s="39"/>
      <c r="S26" s="39"/>
      <c r="T26" s="41">
        <f>-M23-M13</f>
        <v>-57204</v>
      </c>
    </row>
    <row r="27" spans="10:21" ht="15.75" x14ac:dyDescent="0.25">
      <c r="J27" s="53" t="s">
        <v>26</v>
      </c>
      <c r="K27" s="54"/>
      <c r="L27" s="4"/>
      <c r="M27" s="4"/>
      <c r="N27" s="4"/>
      <c r="O27" s="5"/>
    </row>
    <row r="28" spans="10:21" x14ac:dyDescent="0.25">
      <c r="J28" s="3"/>
      <c r="K28" s="4"/>
      <c r="L28" s="4"/>
      <c r="M28" s="4"/>
      <c r="N28" s="4"/>
      <c r="O28" s="5"/>
    </row>
    <row r="29" spans="10:21" ht="15.75" x14ac:dyDescent="0.25">
      <c r="J29" s="3"/>
      <c r="K29" s="13" t="s">
        <v>29</v>
      </c>
      <c r="L29" s="4"/>
      <c r="M29" s="4"/>
      <c r="N29" s="4"/>
      <c r="O29" s="5"/>
      <c r="P29" s="42" t="s">
        <v>56</v>
      </c>
      <c r="Q29" s="42"/>
      <c r="R29" s="42"/>
      <c r="S29" s="42"/>
      <c r="T29" s="42"/>
      <c r="U29" s="42"/>
    </row>
    <row r="30" spans="10:21" ht="15.75" x14ac:dyDescent="0.25">
      <c r="J30" s="12" t="s">
        <v>57</v>
      </c>
      <c r="K30" s="13">
        <v>305830</v>
      </c>
      <c r="L30" s="4"/>
      <c r="M30" s="4"/>
      <c r="N30" s="4"/>
      <c r="O30" s="5"/>
      <c r="P30" s="43"/>
      <c r="Q30" s="43" t="s">
        <v>58</v>
      </c>
      <c r="R30" s="43"/>
      <c r="S30" s="43"/>
      <c r="T30" s="43"/>
      <c r="U30" s="43"/>
    </row>
    <row r="31" spans="10:21" ht="15.75" x14ac:dyDescent="0.25">
      <c r="J31" s="12" t="s">
        <v>59</v>
      </c>
      <c r="K31" s="13">
        <v>183498</v>
      </c>
      <c r="L31" s="4"/>
      <c r="M31" s="4"/>
      <c r="N31" s="4"/>
      <c r="O31" s="5"/>
      <c r="P31" s="43"/>
      <c r="Q31" s="43" t="s">
        <v>60</v>
      </c>
      <c r="R31" s="43"/>
      <c r="S31" s="44">
        <f>M22-K39</f>
        <v>-20000</v>
      </c>
      <c r="T31" s="43"/>
      <c r="U31" s="43"/>
    </row>
    <row r="32" spans="10:21" ht="15.75" x14ac:dyDescent="0.25">
      <c r="J32" s="12" t="s">
        <v>61</v>
      </c>
      <c r="K32" s="13">
        <v>122332</v>
      </c>
      <c r="L32" s="4"/>
      <c r="M32" s="4"/>
      <c r="N32" s="4"/>
      <c r="O32" s="5"/>
    </row>
    <row r="33" spans="10:15" ht="15.75" x14ac:dyDescent="0.25">
      <c r="J33" s="12" t="s">
        <v>62</v>
      </c>
      <c r="K33" s="13">
        <v>34919</v>
      </c>
      <c r="L33" s="4"/>
      <c r="M33" s="4"/>
      <c r="N33" s="4"/>
      <c r="O33" s="5"/>
    </row>
    <row r="34" spans="10:15" ht="15.75" x14ac:dyDescent="0.25">
      <c r="J34" s="12" t="s">
        <v>63</v>
      </c>
      <c r="K34" s="13">
        <v>26850</v>
      </c>
      <c r="L34" s="4"/>
      <c r="M34" s="4"/>
      <c r="N34" s="4"/>
      <c r="O34" s="5"/>
    </row>
    <row r="35" spans="10:15" ht="15.75" x14ac:dyDescent="0.25">
      <c r="J35" s="12" t="s">
        <v>64</v>
      </c>
      <c r="K35" s="13">
        <v>60563</v>
      </c>
      <c r="L35" s="4"/>
      <c r="M35" s="4"/>
      <c r="N35" s="4"/>
      <c r="O35" s="5"/>
    </row>
    <row r="36" spans="10:15" ht="15.75" x14ac:dyDescent="0.25">
      <c r="J36" s="12" t="s">
        <v>65</v>
      </c>
      <c r="K36" s="13">
        <v>11930</v>
      </c>
      <c r="L36" s="4"/>
      <c r="M36" s="4"/>
      <c r="N36" s="4"/>
      <c r="O36" s="5"/>
    </row>
    <row r="37" spans="10:15" ht="15.75" x14ac:dyDescent="0.25">
      <c r="J37" s="12" t="s">
        <v>66</v>
      </c>
      <c r="K37" s="13">
        <v>48633</v>
      </c>
      <c r="L37" s="4"/>
      <c r="M37" s="4"/>
      <c r="N37" s="4"/>
      <c r="O37" s="5"/>
    </row>
    <row r="38" spans="10:15" ht="15.75" x14ac:dyDescent="0.25">
      <c r="J38" s="12" t="s">
        <v>67</v>
      </c>
      <c r="K38" s="13">
        <v>12158</v>
      </c>
      <c r="L38" s="4"/>
      <c r="M38" s="4"/>
      <c r="N38" s="4"/>
      <c r="O38" s="5"/>
    </row>
    <row r="39" spans="10:15" ht="15.75" x14ac:dyDescent="0.25">
      <c r="J39" s="16" t="s">
        <v>68</v>
      </c>
      <c r="K39" s="17">
        <v>36475</v>
      </c>
      <c r="L39" s="6"/>
      <c r="M39" s="6"/>
      <c r="N39" s="6"/>
      <c r="O39" s="18"/>
    </row>
  </sheetData>
  <mergeCells count="2">
    <mergeCell ref="J7:K7"/>
    <mergeCell ref="J27:K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065-DDDD-4A02-8D2F-068172688132}">
  <dimension ref="C12:L32"/>
  <sheetViews>
    <sheetView workbookViewId="0">
      <selection activeCell="F12" sqref="F12"/>
    </sheetView>
  </sheetViews>
  <sheetFormatPr baseColWidth="10" defaultColWidth="9.140625" defaultRowHeight="15" x14ac:dyDescent="0.25"/>
  <cols>
    <col min="4" max="4" width="5.140625" bestFit="1" customWidth="1"/>
    <col min="5" max="5" width="14.7109375" bestFit="1" customWidth="1"/>
    <col min="6" max="6" width="19.5703125" bestFit="1" customWidth="1"/>
    <col min="7" max="7" width="12.5703125" bestFit="1" customWidth="1"/>
  </cols>
  <sheetData>
    <row r="12" spans="3:9" x14ac:dyDescent="0.25">
      <c r="E12" t="s">
        <v>69</v>
      </c>
      <c r="F12">
        <v>450000</v>
      </c>
      <c r="H12" t="s">
        <v>70</v>
      </c>
      <c r="I12" s="23">
        <v>0.15</v>
      </c>
    </row>
    <row r="14" spans="3:9" x14ac:dyDescent="0.25">
      <c r="C14" t="s">
        <v>71</v>
      </c>
      <c r="D14" t="s">
        <v>72</v>
      </c>
      <c r="E14" t="s">
        <v>73</v>
      </c>
      <c r="F14" t="s">
        <v>74</v>
      </c>
    </row>
    <row r="15" spans="3:9" x14ac:dyDescent="0.25">
      <c r="C15" s="25" t="s">
        <v>75</v>
      </c>
      <c r="D15" s="26">
        <v>0.23</v>
      </c>
      <c r="E15" s="25">
        <v>250000</v>
      </c>
      <c r="F15" s="25">
        <f>E15</f>
        <v>250000</v>
      </c>
      <c r="H15" s="55"/>
      <c r="I15" s="55"/>
    </row>
    <row r="16" spans="3:9" x14ac:dyDescent="0.25">
      <c r="C16" s="25" t="s">
        <v>76</v>
      </c>
      <c r="D16" s="26">
        <v>0.22</v>
      </c>
      <c r="E16" s="25">
        <v>80000</v>
      </c>
      <c r="F16" s="25">
        <f t="shared" ref="F16:F21" si="0">E16+F15</f>
        <v>330000</v>
      </c>
    </row>
    <row r="17" spans="3:12" x14ac:dyDescent="0.25">
      <c r="C17" s="25" t="s">
        <v>77</v>
      </c>
      <c r="D17" s="26">
        <v>0.2</v>
      </c>
      <c r="E17" s="25">
        <v>120000</v>
      </c>
      <c r="F17" s="25">
        <f t="shared" si="0"/>
        <v>450000</v>
      </c>
      <c r="H17" t="s">
        <v>78</v>
      </c>
      <c r="I17" t="s">
        <v>79</v>
      </c>
      <c r="K17" s="55" t="s">
        <v>80</v>
      </c>
      <c r="L17" s="55"/>
    </row>
    <row r="18" spans="3:12" x14ac:dyDescent="0.25">
      <c r="C18" t="s">
        <v>81</v>
      </c>
      <c r="D18" s="23">
        <v>0.19</v>
      </c>
      <c r="E18">
        <v>200000</v>
      </c>
      <c r="F18">
        <f t="shared" si="0"/>
        <v>650000</v>
      </c>
      <c r="H18">
        <f>0</f>
        <v>0</v>
      </c>
      <c r="I18" s="23">
        <f>D15</f>
        <v>0.23</v>
      </c>
      <c r="K18" t="s">
        <v>78</v>
      </c>
      <c r="L18" t="s">
        <v>82</v>
      </c>
    </row>
    <row r="19" spans="3:12" x14ac:dyDescent="0.25">
      <c r="C19" t="s">
        <v>83</v>
      </c>
      <c r="D19" s="23">
        <v>0.18</v>
      </c>
      <c r="E19">
        <v>80000</v>
      </c>
      <c r="F19">
        <f t="shared" si="0"/>
        <v>730000</v>
      </c>
      <c r="H19">
        <f>F15</f>
        <v>250000</v>
      </c>
      <c r="I19" s="23">
        <f>I18</f>
        <v>0.23</v>
      </c>
      <c r="K19">
        <v>0</v>
      </c>
      <c r="L19" s="23">
        <v>0.15</v>
      </c>
    </row>
    <row r="20" spans="3:12" x14ac:dyDescent="0.25">
      <c r="C20" t="s">
        <v>84</v>
      </c>
      <c r="D20" s="23">
        <v>0.17</v>
      </c>
      <c r="E20">
        <v>500000</v>
      </c>
      <c r="F20">
        <f t="shared" si="0"/>
        <v>1230000</v>
      </c>
      <c r="H20">
        <f>H19</f>
        <v>250000</v>
      </c>
      <c r="I20" s="23">
        <f>D16</f>
        <v>0.22</v>
      </c>
      <c r="K20">
        <v>450000</v>
      </c>
      <c r="L20" s="23">
        <v>0.15</v>
      </c>
    </row>
    <row r="21" spans="3:12" x14ac:dyDescent="0.25">
      <c r="C21" t="s">
        <v>85</v>
      </c>
      <c r="D21" s="23">
        <v>0.16</v>
      </c>
      <c r="E21">
        <v>150000</v>
      </c>
      <c r="F21">
        <f t="shared" si="0"/>
        <v>1380000</v>
      </c>
      <c r="H21">
        <f>F16</f>
        <v>330000</v>
      </c>
      <c r="I21" s="23">
        <f>I20</f>
        <v>0.22</v>
      </c>
      <c r="K21">
        <v>450000</v>
      </c>
      <c r="L21" s="23">
        <v>0.15</v>
      </c>
    </row>
    <row r="22" spans="3:12" x14ac:dyDescent="0.25">
      <c r="H22">
        <f>H21</f>
        <v>330000</v>
      </c>
      <c r="I22" s="23">
        <f>D17</f>
        <v>0.2</v>
      </c>
      <c r="K22">
        <f>F21</f>
        <v>1380000</v>
      </c>
      <c r="L22" s="23">
        <v>0.15</v>
      </c>
    </row>
    <row r="23" spans="3:12" x14ac:dyDescent="0.25">
      <c r="H23">
        <f>F17</f>
        <v>450000</v>
      </c>
      <c r="I23" s="23">
        <f>I22</f>
        <v>0.2</v>
      </c>
    </row>
    <row r="24" spans="3:12" x14ac:dyDescent="0.25">
      <c r="H24">
        <f>H23</f>
        <v>450000</v>
      </c>
      <c r="I24" s="23">
        <f>D18</f>
        <v>0.19</v>
      </c>
    </row>
    <row r="25" spans="3:12" x14ac:dyDescent="0.25">
      <c r="H25">
        <f>F18</f>
        <v>650000</v>
      </c>
      <c r="I25" s="23">
        <f>I24</f>
        <v>0.19</v>
      </c>
    </row>
    <row r="26" spans="3:12" x14ac:dyDescent="0.25">
      <c r="H26">
        <f>H25</f>
        <v>650000</v>
      </c>
      <c r="I26" s="23">
        <f>D19</f>
        <v>0.18</v>
      </c>
    </row>
    <row r="27" spans="3:12" x14ac:dyDescent="0.25">
      <c r="H27">
        <f>F19</f>
        <v>730000</v>
      </c>
      <c r="I27" s="23">
        <f>I26</f>
        <v>0.18</v>
      </c>
    </row>
    <row r="28" spans="3:12" x14ac:dyDescent="0.25">
      <c r="H28">
        <f>H27</f>
        <v>730000</v>
      </c>
      <c r="I28" s="23">
        <f>D20</f>
        <v>0.17</v>
      </c>
    </row>
    <row r="29" spans="3:12" x14ac:dyDescent="0.25">
      <c r="H29">
        <f>F20</f>
        <v>1230000</v>
      </c>
      <c r="I29" s="23">
        <f>I28</f>
        <v>0.17</v>
      </c>
    </row>
    <row r="30" spans="3:12" x14ac:dyDescent="0.25">
      <c r="H30">
        <f>H29</f>
        <v>1230000</v>
      </c>
      <c r="I30" s="23">
        <f>D21</f>
        <v>0.16</v>
      </c>
    </row>
    <row r="31" spans="3:12" x14ac:dyDescent="0.25">
      <c r="H31">
        <f>F21</f>
        <v>1380000</v>
      </c>
      <c r="I31" s="23">
        <f>I30</f>
        <v>0.16</v>
      </c>
    </row>
    <row r="32" spans="3:12" x14ac:dyDescent="0.25">
      <c r="I32" s="23"/>
    </row>
  </sheetData>
  <sortState xmlns:xlrd2="http://schemas.microsoft.com/office/spreadsheetml/2017/richdata2" ref="C14:F21">
    <sortCondition descending="1" ref="D15:D21"/>
  </sortState>
  <mergeCells count="2">
    <mergeCell ref="H15:I15"/>
    <mergeCell ref="K17:L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2998-7889-4B88-9FBC-539A0A600FD7}">
  <dimension ref="G1:W45"/>
  <sheetViews>
    <sheetView topLeftCell="A54" workbookViewId="0">
      <selection activeCell="T78" sqref="T78"/>
    </sheetView>
  </sheetViews>
  <sheetFormatPr baseColWidth="10" defaultColWidth="9.140625" defaultRowHeight="15" x14ac:dyDescent="0.25"/>
  <cols>
    <col min="17" max="17" width="19.85546875" bestFit="1" customWidth="1"/>
    <col min="18" max="18" width="11.140625" customWidth="1"/>
    <col min="21" max="21" width="21.7109375" bestFit="1" customWidth="1"/>
    <col min="22" max="22" width="12" bestFit="1" customWidth="1"/>
  </cols>
  <sheetData>
    <row r="1" spans="17:23" x14ac:dyDescent="0.25">
      <c r="U1" s="27" t="s">
        <v>86</v>
      </c>
    </row>
    <row r="2" spans="17:23" x14ac:dyDescent="0.25">
      <c r="Q2" t="s">
        <v>87</v>
      </c>
      <c r="R2">
        <v>20</v>
      </c>
      <c r="U2" t="s">
        <v>88</v>
      </c>
      <c r="V2">
        <v>160000</v>
      </c>
    </row>
    <row r="3" spans="17:23" x14ac:dyDescent="0.25">
      <c r="Q3" t="s">
        <v>89</v>
      </c>
      <c r="R3">
        <v>50000</v>
      </c>
      <c r="S3" t="s">
        <v>90</v>
      </c>
    </row>
    <row r="4" spans="17:23" x14ac:dyDescent="0.25">
      <c r="Q4" t="s">
        <v>91</v>
      </c>
      <c r="R4">
        <v>12</v>
      </c>
    </row>
    <row r="5" spans="17:23" x14ac:dyDescent="0.25">
      <c r="Q5" t="s">
        <v>92</v>
      </c>
      <c r="R5">
        <v>50000</v>
      </c>
      <c r="U5" s="27" t="s">
        <v>93</v>
      </c>
    </row>
    <row r="6" spans="17:23" x14ac:dyDescent="0.25">
      <c r="Q6" t="s">
        <v>94</v>
      </c>
      <c r="R6">
        <v>66500</v>
      </c>
      <c r="S6" t="s">
        <v>90</v>
      </c>
      <c r="U6" t="s">
        <v>88</v>
      </c>
      <c r="V6">
        <v>80000</v>
      </c>
    </row>
    <row r="7" spans="17:23" x14ac:dyDescent="0.25">
      <c r="U7" t="s">
        <v>95</v>
      </c>
      <c r="V7">
        <v>2800000</v>
      </c>
    </row>
    <row r="8" spans="17:23" x14ac:dyDescent="0.25">
      <c r="U8" t="s">
        <v>96</v>
      </c>
      <c r="V8" s="23">
        <v>0.1</v>
      </c>
    </row>
    <row r="11" spans="17:23" x14ac:dyDescent="0.25">
      <c r="Q11" s="56" t="s">
        <v>97</v>
      </c>
      <c r="R11" s="56"/>
      <c r="S11" s="27"/>
      <c r="T11" s="27"/>
      <c r="U11" s="56" t="s">
        <v>98</v>
      </c>
      <c r="V11" s="56"/>
      <c r="W11" s="27"/>
    </row>
    <row r="12" spans="17:23" x14ac:dyDescent="0.25">
      <c r="Q12" t="s">
        <v>57</v>
      </c>
      <c r="R12">
        <f>20*50000</f>
        <v>1000000</v>
      </c>
      <c r="U12" t="s">
        <v>57</v>
      </c>
      <c r="V12">
        <f>20*50000</f>
        <v>1000000</v>
      </c>
    </row>
    <row r="13" spans="17:23" x14ac:dyDescent="0.25">
      <c r="Q13" t="s">
        <v>99</v>
      </c>
      <c r="R13">
        <f>R4*R3</f>
        <v>600000</v>
      </c>
      <c r="U13" t="s">
        <v>99</v>
      </c>
      <c r="V13">
        <f>$R$4*$R$3</f>
        <v>600000</v>
      </c>
    </row>
    <row r="14" spans="17:23" x14ac:dyDescent="0.25">
      <c r="Q14" t="s">
        <v>100</v>
      </c>
      <c r="R14">
        <f>R5</f>
        <v>50000</v>
      </c>
      <c r="U14" t="s">
        <v>100</v>
      </c>
      <c r="V14">
        <f>$R$5</f>
        <v>50000</v>
      </c>
    </row>
    <row r="15" spans="17:23" x14ac:dyDescent="0.25">
      <c r="Q15" s="28" t="s">
        <v>64</v>
      </c>
      <c r="R15" s="28">
        <f>R12-R13-R14</f>
        <v>350000</v>
      </c>
      <c r="S15" s="27" t="s">
        <v>101</v>
      </c>
      <c r="U15" t="s">
        <v>64</v>
      </c>
      <c r="V15">
        <f>V12-V13-V14</f>
        <v>350000</v>
      </c>
    </row>
    <row r="16" spans="17:23" x14ac:dyDescent="0.25">
      <c r="Q16" t="s">
        <v>102</v>
      </c>
      <c r="R16">
        <f>0</f>
        <v>0</v>
      </c>
      <c r="U16" t="s">
        <v>102</v>
      </c>
      <c r="V16">
        <f>$V$7*$V$8</f>
        <v>280000</v>
      </c>
    </row>
    <row r="17" spans="7:22" x14ac:dyDescent="0.25">
      <c r="Q17" t="s">
        <v>66</v>
      </c>
      <c r="R17">
        <f>R15</f>
        <v>350000</v>
      </c>
      <c r="U17" t="s">
        <v>66</v>
      </c>
      <c r="V17">
        <f>V15-V16</f>
        <v>70000</v>
      </c>
    </row>
    <row r="18" spans="7:22" x14ac:dyDescent="0.25">
      <c r="Q18" t="s">
        <v>103</v>
      </c>
      <c r="R18">
        <f>R17*0.25</f>
        <v>87500</v>
      </c>
      <c r="U18" t="s">
        <v>103</v>
      </c>
      <c r="V18">
        <f>V17*0.25</f>
        <v>17500</v>
      </c>
    </row>
    <row r="19" spans="7:22" x14ac:dyDescent="0.25">
      <c r="Q19" t="s">
        <v>68</v>
      </c>
      <c r="R19">
        <f>R17-R18</f>
        <v>262500</v>
      </c>
      <c r="U19" t="s">
        <v>68</v>
      </c>
      <c r="V19">
        <f>V17-V18</f>
        <v>52500</v>
      </c>
    </row>
    <row r="21" spans="7:22" x14ac:dyDescent="0.25">
      <c r="Q21" t="s">
        <v>104</v>
      </c>
      <c r="R21">
        <f>V2</f>
        <v>160000</v>
      </c>
      <c r="U21" t="s">
        <v>105</v>
      </c>
      <c r="V21">
        <f>V6</f>
        <v>80000</v>
      </c>
    </row>
    <row r="22" spans="7:22" x14ac:dyDescent="0.25">
      <c r="P22" s="29" t="s">
        <v>2</v>
      </c>
      <c r="Q22" s="28" t="s">
        <v>105</v>
      </c>
      <c r="R22" s="28">
        <f>R19/V2</f>
        <v>1.640625</v>
      </c>
      <c r="S22" s="27" t="s">
        <v>106</v>
      </c>
      <c r="T22" s="27"/>
      <c r="U22" s="27"/>
      <c r="V22" s="27">
        <f>V19/V21</f>
        <v>0.65625</v>
      </c>
    </row>
    <row r="23" spans="7:22" x14ac:dyDescent="0.25">
      <c r="Q23" s="28" t="s">
        <v>107</v>
      </c>
      <c r="R23" s="28">
        <f>R5/(R2-R4)</f>
        <v>6250</v>
      </c>
      <c r="S23" s="28" t="s">
        <v>108</v>
      </c>
    </row>
    <row r="24" spans="7:22" x14ac:dyDescent="0.25">
      <c r="Q24" s="56" t="s">
        <v>109</v>
      </c>
      <c r="R24" s="56"/>
      <c r="U24" s="56" t="s">
        <v>110</v>
      </c>
      <c r="V24" s="56"/>
    </row>
    <row r="25" spans="7:22" x14ac:dyDescent="0.25">
      <c r="Q25" t="s">
        <v>57</v>
      </c>
      <c r="R25">
        <f>R2*R6</f>
        <v>1330000</v>
      </c>
      <c r="U25" t="s">
        <v>57</v>
      </c>
      <c r="V25">
        <f>R2*R6</f>
        <v>1330000</v>
      </c>
    </row>
    <row r="26" spans="7:22" x14ac:dyDescent="0.25">
      <c r="Q26" t="s">
        <v>99</v>
      </c>
      <c r="R26">
        <f>R4*R6</f>
        <v>798000</v>
      </c>
      <c r="U26" t="s">
        <v>99</v>
      </c>
      <c r="V26">
        <f>R4*R6</f>
        <v>798000</v>
      </c>
    </row>
    <row r="27" spans="7:22" x14ac:dyDescent="0.25">
      <c r="H27" t="s">
        <v>111</v>
      </c>
      <c r="Q27" t="s">
        <v>100</v>
      </c>
      <c r="R27">
        <f>$R$5</f>
        <v>50000</v>
      </c>
      <c r="U27" t="s">
        <v>100</v>
      </c>
      <c r="V27">
        <f>R5</f>
        <v>50000</v>
      </c>
    </row>
    <row r="28" spans="7:22" x14ac:dyDescent="0.25">
      <c r="G28" s="27" t="s">
        <v>108</v>
      </c>
      <c r="Q28" t="s">
        <v>64</v>
      </c>
      <c r="R28">
        <f>R25-R26-R27</f>
        <v>482000</v>
      </c>
      <c r="U28" t="s">
        <v>64</v>
      </c>
      <c r="V28">
        <f>V25-V26-V27</f>
        <v>482000</v>
      </c>
    </row>
    <row r="29" spans="7:22" x14ac:dyDescent="0.25">
      <c r="Q29" t="s">
        <v>102</v>
      </c>
      <c r="U29" t="s">
        <v>102</v>
      </c>
      <c r="V29">
        <f>0.1*V7</f>
        <v>280000</v>
      </c>
    </row>
    <row r="30" spans="7:22" x14ac:dyDescent="0.25">
      <c r="Q30" t="s">
        <v>66</v>
      </c>
      <c r="R30">
        <f>R28-R29</f>
        <v>482000</v>
      </c>
      <c r="U30" t="s">
        <v>66</v>
      </c>
      <c r="V30">
        <f>V28-V29</f>
        <v>202000</v>
      </c>
    </row>
    <row r="31" spans="7:22" x14ac:dyDescent="0.25">
      <c r="Q31" t="s">
        <v>103</v>
      </c>
      <c r="R31">
        <f>R30*0.25</f>
        <v>120500</v>
      </c>
      <c r="U31" t="s">
        <v>103</v>
      </c>
      <c r="V31">
        <f>V30*0.25</f>
        <v>50500</v>
      </c>
    </row>
    <row r="32" spans="7:22" x14ac:dyDescent="0.25">
      <c r="Q32" t="s">
        <v>68</v>
      </c>
      <c r="R32">
        <f>R30-R31</f>
        <v>361500</v>
      </c>
      <c r="U32" t="s">
        <v>68</v>
      </c>
      <c r="V32">
        <f>V30-V31</f>
        <v>151500</v>
      </c>
    </row>
    <row r="34" spans="17:22" x14ac:dyDescent="0.25">
      <c r="Q34" t="s">
        <v>104</v>
      </c>
      <c r="U34" t="s">
        <v>104</v>
      </c>
      <c r="V34">
        <f>V6</f>
        <v>80000</v>
      </c>
    </row>
    <row r="35" spans="17:22" x14ac:dyDescent="0.25">
      <c r="Q35" s="27" t="s">
        <v>105</v>
      </c>
      <c r="R35" s="27">
        <f>R32/V2</f>
        <v>2.2593749999999999</v>
      </c>
      <c r="S35" s="27"/>
      <c r="T35" s="27"/>
      <c r="U35" s="27" t="s">
        <v>105</v>
      </c>
      <c r="V35" s="27">
        <f>V32/V34</f>
        <v>1.89375</v>
      </c>
    </row>
    <row r="36" spans="17:22" x14ac:dyDescent="0.25">
      <c r="Q36" t="s">
        <v>107</v>
      </c>
    </row>
    <row r="45" spans="17:22" x14ac:dyDescent="0.25">
      <c r="Q45" s="28">
        <f>(50000*8)/((50000*8)-50000-V29)</f>
        <v>5.7142857142857144</v>
      </c>
    </row>
  </sheetData>
  <mergeCells count="4">
    <mergeCell ref="Q11:R11"/>
    <mergeCell ref="U11:V11"/>
    <mergeCell ref="Q24:R24"/>
    <mergeCell ref="U24:V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6C8-EBC6-45FC-898D-D4E2AFF350B2}">
  <dimension ref="B1:L25"/>
  <sheetViews>
    <sheetView workbookViewId="0">
      <selection activeCell="H27" sqref="H27"/>
    </sheetView>
  </sheetViews>
  <sheetFormatPr baseColWidth="10" defaultColWidth="9.140625" defaultRowHeight="15" x14ac:dyDescent="0.25"/>
  <cols>
    <col min="11" max="11" width="27.140625" bestFit="1" customWidth="1"/>
    <col min="12" max="12" width="18.140625" bestFit="1" customWidth="1"/>
  </cols>
  <sheetData>
    <row r="1" spans="2:12" x14ac:dyDescent="0.25">
      <c r="K1" t="s">
        <v>112</v>
      </c>
      <c r="L1">
        <v>0.45</v>
      </c>
    </row>
    <row r="2" spans="2:12" x14ac:dyDescent="0.25">
      <c r="K2" t="s">
        <v>113</v>
      </c>
      <c r="L2">
        <v>875</v>
      </c>
    </row>
    <row r="3" spans="2:12" x14ac:dyDescent="0.25">
      <c r="K3" t="s">
        <v>114</v>
      </c>
      <c r="L3">
        <v>1553.45</v>
      </c>
    </row>
    <row r="4" spans="2:12" x14ac:dyDescent="0.25">
      <c r="K4" t="s">
        <v>57</v>
      </c>
      <c r="L4">
        <v>5780</v>
      </c>
    </row>
    <row r="5" spans="2:12" x14ac:dyDescent="0.25">
      <c r="K5" t="s">
        <v>115</v>
      </c>
      <c r="L5" s="31">
        <v>9.5000000000000001E-2</v>
      </c>
    </row>
    <row r="6" spans="2:12" x14ac:dyDescent="0.25">
      <c r="K6" t="s">
        <v>116</v>
      </c>
      <c r="L6" s="31">
        <v>0.185</v>
      </c>
    </row>
    <row r="7" spans="2:12" x14ac:dyDescent="0.25">
      <c r="K7" t="s">
        <v>117</v>
      </c>
      <c r="L7" t="s">
        <v>118</v>
      </c>
    </row>
    <row r="8" spans="2:12" x14ac:dyDescent="0.25">
      <c r="K8" t="s">
        <v>68</v>
      </c>
      <c r="L8">
        <f>L4*L5</f>
        <v>549.1</v>
      </c>
    </row>
    <row r="11" spans="2:12" x14ac:dyDescent="0.25">
      <c r="K11">
        <f>L3+L2</f>
        <v>2428.4499999999998</v>
      </c>
    </row>
    <row r="14" spans="2:12" x14ac:dyDescent="0.25">
      <c r="B14" t="s">
        <v>119</v>
      </c>
      <c r="K14" t="s">
        <v>120</v>
      </c>
    </row>
    <row r="15" spans="2:12" x14ac:dyDescent="0.25">
      <c r="K15" t="s">
        <v>121</v>
      </c>
    </row>
    <row r="16" spans="2:12" x14ac:dyDescent="0.25">
      <c r="K16">
        <f>(875+1553.45)/0.45</f>
        <v>5396.5555555555547</v>
      </c>
    </row>
    <row r="17" spans="2:12" x14ac:dyDescent="0.25">
      <c r="J17" t="s">
        <v>106</v>
      </c>
      <c r="K17" t="s">
        <v>122</v>
      </c>
      <c r="L17">
        <f>K16*45%</f>
        <v>2428.4499999999998</v>
      </c>
    </row>
    <row r="18" spans="2:12" x14ac:dyDescent="0.25">
      <c r="J18" t="s">
        <v>101</v>
      </c>
      <c r="K18" s="28" t="s">
        <v>123</v>
      </c>
      <c r="L18" s="28">
        <f>K16-(875+1553.45)</f>
        <v>2968.1055555555549</v>
      </c>
    </row>
    <row r="19" spans="2:12" x14ac:dyDescent="0.25">
      <c r="B19" t="s">
        <v>124</v>
      </c>
    </row>
    <row r="20" spans="2:12" x14ac:dyDescent="0.25">
      <c r="K20" s="27">
        <f>K11/0.45</f>
        <v>5396.5555555555547</v>
      </c>
      <c r="L20" t="s">
        <v>125</v>
      </c>
    </row>
    <row r="21" spans="2:12" x14ac:dyDescent="0.25">
      <c r="K21">
        <f>K20*0.45</f>
        <v>2428.4499999999998</v>
      </c>
      <c r="L21" t="s">
        <v>126</v>
      </c>
    </row>
    <row r="22" spans="2:12" x14ac:dyDescent="0.25">
      <c r="K22" t="s">
        <v>127</v>
      </c>
      <c r="L22">
        <f>(K16*55%)/875</f>
        <v>3.3921206349206345</v>
      </c>
    </row>
    <row r="24" spans="2:12" x14ac:dyDescent="0.25">
      <c r="K24" t="s">
        <v>128</v>
      </c>
      <c r="L24">
        <f>L8</f>
        <v>549.1</v>
      </c>
    </row>
    <row r="25" spans="2:12" x14ac:dyDescent="0.25">
      <c r="K25" s="30" t="s">
        <v>123</v>
      </c>
      <c r="L25" s="30">
        <f>L24/L6</f>
        <v>2968.1081081081084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83C-DBD5-46B4-9DDD-A720D4830F4F}">
  <dimension ref="A8:G18"/>
  <sheetViews>
    <sheetView workbookViewId="0">
      <selection activeCell="E35" sqref="E35"/>
    </sheetView>
  </sheetViews>
  <sheetFormatPr baseColWidth="10" defaultColWidth="9.140625" defaultRowHeight="15" x14ac:dyDescent="0.25"/>
  <cols>
    <col min="2" max="2" width="24.140625" customWidth="1"/>
  </cols>
  <sheetData>
    <row r="8" spans="1:7" x14ac:dyDescent="0.25">
      <c r="A8" t="s">
        <v>129</v>
      </c>
    </row>
    <row r="9" spans="1:7" x14ac:dyDescent="0.25">
      <c r="A9" t="s">
        <v>130</v>
      </c>
      <c r="C9" s="23">
        <v>0.15</v>
      </c>
    </row>
    <row r="10" spans="1:7" x14ac:dyDescent="0.25">
      <c r="A10" t="s">
        <v>131</v>
      </c>
      <c r="C10" s="35">
        <v>35</v>
      </c>
      <c r="D10" t="s">
        <v>132</v>
      </c>
    </row>
    <row r="11" spans="1:7" x14ac:dyDescent="0.25">
      <c r="A11" t="s">
        <v>133</v>
      </c>
      <c r="C11">
        <v>3</v>
      </c>
      <c r="D11" t="s">
        <v>134</v>
      </c>
    </row>
    <row r="13" spans="1:7" x14ac:dyDescent="0.25">
      <c r="A13" t="s">
        <v>135</v>
      </c>
    </row>
    <row r="15" spans="1:7" x14ac:dyDescent="0.25">
      <c r="A15" t="s">
        <v>136</v>
      </c>
      <c r="B15" s="35">
        <f>C9*C10</f>
        <v>5.25</v>
      </c>
      <c r="G15" s="32" t="s">
        <v>137</v>
      </c>
    </row>
    <row r="16" spans="1:7" x14ac:dyDescent="0.25">
      <c r="A16" t="s">
        <v>138</v>
      </c>
      <c r="B16" t="s">
        <v>139</v>
      </c>
      <c r="D16" s="35">
        <f>C10-C11</f>
        <v>32</v>
      </c>
      <c r="G16" s="33" t="s">
        <v>140</v>
      </c>
    </row>
    <row r="17" spans="2:7" x14ac:dyDescent="0.25">
      <c r="G17" s="34" t="s">
        <v>141</v>
      </c>
    </row>
    <row r="18" spans="2:7" x14ac:dyDescent="0.25">
      <c r="B18" s="28" t="s">
        <v>142</v>
      </c>
      <c r="C18" s="45">
        <f>B15/D16</f>
        <v>0.1640625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69D6-446B-42F9-BEA1-72744D907EB9}">
  <dimension ref="A3:L25"/>
  <sheetViews>
    <sheetView tabSelected="1" workbookViewId="0">
      <selection activeCell="P25" sqref="P25"/>
    </sheetView>
  </sheetViews>
  <sheetFormatPr baseColWidth="10" defaultColWidth="9.140625" defaultRowHeight="15" x14ac:dyDescent="0.25"/>
  <cols>
    <col min="1" max="1" width="17" bestFit="1" customWidth="1"/>
    <col min="2" max="2" width="9.140625" bestFit="1" customWidth="1"/>
    <col min="10" max="10" width="16.7109375" bestFit="1" customWidth="1"/>
  </cols>
  <sheetData>
    <row r="3" spans="1:9" x14ac:dyDescent="0.25">
      <c r="I3" s="23"/>
    </row>
    <row r="11" spans="1:9" x14ac:dyDescent="0.25">
      <c r="A11" s="46"/>
      <c r="B11" s="46"/>
      <c r="C11" s="46" t="s">
        <v>143</v>
      </c>
      <c r="D11" s="46"/>
      <c r="E11" s="46"/>
    </row>
    <row r="12" spans="1:9" x14ac:dyDescent="0.25">
      <c r="A12" s="46" t="s">
        <v>144</v>
      </c>
      <c r="B12" s="47">
        <v>8.2000000000000003E-2</v>
      </c>
      <c r="C12" s="47">
        <v>8.2000000000000003E-2</v>
      </c>
      <c r="D12" s="46"/>
      <c r="E12" s="46"/>
    </row>
    <row r="13" spans="1:9" x14ac:dyDescent="0.25">
      <c r="A13" s="46" t="s">
        <v>145</v>
      </c>
      <c r="B13" s="48">
        <v>0.11</v>
      </c>
      <c r="C13" s="48">
        <v>0.11</v>
      </c>
      <c r="D13" s="46"/>
      <c r="E13" s="46"/>
    </row>
    <row r="14" spans="1:9" x14ac:dyDescent="0.25">
      <c r="A14" s="46" t="s">
        <v>146</v>
      </c>
      <c r="B14" s="48">
        <v>0.25</v>
      </c>
      <c r="C14" s="48">
        <v>0.25</v>
      </c>
      <c r="D14" s="46"/>
      <c r="E14" s="46"/>
    </row>
    <row r="15" spans="1:9" x14ac:dyDescent="0.25">
      <c r="A15" s="46" t="s">
        <v>147</v>
      </c>
      <c r="B15" s="46">
        <v>0</v>
      </c>
      <c r="C15" s="48">
        <v>0.25</v>
      </c>
      <c r="D15" s="46"/>
      <c r="E15" s="46"/>
    </row>
    <row r="16" spans="1:9" x14ac:dyDescent="0.25">
      <c r="A16" s="46"/>
      <c r="B16" s="46"/>
      <c r="C16" s="46"/>
      <c r="D16" s="46"/>
      <c r="E16" s="46"/>
    </row>
    <row r="17" spans="1:12" x14ac:dyDescent="0.25">
      <c r="A17" s="46"/>
      <c r="B17" s="46" t="s">
        <v>148</v>
      </c>
      <c r="C17" s="46" t="s">
        <v>149</v>
      </c>
      <c r="D17" s="46"/>
      <c r="E17" s="46"/>
    </row>
    <row r="18" spans="1:12" x14ac:dyDescent="0.25">
      <c r="A18" s="46" t="s">
        <v>150</v>
      </c>
      <c r="B18" s="48">
        <v>1</v>
      </c>
      <c r="C18" s="49">
        <f>(11%-(C19*B19))/B18</f>
        <v>0.11</v>
      </c>
      <c r="D18" s="50" t="s">
        <v>84</v>
      </c>
      <c r="E18" s="46" t="s">
        <v>151</v>
      </c>
      <c r="L18" s="31"/>
    </row>
    <row r="19" spans="1:12" x14ac:dyDescent="0.25">
      <c r="A19" s="46" t="s">
        <v>95</v>
      </c>
      <c r="B19" s="51">
        <v>0</v>
      </c>
      <c r="C19" s="47">
        <v>8.2000000000000003E-2</v>
      </c>
      <c r="D19" s="46"/>
      <c r="E19" s="46"/>
    </row>
    <row r="20" spans="1:12" x14ac:dyDescent="0.25">
      <c r="A20" s="46"/>
      <c r="B20" s="48"/>
      <c r="C20" s="48"/>
      <c r="D20" s="46"/>
      <c r="E20" s="46"/>
    </row>
    <row r="21" spans="1:12" x14ac:dyDescent="0.25">
      <c r="A21" s="46"/>
      <c r="B21" s="46"/>
      <c r="C21" s="46"/>
      <c r="D21" s="46"/>
      <c r="E21" s="46"/>
    </row>
    <row r="22" spans="1:12" x14ac:dyDescent="0.25">
      <c r="A22" s="46"/>
      <c r="B22" s="46" t="s">
        <v>148</v>
      </c>
      <c r="C22" s="46" t="s">
        <v>149</v>
      </c>
      <c r="D22" s="46"/>
      <c r="E22" s="46"/>
    </row>
    <row r="23" spans="1:12" x14ac:dyDescent="0.25">
      <c r="A23" s="46" t="s">
        <v>150</v>
      </c>
      <c r="B23" s="51">
        <v>0.75</v>
      </c>
      <c r="C23" s="49">
        <f>(11%-(C24*B24*(1-0.25)))/B23</f>
        <v>0.12616666666666668</v>
      </c>
      <c r="D23" s="50" t="s">
        <v>83</v>
      </c>
      <c r="E23" s="46"/>
    </row>
    <row r="24" spans="1:12" x14ac:dyDescent="0.25">
      <c r="A24" s="46" t="s">
        <v>95</v>
      </c>
      <c r="B24" s="48">
        <v>0.25</v>
      </c>
      <c r="C24" s="47">
        <v>8.2000000000000003E-2</v>
      </c>
      <c r="D24" s="46"/>
      <c r="E24" s="46"/>
    </row>
    <row r="25" spans="1:12" x14ac:dyDescent="0.25">
      <c r="A25" s="46"/>
      <c r="B25" s="48"/>
      <c r="C25" s="48"/>
      <c r="D25" s="46"/>
      <c r="E25" s="4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3C1-DC07-481A-9A80-FD7C75D9BD03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7847-6267-440A-AC0D-0DB633FDC535}">
  <dimension ref="A14:C2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21" bestFit="1" customWidth="1"/>
  </cols>
  <sheetData>
    <row r="14" spans="1:2" x14ac:dyDescent="0.25">
      <c r="A14" t="s">
        <v>152</v>
      </c>
      <c r="B14">
        <v>365000</v>
      </c>
    </row>
    <row r="15" spans="1:2" x14ac:dyDescent="0.25">
      <c r="A15" t="s">
        <v>153</v>
      </c>
      <c r="B15">
        <v>0.85</v>
      </c>
    </row>
    <row r="16" spans="1:2" x14ac:dyDescent="0.25">
      <c r="A16" t="s">
        <v>154</v>
      </c>
      <c r="B16">
        <v>5.8</v>
      </c>
    </row>
    <row r="17" spans="1:3" x14ac:dyDescent="0.25">
      <c r="A17" t="s">
        <v>155</v>
      </c>
      <c r="B17">
        <v>1.4</v>
      </c>
    </row>
    <row r="21" spans="1:3" x14ac:dyDescent="0.25">
      <c r="A21" t="s">
        <v>156</v>
      </c>
      <c r="B21">
        <f>B14*B17</f>
        <v>510999.99999999994</v>
      </c>
    </row>
    <row r="23" spans="1:3" x14ac:dyDescent="0.25">
      <c r="A23" t="s">
        <v>157</v>
      </c>
      <c r="B23">
        <f>B21-(B15*B14)</f>
        <v>200749.99999999994</v>
      </c>
    </row>
    <row r="25" spans="1:3" x14ac:dyDescent="0.25">
      <c r="A25" s="28" t="s">
        <v>158</v>
      </c>
      <c r="B25" s="52">
        <f>365/B16</f>
        <v>62.931034482758619</v>
      </c>
      <c r="C25" s="28" t="s">
        <v>159</v>
      </c>
    </row>
    <row r="27" spans="1:3" x14ac:dyDescent="0.25">
      <c r="A27" s="28" t="s">
        <v>160</v>
      </c>
      <c r="B27" s="28">
        <f>B16*B23</f>
        <v>1164349.9999999995</v>
      </c>
      <c r="C27" s="28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Villatoro</cp:lastModifiedBy>
  <cp:revision/>
  <dcterms:created xsi:type="dcterms:W3CDTF">2022-05-11T22:47:24Z</dcterms:created>
  <dcterms:modified xsi:type="dcterms:W3CDTF">2022-05-13T17:24:59Z</dcterms:modified>
  <cp:category/>
  <cp:contentStatus/>
</cp:coreProperties>
</file>