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are\OneDrive\Desktop\"/>
    </mc:Choice>
  </mc:AlternateContent>
  <xr:revisionPtr revIDLastSave="0" documentId="8_{04EFF007-D753-4510-95A8-EB0F6B7183EE}" xr6:coauthVersionLast="47" xr6:coauthVersionMax="47" xr10:uidLastSave="{00000000-0000-0000-0000-000000000000}"/>
  <bookViews>
    <workbookView minimized="1" xWindow="32175" yWindow="3855" windowWidth="21600" windowHeight="11475" firstSheet="4" activeTab="9" xr2:uid="{00000000-000D-0000-FFFF-FFFF00000000}"/>
    <workbookView xWindow="-120" yWindow="360" windowWidth="29040" windowHeight="15960" activeTab="1" xr2:uid="{3D9BB515-0173-400E-AF18-7AE98C9903C5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9" r:id="rId8"/>
    <sheet name="Hoja9" sheetId="10" r:id="rId9"/>
    <sheet name="Hoja10" sheetId="11" r:id="rId10"/>
    <sheet name="Hoja11" sheetId="13" r:id="rId11"/>
    <sheet name="Hoja12" sheetId="15" r:id="rId12"/>
    <sheet name="Hoja13" sheetId="16" r:id="rId13"/>
    <sheet name="Razones" sheetId="12" r:id="rId14"/>
    <sheet name="Formulas Libro" sheetId="14" r:id="rId1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11" l="1"/>
  <c r="L32" i="13"/>
  <c r="I25" i="13"/>
  <c r="L30" i="13"/>
  <c r="L29" i="13"/>
  <c r="U23" i="13"/>
  <c r="C26" i="13"/>
  <c r="F22" i="11"/>
  <c r="C28" i="13"/>
  <c r="I20" i="13" s="1"/>
  <c r="U24" i="13" s="1"/>
  <c r="U25" i="13" s="1"/>
  <c r="U26" i="13" s="1"/>
  <c r="I24" i="13" s="1"/>
  <c r="F20" i="11"/>
  <c r="A23" i="11"/>
  <c r="B26" i="16"/>
  <c r="L18" i="5"/>
  <c r="L28" i="16"/>
  <c r="B30" i="16"/>
  <c r="B27" i="16"/>
  <c r="G15" i="16"/>
  <c r="L8" i="5"/>
  <c r="D25" i="15" l="1"/>
  <c r="D26" i="15" s="1"/>
  <c r="D27" i="15" s="1"/>
  <c r="D28" i="15" s="1"/>
  <c r="D29" i="15" s="1"/>
  <c r="D30" i="15" s="1"/>
  <c r="D37" i="11"/>
  <c r="D36" i="11"/>
  <c r="B27" i="11"/>
  <c r="B28" i="11"/>
  <c r="C34" i="11"/>
  <c r="C33" i="11"/>
  <c r="C32" i="11"/>
  <c r="G25" i="11"/>
  <c r="S40" i="2"/>
  <c r="D18" i="10"/>
  <c r="B20" i="10"/>
  <c r="B27" i="9"/>
  <c r="B25" i="9"/>
  <c r="B23" i="9"/>
  <c r="B21" i="9"/>
  <c r="C23" i="7"/>
  <c r="C18" i="7"/>
  <c r="B15" i="6"/>
  <c r="C18" i="6"/>
  <c r="D16" i="6"/>
  <c r="T26" i="2"/>
  <c r="U15" i="2"/>
  <c r="S31" i="2"/>
  <c r="U14" i="2"/>
  <c r="S25" i="2"/>
  <c r="L25" i="5"/>
  <c r="L24" i="5"/>
  <c r="K21" i="5"/>
  <c r="K16" i="5"/>
  <c r="L22" i="5"/>
  <c r="K20" i="5"/>
  <c r="L17" i="5"/>
  <c r="Q45" i="4"/>
  <c r="K11" i="5"/>
  <c r="R23" i="4"/>
  <c r="V35" i="4"/>
  <c r="V21" i="4"/>
  <c r="V34" i="4"/>
  <c r="R21" i="4"/>
  <c r="V32" i="4"/>
  <c r="V25" i="4"/>
  <c r="V29" i="4"/>
  <c r="R26" i="4"/>
  <c r="R25" i="4"/>
  <c r="V28" i="4"/>
  <c r="V30" i="4" s="1"/>
  <c r="V31" i="4" s="1"/>
  <c r="V27" i="4"/>
  <c r="V26" i="4"/>
  <c r="R27" i="4"/>
  <c r="R28" i="4"/>
  <c r="R30" i="4"/>
  <c r="R31" i="4"/>
  <c r="R32" i="4"/>
  <c r="R35" i="4" s="1"/>
  <c r="R22" i="4"/>
  <c r="V22" i="4"/>
  <c r="V13" i="4"/>
  <c r="V14" i="4"/>
  <c r="V16" i="4"/>
  <c r="V12" i="4"/>
  <c r="V15" i="4" s="1"/>
  <c r="V17" i="4" s="1"/>
  <c r="R16" i="4"/>
  <c r="R14" i="4"/>
  <c r="R13" i="4"/>
  <c r="R12" i="4"/>
  <c r="R15" i="4" s="1"/>
  <c r="R17" i="4" s="1"/>
  <c r="K22" i="3"/>
  <c r="I30" i="3"/>
  <c r="I28" i="3"/>
  <c r="I26" i="3"/>
  <c r="I24" i="3"/>
  <c r="I22" i="3"/>
  <c r="I20" i="3"/>
  <c r="I21" i="3"/>
  <c r="I23" i="3"/>
  <c r="I25" i="3"/>
  <c r="I27" i="3"/>
  <c r="I29" i="3"/>
  <c r="I31" i="3"/>
  <c r="I19" i="3"/>
  <c r="I18" i="3"/>
  <c r="H31" i="3"/>
  <c r="H29" i="3"/>
  <c r="H27" i="3"/>
  <c r="H25" i="3"/>
  <c r="H23" i="3"/>
  <c r="H21" i="3"/>
  <c r="H22" i="3"/>
  <c r="H24" i="3"/>
  <c r="H26" i="3"/>
  <c r="H28" i="3"/>
  <c r="H30" i="3"/>
  <c r="H20" i="3"/>
  <c r="H19" i="3"/>
  <c r="H18" i="3"/>
  <c r="F15" i="3"/>
  <c r="F16" i="3" s="1"/>
  <c r="F17" i="3" s="1"/>
  <c r="F18" i="3" s="1"/>
  <c r="F19" i="3" s="1"/>
  <c r="F20" i="3" s="1"/>
  <c r="F21" i="3" s="1"/>
  <c r="T21" i="2"/>
  <c r="U12" i="2"/>
  <c r="U13" i="2"/>
  <c r="M18" i="2"/>
  <c r="T20" i="2"/>
  <c r="V18" i="4" l="1"/>
  <c r="V19" i="4" s="1"/>
  <c r="R18" i="4"/>
  <c r="R19" i="4" s="1"/>
</calcChain>
</file>

<file path=xl/sharedStrings.xml><?xml version="1.0" encoding="utf-8"?>
<sst xmlns="http://schemas.openxmlformats.org/spreadsheetml/2006/main" count="674" uniqueCount="256">
  <si>
    <t>puto el que se mueva</t>
  </si>
  <si>
    <t>Nuevo equipo</t>
  </si>
  <si>
    <t>A)</t>
  </si>
  <si>
    <t>20% es depreciacion en legislacion Guatemalteca</t>
  </si>
  <si>
    <t>Equipo Viejo</t>
  </si>
  <si>
    <t>Depreciacion Anual</t>
  </si>
  <si>
    <t>Vender Equipo existente</t>
  </si>
  <si>
    <t>años transcurridos</t>
  </si>
  <si>
    <t>depreciación acumulada</t>
  </si>
  <si>
    <t>Valor en libros</t>
  </si>
  <si>
    <t>Sistema actual</t>
  </si>
  <si>
    <t>VALORE EN LIBROS = VALOR DE ADQUISICIPON DE LA MAQUINA ANTIGUA - DEPRECIACIÓN ACUMULADA</t>
  </si>
  <si>
    <t>B)</t>
  </si>
  <si>
    <t>Valor de venta</t>
  </si>
  <si>
    <t>(-) ISR</t>
  </si>
  <si>
    <t>Ingreso neto por la venta de maquina antigua</t>
  </si>
  <si>
    <t>Valor de vetna de maquina antigua</t>
  </si>
  <si>
    <t>(-) Valor en libros</t>
  </si>
  <si>
    <t>Ganancia en Venta del activo</t>
  </si>
  <si>
    <t>ISR(10%)</t>
  </si>
  <si>
    <t>Desembolso por compra de maquinaria nueva</t>
  </si>
  <si>
    <t>Aumento en el Capital de Trabajo</t>
  </si>
  <si>
    <t>Valor Inicial de inverision requerida (año 0)</t>
  </si>
  <si>
    <t>A continuación se presentan los Estados Financieros de la empresa Pelotas, S.A.</t>
  </si>
  <si>
    <t>BALANCE GENERAL</t>
  </si>
  <si>
    <t>PELOTAS, S.A.</t>
  </si>
  <si>
    <t>EXPRESADO EN QUETZALES</t>
  </si>
  <si>
    <t>ACTIVO</t>
  </si>
  <si>
    <t>AÑO 2020</t>
  </si>
  <si>
    <t>AÑO 2021</t>
  </si>
  <si>
    <t>CAMBIO</t>
  </si>
  <si>
    <t>Efectivo</t>
  </si>
  <si>
    <t>Cuentas por cobrar</t>
  </si>
  <si>
    <t>FNE POR ACTIVIDADES DED FINANCIAMIENTO</t>
  </si>
  <si>
    <t>Inventario</t>
  </si>
  <si>
    <t>Disminución/aumento en documentos por pagar</t>
  </si>
  <si>
    <t>Planta y Equipo Neto</t>
  </si>
  <si>
    <t>Aumento/dis en deuda a largo plazo</t>
  </si>
  <si>
    <t>ACTIVO TOTAL</t>
  </si>
  <si>
    <t>Pago de dividendos comunes</t>
  </si>
  <si>
    <t>Suma de FNE por actividades de financiamiento</t>
  </si>
  <si>
    <t>PASIVO</t>
  </si>
  <si>
    <t>Cuentas por Pagar</t>
  </si>
  <si>
    <t>Documentos por Pagar</t>
  </si>
  <si>
    <t>Otros pasivos corrientes</t>
  </si>
  <si>
    <t>FNE Financiero</t>
  </si>
  <si>
    <t>Deuda a largo Plazo</t>
  </si>
  <si>
    <t>Disminución en cuentas por pagar</t>
  </si>
  <si>
    <t>Capital Propio</t>
  </si>
  <si>
    <t>Aumento en deuda a largo plazo</t>
  </si>
  <si>
    <t>Utilidades retenidas</t>
  </si>
  <si>
    <t>PASIVO + CAPITAL</t>
  </si>
  <si>
    <t>FNE POR ACTIVIDADES DE INVERSIÓN</t>
  </si>
  <si>
    <t>ESTADO DE RESULTADOS</t>
  </si>
  <si>
    <t>Aumento Plana y Equipo ENto</t>
  </si>
  <si>
    <t>Suuma del FNE por actividades de inversióno</t>
  </si>
  <si>
    <t>Calculo del pago de dividendos (método indirecto cuando no lo dan)</t>
  </si>
  <si>
    <t>Ventas</t>
  </si>
  <si>
    <t>Utilidades del periodo - Cambio en la cuenta utilidades retenidas</t>
  </si>
  <si>
    <t>(-) Costo de Ventas</t>
  </si>
  <si>
    <t>Dividendos:</t>
  </si>
  <si>
    <t>Utilidad Bruta</t>
  </si>
  <si>
    <t>(-) Gastos de Operación</t>
  </si>
  <si>
    <t>Depreciación</t>
  </si>
  <si>
    <t>Utilidad Neta</t>
  </si>
  <si>
    <t>UAII</t>
  </si>
  <si>
    <t>(+) Depreciación del período</t>
  </si>
  <si>
    <t>(-) Gastos por Intereses</t>
  </si>
  <si>
    <t>Aumento/Disminición CxC</t>
  </si>
  <si>
    <t>UAI</t>
  </si>
  <si>
    <t>Aumento/Disminición Inventario</t>
  </si>
  <si>
    <t>(-) ISR (25%)</t>
  </si>
  <si>
    <t>Aumento/Disminición en CxP</t>
  </si>
  <si>
    <t>UN</t>
  </si>
  <si>
    <t>Aumento/Disminición otros pasicos????</t>
  </si>
  <si>
    <t xml:space="preserve">Presupuesto </t>
  </si>
  <si>
    <t>WACC</t>
  </si>
  <si>
    <t>Proyecto</t>
  </si>
  <si>
    <t>Tir</t>
  </si>
  <si>
    <t>Inversión inicial</t>
  </si>
  <si>
    <t>Inversión acumulado</t>
  </si>
  <si>
    <t>F</t>
  </si>
  <si>
    <t>E</t>
  </si>
  <si>
    <t>G</t>
  </si>
  <si>
    <t>X</t>
  </si>
  <si>
    <t>POI</t>
  </si>
  <si>
    <t>TMAR</t>
  </si>
  <si>
    <t>C</t>
  </si>
  <si>
    <t>Y</t>
  </si>
  <si>
    <t>B</t>
  </si>
  <si>
    <t>A</t>
  </si>
  <si>
    <t>D</t>
  </si>
  <si>
    <t>Plan A</t>
  </si>
  <si>
    <t>P</t>
  </si>
  <si>
    <t>Acciones en circulación</t>
  </si>
  <si>
    <t>Ventas capital</t>
  </si>
  <si>
    <t>Bolsitas</t>
  </si>
  <si>
    <t>CV</t>
  </si>
  <si>
    <t>(-) CF</t>
  </si>
  <si>
    <t>Plan B</t>
  </si>
  <si>
    <t>Ventas aledañas</t>
  </si>
  <si>
    <t>Deuda</t>
  </si>
  <si>
    <t xml:space="preserve">Interés </t>
  </si>
  <si>
    <t>PLAN 1 Capital</t>
  </si>
  <si>
    <t>PLAN 2 Capital</t>
  </si>
  <si>
    <t>(-) Costos Variables</t>
  </si>
  <si>
    <t>(-) Costo fijo</t>
  </si>
  <si>
    <t>b)</t>
  </si>
  <si>
    <t>(-) Intereses</t>
  </si>
  <si>
    <t>(-) Impuestos</t>
  </si>
  <si>
    <t>Cantidad de acciones</t>
  </si>
  <si>
    <t>UPA</t>
  </si>
  <si>
    <t>a)</t>
  </si>
  <si>
    <t>Punto de equilibrio</t>
  </si>
  <si>
    <t>c)</t>
  </si>
  <si>
    <t>PALN 1 - ALEDAÑOS</t>
  </si>
  <si>
    <t>PLAN 2 - ALEDAÑOS</t>
  </si>
  <si>
    <t>PUNTO DE EQUILIBRIO</t>
  </si>
  <si>
    <t>Razon de deuda a largo plazo</t>
  </si>
  <si>
    <t>Pasivos corrientes</t>
  </si>
  <si>
    <t>Pasivos no corrientes</t>
  </si>
  <si>
    <t>Margen de utilidad</t>
  </si>
  <si>
    <t>ROE</t>
  </si>
  <si>
    <t>Activos corrientes</t>
  </si>
  <si>
    <t>55% del activo</t>
  </si>
  <si>
    <t>Capital contable = pasivos - activos</t>
  </si>
  <si>
    <t>Razon deuda 0,45 = (Pasivos corrientes + Pasivos no corrientes) / Activo total</t>
  </si>
  <si>
    <t>0,45 = (875+1553,45)/activos totales</t>
  </si>
  <si>
    <t>Activos no corrientes</t>
  </si>
  <si>
    <t>Capital contable común</t>
  </si>
  <si>
    <t>CCC = ACCIONES COMUNES / ROE</t>
  </si>
  <si>
    <t xml:space="preserve"> Activo total</t>
  </si>
  <si>
    <t>Activo no corriente</t>
  </si>
  <si>
    <t>Razón corriente</t>
  </si>
  <si>
    <t>UDAC</t>
  </si>
  <si>
    <t>acciones preferentes</t>
  </si>
  <si>
    <t>Dividendo anual</t>
  </si>
  <si>
    <t>Valor a la par o valor de venta</t>
  </si>
  <si>
    <t>por acción</t>
  </si>
  <si>
    <t>Costso de flotación</t>
  </si>
  <si>
    <t>por accion</t>
  </si>
  <si>
    <t>Costos de acciones preferentes</t>
  </si>
  <si>
    <t>DP</t>
  </si>
  <si>
    <t>DP = Dividendo preferente por acción expresado en forma monetaria</t>
  </si>
  <si>
    <t>NP</t>
  </si>
  <si>
    <t>valor de la venta - costo flotacion</t>
  </si>
  <si>
    <t>Np = Beneficio neto de la acción preferente</t>
  </si>
  <si>
    <t>Dp = Tasa de interés * valor nominal de la acción</t>
  </si>
  <si>
    <t>DP/NP</t>
  </si>
  <si>
    <t>inciso b</t>
  </si>
  <si>
    <t>Interes</t>
  </si>
  <si>
    <t>CPP = WACC</t>
  </si>
  <si>
    <t>Impuesto</t>
  </si>
  <si>
    <t>deuda</t>
  </si>
  <si>
    <t>wi</t>
  </si>
  <si>
    <t>ki</t>
  </si>
  <si>
    <t>Capital accionario</t>
  </si>
  <si>
    <t>11% = wiki + wiki</t>
  </si>
  <si>
    <t>Pasivos Corrientes</t>
  </si>
  <si>
    <t>Prueba ácida</t>
  </si>
  <si>
    <t>Rotación de inventario</t>
  </si>
  <si>
    <t>Razón Corriente</t>
  </si>
  <si>
    <t>Activos Corrientes</t>
  </si>
  <si>
    <t>Inventarios</t>
  </si>
  <si>
    <t>PPI</t>
  </si>
  <si>
    <t>b</t>
  </si>
  <si>
    <t>Costo de ventas</t>
  </si>
  <si>
    <t>a</t>
  </si>
  <si>
    <t>Margen de UN</t>
  </si>
  <si>
    <t>dias</t>
  </si>
  <si>
    <t>Beneficio neto = utilidad neta</t>
  </si>
  <si>
    <t>Cuentas por Cobrar</t>
  </si>
  <si>
    <t>No es eficiente</t>
  </si>
  <si>
    <t>Ventas al crédito</t>
  </si>
  <si>
    <t>Inversion inicial</t>
  </si>
  <si>
    <t>tir</t>
  </si>
  <si>
    <t>Inversion Acumulada</t>
  </si>
  <si>
    <t>SE ACEPTAN YA QUE NO PASAN DEL PRESUPUESTO Y SUPERAN LA TMAR</t>
  </si>
  <si>
    <t> </t>
  </si>
  <si>
    <t>PROM. INDUSTRIA</t>
  </si>
  <si>
    <t>COMENTARIO</t>
  </si>
  <si>
    <t>RAZONES DE LIQUIDEZ</t>
  </si>
  <si>
    <t>Razón Circulante</t>
  </si>
  <si>
    <t>Activo Corriente</t>
  </si>
  <si>
    <t>4.2</t>
  </si>
  <si>
    <t>Pasivo Corriente</t>
  </si>
  <si>
    <t>Razón Rápida</t>
  </si>
  <si>
    <t>Activo Corriente - Inventarios</t>
  </si>
  <si>
    <t>2.1</t>
  </si>
  <si>
    <t>ADMINISTRACION DE ACTIVOS</t>
  </si>
  <si>
    <t>Rotación de Inventarios</t>
  </si>
  <si>
    <t>Costo de Ventas</t>
  </si>
  <si>
    <t>45.6</t>
  </si>
  <si>
    <t xml:space="preserve">Días de venta Pendientes de Cobro </t>
  </si>
  <si>
    <t>Ventas Anuales / 365</t>
  </si>
  <si>
    <t>Rotación de los Activos Fijos</t>
  </si>
  <si>
    <t>3.00</t>
  </si>
  <si>
    <t>Activos Fijos Netos</t>
  </si>
  <si>
    <t>Rotación de los activos Totales</t>
  </si>
  <si>
    <t>1.80</t>
  </si>
  <si>
    <t>Activos Totales</t>
  </si>
  <si>
    <t>ADMINISTRACIÓN DE DEUDAS</t>
  </si>
  <si>
    <t>Deuda Total</t>
  </si>
  <si>
    <t>40.00%</t>
  </si>
  <si>
    <t>Rotación de Intereses</t>
  </si>
  <si>
    <t>EBIT</t>
  </si>
  <si>
    <t>6.00</t>
  </si>
  <si>
    <t>Cargo por Intereses</t>
  </si>
  <si>
    <t>RENTABILIDAD</t>
  </si>
  <si>
    <t>Margen de Utilidad sobre Ventas</t>
  </si>
  <si>
    <t>Ingreso Neto para Acc. Comunes</t>
  </si>
  <si>
    <t>5.00%</t>
  </si>
  <si>
    <t>Generación Básica de Utilidades</t>
  </si>
  <si>
    <t>17.20%</t>
  </si>
  <si>
    <t>Rendimiento sobre Activos (ROA)</t>
  </si>
  <si>
    <t>9.00%</t>
  </si>
  <si>
    <t>Rendimiento sobre Capital Contable</t>
  </si>
  <si>
    <t>15.00%</t>
  </si>
  <si>
    <t>(ROE)</t>
  </si>
  <si>
    <t>Capital Contable Común</t>
  </si>
  <si>
    <t>Utilidades por acción (UPA)</t>
  </si>
  <si>
    <t>Número de Acciones</t>
  </si>
  <si>
    <t>Dividendos por acción (DPA)</t>
  </si>
  <si>
    <t>Dividendos Comunes</t>
  </si>
  <si>
    <t>VALOR DE MERCADO</t>
  </si>
  <si>
    <t>Precio/Utilidad   (P/E)</t>
  </si>
  <si>
    <t>Precio por Acción</t>
  </si>
  <si>
    <t>12.5</t>
  </si>
  <si>
    <t>Utilidades por Acción</t>
  </si>
  <si>
    <t>Valor de Mercado/Valor en</t>
  </si>
  <si>
    <t>Precio de Mercado por Acción</t>
  </si>
  <si>
    <t>1.7</t>
  </si>
  <si>
    <t>Libros</t>
  </si>
  <si>
    <t>Valor en Libros por Acción</t>
  </si>
  <si>
    <t>Razón de deuda a largo plazo</t>
  </si>
  <si>
    <t>Pasivos No Corrientes</t>
  </si>
  <si>
    <t>Margen de Utilidad</t>
  </si>
  <si>
    <t>Activos No corrientes:</t>
  </si>
  <si>
    <t xml:space="preserve">Activos corriente </t>
  </si>
  <si>
    <t>UN =</t>
  </si>
  <si>
    <t>(Razón de deuda)</t>
  </si>
  <si>
    <t>(Cobertura de intereses)</t>
  </si>
  <si>
    <t>(Margen Neto)</t>
  </si>
  <si>
    <t>(Período promedio del inventario)</t>
  </si>
  <si>
    <t>(PPC= Período promedio de cobro)</t>
  </si>
  <si>
    <t>Relació precio/ganancia</t>
  </si>
  <si>
    <t xml:space="preserve">Activos totales = (Pasivos corrientes + pasivos no corrientes) / Razon de deuda </t>
  </si>
  <si>
    <t>Capital comun = activos totales - pasivos totales</t>
  </si>
  <si>
    <t>Compra nuevo</t>
  </si>
  <si>
    <t>no hay cambio en capital de trabajo</t>
  </si>
  <si>
    <t>Costo de equipo Viejo</t>
  </si>
  <si>
    <t>a) Valor en libros =</t>
  </si>
  <si>
    <t>Costo de venta de equipo viejo</t>
  </si>
  <si>
    <t>b) Beneficios después de Impuestos de su venta en Q200,000 (ganancia neta en venta)</t>
  </si>
  <si>
    <t>Valor en venta =</t>
  </si>
  <si>
    <t>c) Valor de la inversión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</si>
</sst>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Q-100A]* #,##0.00_-;\-[$Q-100A]* #,##0.00_-;_-[$Q-100A]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b/>
      <sz val="11"/>
      <color theme="1"/>
      <name val="Calibri"/>
      <charset val="1"/>
    </font>
    <font>
      <sz val="12"/>
      <color rgb="FF526069"/>
      <name val="Arial"/>
      <charset val="1"/>
    </font>
    <font>
      <b/>
      <sz val="11"/>
      <color rgb="FF0070C0"/>
      <name val="Calibri"/>
      <family val="2"/>
    </font>
    <font>
      <sz val="11"/>
      <color rgb="FF0070C0"/>
      <name val="Calibri"/>
      <family val="2"/>
    </font>
    <font>
      <b/>
      <i/>
      <sz val="11"/>
      <color rgb="FF0070C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</font>
    <font>
      <sz val="11"/>
      <color rgb="FF000000"/>
      <name val="Calibri"/>
    </font>
    <font>
      <sz val="11"/>
      <color rgb="FF0070C0"/>
      <name val="Calibri"/>
    </font>
    <font>
      <b/>
      <i/>
      <sz val="11"/>
      <color rgb="FF0070C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entury Gothic"/>
    </font>
    <font>
      <b/>
      <sz val="11"/>
      <color rgb="FF000000"/>
      <name val="Century Gothic"/>
    </font>
    <font>
      <i/>
      <sz val="11"/>
      <color rgb="FFFF0000"/>
      <name val="Century Gothic"/>
      <family val="2"/>
    </font>
    <font>
      <sz val="11"/>
      <color rgb="FF000000"/>
      <name val="Calibri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0" xfId="0" applyFont="1" applyAlignment="1">
      <alignment readingOrder="1"/>
    </xf>
    <xf numFmtId="0" fontId="2" fillId="2" borderId="0" xfId="0" applyFont="1" applyFill="1" applyAlignment="1">
      <alignment readingOrder="1"/>
    </xf>
    <xf numFmtId="0" fontId="2" fillId="0" borderId="0" xfId="0" applyFont="1" applyAlignment="1">
      <alignment readingOrder="1"/>
    </xf>
    <xf numFmtId="0" fontId="1" fillId="2" borderId="0" xfId="0" applyFont="1" applyFill="1" applyAlignment="1">
      <alignment readingOrder="1"/>
    </xf>
    <xf numFmtId="0" fontId="3" fillId="0" borderId="1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0" fontId="3" fillId="0" borderId="5" xfId="0" applyFont="1" applyBorder="1" applyAlignment="1">
      <alignment readingOrder="1"/>
    </xf>
    <xf numFmtId="4" fontId="3" fillId="0" borderId="5" xfId="0" applyNumberFormat="1" applyFont="1" applyBorder="1" applyAlignment="1">
      <alignment readingOrder="1"/>
    </xf>
    <xf numFmtId="4" fontId="1" fillId="0" borderId="5" xfId="0" applyNumberFormat="1" applyFont="1" applyBorder="1" applyAlignment="1">
      <alignment readingOrder="1"/>
    </xf>
    <xf numFmtId="0" fontId="3" fillId="0" borderId="7" xfId="0" applyFont="1" applyBorder="1" applyAlignment="1">
      <alignment readingOrder="1"/>
    </xf>
    <xf numFmtId="0" fontId="3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9" fontId="0" fillId="0" borderId="0" xfId="0" applyNumberFormat="1"/>
    <xf numFmtId="4" fontId="7" fillId="2" borderId="0" xfId="0" applyNumberFormat="1" applyFont="1" applyFill="1"/>
    <xf numFmtId="0" fontId="0" fillId="3" borderId="0" xfId="0" applyFill="1"/>
    <xf numFmtId="9" fontId="0" fillId="3" borderId="0" xfId="0" applyNumberFormat="1" applyFill="1"/>
    <xf numFmtId="0" fontId="7" fillId="0" borderId="0" xfId="0" applyFont="1"/>
    <xf numFmtId="0" fontId="7" fillId="2" borderId="0" xfId="0" applyFont="1" applyFill="1"/>
    <xf numFmtId="0" fontId="0" fillId="0" borderId="0" xfId="0" applyAlignment="1">
      <alignment horizontal="right"/>
    </xf>
    <xf numFmtId="0" fontId="0" fillId="2" borderId="0" xfId="0" applyFill="1"/>
    <xf numFmtId="10" fontId="0" fillId="0" borderId="0" xfId="0" applyNumberFormat="1"/>
    <xf numFmtId="0" fontId="1" fillId="0" borderId="12" xfId="0" applyFont="1" applyBorder="1" applyAlignment="1">
      <alignment readingOrder="1"/>
    </xf>
    <xf numFmtId="0" fontId="1" fillId="0" borderId="13" xfId="0" applyFont="1" applyBorder="1" applyAlignment="1">
      <alignment readingOrder="1"/>
    </xf>
    <xf numFmtId="0" fontId="1" fillId="0" borderId="14" xfId="0" applyFont="1" applyBorder="1" applyAlignment="1">
      <alignment readingOrder="1"/>
    </xf>
    <xf numFmtId="2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4" fontId="10" fillId="0" borderId="15" xfId="0" applyNumberFormat="1" applyFont="1" applyBorder="1"/>
    <xf numFmtId="4" fontId="11" fillId="0" borderId="0" xfId="0" applyNumberFormat="1" applyFont="1"/>
    <xf numFmtId="0" fontId="12" fillId="0" borderId="0" xfId="0" applyFont="1"/>
    <xf numFmtId="0" fontId="13" fillId="0" borderId="0" xfId="0" applyFont="1"/>
    <xf numFmtId="4" fontId="13" fillId="0" borderId="0" xfId="0" applyNumberFormat="1" applyFont="1"/>
    <xf numFmtId="10" fontId="7" fillId="2" borderId="0" xfId="0" applyNumberFormat="1" applyFont="1" applyFill="1"/>
    <xf numFmtId="10" fontId="1" fillId="0" borderId="0" xfId="0" applyNumberFormat="1" applyFont="1" applyAlignment="1">
      <alignment readingOrder="1"/>
    </xf>
    <xf numFmtId="9" fontId="1" fillId="0" borderId="0" xfId="0" applyNumberFormat="1" applyFont="1" applyAlignment="1">
      <alignment readingOrder="1"/>
    </xf>
    <xf numFmtId="10" fontId="1" fillId="2" borderId="0" xfId="0" applyNumberFormat="1" applyFont="1" applyFill="1" applyAlignment="1">
      <alignment readingOrder="1"/>
    </xf>
    <xf numFmtId="9" fontId="2" fillId="0" borderId="0" xfId="0" applyNumberFormat="1" applyFont="1" applyAlignment="1">
      <alignment readingOrder="1"/>
    </xf>
    <xf numFmtId="1" fontId="7" fillId="2" borderId="0" xfId="0" applyNumberFormat="1" applyFont="1" applyFill="1"/>
    <xf numFmtId="0" fontId="1" fillId="0" borderId="1" xfId="0" applyFont="1" applyBorder="1" applyAlignment="1">
      <alignment readingOrder="1"/>
    </xf>
    <xf numFmtId="9" fontId="1" fillId="0" borderId="6" xfId="0" applyNumberFormat="1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2" fillId="2" borderId="1" xfId="0" applyFont="1" applyFill="1" applyBorder="1" applyAlignment="1">
      <alignment readingOrder="1"/>
    </xf>
    <xf numFmtId="0" fontId="2" fillId="2" borderId="3" xfId="0" applyFont="1" applyFill="1" applyBorder="1" applyAlignment="1">
      <alignment readingOrder="1"/>
    </xf>
    <xf numFmtId="0" fontId="1" fillId="0" borderId="18" xfId="0" applyFont="1" applyBorder="1" applyAlignment="1">
      <alignment readingOrder="1"/>
    </xf>
    <xf numFmtId="0" fontId="1" fillId="0" borderId="19" xfId="0" applyFont="1" applyBorder="1" applyAlignment="1">
      <alignment readingOrder="1"/>
    </xf>
    <xf numFmtId="4" fontId="1" fillId="0" borderId="2" xfId="0" applyNumberFormat="1" applyFont="1" applyBorder="1" applyAlignment="1">
      <alignment readingOrder="1"/>
    </xf>
    <xf numFmtId="4" fontId="2" fillId="2" borderId="9" xfId="0" applyNumberFormat="1" applyFont="1" applyFill="1" applyBorder="1" applyAlignment="1">
      <alignment readingOrder="1"/>
    </xf>
    <xf numFmtId="0" fontId="14" fillId="4" borderId="0" xfId="0" applyFont="1" applyFill="1"/>
    <xf numFmtId="0" fontId="15" fillId="5" borderId="20" xfId="0" applyFont="1" applyFill="1" applyBorder="1"/>
    <xf numFmtId="0" fontId="15" fillId="5" borderId="21" xfId="0" applyFont="1" applyFill="1" applyBorder="1"/>
    <xf numFmtId="0" fontId="15" fillId="5" borderId="21" xfId="0" applyFont="1" applyFill="1" applyBorder="1" applyAlignment="1">
      <alignment wrapText="1"/>
    </xf>
    <xf numFmtId="0" fontId="15" fillId="5" borderId="22" xfId="0" applyFont="1" applyFill="1" applyBorder="1"/>
    <xf numFmtId="0" fontId="15" fillId="6" borderId="23" xfId="0" applyFont="1" applyFill="1" applyBorder="1"/>
    <xf numFmtId="0" fontId="14" fillId="6" borderId="24" xfId="0" applyFont="1" applyFill="1" applyBorder="1"/>
    <xf numFmtId="0" fontId="15" fillId="6" borderId="24" xfId="0" applyFont="1" applyFill="1" applyBorder="1"/>
    <xf numFmtId="0" fontId="15" fillId="6" borderId="24" xfId="0" applyFont="1" applyFill="1" applyBorder="1" applyAlignment="1">
      <alignment wrapText="1"/>
    </xf>
    <xf numFmtId="0" fontId="15" fillId="6" borderId="22" xfId="0" applyFont="1" applyFill="1" applyBorder="1"/>
    <xf numFmtId="0" fontId="14" fillId="4" borderId="25" xfId="0" applyFont="1" applyFill="1" applyBorder="1"/>
    <xf numFmtId="0" fontId="14" fillId="4" borderId="15" xfId="0" applyFont="1" applyFill="1" applyBorder="1"/>
    <xf numFmtId="0" fontId="14" fillId="4" borderId="26" xfId="0" applyFont="1" applyFill="1" applyBorder="1"/>
    <xf numFmtId="0" fontId="14" fillId="4" borderId="27" xfId="0" applyFont="1" applyFill="1" applyBorder="1"/>
    <xf numFmtId="0" fontId="14" fillId="4" borderId="28" xfId="0" applyFont="1" applyFill="1" applyBorder="1"/>
    <xf numFmtId="0" fontId="14" fillId="4" borderId="29" xfId="0" applyFont="1" applyFill="1" applyBorder="1"/>
    <xf numFmtId="0" fontId="15" fillId="7" borderId="23" xfId="0" applyFont="1" applyFill="1" applyBorder="1"/>
    <xf numFmtId="0" fontId="14" fillId="7" borderId="24" xfId="0" applyFont="1" applyFill="1" applyBorder="1"/>
    <xf numFmtId="0" fontId="14" fillId="7" borderId="22" xfId="0" applyFont="1" applyFill="1" applyBorder="1"/>
    <xf numFmtId="0" fontId="15" fillId="8" borderId="23" xfId="0" applyFont="1" applyFill="1" applyBorder="1"/>
    <xf numFmtId="0" fontId="14" fillId="8" borderId="24" xfId="0" applyFont="1" applyFill="1" applyBorder="1"/>
    <xf numFmtId="0" fontId="14" fillId="8" borderId="22" xfId="0" applyFont="1" applyFill="1" applyBorder="1"/>
    <xf numFmtId="0" fontId="15" fillId="4" borderId="25" xfId="0" applyFont="1" applyFill="1" applyBorder="1"/>
    <xf numFmtId="0" fontId="15" fillId="9" borderId="23" xfId="0" applyFont="1" applyFill="1" applyBorder="1"/>
    <xf numFmtId="0" fontId="14" fillId="9" borderId="24" xfId="0" applyFont="1" applyFill="1" applyBorder="1"/>
    <xf numFmtId="0" fontId="14" fillId="9" borderId="22" xfId="0" applyFont="1" applyFill="1" applyBorder="1"/>
    <xf numFmtId="0" fontId="9" fillId="4" borderId="25" xfId="0" applyFont="1" applyFill="1" applyBorder="1"/>
    <xf numFmtId="0" fontId="9" fillId="4" borderId="0" xfId="0" applyFont="1" applyFill="1"/>
    <xf numFmtId="0" fontId="9" fillId="4" borderId="26" xfId="0" applyFont="1" applyFill="1" applyBorder="1"/>
    <xf numFmtId="0" fontId="9" fillId="4" borderId="27" xfId="0" applyFont="1" applyFill="1" applyBorder="1"/>
    <xf numFmtId="0" fontId="9" fillId="4" borderId="28" xfId="0" applyFont="1" applyFill="1" applyBorder="1"/>
    <xf numFmtId="0" fontId="9" fillId="4" borderId="29" xfId="0" applyFont="1" applyFill="1" applyBorder="1"/>
    <xf numFmtId="0" fontId="15" fillId="10" borderId="23" xfId="0" applyFont="1" applyFill="1" applyBorder="1"/>
    <xf numFmtId="0" fontId="14" fillId="10" borderId="24" xfId="0" applyFont="1" applyFill="1" applyBorder="1"/>
    <xf numFmtId="0" fontId="14" fillId="10" borderId="22" xfId="0" applyFont="1" applyFill="1" applyBorder="1"/>
    <xf numFmtId="0" fontId="14" fillId="0" borderId="0" xfId="0" applyFont="1"/>
    <xf numFmtId="0" fontId="1" fillId="0" borderId="0" xfId="0" applyFont="1" applyBorder="1" applyAlignment="1">
      <alignment readingOrder="1"/>
    </xf>
    <xf numFmtId="0" fontId="2" fillId="2" borderId="0" xfId="0" applyFont="1" applyFill="1" applyBorder="1" applyAlignment="1">
      <alignment readingOrder="1"/>
    </xf>
    <xf numFmtId="0" fontId="2" fillId="0" borderId="0" xfId="0" applyFont="1" applyBorder="1" applyAlignment="1">
      <alignment readingOrder="1"/>
    </xf>
    <xf numFmtId="0" fontId="1" fillId="2" borderId="0" xfId="0" applyFont="1" applyFill="1" applyBorder="1" applyAlignment="1">
      <alignment readingOrder="1"/>
    </xf>
    <xf numFmtId="0" fontId="1" fillId="11" borderId="0" xfId="0" applyFont="1" applyFill="1" applyBorder="1" applyAlignment="1">
      <alignment readingOrder="1"/>
    </xf>
    <xf numFmtId="9" fontId="1" fillId="11" borderId="0" xfId="0" applyNumberFormat="1" applyFont="1" applyFill="1" applyBorder="1" applyAlignment="1">
      <alignment readingOrder="1"/>
    </xf>
    <xf numFmtId="0" fontId="1" fillId="13" borderId="0" xfId="0" applyFont="1" applyFill="1" applyBorder="1" applyAlignment="1">
      <alignment readingOrder="1"/>
    </xf>
    <xf numFmtId="9" fontId="1" fillId="13" borderId="0" xfId="0" applyNumberFormat="1" applyFont="1" applyFill="1" applyBorder="1" applyAlignment="1">
      <alignment readingOrder="1"/>
    </xf>
    <xf numFmtId="0" fontId="1" fillId="12" borderId="0" xfId="0" applyFont="1" applyFill="1" applyBorder="1" applyAlignment="1">
      <alignment readingOrder="1"/>
    </xf>
    <xf numFmtId="9" fontId="1" fillId="0" borderId="0" xfId="0" applyNumberFormat="1" applyFont="1" applyBorder="1" applyAlignment="1">
      <alignment readingOrder="1"/>
    </xf>
    <xf numFmtId="0" fontId="3" fillId="0" borderId="10" xfId="0" applyFont="1" applyBorder="1" applyAlignment="1">
      <alignment readingOrder="1"/>
    </xf>
    <xf numFmtId="0" fontId="3" fillId="0" borderId="11" xfId="0" applyFont="1" applyBorder="1" applyAlignment="1">
      <alignment readingOrder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" fillId="2" borderId="16" xfId="0" applyFont="1" applyFill="1" applyBorder="1" applyAlignment="1">
      <alignment readingOrder="1"/>
    </xf>
    <xf numFmtId="0" fontId="2" fillId="2" borderId="17" xfId="0" applyFont="1" applyFill="1" applyBorder="1" applyAlignment="1">
      <alignment readingOrder="1"/>
    </xf>
    <xf numFmtId="0" fontId="1" fillId="12" borderId="0" xfId="0" applyFont="1" applyFill="1" applyBorder="1" applyAlignment="1">
      <alignment wrapText="1" readingOrder="1"/>
    </xf>
    <xf numFmtId="0" fontId="16" fillId="14" borderId="25" xfId="0" applyFont="1" applyFill="1" applyBorder="1"/>
    <xf numFmtId="164" fontId="0" fillId="0" borderId="0" xfId="0" applyNumberFormat="1"/>
    <xf numFmtId="164" fontId="7" fillId="2" borderId="0" xfId="0" applyNumberFormat="1" applyFont="1" applyFill="1"/>
    <xf numFmtId="0" fontId="17" fillId="0" borderId="0" xfId="0" applyFont="1" applyAlignment="1">
      <alignment readingOrder="1"/>
    </xf>
    <xf numFmtId="0" fontId="0" fillId="0" borderId="3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Hoja12!$E$34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Hoja12!$E$35:$E$46</c:f>
              <c:numCache>
                <c:formatCode>General</c:formatCode>
                <c:ptCount val="12"/>
                <c:pt idx="0">
                  <c:v>0</c:v>
                </c:pt>
                <c:pt idx="1">
                  <c:v>70000</c:v>
                </c:pt>
                <c:pt idx="2">
                  <c:v>70000</c:v>
                </c:pt>
                <c:pt idx="3">
                  <c:v>170000</c:v>
                </c:pt>
                <c:pt idx="4">
                  <c:v>170000</c:v>
                </c:pt>
                <c:pt idx="5">
                  <c:v>230000</c:v>
                </c:pt>
                <c:pt idx="6">
                  <c:v>230000</c:v>
                </c:pt>
                <c:pt idx="7">
                  <c:v>310000</c:v>
                </c:pt>
                <c:pt idx="8">
                  <c:v>310000</c:v>
                </c:pt>
                <c:pt idx="9">
                  <c:v>420000</c:v>
                </c:pt>
                <c:pt idx="10">
                  <c:v>420000</c:v>
                </c:pt>
                <c:pt idx="11">
                  <c:v>460000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5-46F7-8610-9C70C7C5C3AA}"/>
            </c:ext>
          </c:extLst>
        </c:ser>
        <c:ser>
          <c:idx val="1"/>
          <c:order val="1"/>
          <c:tx>
            <c:strRef>
              <c:f>Hoja12!$F$34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Hoja12!$F$35:$F$46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5-46F7-8610-9C70C7C5C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485176"/>
        <c:axId val="1903169159"/>
      </c:lineChart>
      <c:catAx>
        <c:axId val="1157485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03169159"/>
        <c:crosses val="autoZero"/>
        <c:auto val="1"/>
        <c:lblAlgn val="ctr"/>
        <c:lblOffset val="100"/>
        <c:noMultiLvlLbl val="0"/>
      </c:catAx>
      <c:valAx>
        <c:axId val="1903169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57485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Hoja12!$B$35:$B$46</c:f>
              <c:numCache>
                <c:formatCode>General</c:formatCode>
                <c:ptCount val="12"/>
                <c:pt idx="0">
                  <c:v>0</c:v>
                </c:pt>
                <c:pt idx="1">
                  <c:v>70000</c:v>
                </c:pt>
                <c:pt idx="2">
                  <c:v>70000</c:v>
                </c:pt>
                <c:pt idx="3">
                  <c:v>170000</c:v>
                </c:pt>
                <c:pt idx="4">
                  <c:v>170000</c:v>
                </c:pt>
                <c:pt idx="5">
                  <c:v>230000</c:v>
                </c:pt>
                <c:pt idx="6">
                  <c:v>230000</c:v>
                </c:pt>
                <c:pt idx="7">
                  <c:v>310000</c:v>
                </c:pt>
                <c:pt idx="8">
                  <c:v>310000</c:v>
                </c:pt>
                <c:pt idx="9">
                  <c:v>420000</c:v>
                </c:pt>
                <c:pt idx="10">
                  <c:v>420000</c:v>
                </c:pt>
                <c:pt idx="11">
                  <c:v>460000</c:v>
                </c:pt>
              </c:numCache>
            </c:numRef>
          </c:xVal>
          <c:yVal>
            <c:numRef>
              <c:f>Hoja12!$C$35:$C$46</c:f>
              <c:numCache>
                <c:formatCode>0%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0.16</c:v>
                </c:pt>
                <c:pt idx="3">
                  <c:v>0.16</c:v>
                </c:pt>
                <c:pt idx="4">
                  <c:v>0.15</c:v>
                </c:pt>
                <c:pt idx="5">
                  <c:v>0.15</c:v>
                </c:pt>
                <c:pt idx="6">
                  <c:v>0.12</c:v>
                </c:pt>
                <c:pt idx="7">
                  <c:v>0.12</c:v>
                </c:pt>
                <c:pt idx="8">
                  <c:v>0.11</c:v>
                </c:pt>
                <c:pt idx="9">
                  <c:v>0.11</c:v>
                </c:pt>
                <c:pt idx="10">
                  <c:v>0.08</c:v>
                </c:pt>
                <c:pt idx="1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021-4AC1-B20F-61782D8F442F}"/>
            </c:ext>
          </c:extLst>
        </c:ser>
        <c:ser>
          <c:idx val="1"/>
          <c:order val="1"/>
          <c:tx>
            <c:strRef>
              <c:f>Hoja12!$E$33</c:f>
              <c:strCache>
                <c:ptCount val="1"/>
                <c:pt idx="0">
                  <c:v>TMAR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Hoja12!$E$35:$E$46</c:f>
              <c:numCache>
                <c:formatCode>General</c:formatCode>
                <c:ptCount val="12"/>
                <c:pt idx="0">
                  <c:v>0</c:v>
                </c:pt>
                <c:pt idx="1">
                  <c:v>70000</c:v>
                </c:pt>
                <c:pt idx="2">
                  <c:v>70000</c:v>
                </c:pt>
                <c:pt idx="3">
                  <c:v>170000</c:v>
                </c:pt>
                <c:pt idx="4">
                  <c:v>170000</c:v>
                </c:pt>
                <c:pt idx="5">
                  <c:v>230000</c:v>
                </c:pt>
                <c:pt idx="6">
                  <c:v>230000</c:v>
                </c:pt>
                <c:pt idx="7">
                  <c:v>310000</c:v>
                </c:pt>
                <c:pt idx="8">
                  <c:v>310000</c:v>
                </c:pt>
                <c:pt idx="9">
                  <c:v>420000</c:v>
                </c:pt>
                <c:pt idx="10">
                  <c:v>420000</c:v>
                </c:pt>
                <c:pt idx="11">
                  <c:v>460000</c:v>
                </c:pt>
              </c:numCache>
            </c:numRef>
          </c:xVal>
          <c:yVal>
            <c:numRef>
              <c:f>Hoja12!$F$35:$F$46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C-43AA-B314-87AF1D2D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68055"/>
        <c:axId val="1366947527"/>
      </c:scatterChart>
      <c:valAx>
        <c:axId val="1157668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66947527"/>
        <c:crosses val="autoZero"/>
        <c:crossBetween val="midCat"/>
      </c:valAx>
      <c:valAx>
        <c:axId val="1366947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57668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tmp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2.tmp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tmp"/><Relationship Id="rId2" Type="http://schemas.openxmlformats.org/officeDocument/2006/relationships/image" Target="../media/image8.tmp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tmp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tm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tmp"/><Relationship Id="rId2" Type="http://schemas.openxmlformats.org/officeDocument/2006/relationships/image" Target="../media/image27.tmp"/><Relationship Id="rId1" Type="http://schemas.openxmlformats.org/officeDocument/2006/relationships/image" Target="../media/image26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123825</xdr:colOff>
      <xdr:row>12</xdr:row>
      <xdr:rowOff>104775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EC57B6A-7EFA-5E70-9E3E-EA554781B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15100" cy="23907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228600</xdr:colOff>
      <xdr:row>17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6168DA-BB6D-A0B1-49B7-56B143E1B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15275" cy="32861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190971</xdr:colOff>
      <xdr:row>16</xdr:row>
      <xdr:rowOff>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A7271C-510D-1AB1-36FB-C367D2375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72321" cy="3048425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10</xdr:row>
      <xdr:rowOff>0</xdr:rowOff>
    </xdr:from>
    <xdr:to>
      <xdr:col>14</xdr:col>
      <xdr:colOff>219534</xdr:colOff>
      <xdr:row>12</xdr:row>
      <xdr:rowOff>95316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D71C79-FDCF-7295-DB6F-D8CD41CCC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0700" y="1905000"/>
          <a:ext cx="3286584" cy="47631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542925</xdr:colOff>
      <xdr:row>22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A54714-90A1-798C-59A2-1525D1E22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10800" cy="4238625"/>
        </a:xfrm>
        <a:prstGeom prst="rect">
          <a:avLst/>
        </a:prstGeom>
      </xdr:spPr>
    </xdr:pic>
    <xdr:clientData/>
  </xdr:twoCellAnchor>
  <xdr:twoCellAnchor>
    <xdr:from>
      <xdr:col>14</xdr:col>
      <xdr:colOff>161925</xdr:colOff>
      <xdr:row>4</xdr:row>
      <xdr:rowOff>142875</xdr:rowOff>
    </xdr:from>
    <xdr:to>
      <xdr:col>21</xdr:col>
      <xdr:colOff>466725</xdr:colOff>
      <xdr:row>19</xdr:row>
      <xdr:rowOff>28575</xdr:rowOff>
    </xdr:to>
    <xdr:graphicFrame macro="">
      <xdr:nvGraphicFramePr>
        <xdr:cNvPr id="24" name="Gráfico 10">
          <a:extLst>
            <a:ext uri="{FF2B5EF4-FFF2-40B4-BE49-F238E27FC236}">
              <a16:creationId xmlns:a16="http://schemas.microsoft.com/office/drawing/2014/main" id="{EE7FFF9F-EDA1-67EB-D0A0-753CA5200D9A}"/>
            </a:ext>
            <a:ext uri="{147F2762-F138-4A5C-976F-8EAC2B608ADB}">
              <a16:predDERef xmlns:a16="http://schemas.microsoft.com/office/drawing/2014/main" pred="{86A54714-90A1-798C-59A2-1525D1E22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125730</xdr:colOff>
      <xdr:row>30</xdr:row>
      <xdr:rowOff>7620</xdr:rowOff>
    </xdr:from>
    <xdr:to>
      <xdr:col>15</xdr:col>
      <xdr:colOff>430530</xdr:colOff>
      <xdr:row>44</xdr:row>
      <xdr:rowOff>104775</xdr:rowOff>
    </xdr:to>
    <xdr:graphicFrame macro="">
      <xdr:nvGraphicFramePr>
        <xdr:cNvPr id="3" name="Gráfico 28">
          <a:extLst>
            <a:ext uri="{FF2B5EF4-FFF2-40B4-BE49-F238E27FC236}">
              <a16:creationId xmlns:a16="http://schemas.microsoft.com/office/drawing/2014/main" id="{C0069D1D-6D82-6AB6-4598-546DAA8FA144}"/>
            </a:ext>
            <a:ext uri="{147F2762-F138-4A5C-976F-8EAC2B608ADB}">
              <a16:predDERef xmlns:a16="http://schemas.microsoft.com/office/drawing/2014/main" pred="{EE7FFF9F-EDA1-67EB-D0A0-753CA5200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202596</xdr:colOff>
      <xdr:row>12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9C45FC-2A1B-C2FD-549F-91D842FCE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17796" cy="2447924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8</xdr:row>
      <xdr:rowOff>171450</xdr:rowOff>
    </xdr:from>
    <xdr:to>
      <xdr:col>20</xdr:col>
      <xdr:colOff>533400</xdr:colOff>
      <xdr:row>12</xdr:row>
      <xdr:rowOff>28575</xdr:rowOff>
    </xdr:to>
    <xdr:pic>
      <xdr:nvPicPr>
        <xdr:cNvPr id="6" name="Imagen 3">
          <a:extLst>
            <a:ext uri="{FF2B5EF4-FFF2-40B4-BE49-F238E27FC236}">
              <a16:creationId xmlns:a16="http://schemas.microsoft.com/office/drawing/2014/main" id="{C7394492-D514-DEDC-505A-D5F5321E8534}"/>
            </a:ext>
            <a:ext uri="{147F2762-F138-4A5C-976F-8EAC2B608ADB}">
              <a16:predDERef xmlns:a16="http://schemas.microsoft.com/office/drawing/2014/main" pred="{8E9C45FC-2A1B-C2FD-549F-91D842FCE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1695450"/>
          <a:ext cx="4572000" cy="619125"/>
        </a:xfrm>
        <a:prstGeom prst="rect">
          <a:avLst/>
        </a:prstGeom>
      </xdr:spPr>
    </xdr:pic>
    <xdr:clientData/>
  </xdr:twoCellAnchor>
  <xdr:twoCellAnchor editAs="oneCell">
    <xdr:from>
      <xdr:col>13</xdr:col>
      <xdr:colOff>247650</xdr:colOff>
      <xdr:row>6</xdr:row>
      <xdr:rowOff>19050</xdr:rowOff>
    </xdr:from>
    <xdr:to>
      <xdr:col>20</xdr:col>
      <xdr:colOff>552450</xdr:colOff>
      <xdr:row>8</xdr:row>
      <xdr:rowOff>114300</xdr:rowOff>
    </xdr:to>
    <xdr:pic>
      <xdr:nvPicPr>
        <xdr:cNvPr id="7" name="Imagen 4">
          <a:extLst>
            <a:ext uri="{FF2B5EF4-FFF2-40B4-BE49-F238E27FC236}">
              <a16:creationId xmlns:a16="http://schemas.microsoft.com/office/drawing/2014/main" id="{15B0CDF9-EC59-9148-3657-43688094AF95}"/>
            </a:ext>
            <a:ext uri="{147F2762-F138-4A5C-976F-8EAC2B608ADB}">
              <a16:predDERef xmlns:a16="http://schemas.microsoft.com/office/drawing/2014/main" pred="{C7394492-D514-DEDC-505A-D5F5321E8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1162050"/>
          <a:ext cx="4572000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209550</xdr:colOff>
      <xdr:row>13</xdr:row>
      <xdr:rowOff>152400</xdr:rowOff>
    </xdr:from>
    <xdr:to>
      <xdr:col>16</xdr:col>
      <xdr:colOff>457915</xdr:colOff>
      <xdr:row>16</xdr:row>
      <xdr:rowOff>47690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DB606A-7502-FA95-25D3-28B7240AC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6350" y="2628900"/>
          <a:ext cx="5125165" cy="46679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23</xdr:row>
      <xdr:rowOff>19050</xdr:rowOff>
    </xdr:from>
    <xdr:to>
      <xdr:col>19</xdr:col>
      <xdr:colOff>323850</xdr:colOff>
      <xdr:row>25</xdr:row>
      <xdr:rowOff>152400</xdr:rowOff>
    </xdr:to>
    <xdr:pic>
      <xdr:nvPicPr>
        <xdr:cNvPr id="10" name="Imagen 6">
          <a:extLst>
            <a:ext uri="{FF2B5EF4-FFF2-40B4-BE49-F238E27FC236}">
              <a16:creationId xmlns:a16="http://schemas.microsoft.com/office/drawing/2014/main" id="{5384C358-4BD7-13F5-8699-A9278F7832D2}"/>
            </a:ext>
            <a:ext uri="{147F2762-F138-4A5C-976F-8EAC2B608ADB}">
              <a16:predDERef xmlns:a16="http://schemas.microsoft.com/office/drawing/2014/main" pred="{D2DB606A-7502-FA95-25D3-28B7240AC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34250" y="4400550"/>
          <a:ext cx="4572000" cy="5143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533400</xdr:colOff>
      <xdr:row>32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345537-917C-9B07-EDBB-0441ED07E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58200" cy="6162675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0</xdr:row>
      <xdr:rowOff>152400</xdr:rowOff>
    </xdr:from>
    <xdr:to>
      <xdr:col>24</xdr:col>
      <xdr:colOff>152400</xdr:colOff>
      <xdr:row>29</xdr:row>
      <xdr:rowOff>57150</xdr:rowOff>
    </xdr:to>
    <xdr:pic>
      <xdr:nvPicPr>
        <xdr:cNvPr id="5" name="Imagen 3">
          <a:extLst>
            <a:ext uri="{FF2B5EF4-FFF2-40B4-BE49-F238E27FC236}">
              <a16:creationId xmlns:a16="http://schemas.microsoft.com/office/drawing/2014/main" id="{F1E37B2E-D444-A64A-3384-B50E5D40D0E7}"/>
            </a:ext>
            <a:ext uri="{147F2762-F138-4A5C-976F-8EAC2B608ADB}">
              <a16:predDERef xmlns:a16="http://schemas.microsoft.com/office/drawing/2014/main" pred="{8E345537-917C-9B07-EDBB-0441ED07E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77275" y="152400"/>
          <a:ext cx="6105525" cy="5429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200025</xdr:colOff>
      <xdr:row>23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386F2D-2DA0-9B0E-2BF6-5A7BD5A94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48025" cy="4572000"/>
        </a:xfrm>
        <a:prstGeom prst="rect">
          <a:avLst/>
        </a:prstGeom>
      </xdr:spPr>
    </xdr:pic>
    <xdr:clientData/>
  </xdr:twoCellAnchor>
  <xdr:twoCellAnchor editAs="oneCell">
    <xdr:from>
      <xdr:col>23</xdr:col>
      <xdr:colOff>409575</xdr:colOff>
      <xdr:row>2</xdr:row>
      <xdr:rowOff>28575</xdr:rowOff>
    </xdr:from>
    <xdr:to>
      <xdr:col>29</xdr:col>
      <xdr:colOff>590550</xdr:colOff>
      <xdr:row>25</xdr:row>
      <xdr:rowOff>38100</xdr:rowOff>
    </xdr:to>
    <xdr:pic>
      <xdr:nvPicPr>
        <xdr:cNvPr id="6" name="Imagen 3">
          <a:extLst>
            <a:ext uri="{FF2B5EF4-FFF2-40B4-BE49-F238E27FC236}">
              <a16:creationId xmlns:a16="http://schemas.microsoft.com/office/drawing/2014/main" id="{3C7226F0-00E7-16B5-1CBA-09CC0133D786}"/>
            </a:ext>
            <a:ext uri="{147F2762-F138-4A5C-976F-8EAC2B608ADB}">
              <a16:predDERef xmlns:a16="http://schemas.microsoft.com/office/drawing/2014/main" pred="{1A386F2D-2DA0-9B0E-2BF6-5A7BD5A94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02175" y="409575"/>
          <a:ext cx="3838575" cy="4572000"/>
        </a:xfrm>
        <a:prstGeom prst="rect">
          <a:avLst/>
        </a:prstGeom>
      </xdr:spPr>
    </xdr:pic>
    <xdr:clientData/>
  </xdr:twoCellAnchor>
  <xdr:twoCellAnchor editAs="oneCell">
    <xdr:from>
      <xdr:col>23</xdr:col>
      <xdr:colOff>514350</xdr:colOff>
      <xdr:row>25</xdr:row>
      <xdr:rowOff>76200</xdr:rowOff>
    </xdr:from>
    <xdr:to>
      <xdr:col>29</xdr:col>
      <xdr:colOff>466725</xdr:colOff>
      <xdr:row>36</xdr:row>
      <xdr:rowOff>19050</xdr:rowOff>
    </xdr:to>
    <xdr:pic>
      <xdr:nvPicPr>
        <xdr:cNvPr id="11" name="Imagen 4">
          <a:extLst>
            <a:ext uri="{FF2B5EF4-FFF2-40B4-BE49-F238E27FC236}">
              <a16:creationId xmlns:a16="http://schemas.microsoft.com/office/drawing/2014/main" id="{AD90889E-8004-855B-932B-4786ED6266C9}"/>
            </a:ext>
            <a:ext uri="{147F2762-F138-4A5C-976F-8EAC2B608ADB}">
              <a16:predDERef xmlns:a16="http://schemas.microsoft.com/office/drawing/2014/main" pred="{3C7226F0-00E7-16B5-1CBA-09CC0133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92725" y="5019675"/>
          <a:ext cx="3609975" cy="2133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476250</xdr:colOff>
      <xdr:row>10</xdr:row>
      <xdr:rowOff>9525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CCF7906C-80BF-7849-38D1-11A9008AB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1750" cy="191452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12</xdr:row>
      <xdr:rowOff>76200</xdr:rowOff>
    </xdr:from>
    <xdr:to>
      <xdr:col>20</xdr:col>
      <xdr:colOff>323850</xdr:colOff>
      <xdr:row>26</xdr:row>
      <xdr:rowOff>152400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4C191365-F241-44C4-6780-06DD351F94BB}"/>
            </a:ext>
            <a:ext uri="{147F2762-F138-4A5C-976F-8EAC2B608ADB}">
              <a16:predDERef xmlns:a16="http://schemas.microsoft.com/office/drawing/2014/main" pred="{CCF7906C-80BF-7849-38D1-11A9008AB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72550" y="2362200"/>
          <a:ext cx="4572000" cy="2743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15</xdr:col>
      <xdr:colOff>200025</xdr:colOff>
      <xdr:row>24</xdr:row>
      <xdr:rowOff>152400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0812F01-94D9-F1F5-6102-B8E3CE165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0"/>
          <a:ext cx="5686425" cy="4724400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27</xdr:row>
      <xdr:rowOff>9525</xdr:rowOff>
    </xdr:from>
    <xdr:to>
      <xdr:col>10</xdr:col>
      <xdr:colOff>390525</xdr:colOff>
      <xdr:row>30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05D61D5-DB8F-D302-9CAE-483647C32176}"/>
            </a:ext>
            <a:ext uri="{147F2762-F138-4A5C-976F-8EAC2B608ADB}">
              <a16:predDERef xmlns:a16="http://schemas.microsoft.com/office/drawing/2014/main" pred="{80812F01-94D9-F1F5-6102-B8E3CE165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7675" y="5153025"/>
          <a:ext cx="2228850" cy="7429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20</xdr:col>
      <xdr:colOff>447675</xdr:colOff>
      <xdr:row>43</xdr:row>
      <xdr:rowOff>95250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183775-D9EA-B6F6-8390-0788B6277395}"/>
            </a:ext>
            <a:ext uri="{147F2762-F138-4A5C-976F-8EAC2B608ADB}">
              <a16:predDERef xmlns:a16="http://schemas.microsoft.com/office/drawing/2014/main" pred="{705D61D5-DB8F-D302-9CAE-483647C32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7200" y="7048500"/>
          <a:ext cx="9220200" cy="1238250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47</xdr:row>
      <xdr:rowOff>19050</xdr:rowOff>
    </xdr:from>
    <xdr:to>
      <xdr:col>20</xdr:col>
      <xdr:colOff>704850</xdr:colOff>
      <xdr:row>57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E44465-668E-49E2-79CA-ED064D9EC0A4}"/>
            </a:ext>
            <a:ext uri="{147F2762-F138-4A5C-976F-8EAC2B608ADB}">
              <a16:predDERef xmlns:a16="http://schemas.microsoft.com/office/drawing/2014/main" pred="{80183775-D9EA-B6F6-8390-0788B6277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972550"/>
          <a:ext cx="9725025" cy="2066925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58</xdr:row>
      <xdr:rowOff>9525</xdr:rowOff>
    </xdr:from>
    <xdr:to>
      <xdr:col>18</xdr:col>
      <xdr:colOff>533400</xdr:colOff>
      <xdr:row>81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77316E-05AB-E9E0-9491-DED6DB5D0AD6}"/>
            </a:ext>
            <a:ext uri="{147F2762-F138-4A5C-976F-8EAC2B608ADB}">
              <a16:predDERef xmlns:a16="http://schemas.microsoft.com/office/drawing/2014/main" pred="{00E44465-668E-49E2-79CA-ED064D9EC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86325" y="11058525"/>
          <a:ext cx="7467600" cy="4371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171450</xdr:colOff>
      <xdr:row>12</xdr:row>
      <xdr:rowOff>171450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A69CAD-CFAE-0A8D-7B6B-B83FFC035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57850" cy="245745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14</xdr:row>
      <xdr:rowOff>38100</xdr:rowOff>
    </xdr:from>
    <xdr:to>
      <xdr:col>8</xdr:col>
      <xdr:colOff>161925</xdr:colOff>
      <xdr:row>16</xdr:row>
      <xdr:rowOff>114300</xdr:rowOff>
    </xdr:to>
    <xdr:pic>
      <xdr:nvPicPr>
        <xdr:cNvPr id="7" name="Imagen 4">
          <a:extLst>
            <a:ext uri="{FF2B5EF4-FFF2-40B4-BE49-F238E27FC236}">
              <a16:creationId xmlns:a16="http://schemas.microsoft.com/office/drawing/2014/main" id="{A935FC8B-1F76-5154-8362-6E426225BB1F}"/>
            </a:ext>
            <a:ext uri="{147F2762-F138-4A5C-976F-8EAC2B608ADB}">
              <a16:predDERef xmlns:a16="http://schemas.microsoft.com/office/drawing/2014/main" pred="{00A69CAD-CFAE-0A8D-7B6B-B83FFC035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2705100"/>
          <a:ext cx="4572000" cy="457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400050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E7B8CF-7334-9889-2035-190B464BB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544175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19</xdr:col>
      <xdr:colOff>561975</xdr:colOff>
      <xdr:row>12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F0FC09E-AC0A-582A-9545-8EA90093F4DF}"/>
            </a:ext>
            <a:ext uri="{147F2762-F138-4A5C-976F-8EAC2B608ADB}">
              <a16:predDERef xmlns:a16="http://schemas.microsoft.com/office/drawing/2014/main" pred="{66E7B8CF-7334-9889-2035-190B464BB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1524000"/>
          <a:ext cx="8486775" cy="8858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323850</xdr:colOff>
      <xdr:row>9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7B09BD-6AB4-B369-39E2-DB2D6CCD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96550" cy="18573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10</xdr:col>
      <xdr:colOff>247650</xdr:colOff>
      <xdr:row>13</xdr:row>
      <xdr:rowOff>104775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4245A77-BB0B-C40B-D590-E10156403713}"/>
            </a:ext>
            <a:ext uri="{147F2762-F138-4A5C-976F-8EAC2B608ADB}">
              <a16:predDERef xmlns:a16="http://schemas.microsoft.com/office/drawing/2014/main" pred="{EB7B09BD-6AB4-B369-39E2-DB2D6CCD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0675" y="2095500"/>
          <a:ext cx="1971675" cy="485775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561975</xdr:colOff>
      <xdr:row>10</xdr:row>
      <xdr:rowOff>161925</xdr:rowOff>
    </xdr:from>
    <xdr:to>
      <xdr:col>16</xdr:col>
      <xdr:colOff>504825</xdr:colOff>
      <xdr:row>13</xdr:row>
      <xdr:rowOff>47625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2C9AFF7-5A81-73BB-401E-234AB5400D31}"/>
            </a:ext>
            <a:ext uri="{147F2762-F138-4A5C-976F-8EAC2B608ADB}">
              <a16:predDERef xmlns:a16="http://schemas.microsoft.com/office/drawing/2014/main" pred="{34245A77-BB0B-C40B-D590-E10156403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1050" y="2066925"/>
          <a:ext cx="2381250" cy="457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123825</xdr:colOff>
      <xdr:row>11</xdr:row>
      <xdr:rowOff>161925</xdr:rowOff>
    </xdr:to>
    <xdr:pic>
      <xdr:nvPicPr>
        <xdr:cNvPr id="10" name="Imagen 1">
          <a:extLst>
            <a:ext uri="{FF2B5EF4-FFF2-40B4-BE49-F238E27FC236}">
              <a16:creationId xmlns:a16="http://schemas.microsoft.com/office/drawing/2014/main" id="{728A2A42-EF72-F847-220F-43F552189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72000" cy="225742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0</xdr:row>
      <xdr:rowOff>66675</xdr:rowOff>
    </xdr:from>
    <xdr:to>
      <xdr:col>14</xdr:col>
      <xdr:colOff>0</xdr:colOff>
      <xdr:row>9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CE8FB17-3088-2AA7-4AA6-9F4111879B35}"/>
            </a:ext>
            <a:ext uri="{147F2762-F138-4A5C-976F-8EAC2B608ADB}">
              <a16:predDERef xmlns:a16="http://schemas.microsoft.com/office/drawing/2014/main" pred="{728A2A42-EF72-F847-220F-43F552189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2975" y="66675"/>
          <a:ext cx="4572000" cy="1790700"/>
        </a:xfrm>
        <a:prstGeom prst="rect">
          <a:avLst/>
        </a:prstGeom>
      </xdr:spPr>
    </xdr:pic>
    <xdr:clientData/>
  </xdr:twoCellAnchor>
  <xdr:twoCellAnchor editAs="oneCell">
    <xdr:from>
      <xdr:col>8</xdr:col>
      <xdr:colOff>495300</xdr:colOff>
      <xdr:row>12</xdr:row>
      <xdr:rowOff>114300</xdr:rowOff>
    </xdr:from>
    <xdr:to>
      <xdr:col>16</xdr:col>
      <xdr:colOff>190500</xdr:colOff>
      <xdr:row>14</xdr:row>
      <xdr:rowOff>180975</xdr:rowOff>
    </xdr:to>
    <xdr:pic>
      <xdr:nvPicPr>
        <xdr:cNvPr id="4" name="Imagen 5">
          <a:extLst>
            <a:ext uri="{FF2B5EF4-FFF2-40B4-BE49-F238E27FC236}">
              <a16:creationId xmlns:a16="http://schemas.microsoft.com/office/drawing/2014/main" id="{7B1DEFFA-1B66-3A00-09CE-FD7719E7CFC1}"/>
            </a:ext>
            <a:ext uri="{147F2762-F138-4A5C-976F-8EAC2B608ADB}">
              <a16:predDERef xmlns:a16="http://schemas.microsoft.com/office/drawing/2014/main" pred="{9CE8FB17-3088-2AA7-4AA6-9F4111879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62675" y="2400300"/>
          <a:ext cx="4572000" cy="447675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533400</xdr:colOff>
      <xdr:row>15</xdr:row>
      <xdr:rowOff>133350</xdr:rowOff>
    </xdr:from>
    <xdr:to>
      <xdr:col>16</xdr:col>
      <xdr:colOff>228600</xdr:colOff>
      <xdr:row>17</xdr:row>
      <xdr:rowOff>171450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B8A0A241-DBCC-321B-359D-2B5B69160CBE}"/>
            </a:ext>
            <a:ext uri="{147F2762-F138-4A5C-976F-8EAC2B608ADB}">
              <a16:predDERef xmlns:a16="http://schemas.microsoft.com/office/drawing/2014/main" pred="{7B1DEFFA-1B66-3A00-09CE-FD7719E7C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00775" y="2990850"/>
          <a:ext cx="4572000" cy="419100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533400</xdr:colOff>
      <xdr:row>18</xdr:row>
      <xdr:rowOff>123825</xdr:rowOff>
    </xdr:from>
    <xdr:to>
      <xdr:col>16</xdr:col>
      <xdr:colOff>228600</xdr:colOff>
      <xdr:row>21</xdr:row>
      <xdr:rowOff>38100</xdr:rowOff>
    </xdr:to>
    <xdr:pic>
      <xdr:nvPicPr>
        <xdr:cNvPr id="9" name="Imagen 7">
          <a:extLst>
            <a:ext uri="{FF2B5EF4-FFF2-40B4-BE49-F238E27FC236}">
              <a16:creationId xmlns:a16="http://schemas.microsoft.com/office/drawing/2014/main" id="{9877C118-A917-4948-CDFC-A2713CF1C4B2}"/>
            </a:ext>
            <a:ext uri="{147F2762-F138-4A5C-976F-8EAC2B608ADB}">
              <a16:predDERef xmlns:a16="http://schemas.microsoft.com/office/drawing/2014/main" pred="{B8A0A241-DBCC-321B-359D-2B5B69160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00775" y="3552825"/>
          <a:ext cx="4572000" cy="4857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16</xdr:col>
      <xdr:colOff>304800</xdr:colOff>
      <xdr:row>23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28FBB04-730E-D92A-AFAE-B00A416E8DCE}"/>
            </a:ext>
            <a:ext uri="{147F2762-F138-4A5C-976F-8EAC2B608ADB}">
              <a16:predDERef xmlns:a16="http://schemas.microsoft.com/office/drawing/2014/main" pred="{9877C118-A917-4948-CDFC-A2713CF1C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76975" y="4191000"/>
          <a:ext cx="4572000" cy="371475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25</xdr:row>
      <xdr:rowOff>85725</xdr:rowOff>
    </xdr:from>
    <xdr:to>
      <xdr:col>15</xdr:col>
      <xdr:colOff>590550</xdr:colOff>
      <xdr:row>35</xdr:row>
      <xdr:rowOff>85725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D70FAA3-765B-666C-B649-A71B029F0DD8}"/>
            </a:ext>
            <a:ext uri="{147F2762-F138-4A5C-976F-8EAC2B608ADB}">
              <a16:predDERef xmlns:a16="http://schemas.microsoft.com/office/drawing/2014/main" pred="{228FBB04-730E-D92A-AFAE-B00A416E8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19800" y="4848225"/>
          <a:ext cx="4505325" cy="1905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371475</xdr:colOff>
      <xdr:row>14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AA8624-FAF1-C587-3FF5-41D38036D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15475" cy="28194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20</xdr:col>
      <xdr:colOff>495300</xdr:colOff>
      <xdr:row>20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36D0853-55CE-40B1-AF74-8EEC172E2A12}"/>
            </a:ext>
            <a:ext uri="{147F2762-F138-4A5C-976F-8EAC2B608ADB}">
              <a16:predDERef xmlns:a16="http://schemas.microsoft.com/office/drawing/2014/main" pred="{84AA8624-FAF1-C587-3FF5-41D38036D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3048000"/>
          <a:ext cx="6591300" cy="857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21</xdr:row>
      <xdr:rowOff>104775</xdr:rowOff>
    </xdr:from>
    <xdr:to>
      <xdr:col>15</xdr:col>
      <xdr:colOff>114300</xdr:colOff>
      <xdr:row>24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7E6816F-E2A9-9E14-70A7-D6AF1FABAB9A}"/>
            </a:ext>
            <a:ext uri="{147F2762-F138-4A5C-976F-8EAC2B608ADB}">
              <a16:predDERef xmlns:a16="http://schemas.microsoft.com/office/drawing/2014/main" pred="{236D0853-55CE-40B1-AF74-8EEC172E2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53150" y="4105275"/>
          <a:ext cx="3105150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36"/>
  <sheetViews>
    <sheetView topLeftCell="A7" workbookViewId="0">
      <selection activeCell="D36" sqref="D36"/>
    </sheetView>
    <sheetView workbookViewId="1"/>
  </sheetViews>
  <sheetFormatPr defaultRowHeight="15" x14ac:dyDescent="0.25"/>
  <cols>
    <col min="1" max="1" width="13.5703125" bestFit="1" customWidth="1"/>
  </cols>
  <sheetData>
    <row r="3" spans="1:7" x14ac:dyDescent="0.25">
      <c r="C3" t="s">
        <v>0</v>
      </c>
    </row>
    <row r="15" spans="1:7" x14ac:dyDescent="0.25">
      <c r="A15" s="7"/>
      <c r="B15" s="7"/>
      <c r="C15" s="7"/>
      <c r="D15" s="7"/>
      <c r="E15" s="7"/>
      <c r="F15" s="7"/>
      <c r="G15" s="7"/>
    </row>
    <row r="16" spans="1:7" x14ac:dyDescent="0.25">
      <c r="A16" s="7" t="s">
        <v>1</v>
      </c>
      <c r="B16" s="7">
        <v>80000</v>
      </c>
      <c r="C16" s="7" t="s">
        <v>2</v>
      </c>
      <c r="D16" s="7" t="s">
        <v>3</v>
      </c>
      <c r="E16" s="7"/>
      <c r="F16" s="7"/>
      <c r="G16" s="7"/>
    </row>
    <row r="17" spans="1:7" x14ac:dyDescent="0.25">
      <c r="A17" s="7" t="s">
        <v>4</v>
      </c>
      <c r="B17" s="7">
        <v>50000</v>
      </c>
      <c r="C17" s="7"/>
      <c r="D17" s="7" t="s">
        <v>5</v>
      </c>
      <c r="E17" s="7"/>
      <c r="F17" s="7">
        <v>10000</v>
      </c>
      <c r="G17" s="7"/>
    </row>
    <row r="18" spans="1:7" x14ac:dyDescent="0.25">
      <c r="A18" s="7" t="s">
        <v>6</v>
      </c>
      <c r="B18" s="7">
        <v>45000</v>
      </c>
      <c r="C18" s="7"/>
      <c r="D18" s="7" t="s">
        <v>7</v>
      </c>
      <c r="E18" s="7"/>
      <c r="F18" s="7">
        <v>4</v>
      </c>
      <c r="G18" s="7"/>
    </row>
    <row r="19" spans="1:7" x14ac:dyDescent="0.25">
      <c r="A19" s="7"/>
      <c r="B19" s="7"/>
      <c r="C19" s="7"/>
      <c r="D19" s="7" t="s">
        <v>8</v>
      </c>
      <c r="E19" s="7"/>
      <c r="F19" s="7">
        <v>40000</v>
      </c>
      <c r="G19" s="7"/>
    </row>
    <row r="20" spans="1:7" x14ac:dyDescent="0.25">
      <c r="A20" s="8">
        <v>10000</v>
      </c>
      <c r="B20" s="8" t="s">
        <v>9</v>
      </c>
      <c r="C20" s="8" t="s">
        <v>10</v>
      </c>
      <c r="D20" s="7"/>
      <c r="E20" s="7"/>
      <c r="F20" s="7"/>
      <c r="G20" s="7"/>
    </row>
    <row r="21" spans="1:7" x14ac:dyDescent="0.25">
      <c r="A21" s="7"/>
      <c r="B21" s="7"/>
      <c r="C21" s="7"/>
      <c r="D21" s="7"/>
      <c r="E21" s="7"/>
      <c r="F21" s="7"/>
      <c r="G21" s="7"/>
    </row>
    <row r="22" spans="1:7" x14ac:dyDescent="0.25">
      <c r="A22" s="9" t="s">
        <v>11</v>
      </c>
      <c r="B22" s="7"/>
      <c r="C22" s="7"/>
      <c r="D22" s="7"/>
      <c r="E22" s="7"/>
      <c r="F22" s="7"/>
      <c r="G22" s="9">
        <v>10000</v>
      </c>
    </row>
    <row r="23" spans="1:7" x14ac:dyDescent="0.25">
      <c r="A23" s="7" t="s">
        <v>12</v>
      </c>
      <c r="B23" s="7"/>
      <c r="C23" s="7"/>
      <c r="D23" s="7"/>
      <c r="E23" s="7"/>
      <c r="F23" s="7"/>
      <c r="G23" s="7"/>
    </row>
    <row r="24" spans="1:7" x14ac:dyDescent="0.25">
      <c r="A24" s="7" t="s">
        <v>13</v>
      </c>
      <c r="B24" s="7">
        <v>45000</v>
      </c>
      <c r="C24" s="7"/>
      <c r="D24" s="7"/>
      <c r="E24" s="7"/>
      <c r="F24" s="7"/>
      <c r="G24" s="7"/>
    </row>
    <row r="25" spans="1:7" x14ac:dyDescent="0.25">
      <c r="A25" s="7" t="s">
        <v>14</v>
      </c>
      <c r="B25" s="7">
        <v>3500</v>
      </c>
      <c r="C25" s="7"/>
      <c r="D25" s="7"/>
      <c r="E25" s="7"/>
      <c r="F25" s="7"/>
      <c r="G25" s="7"/>
    </row>
    <row r="26" spans="1:7" x14ac:dyDescent="0.25">
      <c r="A26" s="7"/>
      <c r="B26" s="8">
        <v>41500</v>
      </c>
      <c r="C26" s="8" t="s">
        <v>15</v>
      </c>
      <c r="D26" s="10"/>
      <c r="E26" s="10"/>
      <c r="F26" s="7"/>
      <c r="G26" s="7"/>
    </row>
    <row r="27" spans="1:7" x14ac:dyDescent="0.25">
      <c r="A27" s="7"/>
      <c r="B27" s="7"/>
      <c r="C27" s="7"/>
      <c r="D27" s="7"/>
      <c r="E27" s="7"/>
      <c r="F27" s="7"/>
      <c r="G27" s="7"/>
    </row>
    <row r="28" spans="1:7" x14ac:dyDescent="0.25">
      <c r="A28" s="7" t="s">
        <v>16</v>
      </c>
      <c r="B28" s="7"/>
      <c r="C28" s="7">
        <v>45000</v>
      </c>
      <c r="D28" s="7"/>
      <c r="E28" s="7"/>
      <c r="F28" s="7"/>
      <c r="G28" s="7"/>
    </row>
    <row r="29" spans="1:7" x14ac:dyDescent="0.25">
      <c r="A29" s="7" t="s">
        <v>17</v>
      </c>
      <c r="B29" s="7"/>
      <c r="C29" s="7">
        <v>10000</v>
      </c>
      <c r="D29" s="7"/>
      <c r="E29" s="7"/>
      <c r="F29" s="7"/>
      <c r="G29" s="7"/>
    </row>
    <row r="30" spans="1:7" x14ac:dyDescent="0.25">
      <c r="A30" s="7" t="s">
        <v>18</v>
      </c>
      <c r="B30" s="7"/>
      <c r="C30" s="7">
        <v>35000</v>
      </c>
      <c r="D30" s="7"/>
      <c r="E30" s="7"/>
      <c r="F30" s="7"/>
      <c r="G30" s="7"/>
    </row>
    <row r="31" spans="1:7" x14ac:dyDescent="0.25">
      <c r="A31" s="7" t="s">
        <v>19</v>
      </c>
      <c r="B31" s="7"/>
      <c r="C31" s="7">
        <v>3500</v>
      </c>
      <c r="D31" s="7"/>
      <c r="E31" s="7"/>
      <c r="F31" s="7"/>
      <c r="G31" s="7"/>
    </row>
    <row r="32" spans="1:7" x14ac:dyDescent="0.25">
      <c r="A32" s="7"/>
      <c r="B32" s="7"/>
      <c r="C32" s="7"/>
      <c r="D32" s="7"/>
      <c r="E32" s="7"/>
      <c r="F32" s="7"/>
      <c r="G32" s="7"/>
    </row>
    <row r="33" spans="1:7" x14ac:dyDescent="0.25">
      <c r="A33" s="7" t="s">
        <v>20</v>
      </c>
      <c r="B33" s="7"/>
      <c r="C33" s="7"/>
      <c r="D33" s="7">
        <v>-80000</v>
      </c>
      <c r="E33" s="7"/>
      <c r="F33" s="7"/>
      <c r="G33" s="7"/>
    </row>
    <row r="34" spans="1:7" x14ac:dyDescent="0.25">
      <c r="A34" s="7" t="s">
        <v>15</v>
      </c>
      <c r="B34" s="7"/>
      <c r="C34" s="7"/>
      <c r="D34" s="7">
        <v>41500</v>
      </c>
      <c r="E34" s="7"/>
      <c r="F34" s="7"/>
      <c r="G34" s="7"/>
    </row>
    <row r="35" spans="1:7" x14ac:dyDescent="0.25">
      <c r="A35" s="7" t="s">
        <v>21</v>
      </c>
      <c r="B35" s="7"/>
      <c r="C35" s="7"/>
      <c r="D35" s="7">
        <v>-15000</v>
      </c>
      <c r="E35" s="7"/>
      <c r="F35" s="7"/>
      <c r="G35" s="7"/>
    </row>
    <row r="36" spans="1:7" x14ac:dyDescent="0.25">
      <c r="A36" s="7"/>
      <c r="B36" s="7"/>
      <c r="C36" s="7"/>
      <c r="D36" s="8">
        <v>-136500</v>
      </c>
      <c r="E36" s="8" t="s">
        <v>22</v>
      </c>
      <c r="F36" s="10"/>
      <c r="G36" s="1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71D3-8BCA-4CEB-9717-5ABD2345111E}">
  <dimension ref="A19:G39"/>
  <sheetViews>
    <sheetView tabSelected="1" topLeftCell="A32" workbookViewId="0">
      <selection activeCell="E43" sqref="E43"/>
    </sheetView>
    <sheetView workbookViewId="1">
      <selection activeCell="C31" sqref="C31"/>
    </sheetView>
  </sheetViews>
  <sheetFormatPr defaultRowHeight="15" x14ac:dyDescent="0.25"/>
  <cols>
    <col min="1" max="1" width="31.42578125" customWidth="1"/>
    <col min="4" max="4" width="19.140625" customWidth="1"/>
    <col min="5" max="5" width="16" customWidth="1"/>
    <col min="7" max="7" width="12.140625" customWidth="1"/>
  </cols>
  <sheetData>
    <row r="19" spans="1:7" x14ac:dyDescent="0.25">
      <c r="A19" s="96" t="s">
        <v>1</v>
      </c>
      <c r="B19" s="96">
        <v>80000</v>
      </c>
      <c r="C19" s="96" t="s">
        <v>2</v>
      </c>
      <c r="D19" s="96" t="s">
        <v>3</v>
      </c>
      <c r="E19" s="96"/>
      <c r="F19" s="96"/>
      <c r="G19" s="96"/>
    </row>
    <row r="20" spans="1:7" x14ac:dyDescent="0.25">
      <c r="A20" s="96" t="s">
        <v>4</v>
      </c>
      <c r="B20" s="96">
        <v>50000</v>
      </c>
      <c r="C20" s="96"/>
      <c r="D20" s="96" t="s">
        <v>5</v>
      </c>
      <c r="E20" s="96"/>
      <c r="F20" s="96">
        <f>B20*0.2</f>
        <v>10000</v>
      </c>
      <c r="G20" s="96"/>
    </row>
    <row r="21" spans="1:7" x14ac:dyDescent="0.25">
      <c r="A21" s="96" t="s">
        <v>6</v>
      </c>
      <c r="B21" s="96">
        <v>45000</v>
      </c>
      <c r="C21" s="96"/>
      <c r="D21" s="96" t="s">
        <v>7</v>
      </c>
      <c r="E21" s="96"/>
      <c r="F21" s="96">
        <v>4</v>
      </c>
      <c r="G21" s="96"/>
    </row>
    <row r="22" spans="1:7" x14ac:dyDescent="0.25">
      <c r="A22" s="96"/>
      <c r="B22" s="96"/>
      <c r="C22" s="96"/>
      <c r="D22" s="96" t="s">
        <v>8</v>
      </c>
      <c r="E22" s="96"/>
      <c r="F22" s="96">
        <f>F20*F21</f>
        <v>40000</v>
      </c>
      <c r="G22" s="96"/>
    </row>
    <row r="23" spans="1:7" x14ac:dyDescent="0.25">
      <c r="A23" s="97">
        <f>B20-F22</f>
        <v>10000</v>
      </c>
      <c r="B23" s="97" t="s">
        <v>9</v>
      </c>
      <c r="C23" s="97" t="s">
        <v>10</v>
      </c>
      <c r="D23" s="96"/>
      <c r="E23" s="96"/>
      <c r="F23" s="96"/>
      <c r="G23" s="96"/>
    </row>
    <row r="24" spans="1:7" x14ac:dyDescent="0.25">
      <c r="A24" s="96"/>
      <c r="B24" s="96"/>
      <c r="C24" s="96"/>
      <c r="D24" s="96"/>
      <c r="E24" s="96"/>
      <c r="F24" s="96"/>
      <c r="G24" s="96"/>
    </row>
    <row r="25" spans="1:7" x14ac:dyDescent="0.25">
      <c r="A25" s="98" t="s">
        <v>11</v>
      </c>
      <c r="B25" s="96"/>
      <c r="C25" s="96"/>
      <c r="D25" s="96"/>
      <c r="E25" s="96"/>
      <c r="F25" s="96"/>
      <c r="G25" s="98">
        <f>A23</f>
        <v>10000</v>
      </c>
    </row>
    <row r="26" spans="1:7" x14ac:dyDescent="0.25">
      <c r="A26" s="96" t="s">
        <v>12</v>
      </c>
      <c r="B26" s="96"/>
      <c r="C26" s="96"/>
      <c r="D26" s="96"/>
      <c r="E26" s="96"/>
      <c r="F26" s="96"/>
      <c r="G26" s="96"/>
    </row>
    <row r="27" spans="1:7" x14ac:dyDescent="0.25">
      <c r="A27" s="96" t="s">
        <v>13</v>
      </c>
      <c r="B27" s="96">
        <f>B21</f>
        <v>45000</v>
      </c>
      <c r="C27" s="96"/>
      <c r="D27" s="96"/>
      <c r="E27" s="96"/>
      <c r="F27" s="96"/>
      <c r="G27" s="96"/>
    </row>
    <row r="28" spans="1:7" x14ac:dyDescent="0.25">
      <c r="A28" s="96" t="s">
        <v>14</v>
      </c>
      <c r="B28" s="96">
        <f>C34</f>
        <v>3500</v>
      </c>
      <c r="C28" s="96"/>
      <c r="D28" s="96"/>
      <c r="E28" s="96"/>
      <c r="F28" s="96"/>
      <c r="G28" s="96"/>
    </row>
    <row r="29" spans="1:7" x14ac:dyDescent="0.25">
      <c r="A29" s="96"/>
      <c r="B29" s="97">
        <v>41500</v>
      </c>
      <c r="C29" s="97" t="s">
        <v>15</v>
      </c>
      <c r="D29" s="99"/>
      <c r="E29" s="99"/>
      <c r="F29" s="96"/>
      <c r="G29" s="96"/>
    </row>
    <row r="30" spans="1:7" x14ac:dyDescent="0.25">
      <c r="A30" s="96"/>
      <c r="B30" s="96"/>
      <c r="C30" s="96"/>
      <c r="D30" s="96"/>
      <c r="E30" s="96"/>
      <c r="F30" s="96"/>
      <c r="G30" s="96"/>
    </row>
    <row r="31" spans="1:7" x14ac:dyDescent="0.25">
      <c r="A31" s="96" t="s">
        <v>16</v>
      </c>
      <c r="B31" s="96"/>
      <c r="C31" s="96">
        <v>45000</v>
      </c>
      <c r="D31" s="96"/>
      <c r="E31" s="96"/>
      <c r="F31" s="96"/>
      <c r="G31" s="96"/>
    </row>
    <row r="32" spans="1:7" x14ac:dyDescent="0.25">
      <c r="A32" s="96" t="s">
        <v>17</v>
      </c>
      <c r="B32" s="96"/>
      <c r="C32" s="96">
        <f>A23</f>
        <v>10000</v>
      </c>
      <c r="D32" s="96"/>
      <c r="E32" s="96"/>
      <c r="F32" s="96"/>
      <c r="G32" s="96"/>
    </row>
    <row r="33" spans="1:7" x14ac:dyDescent="0.25">
      <c r="A33" s="96" t="s">
        <v>18</v>
      </c>
      <c r="B33" s="96"/>
      <c r="C33" s="96">
        <f>C31-C32</f>
        <v>35000</v>
      </c>
      <c r="D33" s="96"/>
      <c r="E33" s="96"/>
      <c r="F33" s="96"/>
      <c r="G33" s="96"/>
    </row>
    <row r="34" spans="1:7" x14ac:dyDescent="0.25">
      <c r="A34" s="96" t="s">
        <v>19</v>
      </c>
      <c r="B34" s="96"/>
      <c r="C34" s="96">
        <f>C33*0.1</f>
        <v>3500</v>
      </c>
      <c r="D34" s="96"/>
      <c r="E34" s="96"/>
      <c r="F34" s="96"/>
      <c r="G34" s="96"/>
    </row>
    <row r="35" spans="1:7" x14ac:dyDescent="0.25">
      <c r="A35" s="96"/>
      <c r="B35" s="96"/>
      <c r="C35" s="96"/>
      <c r="D35" s="96"/>
      <c r="E35" s="96"/>
      <c r="F35" s="96"/>
      <c r="G35" s="96"/>
    </row>
    <row r="36" spans="1:7" x14ac:dyDescent="0.25">
      <c r="A36" s="96" t="s">
        <v>20</v>
      </c>
      <c r="B36" s="96"/>
      <c r="C36" s="96"/>
      <c r="D36" s="96">
        <f>-B19</f>
        <v>-80000</v>
      </c>
      <c r="E36" s="96"/>
      <c r="F36" s="96"/>
      <c r="G36" s="96"/>
    </row>
    <row r="37" spans="1:7" x14ac:dyDescent="0.25">
      <c r="A37" s="96" t="s">
        <v>15</v>
      </c>
      <c r="B37" s="96"/>
      <c r="C37" s="96"/>
      <c r="D37" s="96">
        <f>B29</f>
        <v>41500</v>
      </c>
      <c r="E37" s="96"/>
      <c r="F37" s="96"/>
      <c r="G37" s="96"/>
    </row>
    <row r="38" spans="1:7" x14ac:dyDescent="0.25">
      <c r="A38" s="96" t="s">
        <v>21</v>
      </c>
      <c r="B38" s="96"/>
      <c r="C38" s="96"/>
      <c r="D38" s="96">
        <v>-15000</v>
      </c>
      <c r="E38" s="96"/>
      <c r="F38" s="96"/>
      <c r="G38" s="96"/>
    </row>
    <row r="39" spans="1:7" x14ac:dyDescent="0.25">
      <c r="A39" s="96"/>
      <c r="B39" s="96"/>
      <c r="C39" s="96"/>
      <c r="D39" s="97">
        <f>D38-D37+D36</f>
        <v>-136500</v>
      </c>
      <c r="E39" s="97" t="s">
        <v>22</v>
      </c>
      <c r="F39" s="99"/>
      <c r="G39" s="99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14D32-1426-45C7-8BAC-B74AFB081CFB}">
  <dimension ref="A19:U32"/>
  <sheetViews>
    <sheetView workbookViewId="0"/>
    <sheetView workbookViewId="1">
      <selection activeCell="X21" sqref="X21"/>
    </sheetView>
  </sheetViews>
  <sheetFormatPr defaultRowHeight="15" x14ac:dyDescent="0.25"/>
  <cols>
    <col min="3" max="3" width="11.140625" customWidth="1"/>
  </cols>
  <sheetData>
    <row r="19" spans="1:21" x14ac:dyDescent="0.25">
      <c r="A19" t="s">
        <v>250</v>
      </c>
      <c r="D19">
        <v>325000</v>
      </c>
    </row>
    <row r="20" spans="1:21" x14ac:dyDescent="0.25">
      <c r="A20" t="s">
        <v>252</v>
      </c>
      <c r="D20">
        <v>200000</v>
      </c>
      <c r="G20" t="s">
        <v>251</v>
      </c>
      <c r="I20" s="28">
        <f>D19-C28</f>
        <v>195000</v>
      </c>
    </row>
    <row r="22" spans="1:21" x14ac:dyDescent="0.25">
      <c r="A22" t="s">
        <v>248</v>
      </c>
      <c r="D22">
        <v>500000</v>
      </c>
      <c r="G22" t="s">
        <v>253</v>
      </c>
    </row>
    <row r="23" spans="1:21" x14ac:dyDescent="0.25">
      <c r="A23" t="s">
        <v>249</v>
      </c>
      <c r="G23" t="s">
        <v>254</v>
      </c>
      <c r="I23">
        <v>200000</v>
      </c>
      <c r="Q23" s="116" t="s">
        <v>16</v>
      </c>
      <c r="U23">
        <f>D20</f>
        <v>200000</v>
      </c>
    </row>
    <row r="24" spans="1:21" x14ac:dyDescent="0.25">
      <c r="G24" t="s">
        <v>14</v>
      </c>
      <c r="I24" s="117">
        <f>U26</f>
        <v>500</v>
      </c>
      <c r="Q24" s="116" t="s">
        <v>17</v>
      </c>
      <c r="U24" s="117">
        <f>I20</f>
        <v>195000</v>
      </c>
    </row>
    <row r="25" spans="1:21" x14ac:dyDescent="0.25">
      <c r="A25" s="116" t="s">
        <v>3</v>
      </c>
      <c r="B25" s="116"/>
      <c r="C25" s="116"/>
      <c r="I25" s="28">
        <f>I23-I24</f>
        <v>199500</v>
      </c>
      <c r="Q25" s="116" t="s">
        <v>18</v>
      </c>
      <c r="U25">
        <f>U23-U24</f>
        <v>5000</v>
      </c>
    </row>
    <row r="26" spans="1:21" x14ac:dyDescent="0.25">
      <c r="A26" s="116" t="s">
        <v>5</v>
      </c>
      <c r="B26" s="116"/>
      <c r="C26" s="116">
        <f>D19*0.2</f>
        <v>65000</v>
      </c>
      <c r="Q26" s="116" t="s">
        <v>19</v>
      </c>
      <c r="U26">
        <f>U25*0.1</f>
        <v>500</v>
      </c>
    </row>
    <row r="27" spans="1:21" x14ac:dyDescent="0.25">
      <c r="A27" s="116" t="s">
        <v>7</v>
      </c>
      <c r="B27" s="116"/>
      <c r="C27" s="116">
        <v>2</v>
      </c>
      <c r="G27" t="s">
        <v>255</v>
      </c>
    </row>
    <row r="28" spans="1:21" x14ac:dyDescent="0.25">
      <c r="A28" s="116" t="s">
        <v>8</v>
      </c>
      <c r="B28" s="116"/>
      <c r="C28" s="116">
        <f>C26*C27</f>
        <v>130000</v>
      </c>
    </row>
    <row r="29" spans="1:21" x14ac:dyDescent="0.25">
      <c r="G29" s="116" t="s">
        <v>20</v>
      </c>
      <c r="L29">
        <f>-D22</f>
        <v>-500000</v>
      </c>
    </row>
    <row r="30" spans="1:21" x14ac:dyDescent="0.25">
      <c r="G30" s="116" t="s">
        <v>15</v>
      </c>
      <c r="L30">
        <f>I25</f>
        <v>199500</v>
      </c>
    </row>
    <row r="31" spans="1:21" x14ac:dyDescent="0.25">
      <c r="G31" s="116" t="s">
        <v>21</v>
      </c>
      <c r="L31">
        <v>0</v>
      </c>
    </row>
    <row r="32" spans="1:21" x14ac:dyDescent="0.25">
      <c r="L32">
        <f>L31+L30+L29</f>
        <v>-300500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32C7-F7F2-4826-AC00-F5726BC111DB}">
  <dimension ref="A24:F46"/>
  <sheetViews>
    <sheetView topLeftCell="A8" workbookViewId="0">
      <selection activeCell="M46" sqref="M46"/>
    </sheetView>
    <sheetView workbookViewId="1"/>
  </sheetViews>
  <sheetFormatPr defaultRowHeight="15" x14ac:dyDescent="0.25"/>
  <cols>
    <col min="1" max="1" width="27.7109375" customWidth="1"/>
    <col min="2" max="2" width="15.85546875" customWidth="1"/>
    <col min="3" max="3" width="12.85546875" customWidth="1"/>
    <col min="4" max="4" width="15.42578125" customWidth="1"/>
  </cols>
  <sheetData>
    <row r="24" spans="1:5" x14ac:dyDescent="0.25">
      <c r="A24" s="96" t="s">
        <v>77</v>
      </c>
      <c r="B24" s="96" t="s">
        <v>174</v>
      </c>
      <c r="C24" s="96" t="s">
        <v>175</v>
      </c>
      <c r="D24" s="96" t="s">
        <v>176</v>
      </c>
      <c r="E24" s="96"/>
    </row>
    <row r="25" spans="1:5" ht="26.25" customHeight="1" x14ac:dyDescent="0.25">
      <c r="A25" s="100" t="s">
        <v>89</v>
      </c>
      <c r="B25" s="100">
        <v>70000</v>
      </c>
      <c r="C25" s="101">
        <v>0.2</v>
      </c>
      <c r="D25" s="100">
        <f>B25</f>
        <v>70000</v>
      </c>
      <c r="E25" s="112" t="s">
        <v>177</v>
      </c>
    </row>
    <row r="26" spans="1:5" ht="31.5" customHeight="1" x14ac:dyDescent="0.25">
      <c r="A26" s="100" t="s">
        <v>87</v>
      </c>
      <c r="B26" s="100">
        <v>100000</v>
      </c>
      <c r="C26" s="101">
        <v>0.16</v>
      </c>
      <c r="D26" s="100">
        <f>B26+D25</f>
        <v>170000</v>
      </c>
      <c r="E26" s="112"/>
    </row>
    <row r="27" spans="1:5" ht="27.75" customHeight="1" x14ac:dyDescent="0.25">
      <c r="A27" s="100" t="s">
        <v>82</v>
      </c>
      <c r="B27" s="100">
        <v>60000</v>
      </c>
      <c r="C27" s="101">
        <v>0.15</v>
      </c>
      <c r="D27" s="100">
        <f t="shared" ref="D27:D30" si="0">B27+D26</f>
        <v>230000</v>
      </c>
      <c r="E27" s="112"/>
    </row>
    <row r="28" spans="1:5" ht="27.75" customHeight="1" x14ac:dyDescent="0.25">
      <c r="A28" s="102" t="s">
        <v>90</v>
      </c>
      <c r="B28" s="102">
        <v>80000</v>
      </c>
      <c r="C28" s="103">
        <v>0.12</v>
      </c>
      <c r="D28" s="102">
        <f t="shared" si="0"/>
        <v>310000</v>
      </c>
      <c r="E28" s="104"/>
    </row>
    <row r="29" spans="1:5" ht="28.5" customHeight="1" x14ac:dyDescent="0.25">
      <c r="A29" s="102" t="s">
        <v>81</v>
      </c>
      <c r="B29" s="102">
        <v>110000</v>
      </c>
      <c r="C29" s="103">
        <v>0.11</v>
      </c>
      <c r="D29" s="102">
        <f t="shared" si="0"/>
        <v>420000</v>
      </c>
      <c r="E29" s="104"/>
    </row>
    <row r="30" spans="1:5" ht="29.25" customHeight="1" x14ac:dyDescent="0.25">
      <c r="A30" s="102" t="s">
        <v>91</v>
      </c>
      <c r="B30" s="102">
        <v>40000</v>
      </c>
      <c r="C30" s="103">
        <v>0.08</v>
      </c>
      <c r="D30" s="102">
        <f t="shared" si="0"/>
        <v>460000</v>
      </c>
      <c r="E30" s="96"/>
    </row>
    <row r="33" spans="2:6" x14ac:dyDescent="0.25">
      <c r="B33" s="96" t="s">
        <v>85</v>
      </c>
      <c r="C33" s="96"/>
      <c r="D33" s="96"/>
      <c r="E33" s="96" t="s">
        <v>86</v>
      </c>
      <c r="F33" s="96"/>
    </row>
    <row r="34" spans="2:6" x14ac:dyDescent="0.25">
      <c r="B34" s="96" t="s">
        <v>84</v>
      </c>
      <c r="C34" s="96" t="s">
        <v>85</v>
      </c>
      <c r="D34" s="96"/>
      <c r="E34" s="96" t="s">
        <v>84</v>
      </c>
      <c r="F34" s="96" t="s">
        <v>88</v>
      </c>
    </row>
    <row r="35" spans="2:6" x14ac:dyDescent="0.25">
      <c r="B35" s="96">
        <v>0</v>
      </c>
      <c r="C35" s="105">
        <v>0.2</v>
      </c>
      <c r="D35" s="96"/>
      <c r="E35" s="96">
        <v>0</v>
      </c>
      <c r="F35" s="105">
        <v>0.1</v>
      </c>
    </row>
    <row r="36" spans="2:6" x14ac:dyDescent="0.25">
      <c r="B36" s="96">
        <v>70000</v>
      </c>
      <c r="C36" s="105">
        <v>0.2</v>
      </c>
      <c r="D36" s="96"/>
      <c r="E36" s="96">
        <v>70000</v>
      </c>
      <c r="F36" s="105">
        <v>0.1</v>
      </c>
    </row>
    <row r="37" spans="2:6" x14ac:dyDescent="0.25">
      <c r="B37" s="96">
        <v>70000</v>
      </c>
      <c r="C37" s="105">
        <v>0.16</v>
      </c>
      <c r="D37" s="96"/>
      <c r="E37" s="96">
        <v>70000</v>
      </c>
      <c r="F37" s="105">
        <v>0.1</v>
      </c>
    </row>
    <row r="38" spans="2:6" x14ac:dyDescent="0.25">
      <c r="B38" s="96">
        <v>170000</v>
      </c>
      <c r="C38" s="105">
        <v>0.16</v>
      </c>
      <c r="D38" s="96"/>
      <c r="E38" s="96">
        <v>170000</v>
      </c>
      <c r="F38" s="105">
        <v>0.1</v>
      </c>
    </row>
    <row r="39" spans="2:6" x14ac:dyDescent="0.25">
      <c r="B39" s="96">
        <v>170000</v>
      </c>
      <c r="C39" s="105">
        <v>0.15</v>
      </c>
      <c r="D39" s="96"/>
      <c r="E39" s="96">
        <v>170000</v>
      </c>
      <c r="F39" s="105">
        <v>0.1</v>
      </c>
    </row>
    <row r="40" spans="2:6" x14ac:dyDescent="0.25">
      <c r="B40" s="96">
        <v>230000</v>
      </c>
      <c r="C40" s="105">
        <v>0.15</v>
      </c>
      <c r="D40" s="96"/>
      <c r="E40" s="96">
        <v>230000</v>
      </c>
      <c r="F40" s="105">
        <v>0.1</v>
      </c>
    </row>
    <row r="41" spans="2:6" x14ac:dyDescent="0.25">
      <c r="B41" s="96">
        <v>230000</v>
      </c>
      <c r="C41" s="105">
        <v>0.12</v>
      </c>
      <c r="D41" s="96"/>
      <c r="E41" s="96">
        <v>230000</v>
      </c>
      <c r="F41" s="105">
        <v>0.1</v>
      </c>
    </row>
    <row r="42" spans="2:6" x14ac:dyDescent="0.25">
      <c r="B42" s="96">
        <v>310000</v>
      </c>
      <c r="C42" s="105">
        <v>0.12</v>
      </c>
      <c r="D42" s="96"/>
      <c r="E42" s="96">
        <v>310000</v>
      </c>
      <c r="F42" s="105">
        <v>0.1</v>
      </c>
    </row>
    <row r="43" spans="2:6" x14ac:dyDescent="0.25">
      <c r="B43" s="96">
        <v>310000</v>
      </c>
      <c r="C43" s="105">
        <v>0.11</v>
      </c>
      <c r="D43" s="96"/>
      <c r="E43" s="96">
        <v>310000</v>
      </c>
      <c r="F43" s="105">
        <v>0.1</v>
      </c>
    </row>
    <row r="44" spans="2:6" x14ac:dyDescent="0.25">
      <c r="B44" s="96">
        <v>420000</v>
      </c>
      <c r="C44" s="105">
        <v>0.11</v>
      </c>
      <c r="D44" s="96"/>
      <c r="E44" s="96">
        <v>420000</v>
      </c>
      <c r="F44" s="105">
        <v>0.1</v>
      </c>
    </row>
    <row r="45" spans="2:6" x14ac:dyDescent="0.25">
      <c r="B45" s="96">
        <v>420000</v>
      </c>
      <c r="C45" s="105">
        <v>0.08</v>
      </c>
      <c r="D45" s="96"/>
      <c r="E45" s="96">
        <v>420000</v>
      </c>
      <c r="F45" s="105">
        <v>0.1</v>
      </c>
    </row>
    <row r="46" spans="2:6" x14ac:dyDescent="0.25">
      <c r="B46" s="96">
        <v>460000</v>
      </c>
      <c r="C46" s="105">
        <v>0.08</v>
      </c>
      <c r="D46" s="96"/>
      <c r="E46" s="96">
        <v>460000</v>
      </c>
      <c r="F46" s="105">
        <v>0.1</v>
      </c>
    </row>
  </sheetData>
  <mergeCells count="1">
    <mergeCell ref="E25:E2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0C21-0A5D-4703-B5DF-ACF9B6936ABD}">
  <dimension ref="A15:O30"/>
  <sheetViews>
    <sheetView workbookViewId="0">
      <selection activeCell="P17" sqref="P17"/>
    </sheetView>
    <sheetView workbookViewId="1">
      <selection activeCell="D18" sqref="D18"/>
    </sheetView>
  </sheetViews>
  <sheetFormatPr defaultRowHeight="15" x14ac:dyDescent="0.25"/>
  <cols>
    <col min="14" max="15" width="9.140625" customWidth="1"/>
  </cols>
  <sheetData>
    <row r="15" spans="1:7" x14ac:dyDescent="0.25">
      <c r="A15" t="s">
        <v>234</v>
      </c>
      <c r="D15">
        <v>0.45</v>
      </c>
      <c r="F15" t="s">
        <v>239</v>
      </c>
      <c r="G15">
        <f>D19*D18</f>
        <v>549.1</v>
      </c>
    </row>
    <row r="16" spans="1:7" x14ac:dyDescent="0.25">
      <c r="A16" t="s">
        <v>158</v>
      </c>
      <c r="D16">
        <v>875</v>
      </c>
    </row>
    <row r="17" spans="1:15" x14ac:dyDescent="0.25">
      <c r="A17" t="s">
        <v>235</v>
      </c>
      <c r="D17">
        <v>1553.45</v>
      </c>
    </row>
    <row r="18" spans="1:15" x14ac:dyDescent="0.25">
      <c r="A18" t="s">
        <v>57</v>
      </c>
      <c r="D18">
        <v>5780</v>
      </c>
    </row>
    <row r="19" spans="1:15" x14ac:dyDescent="0.25">
      <c r="A19" t="s">
        <v>236</v>
      </c>
      <c r="D19" s="31">
        <v>9.5000000000000001E-2</v>
      </c>
    </row>
    <row r="20" spans="1:15" x14ac:dyDescent="0.25">
      <c r="A20" t="s">
        <v>122</v>
      </c>
      <c r="D20" s="31">
        <v>0.185</v>
      </c>
    </row>
    <row r="21" spans="1:15" x14ac:dyDescent="0.25">
      <c r="A21" t="s">
        <v>238</v>
      </c>
      <c r="D21" s="23">
        <v>0.55000000000000004</v>
      </c>
    </row>
    <row r="23" spans="1:15" x14ac:dyDescent="0.25">
      <c r="A23" t="s">
        <v>112</v>
      </c>
      <c r="B23" t="s">
        <v>237</v>
      </c>
    </row>
    <row r="24" spans="1:15" x14ac:dyDescent="0.25">
      <c r="J24" t="s">
        <v>114</v>
      </c>
      <c r="K24" t="s">
        <v>161</v>
      </c>
    </row>
    <row r="25" spans="1:15" x14ac:dyDescent="0.25">
      <c r="B25" t="s">
        <v>246</v>
      </c>
    </row>
    <row r="26" spans="1:15" x14ac:dyDescent="0.25">
      <c r="B26">
        <f>(D17+D16)/D15</f>
        <v>5396.5555555555547</v>
      </c>
    </row>
    <row r="27" spans="1:15" x14ac:dyDescent="0.25">
      <c r="B27" s="28">
        <f>B26*0.45</f>
        <v>2428.4499999999998</v>
      </c>
      <c r="O27" s="114"/>
    </row>
    <row r="28" spans="1:15" x14ac:dyDescent="0.25">
      <c r="L28" s="115">
        <f>(0.55*B26)/D16</f>
        <v>3.3921206349206345</v>
      </c>
    </row>
    <row r="29" spans="1:15" x14ac:dyDescent="0.25">
      <c r="A29" t="s">
        <v>107</v>
      </c>
      <c r="B29" t="s">
        <v>247</v>
      </c>
    </row>
    <row r="30" spans="1:15" x14ac:dyDescent="0.25">
      <c r="B30" s="28">
        <f>B26-(D16+D17)</f>
        <v>2968.1055555555549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C4A0-7F42-4D8B-8753-DDD3A030E53E}">
  <dimension ref="A1:F63"/>
  <sheetViews>
    <sheetView workbookViewId="0"/>
    <sheetView topLeftCell="A37" workbookViewId="1">
      <selection activeCell="A47" sqref="A47:B48"/>
    </sheetView>
  </sheetViews>
  <sheetFormatPr defaultRowHeight="15" x14ac:dyDescent="0.25"/>
  <cols>
    <col min="1" max="1" width="40.28515625" bestFit="1" customWidth="1"/>
    <col min="2" max="2" width="36.85546875" bestFit="1" customWidth="1"/>
    <col min="3" max="4" width="11.5703125" bestFit="1" customWidth="1"/>
    <col min="5" max="5" width="13.85546875" customWidth="1"/>
    <col min="6" max="6" width="33.140625" customWidth="1"/>
  </cols>
  <sheetData>
    <row r="1" spans="1:6" ht="30" x14ac:dyDescent="0.3">
      <c r="A1" s="60" t="s">
        <v>178</v>
      </c>
      <c r="B1" s="60" t="s">
        <v>178</v>
      </c>
      <c r="C1" s="61" t="s">
        <v>29</v>
      </c>
      <c r="D1" s="62" t="s">
        <v>28</v>
      </c>
      <c r="E1" s="63" t="s">
        <v>179</v>
      </c>
      <c r="F1" s="64" t="s">
        <v>180</v>
      </c>
    </row>
    <row r="2" spans="1:6" ht="16.5" x14ac:dyDescent="0.3">
      <c r="A2" s="65" t="s">
        <v>181</v>
      </c>
      <c r="B2" s="66" t="s">
        <v>178</v>
      </c>
      <c r="C2" s="67" t="s">
        <v>178</v>
      </c>
      <c r="D2" s="67" t="s">
        <v>178</v>
      </c>
      <c r="E2" s="68" t="s">
        <v>178</v>
      </c>
      <c r="F2" s="69" t="s">
        <v>178</v>
      </c>
    </row>
    <row r="3" spans="1:6" ht="16.5" x14ac:dyDescent="0.3">
      <c r="A3" s="70" t="s">
        <v>182</v>
      </c>
      <c r="B3" s="71" t="s">
        <v>183</v>
      </c>
      <c r="C3" s="60" t="s">
        <v>178</v>
      </c>
      <c r="D3" s="60" t="s">
        <v>178</v>
      </c>
      <c r="E3" s="60" t="s">
        <v>184</v>
      </c>
      <c r="F3" s="72" t="s">
        <v>178</v>
      </c>
    </row>
    <row r="4" spans="1:6" ht="16.5" x14ac:dyDescent="0.3">
      <c r="A4" s="113" t="s">
        <v>240</v>
      </c>
      <c r="B4" s="60" t="s">
        <v>185</v>
      </c>
      <c r="C4" s="60" t="s">
        <v>178</v>
      </c>
      <c r="D4" s="60" t="s">
        <v>178</v>
      </c>
      <c r="E4" s="60" t="s">
        <v>178</v>
      </c>
      <c r="F4" s="72" t="s">
        <v>178</v>
      </c>
    </row>
    <row r="5" spans="1:6" ht="16.5" x14ac:dyDescent="0.3">
      <c r="A5" s="70" t="s">
        <v>178</v>
      </c>
      <c r="B5" s="60" t="s">
        <v>178</v>
      </c>
      <c r="C5" s="60" t="s">
        <v>178</v>
      </c>
      <c r="D5" s="60" t="s">
        <v>178</v>
      </c>
      <c r="E5" s="60" t="s">
        <v>178</v>
      </c>
      <c r="F5" s="72" t="s">
        <v>178</v>
      </c>
    </row>
    <row r="6" spans="1:6" ht="16.5" x14ac:dyDescent="0.3">
      <c r="A6" s="70" t="s">
        <v>186</v>
      </c>
      <c r="B6" s="71" t="s">
        <v>187</v>
      </c>
      <c r="C6" s="60" t="s">
        <v>178</v>
      </c>
      <c r="D6" s="60" t="s">
        <v>178</v>
      </c>
      <c r="E6" s="60" t="s">
        <v>188</v>
      </c>
      <c r="F6" s="72" t="s">
        <v>178</v>
      </c>
    </row>
    <row r="7" spans="1:6" ht="16.5" x14ac:dyDescent="0.3">
      <c r="A7" s="113" t="s">
        <v>241</v>
      </c>
      <c r="B7" s="60" t="s">
        <v>185</v>
      </c>
      <c r="C7" s="60" t="s">
        <v>178</v>
      </c>
      <c r="D7" s="60" t="s">
        <v>178</v>
      </c>
      <c r="E7" s="60" t="s">
        <v>178</v>
      </c>
      <c r="F7" s="72" t="s">
        <v>178</v>
      </c>
    </row>
    <row r="8" spans="1:6" ht="16.5" x14ac:dyDescent="0.3">
      <c r="A8" s="73" t="s">
        <v>178</v>
      </c>
      <c r="B8" s="74" t="s">
        <v>178</v>
      </c>
      <c r="C8" s="74" t="s">
        <v>178</v>
      </c>
      <c r="D8" s="74" t="s">
        <v>178</v>
      </c>
      <c r="E8" s="74" t="s">
        <v>178</v>
      </c>
      <c r="F8" s="75" t="s">
        <v>178</v>
      </c>
    </row>
    <row r="9" spans="1:6" ht="16.5" x14ac:dyDescent="0.3">
      <c r="A9" s="60" t="s">
        <v>178</v>
      </c>
      <c r="B9" s="60" t="s">
        <v>178</v>
      </c>
      <c r="C9" s="60" t="s">
        <v>178</v>
      </c>
      <c r="D9" s="60" t="s">
        <v>178</v>
      </c>
      <c r="E9" s="60" t="s">
        <v>178</v>
      </c>
      <c r="F9" s="60" t="s">
        <v>178</v>
      </c>
    </row>
    <row r="10" spans="1:6" ht="16.5" x14ac:dyDescent="0.3">
      <c r="A10" s="76" t="s">
        <v>189</v>
      </c>
      <c r="B10" s="77" t="s">
        <v>178</v>
      </c>
      <c r="C10" s="77" t="s">
        <v>178</v>
      </c>
      <c r="D10" s="77" t="s">
        <v>178</v>
      </c>
      <c r="E10" s="77" t="s">
        <v>178</v>
      </c>
      <c r="F10" s="78" t="s">
        <v>178</v>
      </c>
    </row>
    <row r="11" spans="1:6" ht="16.5" x14ac:dyDescent="0.3">
      <c r="A11" s="70" t="s">
        <v>178</v>
      </c>
      <c r="B11" s="60" t="s">
        <v>178</v>
      </c>
      <c r="C11" s="60" t="s">
        <v>178</v>
      </c>
      <c r="D11" s="60" t="s">
        <v>178</v>
      </c>
      <c r="E11" s="60" t="s">
        <v>178</v>
      </c>
      <c r="F11" s="72" t="s">
        <v>178</v>
      </c>
    </row>
    <row r="12" spans="1:6" ht="16.5" x14ac:dyDescent="0.3">
      <c r="A12" s="70" t="s">
        <v>190</v>
      </c>
      <c r="B12" s="71" t="s">
        <v>191</v>
      </c>
      <c r="C12" s="60" t="s">
        <v>178</v>
      </c>
      <c r="D12" s="60" t="s">
        <v>178</v>
      </c>
      <c r="E12" s="60">
        <v>8</v>
      </c>
      <c r="F12" s="72" t="s">
        <v>178</v>
      </c>
    </row>
    <row r="13" spans="1:6" ht="16.5" x14ac:dyDescent="0.3">
      <c r="A13" s="70" t="s">
        <v>178</v>
      </c>
      <c r="B13" s="60" t="s">
        <v>163</v>
      </c>
      <c r="C13" s="60" t="s">
        <v>178</v>
      </c>
      <c r="D13" s="60" t="s">
        <v>178</v>
      </c>
      <c r="E13" s="60" t="s">
        <v>178</v>
      </c>
      <c r="F13" s="72" t="s">
        <v>178</v>
      </c>
    </row>
    <row r="14" spans="1:6" ht="16.5" x14ac:dyDescent="0.3">
      <c r="A14" s="70" t="s">
        <v>178</v>
      </c>
      <c r="B14" s="60" t="s">
        <v>178</v>
      </c>
      <c r="C14" s="60" t="s">
        <v>178</v>
      </c>
      <c r="D14" s="60" t="s">
        <v>178</v>
      </c>
      <c r="E14" s="60" t="s">
        <v>178</v>
      </c>
      <c r="F14" s="72" t="s">
        <v>178</v>
      </c>
    </row>
    <row r="15" spans="1:6" ht="16.5" x14ac:dyDescent="0.3">
      <c r="A15" s="70" t="s">
        <v>164</v>
      </c>
      <c r="B15" s="71">
        <v>365</v>
      </c>
      <c r="C15" s="60" t="s">
        <v>178</v>
      </c>
      <c r="D15" s="60" t="s">
        <v>178</v>
      </c>
      <c r="E15" s="60" t="s">
        <v>192</v>
      </c>
      <c r="F15" s="72" t="s">
        <v>178</v>
      </c>
    </row>
    <row r="16" spans="1:6" ht="16.5" x14ac:dyDescent="0.3">
      <c r="A16" s="113" t="s">
        <v>243</v>
      </c>
      <c r="B16" s="60" t="s">
        <v>190</v>
      </c>
      <c r="C16" s="60" t="s">
        <v>178</v>
      </c>
      <c r="D16" s="60" t="s">
        <v>178</v>
      </c>
      <c r="E16" s="60" t="s">
        <v>178</v>
      </c>
      <c r="F16" s="72" t="s">
        <v>178</v>
      </c>
    </row>
    <row r="17" spans="1:6" ht="16.5" x14ac:dyDescent="0.3">
      <c r="A17" s="70" t="s">
        <v>178</v>
      </c>
      <c r="B17" s="60" t="s">
        <v>178</v>
      </c>
      <c r="C17" s="60" t="s">
        <v>178</v>
      </c>
      <c r="D17" s="60" t="s">
        <v>178</v>
      </c>
      <c r="E17" s="60" t="s">
        <v>178</v>
      </c>
      <c r="F17" s="72" t="s">
        <v>178</v>
      </c>
    </row>
    <row r="18" spans="1:6" ht="16.5" x14ac:dyDescent="0.3">
      <c r="A18" s="70" t="s">
        <v>178</v>
      </c>
      <c r="B18" s="60" t="s">
        <v>178</v>
      </c>
      <c r="C18" s="60" t="s">
        <v>178</v>
      </c>
      <c r="D18" s="60" t="s">
        <v>178</v>
      </c>
      <c r="E18" s="60" t="s">
        <v>178</v>
      </c>
      <c r="F18" s="72" t="s">
        <v>178</v>
      </c>
    </row>
    <row r="19" spans="1:6" ht="16.5" x14ac:dyDescent="0.3">
      <c r="A19" s="70" t="s">
        <v>193</v>
      </c>
      <c r="B19" s="71" t="s">
        <v>171</v>
      </c>
      <c r="C19" s="60" t="s">
        <v>178</v>
      </c>
      <c r="D19" s="60" t="s">
        <v>178</v>
      </c>
      <c r="E19" s="60">
        <v>36</v>
      </c>
      <c r="F19" s="72" t="s">
        <v>178</v>
      </c>
    </row>
    <row r="20" spans="1:6" ht="16.5" x14ac:dyDescent="0.3">
      <c r="A20" s="113" t="s">
        <v>244</v>
      </c>
      <c r="B20" s="60" t="s">
        <v>194</v>
      </c>
      <c r="C20" s="60" t="s">
        <v>178</v>
      </c>
      <c r="D20" s="60" t="s">
        <v>178</v>
      </c>
      <c r="E20" s="60" t="s">
        <v>178</v>
      </c>
      <c r="F20" s="72" t="s">
        <v>178</v>
      </c>
    </row>
    <row r="21" spans="1:6" ht="16.5" x14ac:dyDescent="0.3">
      <c r="A21" s="70" t="s">
        <v>178</v>
      </c>
      <c r="B21" s="60" t="s">
        <v>178</v>
      </c>
      <c r="C21" s="60" t="s">
        <v>178</v>
      </c>
      <c r="D21" s="60" t="s">
        <v>178</v>
      </c>
      <c r="E21" s="60" t="s">
        <v>178</v>
      </c>
      <c r="F21" s="72" t="s">
        <v>178</v>
      </c>
    </row>
    <row r="22" spans="1:6" ht="16.5" x14ac:dyDescent="0.3">
      <c r="A22" s="70" t="s">
        <v>195</v>
      </c>
      <c r="B22" s="71" t="s">
        <v>57</v>
      </c>
      <c r="C22" s="60" t="s">
        <v>178</v>
      </c>
      <c r="D22" s="60" t="s">
        <v>178</v>
      </c>
      <c r="E22" s="60" t="s">
        <v>196</v>
      </c>
      <c r="F22" s="72" t="s">
        <v>178</v>
      </c>
    </row>
    <row r="23" spans="1:6" ht="16.5" x14ac:dyDescent="0.3">
      <c r="A23" s="70" t="s">
        <v>178</v>
      </c>
      <c r="B23" s="60" t="s">
        <v>197</v>
      </c>
      <c r="C23" s="60" t="s">
        <v>178</v>
      </c>
      <c r="D23" s="60" t="s">
        <v>178</v>
      </c>
      <c r="E23" s="60" t="s">
        <v>178</v>
      </c>
      <c r="F23" s="72" t="s">
        <v>178</v>
      </c>
    </row>
    <row r="24" spans="1:6" ht="16.5" x14ac:dyDescent="0.3">
      <c r="A24" s="70" t="s">
        <v>178</v>
      </c>
      <c r="B24" s="60" t="s">
        <v>178</v>
      </c>
      <c r="C24" s="60" t="s">
        <v>178</v>
      </c>
      <c r="D24" s="60" t="s">
        <v>178</v>
      </c>
      <c r="E24" s="60" t="s">
        <v>178</v>
      </c>
      <c r="F24" s="72" t="s">
        <v>178</v>
      </c>
    </row>
    <row r="25" spans="1:6" ht="16.5" x14ac:dyDescent="0.3">
      <c r="A25" s="70" t="s">
        <v>198</v>
      </c>
      <c r="B25" s="71" t="s">
        <v>57</v>
      </c>
      <c r="C25" s="60" t="s">
        <v>178</v>
      </c>
      <c r="D25" s="60" t="s">
        <v>178</v>
      </c>
      <c r="E25" s="60" t="s">
        <v>199</v>
      </c>
      <c r="F25" s="72" t="s">
        <v>178</v>
      </c>
    </row>
    <row r="26" spans="1:6" ht="16.5" x14ac:dyDescent="0.3">
      <c r="A26" s="73" t="s">
        <v>178</v>
      </c>
      <c r="B26" s="74" t="s">
        <v>200</v>
      </c>
      <c r="C26" s="74" t="s">
        <v>178</v>
      </c>
      <c r="D26" s="74" t="s">
        <v>178</v>
      </c>
      <c r="E26" s="74" t="s">
        <v>178</v>
      </c>
      <c r="F26" s="75" t="s">
        <v>178</v>
      </c>
    </row>
    <row r="27" spans="1:6" ht="16.5" x14ac:dyDescent="0.3">
      <c r="A27" s="60" t="s">
        <v>178</v>
      </c>
      <c r="B27" s="60" t="s">
        <v>178</v>
      </c>
      <c r="C27" s="60" t="s">
        <v>178</v>
      </c>
      <c r="D27" s="60" t="s">
        <v>178</v>
      </c>
      <c r="E27" s="60" t="s">
        <v>178</v>
      </c>
      <c r="F27" s="60" t="s">
        <v>178</v>
      </c>
    </row>
    <row r="28" spans="1:6" ht="16.5" x14ac:dyDescent="0.3">
      <c r="A28" s="79" t="s">
        <v>201</v>
      </c>
      <c r="B28" s="80" t="s">
        <v>178</v>
      </c>
      <c r="C28" s="80" t="s">
        <v>178</v>
      </c>
      <c r="D28" s="80" t="s">
        <v>178</v>
      </c>
      <c r="E28" s="80" t="s">
        <v>178</v>
      </c>
      <c r="F28" s="81" t="s">
        <v>178</v>
      </c>
    </row>
    <row r="29" spans="1:6" ht="16.5" x14ac:dyDescent="0.3">
      <c r="A29" s="82" t="s">
        <v>178</v>
      </c>
      <c r="B29" s="60" t="s">
        <v>178</v>
      </c>
      <c r="C29" s="60" t="s">
        <v>178</v>
      </c>
      <c r="D29" s="60" t="s">
        <v>178</v>
      </c>
      <c r="E29" s="60" t="s">
        <v>178</v>
      </c>
      <c r="F29" s="72" t="s">
        <v>178</v>
      </c>
    </row>
    <row r="30" spans="1:6" ht="16.5" x14ac:dyDescent="0.3">
      <c r="A30" s="70" t="s">
        <v>202</v>
      </c>
      <c r="B30" s="71" t="s">
        <v>202</v>
      </c>
      <c r="C30" s="60" t="s">
        <v>178</v>
      </c>
      <c r="D30" s="60" t="s">
        <v>178</v>
      </c>
      <c r="E30" s="60" t="s">
        <v>203</v>
      </c>
      <c r="F30" s="72" t="s">
        <v>178</v>
      </c>
    </row>
    <row r="31" spans="1:6" ht="16.5" x14ac:dyDescent="0.3">
      <c r="A31" s="113" t="s">
        <v>240</v>
      </c>
      <c r="B31" s="60" t="s">
        <v>200</v>
      </c>
      <c r="C31" s="60" t="s">
        <v>178</v>
      </c>
      <c r="D31" s="60" t="s">
        <v>178</v>
      </c>
      <c r="E31" s="60" t="s">
        <v>178</v>
      </c>
      <c r="F31" s="72" t="s">
        <v>178</v>
      </c>
    </row>
    <row r="32" spans="1:6" ht="16.5" x14ac:dyDescent="0.3">
      <c r="A32" s="70" t="s">
        <v>178</v>
      </c>
      <c r="B32" s="60" t="s">
        <v>178</v>
      </c>
      <c r="C32" s="60" t="s">
        <v>178</v>
      </c>
      <c r="D32" s="60" t="s">
        <v>178</v>
      </c>
      <c r="E32" s="60" t="s">
        <v>178</v>
      </c>
      <c r="F32" s="72" t="s">
        <v>178</v>
      </c>
    </row>
    <row r="33" spans="1:6" ht="16.5" x14ac:dyDescent="0.3">
      <c r="A33" s="70" t="s">
        <v>204</v>
      </c>
      <c r="B33" s="71" t="s">
        <v>205</v>
      </c>
      <c r="C33" s="60" t="s">
        <v>178</v>
      </c>
      <c r="D33" s="60" t="s">
        <v>178</v>
      </c>
      <c r="E33" s="60" t="s">
        <v>206</v>
      </c>
      <c r="F33" s="72" t="s">
        <v>178</v>
      </c>
    </row>
    <row r="34" spans="1:6" ht="16.5" x14ac:dyDescent="0.3">
      <c r="A34" s="113" t="s">
        <v>241</v>
      </c>
      <c r="B34" s="74" t="s">
        <v>207</v>
      </c>
      <c r="C34" s="74" t="s">
        <v>178</v>
      </c>
      <c r="D34" s="74" t="s">
        <v>178</v>
      </c>
      <c r="E34" s="74" t="s">
        <v>178</v>
      </c>
      <c r="F34" s="75" t="s">
        <v>178</v>
      </c>
    </row>
    <row r="35" spans="1:6" ht="16.5" x14ac:dyDescent="0.3">
      <c r="A35" s="60" t="s">
        <v>178</v>
      </c>
      <c r="B35" s="60" t="s">
        <v>178</v>
      </c>
      <c r="C35" s="60" t="s">
        <v>178</v>
      </c>
      <c r="D35" s="60" t="s">
        <v>178</v>
      </c>
      <c r="E35" s="60" t="s">
        <v>178</v>
      </c>
      <c r="F35" s="60" t="s">
        <v>178</v>
      </c>
    </row>
    <row r="36" spans="1:6" ht="16.5" x14ac:dyDescent="0.3">
      <c r="A36" s="83" t="s">
        <v>208</v>
      </c>
      <c r="B36" s="84" t="s">
        <v>178</v>
      </c>
      <c r="C36" s="84" t="s">
        <v>178</v>
      </c>
      <c r="D36" s="84" t="s">
        <v>178</v>
      </c>
      <c r="E36" s="84" t="s">
        <v>178</v>
      </c>
      <c r="F36" s="85" t="s">
        <v>178</v>
      </c>
    </row>
    <row r="37" spans="1:6" x14ac:dyDescent="0.25">
      <c r="A37" s="86" t="s">
        <v>178</v>
      </c>
      <c r="B37" s="87" t="s">
        <v>178</v>
      </c>
      <c r="C37" s="87" t="s">
        <v>178</v>
      </c>
      <c r="D37" s="87" t="s">
        <v>178</v>
      </c>
      <c r="E37" s="87" t="s">
        <v>178</v>
      </c>
      <c r="F37" s="88" t="s">
        <v>178</v>
      </c>
    </row>
    <row r="38" spans="1:6" ht="16.5" x14ac:dyDescent="0.3">
      <c r="A38" s="70" t="s">
        <v>209</v>
      </c>
      <c r="B38" s="71" t="s">
        <v>210</v>
      </c>
      <c r="C38" s="60" t="s">
        <v>178</v>
      </c>
      <c r="D38" s="60" t="s">
        <v>178</v>
      </c>
      <c r="E38" s="60" t="s">
        <v>211</v>
      </c>
      <c r="F38" s="72" t="s">
        <v>178</v>
      </c>
    </row>
    <row r="39" spans="1:6" ht="16.5" x14ac:dyDescent="0.3">
      <c r="A39" s="113" t="s">
        <v>242</v>
      </c>
      <c r="B39" s="60" t="s">
        <v>57</v>
      </c>
      <c r="C39" s="60" t="s">
        <v>178</v>
      </c>
      <c r="D39" s="60" t="s">
        <v>178</v>
      </c>
      <c r="E39" s="60" t="s">
        <v>178</v>
      </c>
      <c r="F39" s="72" t="s">
        <v>178</v>
      </c>
    </row>
    <row r="40" spans="1:6" ht="16.5" x14ac:dyDescent="0.3">
      <c r="A40" s="70" t="s">
        <v>178</v>
      </c>
      <c r="B40" s="60" t="s">
        <v>178</v>
      </c>
      <c r="C40" s="60" t="s">
        <v>178</v>
      </c>
      <c r="D40" s="60" t="s">
        <v>178</v>
      </c>
      <c r="E40" s="60" t="s">
        <v>178</v>
      </c>
      <c r="F40" s="72" t="s">
        <v>178</v>
      </c>
    </row>
    <row r="41" spans="1:6" ht="16.5" x14ac:dyDescent="0.3">
      <c r="A41" s="70" t="s">
        <v>212</v>
      </c>
      <c r="B41" s="71" t="s">
        <v>205</v>
      </c>
      <c r="C41" s="60" t="s">
        <v>178</v>
      </c>
      <c r="D41" s="60" t="s">
        <v>178</v>
      </c>
      <c r="E41" s="60" t="s">
        <v>213</v>
      </c>
      <c r="F41" s="72" t="s">
        <v>178</v>
      </c>
    </row>
    <row r="42" spans="1:6" ht="16.5" x14ac:dyDescent="0.3">
      <c r="A42" s="70" t="s">
        <v>178</v>
      </c>
      <c r="B42" s="60" t="s">
        <v>200</v>
      </c>
      <c r="C42" s="60" t="s">
        <v>178</v>
      </c>
      <c r="D42" s="60" t="s">
        <v>178</v>
      </c>
      <c r="E42" s="60" t="s">
        <v>178</v>
      </c>
      <c r="F42" s="72" t="s">
        <v>178</v>
      </c>
    </row>
    <row r="43" spans="1:6" ht="16.5" x14ac:dyDescent="0.3">
      <c r="A43" s="70" t="s">
        <v>178</v>
      </c>
      <c r="B43" s="60" t="s">
        <v>178</v>
      </c>
      <c r="C43" s="60" t="s">
        <v>178</v>
      </c>
      <c r="D43" s="60" t="s">
        <v>178</v>
      </c>
      <c r="E43" s="60" t="s">
        <v>178</v>
      </c>
      <c r="F43" s="72" t="s">
        <v>178</v>
      </c>
    </row>
    <row r="44" spans="1:6" ht="16.5" x14ac:dyDescent="0.3">
      <c r="A44" s="70" t="s">
        <v>214</v>
      </c>
      <c r="B44" s="71" t="s">
        <v>210</v>
      </c>
      <c r="C44" s="60" t="s">
        <v>178</v>
      </c>
      <c r="D44" s="60" t="s">
        <v>178</v>
      </c>
      <c r="E44" s="60" t="s">
        <v>215</v>
      </c>
      <c r="F44" s="72" t="s">
        <v>178</v>
      </c>
    </row>
    <row r="45" spans="1:6" ht="16.5" x14ac:dyDescent="0.3">
      <c r="A45" s="70" t="s">
        <v>178</v>
      </c>
      <c r="B45" s="60" t="s">
        <v>200</v>
      </c>
      <c r="C45" s="60" t="s">
        <v>178</v>
      </c>
      <c r="D45" s="60" t="s">
        <v>178</v>
      </c>
      <c r="E45" s="60" t="s">
        <v>178</v>
      </c>
      <c r="F45" s="72" t="s">
        <v>178</v>
      </c>
    </row>
    <row r="46" spans="1:6" ht="16.5" x14ac:dyDescent="0.3">
      <c r="A46" s="70" t="s">
        <v>178</v>
      </c>
      <c r="B46" s="60" t="s">
        <v>178</v>
      </c>
      <c r="C46" s="60" t="s">
        <v>178</v>
      </c>
      <c r="D46" s="60" t="s">
        <v>178</v>
      </c>
      <c r="E46" s="60" t="s">
        <v>178</v>
      </c>
      <c r="F46" s="72" t="s">
        <v>178</v>
      </c>
    </row>
    <row r="47" spans="1:6" ht="16.5" x14ac:dyDescent="0.3">
      <c r="A47" s="70" t="s">
        <v>216</v>
      </c>
      <c r="B47" s="71" t="s">
        <v>210</v>
      </c>
      <c r="C47" s="60" t="s">
        <v>178</v>
      </c>
      <c r="D47" s="60" t="s">
        <v>178</v>
      </c>
      <c r="E47" s="60" t="s">
        <v>217</v>
      </c>
      <c r="F47" s="72" t="s">
        <v>178</v>
      </c>
    </row>
    <row r="48" spans="1:6" ht="16.5" x14ac:dyDescent="0.3">
      <c r="A48" s="70" t="s">
        <v>218</v>
      </c>
      <c r="B48" s="60" t="s">
        <v>219</v>
      </c>
      <c r="C48" s="60" t="s">
        <v>178</v>
      </c>
      <c r="D48" s="60" t="s">
        <v>178</v>
      </c>
      <c r="E48" s="60" t="s">
        <v>178</v>
      </c>
      <c r="F48" s="72" t="s">
        <v>178</v>
      </c>
    </row>
    <row r="49" spans="1:6" ht="16.5" x14ac:dyDescent="0.3">
      <c r="A49" s="70" t="s">
        <v>178</v>
      </c>
      <c r="B49" s="60" t="s">
        <v>178</v>
      </c>
      <c r="C49" s="60" t="s">
        <v>178</v>
      </c>
      <c r="D49" s="60" t="s">
        <v>178</v>
      </c>
      <c r="E49" s="60" t="s">
        <v>178</v>
      </c>
      <c r="F49" s="72" t="s">
        <v>178</v>
      </c>
    </row>
    <row r="50" spans="1:6" ht="16.5" x14ac:dyDescent="0.3">
      <c r="A50" s="70" t="s">
        <v>220</v>
      </c>
      <c r="B50" s="71" t="s">
        <v>210</v>
      </c>
      <c r="C50" s="60" t="s">
        <v>178</v>
      </c>
      <c r="D50" s="60" t="s">
        <v>178</v>
      </c>
      <c r="E50" s="60" t="s">
        <v>178</v>
      </c>
      <c r="F50" s="72" t="s">
        <v>178</v>
      </c>
    </row>
    <row r="51" spans="1:6" ht="16.5" x14ac:dyDescent="0.3">
      <c r="A51" s="86" t="s">
        <v>178</v>
      </c>
      <c r="B51" s="60" t="s">
        <v>221</v>
      </c>
      <c r="C51" s="87" t="s">
        <v>178</v>
      </c>
      <c r="D51" s="87" t="s">
        <v>178</v>
      </c>
      <c r="E51" s="87" t="s">
        <v>178</v>
      </c>
      <c r="F51" s="88" t="s">
        <v>178</v>
      </c>
    </row>
    <row r="52" spans="1:6" x14ac:dyDescent="0.25">
      <c r="A52" s="86" t="s">
        <v>178</v>
      </c>
      <c r="B52" s="87" t="s">
        <v>178</v>
      </c>
      <c r="C52" s="87" t="s">
        <v>178</v>
      </c>
      <c r="D52" s="87" t="s">
        <v>178</v>
      </c>
      <c r="E52" s="87" t="s">
        <v>178</v>
      </c>
      <c r="F52" s="88" t="s">
        <v>178</v>
      </c>
    </row>
    <row r="53" spans="1:6" ht="16.5" x14ac:dyDescent="0.3">
      <c r="A53" s="70" t="s">
        <v>222</v>
      </c>
      <c r="B53" s="71" t="s">
        <v>223</v>
      </c>
      <c r="C53" s="60" t="s">
        <v>178</v>
      </c>
      <c r="D53" s="60" t="s">
        <v>178</v>
      </c>
      <c r="E53" s="87" t="s">
        <v>178</v>
      </c>
      <c r="F53" s="88" t="s">
        <v>178</v>
      </c>
    </row>
    <row r="54" spans="1:6" ht="16.5" x14ac:dyDescent="0.3">
      <c r="A54" s="89" t="s">
        <v>178</v>
      </c>
      <c r="B54" s="74" t="s">
        <v>221</v>
      </c>
      <c r="C54" s="90" t="s">
        <v>178</v>
      </c>
      <c r="D54" s="90" t="s">
        <v>178</v>
      </c>
      <c r="E54" s="90" t="s">
        <v>178</v>
      </c>
      <c r="F54" s="91" t="s">
        <v>178</v>
      </c>
    </row>
    <row r="55" spans="1:6" x14ac:dyDescent="0.25">
      <c r="A55" s="87" t="s">
        <v>178</v>
      </c>
      <c r="B55" s="87" t="s">
        <v>178</v>
      </c>
      <c r="C55" s="87" t="s">
        <v>178</v>
      </c>
      <c r="D55" s="87" t="s">
        <v>178</v>
      </c>
      <c r="E55" s="87" t="s">
        <v>178</v>
      </c>
      <c r="F55" s="87" t="s">
        <v>178</v>
      </c>
    </row>
    <row r="56" spans="1:6" ht="16.5" x14ac:dyDescent="0.3">
      <c r="A56" s="92" t="s">
        <v>224</v>
      </c>
      <c r="B56" s="93" t="s">
        <v>178</v>
      </c>
      <c r="C56" s="93" t="s">
        <v>178</v>
      </c>
      <c r="D56" s="93" t="s">
        <v>178</v>
      </c>
      <c r="E56" s="93" t="s">
        <v>178</v>
      </c>
      <c r="F56" s="94" t="s">
        <v>178</v>
      </c>
    </row>
    <row r="57" spans="1:6" x14ac:dyDescent="0.25">
      <c r="A57" s="86" t="s">
        <v>178</v>
      </c>
      <c r="B57" s="87" t="s">
        <v>178</v>
      </c>
      <c r="C57" s="87" t="s">
        <v>178</v>
      </c>
      <c r="D57" s="87" t="s">
        <v>178</v>
      </c>
      <c r="E57" s="87" t="s">
        <v>178</v>
      </c>
      <c r="F57" s="88" t="s">
        <v>178</v>
      </c>
    </row>
    <row r="58" spans="1:6" ht="16.5" x14ac:dyDescent="0.3">
      <c r="A58" s="70" t="s">
        <v>225</v>
      </c>
      <c r="B58" s="71" t="s">
        <v>226</v>
      </c>
      <c r="C58" s="60" t="s">
        <v>178</v>
      </c>
      <c r="D58" s="60" t="s">
        <v>178</v>
      </c>
      <c r="E58" s="60" t="s">
        <v>227</v>
      </c>
      <c r="F58" s="72" t="s">
        <v>178</v>
      </c>
    </row>
    <row r="59" spans="1:6" ht="16.5" x14ac:dyDescent="0.3">
      <c r="A59" s="113" t="s">
        <v>245</v>
      </c>
      <c r="B59" s="60" t="s">
        <v>228</v>
      </c>
      <c r="C59" s="60" t="s">
        <v>178</v>
      </c>
      <c r="D59" s="60" t="s">
        <v>178</v>
      </c>
      <c r="E59" s="60" t="s">
        <v>178</v>
      </c>
      <c r="F59" s="72" t="s">
        <v>178</v>
      </c>
    </row>
    <row r="60" spans="1:6" ht="16.5" x14ac:dyDescent="0.3">
      <c r="A60" s="70" t="s">
        <v>178</v>
      </c>
      <c r="B60" s="60" t="s">
        <v>178</v>
      </c>
      <c r="C60" s="60" t="s">
        <v>178</v>
      </c>
      <c r="D60" s="60" t="s">
        <v>178</v>
      </c>
      <c r="E60" s="60" t="s">
        <v>178</v>
      </c>
      <c r="F60" s="72" t="s">
        <v>178</v>
      </c>
    </row>
    <row r="61" spans="1:6" ht="16.5" x14ac:dyDescent="0.3">
      <c r="A61" s="70" t="s">
        <v>229</v>
      </c>
      <c r="B61" s="71" t="s">
        <v>230</v>
      </c>
      <c r="C61" s="60" t="s">
        <v>178</v>
      </c>
      <c r="D61" s="60" t="s">
        <v>178</v>
      </c>
      <c r="E61" s="60" t="s">
        <v>231</v>
      </c>
      <c r="F61" s="72" t="s">
        <v>178</v>
      </c>
    </row>
    <row r="62" spans="1:6" ht="16.5" x14ac:dyDescent="0.3">
      <c r="A62" s="73" t="s">
        <v>232</v>
      </c>
      <c r="B62" s="74" t="s">
        <v>233</v>
      </c>
      <c r="C62" s="74" t="s">
        <v>178</v>
      </c>
      <c r="D62" s="74" t="s">
        <v>178</v>
      </c>
      <c r="E62" s="74" t="s">
        <v>178</v>
      </c>
      <c r="F62" s="75" t="s">
        <v>178</v>
      </c>
    </row>
    <row r="63" spans="1:6" ht="16.5" x14ac:dyDescent="0.3">
      <c r="A63" s="95"/>
      <c r="B63" s="95"/>
      <c r="C63" s="95"/>
      <c r="D63" s="95"/>
      <c r="E63" s="95"/>
      <c r="F63" s="9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0614-35EB-46AD-9B74-D45128C4F511}">
  <dimension ref="A1"/>
  <sheetViews>
    <sheetView workbookViewId="0">
      <selection activeCell="S37" sqref="S37"/>
    </sheetView>
    <sheetView workbookViewId="1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97E5-B53C-4B18-814C-CC363C2CCF8C}">
  <dimension ref="J4:V40"/>
  <sheetViews>
    <sheetView topLeftCell="I21" workbookViewId="0">
      <selection activeCell="S41" sqref="S41"/>
    </sheetView>
    <sheetView tabSelected="1" workbookViewId="1"/>
  </sheetViews>
  <sheetFormatPr defaultRowHeight="15" x14ac:dyDescent="0.25"/>
  <cols>
    <col min="10" max="10" width="40.28515625" customWidth="1"/>
    <col min="11" max="12" width="12.85546875" bestFit="1" customWidth="1"/>
    <col min="13" max="13" width="9.85546875" bestFit="1" customWidth="1"/>
    <col min="14" max="14" width="11.85546875" customWidth="1"/>
    <col min="18" max="18" width="9.85546875" bestFit="1" customWidth="1"/>
    <col min="19" max="19" width="13.5703125" customWidth="1"/>
    <col min="20" max="20" width="12" customWidth="1"/>
    <col min="21" max="22" width="10.42578125" bestFit="1" customWidth="1"/>
  </cols>
  <sheetData>
    <row r="4" spans="10:22" ht="15.75" x14ac:dyDescent="0.25">
      <c r="J4" s="11" t="s">
        <v>23</v>
      </c>
      <c r="K4" s="1"/>
      <c r="L4" s="1"/>
      <c r="M4" s="1"/>
      <c r="N4" s="1"/>
      <c r="O4" s="2"/>
    </row>
    <row r="5" spans="10:22" ht="15.75" x14ac:dyDescent="0.25">
      <c r="J5" s="12" t="s">
        <v>24</v>
      </c>
      <c r="K5" s="4"/>
      <c r="L5" s="4"/>
      <c r="M5" s="4"/>
      <c r="N5" s="4"/>
      <c r="O5" s="5"/>
    </row>
    <row r="6" spans="10:22" ht="15.75" x14ac:dyDescent="0.25">
      <c r="J6" s="12" t="s">
        <v>25</v>
      </c>
      <c r="K6" s="4"/>
      <c r="L6" s="4"/>
      <c r="M6" s="4"/>
      <c r="N6" s="4"/>
      <c r="O6" s="5"/>
    </row>
    <row r="7" spans="10:22" ht="15.75" x14ac:dyDescent="0.25">
      <c r="J7" s="106" t="s">
        <v>26</v>
      </c>
      <c r="K7" s="107"/>
      <c r="L7" s="4"/>
      <c r="M7" s="4"/>
      <c r="N7" s="4"/>
      <c r="O7" s="5"/>
    </row>
    <row r="8" spans="10:22" x14ac:dyDescent="0.25">
      <c r="J8" s="3"/>
      <c r="K8" s="4"/>
      <c r="L8" s="4"/>
      <c r="M8" s="4"/>
      <c r="N8" s="4"/>
      <c r="O8" s="5"/>
    </row>
    <row r="9" spans="10:22" ht="15.75" x14ac:dyDescent="0.25">
      <c r="J9" s="12" t="s">
        <v>27</v>
      </c>
      <c r="K9" s="13" t="s">
        <v>28</v>
      </c>
      <c r="L9" s="13" t="s">
        <v>29</v>
      </c>
      <c r="M9" s="4" t="s">
        <v>30</v>
      </c>
      <c r="N9" s="4"/>
      <c r="O9" s="5"/>
    </row>
    <row r="10" spans="10:22" ht="15.75" x14ac:dyDescent="0.25">
      <c r="J10" s="12" t="s">
        <v>31</v>
      </c>
      <c r="K10" s="14">
        <v>21860</v>
      </c>
      <c r="L10" s="14">
        <v>22050</v>
      </c>
      <c r="M10" s="4">
        <v>190</v>
      </c>
      <c r="N10" s="15"/>
      <c r="O10" s="5"/>
    </row>
    <row r="11" spans="10:22" ht="15.75" x14ac:dyDescent="0.25">
      <c r="J11" s="12" t="s">
        <v>32</v>
      </c>
      <c r="K11" s="14">
        <v>11316</v>
      </c>
      <c r="L11" s="14">
        <v>13850</v>
      </c>
      <c r="M11" s="15">
        <v>2534</v>
      </c>
      <c r="N11" s="15"/>
      <c r="O11" s="5"/>
      <c r="P11" s="20" t="s">
        <v>33</v>
      </c>
      <c r="Q11" s="20"/>
    </row>
    <row r="12" spans="10:22" ht="15.75" x14ac:dyDescent="0.25">
      <c r="J12" s="12" t="s">
        <v>34</v>
      </c>
      <c r="K12" s="14">
        <v>23084</v>
      </c>
      <c r="L12" s="14">
        <v>24650</v>
      </c>
      <c r="M12" s="15">
        <v>1566</v>
      </c>
      <c r="N12" s="15"/>
      <c r="O12" s="5"/>
      <c r="P12" s="21" t="s">
        <v>35</v>
      </c>
      <c r="Q12" s="21"/>
      <c r="U12" s="19">
        <f>M18</f>
        <v>-1000</v>
      </c>
      <c r="V12" s="19"/>
    </row>
    <row r="13" spans="10:22" ht="15.75" x14ac:dyDescent="0.25">
      <c r="J13" s="12" t="s">
        <v>36</v>
      </c>
      <c r="K13" s="14">
        <v>234068</v>
      </c>
      <c r="L13" s="14">
        <v>260525</v>
      </c>
      <c r="M13" s="15">
        <v>26457</v>
      </c>
      <c r="N13" s="15"/>
      <c r="O13" s="5"/>
      <c r="P13" s="21" t="s">
        <v>37</v>
      </c>
      <c r="Q13" s="21"/>
      <c r="U13" s="19">
        <f>M20</f>
        <v>10000</v>
      </c>
      <c r="V13" s="19"/>
    </row>
    <row r="14" spans="10:22" ht="15.75" x14ac:dyDescent="0.25">
      <c r="J14" s="12" t="s">
        <v>38</v>
      </c>
      <c r="K14" s="14">
        <v>290328</v>
      </c>
      <c r="L14" s="14">
        <v>321075</v>
      </c>
      <c r="M14" s="15">
        <v>30747</v>
      </c>
      <c r="N14" s="15"/>
      <c r="O14" s="5"/>
      <c r="P14" s="21" t="s">
        <v>39</v>
      </c>
      <c r="Q14" s="21"/>
      <c r="U14" s="19">
        <f>S31</f>
        <v>-20000</v>
      </c>
    </row>
    <row r="15" spans="10:22" x14ac:dyDescent="0.25">
      <c r="J15" s="3"/>
      <c r="K15" s="4"/>
      <c r="L15" s="4"/>
      <c r="M15" s="4"/>
      <c r="N15" s="15"/>
      <c r="O15" s="5"/>
      <c r="P15" s="22" t="s">
        <v>40</v>
      </c>
      <c r="Q15" s="22"/>
      <c r="U15" s="24">
        <f>U14+U13+U12</f>
        <v>-11000</v>
      </c>
    </row>
    <row r="16" spans="10:22" ht="15.75" x14ac:dyDescent="0.25">
      <c r="J16" s="12" t="s">
        <v>41</v>
      </c>
      <c r="K16" s="4"/>
      <c r="L16" s="4"/>
      <c r="M16" s="4"/>
      <c r="N16" s="15"/>
      <c r="O16" s="5"/>
      <c r="U16" s="19"/>
    </row>
    <row r="17" spans="10:21" ht="15.75" x14ac:dyDescent="0.25">
      <c r="J17" s="12" t="s">
        <v>42</v>
      </c>
      <c r="K17" s="14">
        <v>19320</v>
      </c>
      <c r="L17" s="14">
        <v>22850</v>
      </c>
      <c r="M17" s="15">
        <v>3530</v>
      </c>
      <c r="N17" s="15"/>
      <c r="O17" s="5"/>
    </row>
    <row r="18" spans="10:21" ht="15.75" x14ac:dyDescent="0.25">
      <c r="J18" s="12" t="s">
        <v>43</v>
      </c>
      <c r="K18" s="14">
        <v>10000</v>
      </c>
      <c r="L18" s="14">
        <v>9000</v>
      </c>
      <c r="M18" s="15">
        <f>L18-K18</f>
        <v>-1000</v>
      </c>
      <c r="N18" s="15"/>
      <c r="O18" s="5"/>
    </row>
    <row r="19" spans="10:21" ht="15.75" x14ac:dyDescent="0.25">
      <c r="J19" s="12" t="s">
        <v>44</v>
      </c>
      <c r="K19" s="14">
        <v>9643</v>
      </c>
      <c r="L19" s="14">
        <v>11385</v>
      </c>
      <c r="M19" s="15">
        <v>1742</v>
      </c>
      <c r="N19" s="15"/>
      <c r="P19" s="5" t="s">
        <v>45</v>
      </c>
    </row>
    <row r="20" spans="10:21" ht="15.75" x14ac:dyDescent="0.25">
      <c r="J20" s="12" t="s">
        <v>46</v>
      </c>
      <c r="K20" s="14">
        <v>75000</v>
      </c>
      <c r="L20" s="14">
        <v>85000</v>
      </c>
      <c r="M20" s="15">
        <v>10000</v>
      </c>
      <c r="N20" s="15"/>
      <c r="P20" s="5" t="s">
        <v>47</v>
      </c>
      <c r="T20" s="19">
        <f>M18</f>
        <v>-1000</v>
      </c>
    </row>
    <row r="21" spans="10:21" ht="15.75" x14ac:dyDescent="0.25">
      <c r="J21" s="12" t="s">
        <v>48</v>
      </c>
      <c r="K21" s="14">
        <v>25000</v>
      </c>
      <c r="L21" s="14">
        <v>25000</v>
      </c>
      <c r="M21" s="4">
        <v>0</v>
      </c>
      <c r="N21" s="15"/>
      <c r="P21" s="5" t="s">
        <v>49</v>
      </c>
      <c r="T21" s="19">
        <f>M20</f>
        <v>10000</v>
      </c>
    </row>
    <row r="22" spans="10:21" ht="15.75" x14ac:dyDescent="0.25">
      <c r="J22" s="12" t="s">
        <v>50</v>
      </c>
      <c r="K22" s="14">
        <v>151365</v>
      </c>
      <c r="L22" s="14">
        <v>167840</v>
      </c>
      <c r="M22" s="15">
        <v>16475</v>
      </c>
      <c r="N22" s="15"/>
      <c r="O22" s="5"/>
    </row>
    <row r="23" spans="10:21" ht="15.75" x14ac:dyDescent="0.25">
      <c r="J23" s="12" t="s">
        <v>51</v>
      </c>
      <c r="K23" s="14">
        <v>290328</v>
      </c>
      <c r="L23" s="14">
        <v>321075</v>
      </c>
      <c r="M23" s="15">
        <v>30747</v>
      </c>
      <c r="N23" s="15"/>
      <c r="O23" s="5"/>
    </row>
    <row r="24" spans="10:21" x14ac:dyDescent="0.25">
      <c r="J24" s="3"/>
      <c r="K24" s="4"/>
      <c r="L24" s="4"/>
      <c r="M24" s="4"/>
      <c r="N24" s="4"/>
      <c r="O24" s="5"/>
      <c r="P24" s="36" t="s">
        <v>52</v>
      </c>
      <c r="Q24" s="36"/>
      <c r="R24" s="36"/>
      <c r="S24" s="37"/>
      <c r="T24" s="37"/>
      <c r="U24" s="19"/>
    </row>
    <row r="25" spans="10:21" ht="15.75" x14ac:dyDescent="0.25">
      <c r="J25" s="12" t="s">
        <v>53</v>
      </c>
      <c r="K25" s="4"/>
      <c r="L25" s="4"/>
      <c r="M25" s="4"/>
      <c r="N25" s="4"/>
      <c r="O25" s="5"/>
      <c r="P25" s="38" t="s">
        <v>54</v>
      </c>
      <c r="Q25" s="38"/>
      <c r="R25" s="38"/>
      <c r="S25" s="40">
        <f>M13</f>
        <v>26457</v>
      </c>
      <c r="T25" s="38"/>
    </row>
    <row r="26" spans="10:21" ht="15.75" x14ac:dyDescent="0.25">
      <c r="J26" s="12" t="s">
        <v>25</v>
      </c>
      <c r="K26" s="4"/>
      <c r="L26" s="4"/>
      <c r="M26" s="4"/>
      <c r="N26" s="4"/>
      <c r="O26" s="5"/>
      <c r="P26" s="39" t="s">
        <v>55</v>
      </c>
      <c r="Q26" s="39"/>
      <c r="R26" s="39"/>
      <c r="S26" s="39"/>
      <c r="T26" s="41">
        <f>-M23-M13</f>
        <v>-57204</v>
      </c>
    </row>
    <row r="27" spans="10:21" ht="15.75" x14ac:dyDescent="0.25">
      <c r="J27" s="106" t="s">
        <v>26</v>
      </c>
      <c r="K27" s="107"/>
      <c r="L27" s="4"/>
      <c r="M27" s="4"/>
      <c r="N27" s="4"/>
      <c r="O27" s="5"/>
    </row>
    <row r="28" spans="10:21" x14ac:dyDescent="0.25">
      <c r="J28" s="3"/>
      <c r="K28" s="4"/>
      <c r="L28" s="4"/>
      <c r="M28" s="4"/>
      <c r="N28" s="4"/>
      <c r="O28" s="5"/>
    </row>
    <row r="29" spans="10:21" ht="15.75" x14ac:dyDescent="0.25">
      <c r="J29" s="3"/>
      <c r="K29" s="13" t="s">
        <v>29</v>
      </c>
      <c r="L29" s="4"/>
      <c r="M29" s="4"/>
      <c r="N29" s="4"/>
      <c r="O29" s="5"/>
      <c r="P29" s="42" t="s">
        <v>56</v>
      </c>
      <c r="Q29" s="42"/>
      <c r="R29" s="42"/>
      <c r="S29" s="42"/>
      <c r="T29" s="42"/>
      <c r="U29" s="42"/>
    </row>
    <row r="30" spans="10:21" ht="15.75" x14ac:dyDescent="0.25">
      <c r="J30" s="12" t="s">
        <v>57</v>
      </c>
      <c r="K30" s="13">
        <v>305830</v>
      </c>
      <c r="L30" s="4"/>
      <c r="M30" s="4"/>
      <c r="N30" s="4"/>
      <c r="O30" s="5"/>
      <c r="P30" s="43"/>
      <c r="Q30" s="43" t="s">
        <v>58</v>
      </c>
      <c r="R30" s="43"/>
      <c r="S30" s="43"/>
      <c r="T30" s="43"/>
      <c r="U30" s="43"/>
    </row>
    <row r="31" spans="10:21" ht="15.75" x14ac:dyDescent="0.25">
      <c r="J31" s="12" t="s">
        <v>59</v>
      </c>
      <c r="K31" s="13">
        <v>183498</v>
      </c>
      <c r="L31" s="4"/>
      <c r="M31" s="4"/>
      <c r="N31" s="4"/>
      <c r="O31" s="5"/>
      <c r="P31" s="43"/>
      <c r="Q31" s="43" t="s">
        <v>60</v>
      </c>
      <c r="R31" s="43"/>
      <c r="S31" s="44">
        <f>M22-K39</f>
        <v>-20000</v>
      </c>
      <c r="T31" s="43"/>
      <c r="U31" s="43"/>
    </row>
    <row r="32" spans="10:21" ht="15.75" x14ac:dyDescent="0.25">
      <c r="J32" s="12" t="s">
        <v>61</v>
      </c>
      <c r="K32" s="13">
        <v>122332</v>
      </c>
      <c r="L32" s="4"/>
      <c r="M32" s="4"/>
      <c r="N32" s="4"/>
      <c r="O32" s="5"/>
    </row>
    <row r="33" spans="10:19" ht="15.75" x14ac:dyDescent="0.25">
      <c r="J33" s="12" t="s">
        <v>62</v>
      </c>
      <c r="K33" s="13">
        <v>34919</v>
      </c>
      <c r="L33" s="4"/>
      <c r="M33" s="4"/>
      <c r="N33" s="4"/>
      <c r="O33" s="5"/>
    </row>
    <row r="34" spans="10:19" ht="15.75" x14ac:dyDescent="0.25">
      <c r="J34" s="12" t="s">
        <v>63</v>
      </c>
      <c r="K34" s="13">
        <v>26850</v>
      </c>
      <c r="L34" s="4"/>
      <c r="M34" s="4"/>
      <c r="N34" s="4"/>
      <c r="O34" s="5"/>
      <c r="P34" s="51" t="s">
        <v>64</v>
      </c>
      <c r="Q34" s="1"/>
      <c r="R34" s="58">
        <v>36475</v>
      </c>
      <c r="S34" s="2"/>
    </row>
    <row r="35" spans="10:19" ht="15.75" x14ac:dyDescent="0.25">
      <c r="J35" s="12" t="s">
        <v>65</v>
      </c>
      <c r="K35" s="13">
        <v>60563</v>
      </c>
      <c r="L35" s="4"/>
      <c r="M35" s="4"/>
      <c r="N35" s="4"/>
      <c r="O35" s="5"/>
      <c r="P35" s="3" t="s">
        <v>66</v>
      </c>
      <c r="Q35" s="4"/>
      <c r="R35" s="15">
        <v>26850</v>
      </c>
      <c r="S35" s="5"/>
    </row>
    <row r="36" spans="10:19" ht="15.75" x14ac:dyDescent="0.25">
      <c r="J36" s="12" t="s">
        <v>67</v>
      </c>
      <c r="K36" s="13">
        <v>11930</v>
      </c>
      <c r="L36" s="4"/>
      <c r="M36" s="4"/>
      <c r="N36" s="4"/>
      <c r="O36" s="5"/>
      <c r="P36" s="3" t="s">
        <v>68</v>
      </c>
      <c r="Q36" s="4"/>
      <c r="R36" s="15">
        <v>-2534</v>
      </c>
      <c r="S36" s="5"/>
    </row>
    <row r="37" spans="10:19" ht="15.75" x14ac:dyDescent="0.25">
      <c r="J37" s="12" t="s">
        <v>69</v>
      </c>
      <c r="K37" s="13">
        <v>48633</v>
      </c>
      <c r="L37" s="4"/>
      <c r="M37" s="4"/>
      <c r="N37" s="4"/>
      <c r="O37" s="5"/>
      <c r="P37" s="3" t="s">
        <v>70</v>
      </c>
      <c r="Q37" s="4"/>
      <c r="R37" s="15">
        <v>-1566</v>
      </c>
      <c r="S37" s="5"/>
    </row>
    <row r="38" spans="10:19" ht="15.75" x14ac:dyDescent="0.25">
      <c r="J38" s="12" t="s">
        <v>71</v>
      </c>
      <c r="K38" s="13">
        <v>12158</v>
      </c>
      <c r="L38" s="4"/>
      <c r="M38" s="4"/>
      <c r="N38" s="4"/>
      <c r="O38" s="5"/>
      <c r="P38" s="3" t="s">
        <v>72</v>
      </c>
      <c r="Q38" s="4"/>
      <c r="R38" s="15">
        <v>3530</v>
      </c>
      <c r="S38" s="5"/>
    </row>
    <row r="39" spans="10:19" ht="15.75" x14ac:dyDescent="0.25">
      <c r="J39" s="16" t="s">
        <v>73</v>
      </c>
      <c r="K39" s="17">
        <v>36475</v>
      </c>
      <c r="L39" s="6"/>
      <c r="M39" s="6"/>
      <c r="N39" s="6"/>
      <c r="O39" s="18"/>
      <c r="P39" s="3" t="s">
        <v>74</v>
      </c>
      <c r="Q39" s="4"/>
      <c r="R39" s="15">
        <v>1742</v>
      </c>
      <c r="S39" s="5"/>
    </row>
    <row r="40" spans="10:19" x14ac:dyDescent="0.25">
      <c r="P40" s="53"/>
      <c r="Q40" s="6"/>
      <c r="R40" s="6"/>
      <c r="S40" s="59">
        <f>SUM(R34:R39)</f>
        <v>64497</v>
      </c>
    </row>
  </sheetData>
  <mergeCells count="2">
    <mergeCell ref="J7:K7"/>
    <mergeCell ref="J27:K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F065-DDDD-4A02-8D2F-068172688132}">
  <dimension ref="C12:L32"/>
  <sheetViews>
    <sheetView workbookViewId="0">
      <selection activeCell="F12" sqref="F12"/>
    </sheetView>
    <sheetView workbookViewId="1"/>
  </sheetViews>
  <sheetFormatPr defaultRowHeight="15" x14ac:dyDescent="0.25"/>
  <cols>
    <col min="4" max="4" width="5.140625" bestFit="1" customWidth="1"/>
    <col min="5" max="5" width="14.7109375" bestFit="1" customWidth="1"/>
    <col min="6" max="6" width="19.5703125" bestFit="1" customWidth="1"/>
    <col min="7" max="7" width="12.5703125" bestFit="1" customWidth="1"/>
  </cols>
  <sheetData>
    <row r="12" spans="3:9" x14ac:dyDescent="0.25">
      <c r="E12" t="s">
        <v>75</v>
      </c>
      <c r="F12">
        <v>450000</v>
      </c>
      <c r="H12" t="s">
        <v>76</v>
      </c>
      <c r="I12" s="23">
        <v>0.15</v>
      </c>
    </row>
    <row r="14" spans="3:9" x14ac:dyDescent="0.25">
      <c r="C14" t="s">
        <v>77</v>
      </c>
      <c r="D14" t="s">
        <v>78</v>
      </c>
      <c r="E14" t="s">
        <v>79</v>
      </c>
      <c r="F14" t="s">
        <v>80</v>
      </c>
    </row>
    <row r="15" spans="3:9" x14ac:dyDescent="0.25">
      <c r="C15" s="25" t="s">
        <v>81</v>
      </c>
      <c r="D15" s="26">
        <v>0.23</v>
      </c>
      <c r="E15" s="25">
        <v>250000</v>
      </c>
      <c r="F15" s="25">
        <f>E15</f>
        <v>250000</v>
      </c>
      <c r="H15" s="108"/>
      <c r="I15" s="108"/>
    </row>
    <row r="16" spans="3:9" x14ac:dyDescent="0.25">
      <c r="C16" s="25" t="s">
        <v>82</v>
      </c>
      <c r="D16" s="26">
        <v>0.22</v>
      </c>
      <c r="E16" s="25">
        <v>80000</v>
      </c>
      <c r="F16" s="25">
        <f t="shared" ref="F16:F21" si="0">E16+F15</f>
        <v>330000</v>
      </c>
    </row>
    <row r="17" spans="3:12" x14ac:dyDescent="0.25">
      <c r="C17" s="25" t="s">
        <v>83</v>
      </c>
      <c r="D17" s="26">
        <v>0.2</v>
      </c>
      <c r="E17" s="25">
        <v>120000</v>
      </c>
      <c r="F17" s="25">
        <f t="shared" si="0"/>
        <v>450000</v>
      </c>
      <c r="H17" t="s">
        <v>84</v>
      </c>
      <c r="I17" t="s">
        <v>85</v>
      </c>
      <c r="K17" s="108" t="s">
        <v>86</v>
      </c>
      <c r="L17" s="108"/>
    </row>
    <row r="18" spans="3:12" x14ac:dyDescent="0.25">
      <c r="C18" t="s">
        <v>87</v>
      </c>
      <c r="D18" s="23">
        <v>0.19</v>
      </c>
      <c r="E18">
        <v>200000</v>
      </c>
      <c r="F18">
        <f t="shared" si="0"/>
        <v>650000</v>
      </c>
      <c r="H18">
        <f>0</f>
        <v>0</v>
      </c>
      <c r="I18" s="23">
        <f>D15</f>
        <v>0.23</v>
      </c>
      <c r="K18" t="s">
        <v>84</v>
      </c>
      <c r="L18" t="s">
        <v>88</v>
      </c>
    </row>
    <row r="19" spans="3:12" x14ac:dyDescent="0.25">
      <c r="C19" t="s">
        <v>89</v>
      </c>
      <c r="D19" s="23">
        <v>0.18</v>
      </c>
      <c r="E19">
        <v>80000</v>
      </c>
      <c r="F19">
        <f t="shared" si="0"/>
        <v>730000</v>
      </c>
      <c r="H19">
        <f>F15</f>
        <v>250000</v>
      </c>
      <c r="I19" s="23">
        <f>I18</f>
        <v>0.23</v>
      </c>
      <c r="K19">
        <v>0</v>
      </c>
      <c r="L19" s="23">
        <v>0.15</v>
      </c>
    </row>
    <row r="20" spans="3:12" x14ac:dyDescent="0.25">
      <c r="C20" t="s">
        <v>90</v>
      </c>
      <c r="D20" s="23">
        <v>0.17</v>
      </c>
      <c r="E20">
        <v>500000</v>
      </c>
      <c r="F20">
        <f t="shared" si="0"/>
        <v>1230000</v>
      </c>
      <c r="H20">
        <f>H19</f>
        <v>250000</v>
      </c>
      <c r="I20" s="23">
        <f>D16</f>
        <v>0.22</v>
      </c>
      <c r="K20">
        <v>450000</v>
      </c>
      <c r="L20" s="23">
        <v>0.15</v>
      </c>
    </row>
    <row r="21" spans="3:12" x14ac:dyDescent="0.25">
      <c r="C21" t="s">
        <v>91</v>
      </c>
      <c r="D21" s="23">
        <v>0.16</v>
      </c>
      <c r="E21">
        <v>150000</v>
      </c>
      <c r="F21">
        <f t="shared" si="0"/>
        <v>1380000</v>
      </c>
      <c r="H21">
        <f>F16</f>
        <v>330000</v>
      </c>
      <c r="I21" s="23">
        <f>I20</f>
        <v>0.22</v>
      </c>
      <c r="K21">
        <v>450000</v>
      </c>
      <c r="L21" s="23">
        <v>0.15</v>
      </c>
    </row>
    <row r="22" spans="3:12" x14ac:dyDescent="0.25">
      <c r="H22">
        <f>H21</f>
        <v>330000</v>
      </c>
      <c r="I22" s="23">
        <f>D17</f>
        <v>0.2</v>
      </c>
      <c r="K22">
        <f>F21</f>
        <v>1380000</v>
      </c>
      <c r="L22" s="23">
        <v>0.15</v>
      </c>
    </row>
    <row r="23" spans="3:12" x14ac:dyDescent="0.25">
      <c r="H23">
        <f>F17</f>
        <v>450000</v>
      </c>
      <c r="I23" s="23">
        <f>I22</f>
        <v>0.2</v>
      </c>
    </row>
    <row r="24" spans="3:12" x14ac:dyDescent="0.25">
      <c r="H24">
        <f>H23</f>
        <v>450000</v>
      </c>
      <c r="I24" s="23">
        <f>D18</f>
        <v>0.19</v>
      </c>
    </row>
    <row r="25" spans="3:12" x14ac:dyDescent="0.25">
      <c r="H25">
        <f>F18</f>
        <v>650000</v>
      </c>
      <c r="I25" s="23">
        <f>I24</f>
        <v>0.19</v>
      </c>
    </row>
    <row r="26" spans="3:12" x14ac:dyDescent="0.25">
      <c r="H26">
        <f>H25</f>
        <v>650000</v>
      </c>
      <c r="I26" s="23">
        <f>D19</f>
        <v>0.18</v>
      </c>
    </row>
    <row r="27" spans="3:12" x14ac:dyDescent="0.25">
      <c r="H27">
        <f>F19</f>
        <v>730000</v>
      </c>
      <c r="I27" s="23">
        <f>I26</f>
        <v>0.18</v>
      </c>
    </row>
    <row r="28" spans="3:12" x14ac:dyDescent="0.25">
      <c r="H28">
        <f>H27</f>
        <v>730000</v>
      </c>
      <c r="I28" s="23">
        <f>D20</f>
        <v>0.17</v>
      </c>
    </row>
    <row r="29" spans="3:12" x14ac:dyDescent="0.25">
      <c r="H29">
        <f>F20</f>
        <v>1230000</v>
      </c>
      <c r="I29" s="23">
        <f>I28</f>
        <v>0.17</v>
      </c>
    </row>
    <row r="30" spans="3:12" x14ac:dyDescent="0.25">
      <c r="H30">
        <f>H29</f>
        <v>1230000</v>
      </c>
      <c r="I30" s="23">
        <f>D21</f>
        <v>0.16</v>
      </c>
    </row>
    <row r="31" spans="3:12" x14ac:dyDescent="0.25">
      <c r="H31">
        <f>F21</f>
        <v>1380000</v>
      </c>
      <c r="I31" s="23">
        <f>I30</f>
        <v>0.16</v>
      </c>
    </row>
    <row r="32" spans="3:12" x14ac:dyDescent="0.25">
      <c r="I32" s="23"/>
    </row>
  </sheetData>
  <sortState xmlns:xlrd2="http://schemas.microsoft.com/office/spreadsheetml/2017/richdata2" ref="C14:F21">
    <sortCondition descending="1" ref="D15:D21"/>
  </sortState>
  <mergeCells count="2">
    <mergeCell ref="H15:I15"/>
    <mergeCell ref="K17:L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2998-7889-4B88-9FBC-539A0A600FD7}">
  <dimension ref="G1:W45"/>
  <sheetViews>
    <sheetView workbookViewId="0">
      <selection activeCell="T78" sqref="T78"/>
    </sheetView>
    <sheetView workbookViewId="1"/>
  </sheetViews>
  <sheetFormatPr defaultRowHeight="15" x14ac:dyDescent="0.25"/>
  <cols>
    <col min="17" max="17" width="19.85546875" bestFit="1" customWidth="1"/>
    <col min="18" max="18" width="11.140625" customWidth="1"/>
    <col min="21" max="21" width="21.7109375" bestFit="1" customWidth="1"/>
    <col min="22" max="22" width="12" bestFit="1" customWidth="1"/>
  </cols>
  <sheetData>
    <row r="1" spans="17:23" x14ac:dyDescent="0.25">
      <c r="U1" s="27" t="s">
        <v>92</v>
      </c>
    </row>
    <row r="2" spans="17:23" x14ac:dyDescent="0.25">
      <c r="Q2" t="s">
        <v>93</v>
      </c>
      <c r="R2">
        <v>20</v>
      </c>
      <c r="U2" t="s">
        <v>94</v>
      </c>
      <c r="V2">
        <v>160000</v>
      </c>
    </row>
    <row r="3" spans="17:23" x14ac:dyDescent="0.25">
      <c r="Q3" t="s">
        <v>95</v>
      </c>
      <c r="R3">
        <v>50000</v>
      </c>
      <c r="S3" t="s">
        <v>96</v>
      </c>
    </row>
    <row r="4" spans="17:23" x14ac:dyDescent="0.25">
      <c r="Q4" t="s">
        <v>97</v>
      </c>
      <c r="R4">
        <v>12</v>
      </c>
    </row>
    <row r="5" spans="17:23" x14ac:dyDescent="0.25">
      <c r="Q5" t="s">
        <v>98</v>
      </c>
      <c r="R5">
        <v>50000</v>
      </c>
      <c r="U5" s="27" t="s">
        <v>99</v>
      </c>
    </row>
    <row r="6" spans="17:23" x14ac:dyDescent="0.25">
      <c r="Q6" t="s">
        <v>100</v>
      </c>
      <c r="R6">
        <v>66500</v>
      </c>
      <c r="S6" t="s">
        <v>96</v>
      </c>
      <c r="U6" t="s">
        <v>94</v>
      </c>
      <c r="V6">
        <v>80000</v>
      </c>
    </row>
    <row r="7" spans="17:23" x14ac:dyDescent="0.25">
      <c r="U7" t="s">
        <v>101</v>
      </c>
      <c r="V7">
        <v>2800000</v>
      </c>
    </row>
    <row r="8" spans="17:23" x14ac:dyDescent="0.25">
      <c r="U8" t="s">
        <v>102</v>
      </c>
      <c r="V8" s="23">
        <v>0.1</v>
      </c>
    </row>
    <row r="11" spans="17:23" x14ac:dyDescent="0.25">
      <c r="Q11" s="109" t="s">
        <v>103</v>
      </c>
      <c r="R11" s="109"/>
      <c r="S11" s="27"/>
      <c r="T11" s="27"/>
      <c r="U11" s="109" t="s">
        <v>104</v>
      </c>
      <c r="V11" s="109"/>
      <c r="W11" s="27"/>
    </row>
    <row r="12" spans="17:23" x14ac:dyDescent="0.25">
      <c r="Q12" t="s">
        <v>57</v>
      </c>
      <c r="R12">
        <f>20*50000</f>
        <v>1000000</v>
      </c>
      <c r="U12" t="s">
        <v>57</v>
      </c>
      <c r="V12">
        <f>20*50000</f>
        <v>1000000</v>
      </c>
    </row>
    <row r="13" spans="17:23" x14ac:dyDescent="0.25">
      <c r="Q13" t="s">
        <v>105</v>
      </c>
      <c r="R13">
        <f>R4*R3</f>
        <v>600000</v>
      </c>
      <c r="U13" t="s">
        <v>105</v>
      </c>
      <c r="V13">
        <f>$R$4*$R$3</f>
        <v>600000</v>
      </c>
    </row>
    <row r="14" spans="17:23" x14ac:dyDescent="0.25">
      <c r="Q14" t="s">
        <v>106</v>
      </c>
      <c r="R14">
        <f>R5</f>
        <v>50000</v>
      </c>
      <c r="U14" t="s">
        <v>106</v>
      </c>
      <c r="V14">
        <f>$R$5</f>
        <v>50000</v>
      </c>
    </row>
    <row r="15" spans="17:23" x14ac:dyDescent="0.25">
      <c r="Q15" s="28" t="s">
        <v>65</v>
      </c>
      <c r="R15" s="28">
        <f>R12-R13-R14</f>
        <v>350000</v>
      </c>
      <c r="S15" s="27" t="s">
        <v>107</v>
      </c>
      <c r="U15" t="s">
        <v>65</v>
      </c>
      <c r="V15">
        <f>V12-V13-V14</f>
        <v>350000</v>
      </c>
    </row>
    <row r="16" spans="17:23" x14ac:dyDescent="0.25">
      <c r="Q16" t="s">
        <v>108</v>
      </c>
      <c r="R16">
        <f>0</f>
        <v>0</v>
      </c>
      <c r="U16" t="s">
        <v>108</v>
      </c>
      <c r="V16">
        <f>$V$7*$V$8</f>
        <v>280000</v>
      </c>
    </row>
    <row r="17" spans="7:22" x14ac:dyDescent="0.25">
      <c r="Q17" t="s">
        <v>69</v>
      </c>
      <c r="R17">
        <f>R15</f>
        <v>350000</v>
      </c>
      <c r="U17" t="s">
        <v>69</v>
      </c>
      <c r="V17">
        <f>V15-V16</f>
        <v>70000</v>
      </c>
    </row>
    <row r="18" spans="7:22" x14ac:dyDescent="0.25">
      <c r="Q18" t="s">
        <v>109</v>
      </c>
      <c r="R18">
        <f>R17*0.25</f>
        <v>87500</v>
      </c>
      <c r="U18" t="s">
        <v>109</v>
      </c>
      <c r="V18">
        <f>V17*0.25</f>
        <v>17500</v>
      </c>
    </row>
    <row r="19" spans="7:22" x14ac:dyDescent="0.25">
      <c r="Q19" t="s">
        <v>73</v>
      </c>
      <c r="R19">
        <f>R17-R18</f>
        <v>262500</v>
      </c>
      <c r="U19" t="s">
        <v>73</v>
      </c>
      <c r="V19">
        <f>V17-V18</f>
        <v>52500</v>
      </c>
    </row>
    <row r="21" spans="7:22" x14ac:dyDescent="0.25">
      <c r="Q21" t="s">
        <v>110</v>
      </c>
      <c r="R21">
        <f>V2</f>
        <v>160000</v>
      </c>
      <c r="U21" t="s">
        <v>111</v>
      </c>
      <c r="V21">
        <f>V6</f>
        <v>80000</v>
      </c>
    </row>
    <row r="22" spans="7:22" x14ac:dyDescent="0.25">
      <c r="P22" s="29" t="s">
        <v>2</v>
      </c>
      <c r="Q22" s="28" t="s">
        <v>111</v>
      </c>
      <c r="R22" s="28">
        <f>R19/V2</f>
        <v>1.640625</v>
      </c>
      <c r="S22" s="27" t="s">
        <v>112</v>
      </c>
      <c r="T22" s="27"/>
      <c r="U22" s="27"/>
      <c r="V22" s="27">
        <f>V19/V21</f>
        <v>0.65625</v>
      </c>
    </row>
    <row r="23" spans="7:22" x14ac:dyDescent="0.25">
      <c r="Q23" s="28" t="s">
        <v>113</v>
      </c>
      <c r="R23" s="28">
        <f>R5/(R2-R4)</f>
        <v>6250</v>
      </c>
      <c r="S23" s="28" t="s">
        <v>114</v>
      </c>
    </row>
    <row r="24" spans="7:22" x14ac:dyDescent="0.25">
      <c r="Q24" s="109" t="s">
        <v>115</v>
      </c>
      <c r="R24" s="109"/>
      <c r="U24" s="109" t="s">
        <v>116</v>
      </c>
      <c r="V24" s="109"/>
    </row>
    <row r="25" spans="7:22" x14ac:dyDescent="0.25">
      <c r="Q25" t="s">
        <v>57</v>
      </c>
      <c r="R25">
        <f>R2*R6</f>
        <v>1330000</v>
      </c>
      <c r="U25" t="s">
        <v>57</v>
      </c>
      <c r="V25">
        <f>R2*R6</f>
        <v>1330000</v>
      </c>
    </row>
    <row r="26" spans="7:22" x14ac:dyDescent="0.25">
      <c r="Q26" t="s">
        <v>105</v>
      </c>
      <c r="R26">
        <f>R4*R6</f>
        <v>798000</v>
      </c>
      <c r="U26" t="s">
        <v>105</v>
      </c>
      <c r="V26">
        <f>R4*R6</f>
        <v>798000</v>
      </c>
    </row>
    <row r="27" spans="7:22" x14ac:dyDescent="0.25">
      <c r="H27" t="s">
        <v>117</v>
      </c>
      <c r="Q27" t="s">
        <v>106</v>
      </c>
      <c r="R27">
        <f>$R$5</f>
        <v>50000</v>
      </c>
      <c r="U27" t="s">
        <v>106</v>
      </c>
      <c r="V27">
        <f>R5</f>
        <v>50000</v>
      </c>
    </row>
    <row r="28" spans="7:22" x14ac:dyDescent="0.25">
      <c r="G28" s="27" t="s">
        <v>114</v>
      </c>
      <c r="Q28" t="s">
        <v>65</v>
      </c>
      <c r="R28">
        <f>R25-R26-R27</f>
        <v>482000</v>
      </c>
      <c r="U28" t="s">
        <v>65</v>
      </c>
      <c r="V28">
        <f>V25-V26-V27</f>
        <v>482000</v>
      </c>
    </row>
    <row r="29" spans="7:22" x14ac:dyDescent="0.25">
      <c r="Q29" t="s">
        <v>108</v>
      </c>
      <c r="U29" t="s">
        <v>108</v>
      </c>
      <c r="V29">
        <f>0.1*V7</f>
        <v>280000</v>
      </c>
    </row>
    <row r="30" spans="7:22" x14ac:dyDescent="0.25">
      <c r="Q30" t="s">
        <v>69</v>
      </c>
      <c r="R30">
        <f>R28-R29</f>
        <v>482000</v>
      </c>
      <c r="U30" t="s">
        <v>69</v>
      </c>
      <c r="V30">
        <f>V28-V29</f>
        <v>202000</v>
      </c>
    </row>
    <row r="31" spans="7:22" x14ac:dyDescent="0.25">
      <c r="Q31" t="s">
        <v>109</v>
      </c>
      <c r="R31">
        <f>R30*0.25</f>
        <v>120500</v>
      </c>
      <c r="U31" t="s">
        <v>109</v>
      </c>
      <c r="V31">
        <f>V30*0.25</f>
        <v>50500</v>
      </c>
    </row>
    <row r="32" spans="7:22" x14ac:dyDescent="0.25">
      <c r="Q32" t="s">
        <v>73</v>
      </c>
      <c r="R32">
        <f>R30-R31</f>
        <v>361500</v>
      </c>
      <c r="U32" t="s">
        <v>73</v>
      </c>
      <c r="V32">
        <f>V30-V31</f>
        <v>151500</v>
      </c>
    </row>
    <row r="34" spans="17:22" x14ac:dyDescent="0.25">
      <c r="Q34" t="s">
        <v>110</v>
      </c>
      <c r="U34" t="s">
        <v>110</v>
      </c>
      <c r="V34">
        <f>V6</f>
        <v>80000</v>
      </c>
    </row>
    <row r="35" spans="17:22" x14ac:dyDescent="0.25">
      <c r="Q35" s="27" t="s">
        <v>111</v>
      </c>
      <c r="R35" s="27">
        <f>R32/V2</f>
        <v>2.2593749999999999</v>
      </c>
      <c r="S35" s="27"/>
      <c r="T35" s="27"/>
      <c r="U35" s="27" t="s">
        <v>111</v>
      </c>
      <c r="V35" s="27">
        <f>V32/V34</f>
        <v>1.89375</v>
      </c>
    </row>
    <row r="36" spans="17:22" x14ac:dyDescent="0.25">
      <c r="Q36" t="s">
        <v>113</v>
      </c>
    </row>
    <row r="45" spans="17:22" x14ac:dyDescent="0.25">
      <c r="Q45" s="28">
        <f>(50000*8)/((50000*8)-50000-V29)</f>
        <v>5.7142857142857144</v>
      </c>
    </row>
  </sheetData>
  <mergeCells count="4">
    <mergeCell ref="Q11:R11"/>
    <mergeCell ref="U11:V11"/>
    <mergeCell ref="Q24:R24"/>
    <mergeCell ref="U24:V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66C8-EBC6-45FC-898D-D4E2AFF350B2}">
  <dimension ref="B1:L25"/>
  <sheetViews>
    <sheetView topLeftCell="B1" workbookViewId="0">
      <selection activeCell="L18" sqref="L18"/>
    </sheetView>
    <sheetView workbookViewId="1"/>
  </sheetViews>
  <sheetFormatPr defaultRowHeight="15" x14ac:dyDescent="0.25"/>
  <cols>
    <col min="11" max="11" width="27.140625" bestFit="1" customWidth="1"/>
    <col min="12" max="12" width="18.140625" bestFit="1" customWidth="1"/>
  </cols>
  <sheetData>
    <row r="1" spans="2:12" x14ac:dyDescent="0.25">
      <c r="K1" t="s">
        <v>118</v>
      </c>
      <c r="L1">
        <v>0.45</v>
      </c>
    </row>
    <row r="2" spans="2:12" x14ac:dyDescent="0.25">
      <c r="K2" t="s">
        <v>119</v>
      </c>
      <c r="L2">
        <v>875</v>
      </c>
    </row>
    <row r="3" spans="2:12" x14ac:dyDescent="0.25">
      <c r="K3" t="s">
        <v>120</v>
      </c>
      <c r="L3">
        <v>1553.45</v>
      </c>
    </row>
    <row r="4" spans="2:12" x14ac:dyDescent="0.25">
      <c r="K4" t="s">
        <v>57</v>
      </c>
      <c r="L4">
        <v>5780</v>
      </c>
    </row>
    <row r="5" spans="2:12" x14ac:dyDescent="0.25">
      <c r="K5" t="s">
        <v>121</v>
      </c>
      <c r="L5" s="31">
        <v>9.5000000000000001E-2</v>
      </c>
    </row>
    <row r="6" spans="2:12" x14ac:dyDescent="0.25">
      <c r="K6" t="s">
        <v>122</v>
      </c>
      <c r="L6" s="31">
        <v>0.185</v>
      </c>
    </row>
    <row r="7" spans="2:12" x14ac:dyDescent="0.25">
      <c r="K7" t="s">
        <v>123</v>
      </c>
      <c r="L7" t="s">
        <v>124</v>
      </c>
    </row>
    <row r="8" spans="2:12" x14ac:dyDescent="0.25">
      <c r="K8" t="s">
        <v>73</v>
      </c>
      <c r="L8">
        <f>L4*L5</f>
        <v>549.1</v>
      </c>
    </row>
    <row r="11" spans="2:12" x14ac:dyDescent="0.25">
      <c r="K11">
        <f>L3+L2</f>
        <v>2428.4499999999998</v>
      </c>
    </row>
    <row r="14" spans="2:12" x14ac:dyDescent="0.25">
      <c r="B14" t="s">
        <v>125</v>
      </c>
      <c r="K14" t="s">
        <v>126</v>
      </c>
    </row>
    <row r="15" spans="2:12" x14ac:dyDescent="0.25">
      <c r="K15" t="s">
        <v>127</v>
      </c>
    </row>
    <row r="16" spans="2:12" x14ac:dyDescent="0.25">
      <c r="K16">
        <f>(875+1553.45)/0.45</f>
        <v>5396.5555555555547</v>
      </c>
    </row>
    <row r="17" spans="2:12" x14ac:dyDescent="0.25">
      <c r="J17" t="s">
        <v>112</v>
      </c>
      <c r="K17" t="s">
        <v>128</v>
      </c>
      <c r="L17">
        <f>K16*45%</f>
        <v>2428.4499999999998</v>
      </c>
    </row>
    <row r="18" spans="2:12" x14ac:dyDescent="0.25">
      <c r="J18" t="s">
        <v>107</v>
      </c>
      <c r="K18" s="28" t="s">
        <v>129</v>
      </c>
      <c r="L18" s="28">
        <f>K16-(875+1553.45)</f>
        <v>2968.1055555555549</v>
      </c>
    </row>
    <row r="19" spans="2:12" x14ac:dyDescent="0.25">
      <c r="B19" t="s">
        <v>130</v>
      </c>
    </row>
    <row r="20" spans="2:12" x14ac:dyDescent="0.25">
      <c r="K20" s="27">
        <f>K11/0.45</f>
        <v>5396.5555555555547</v>
      </c>
      <c r="L20" t="s">
        <v>131</v>
      </c>
    </row>
    <row r="21" spans="2:12" x14ac:dyDescent="0.25">
      <c r="K21">
        <f>K20*0.45</f>
        <v>2428.4499999999998</v>
      </c>
      <c r="L21" t="s">
        <v>132</v>
      </c>
    </row>
    <row r="22" spans="2:12" x14ac:dyDescent="0.25">
      <c r="K22" t="s">
        <v>133</v>
      </c>
      <c r="L22">
        <f>(K16*55%)/875</f>
        <v>3.3921206349206345</v>
      </c>
    </row>
    <row r="24" spans="2:12" x14ac:dyDescent="0.25">
      <c r="K24" t="s">
        <v>134</v>
      </c>
      <c r="L24">
        <f>L8</f>
        <v>549.1</v>
      </c>
    </row>
    <row r="25" spans="2:12" x14ac:dyDescent="0.25">
      <c r="K25" s="30" t="s">
        <v>129</v>
      </c>
      <c r="L25" s="30">
        <f>L24/L6</f>
        <v>2968.1081081081084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983C-DBD5-46B4-9DDD-A720D4830F4F}">
  <dimension ref="A8:G18"/>
  <sheetViews>
    <sheetView workbookViewId="0">
      <selection activeCell="J26" sqref="J26"/>
    </sheetView>
    <sheetView workbookViewId="1"/>
  </sheetViews>
  <sheetFormatPr defaultRowHeight="15" x14ac:dyDescent="0.25"/>
  <cols>
    <col min="2" max="2" width="24.140625" customWidth="1"/>
  </cols>
  <sheetData>
    <row r="8" spans="1:7" x14ac:dyDescent="0.25">
      <c r="A8" t="s">
        <v>135</v>
      </c>
    </row>
    <row r="9" spans="1:7" x14ac:dyDescent="0.25">
      <c r="A9" t="s">
        <v>136</v>
      </c>
      <c r="C9" s="23">
        <v>0.15</v>
      </c>
    </row>
    <row r="10" spans="1:7" x14ac:dyDescent="0.25">
      <c r="A10" t="s">
        <v>137</v>
      </c>
      <c r="C10" s="35">
        <v>35</v>
      </c>
      <c r="D10" t="s">
        <v>138</v>
      </c>
    </row>
    <row r="11" spans="1:7" x14ac:dyDescent="0.25">
      <c r="A11" t="s">
        <v>139</v>
      </c>
      <c r="C11">
        <v>3</v>
      </c>
      <c r="D11" t="s">
        <v>140</v>
      </c>
    </row>
    <row r="13" spans="1:7" x14ac:dyDescent="0.25">
      <c r="A13" t="s">
        <v>141</v>
      </c>
    </row>
    <row r="15" spans="1:7" x14ac:dyDescent="0.25">
      <c r="A15" t="s">
        <v>142</v>
      </c>
      <c r="B15" s="35">
        <f>C9*C10</f>
        <v>5.25</v>
      </c>
      <c r="G15" s="32" t="s">
        <v>143</v>
      </c>
    </row>
    <row r="16" spans="1:7" x14ac:dyDescent="0.25">
      <c r="A16" t="s">
        <v>144</v>
      </c>
      <c r="B16" t="s">
        <v>145</v>
      </c>
      <c r="D16" s="35">
        <f>C10-C11</f>
        <v>32</v>
      </c>
      <c r="G16" s="33" t="s">
        <v>146</v>
      </c>
    </row>
    <row r="17" spans="2:7" x14ac:dyDescent="0.25">
      <c r="G17" s="34" t="s">
        <v>147</v>
      </c>
    </row>
    <row r="18" spans="2:7" x14ac:dyDescent="0.25">
      <c r="B18" s="28" t="s">
        <v>148</v>
      </c>
      <c r="C18" s="45">
        <f>B15/D16</f>
        <v>0.1640625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69D6-446B-42F9-BEA1-72744D907EB9}">
  <dimension ref="A3:L25"/>
  <sheetViews>
    <sheetView workbookViewId="0">
      <selection activeCell="J21" sqref="J21"/>
    </sheetView>
    <sheetView workbookViewId="1"/>
  </sheetViews>
  <sheetFormatPr defaultRowHeight="15" x14ac:dyDescent="0.25"/>
  <cols>
    <col min="1" max="1" width="17" bestFit="1" customWidth="1"/>
    <col min="2" max="2" width="9.140625" bestFit="1" customWidth="1"/>
    <col min="10" max="10" width="16.7109375" bestFit="1" customWidth="1"/>
  </cols>
  <sheetData>
    <row r="3" spans="1:9" x14ac:dyDescent="0.25">
      <c r="I3" s="23"/>
    </row>
    <row r="11" spans="1:9" x14ac:dyDescent="0.25">
      <c r="A11" s="7"/>
      <c r="B11" s="7"/>
      <c r="C11" s="7" t="s">
        <v>149</v>
      </c>
      <c r="D11" s="7"/>
      <c r="E11" s="7"/>
    </row>
    <row r="12" spans="1:9" x14ac:dyDescent="0.25">
      <c r="A12" s="7" t="s">
        <v>150</v>
      </c>
      <c r="B12" s="46">
        <v>8.2000000000000003E-2</v>
      </c>
      <c r="C12" s="46">
        <v>8.2000000000000003E-2</v>
      </c>
      <c r="D12" s="7"/>
      <c r="E12" s="7"/>
    </row>
    <row r="13" spans="1:9" x14ac:dyDescent="0.25">
      <c r="A13" s="7" t="s">
        <v>151</v>
      </c>
      <c r="B13" s="47">
        <v>0.11</v>
      </c>
      <c r="C13" s="47">
        <v>0.11</v>
      </c>
      <c r="D13" s="7"/>
      <c r="E13" s="7"/>
    </row>
    <row r="14" spans="1:9" x14ac:dyDescent="0.25">
      <c r="A14" s="7" t="s">
        <v>152</v>
      </c>
      <c r="B14" s="47">
        <v>0.25</v>
      </c>
      <c r="C14" s="47">
        <v>0.25</v>
      </c>
      <c r="D14" s="7"/>
      <c r="E14" s="7"/>
    </row>
    <row r="15" spans="1:9" x14ac:dyDescent="0.25">
      <c r="A15" s="7" t="s">
        <v>153</v>
      </c>
      <c r="B15" s="7">
        <v>0</v>
      </c>
      <c r="C15" s="47">
        <v>0.25</v>
      </c>
      <c r="D15" s="7"/>
      <c r="E15" s="7"/>
    </row>
    <row r="16" spans="1:9" x14ac:dyDescent="0.25">
      <c r="A16" s="7"/>
      <c r="B16" s="7"/>
      <c r="C16" s="7"/>
      <c r="D16" s="7"/>
      <c r="E16" s="7"/>
    </row>
    <row r="17" spans="1:12" x14ac:dyDescent="0.25">
      <c r="A17" s="7"/>
      <c r="B17" s="7" t="s">
        <v>154</v>
      </c>
      <c r="C17" s="7" t="s">
        <v>155</v>
      </c>
      <c r="D17" s="7"/>
      <c r="E17" s="7"/>
    </row>
    <row r="18" spans="1:12" x14ac:dyDescent="0.25">
      <c r="A18" s="7" t="s">
        <v>156</v>
      </c>
      <c r="B18" s="47">
        <v>1</v>
      </c>
      <c r="C18" s="48">
        <f>(11%-(C19*B19))/B18</f>
        <v>0.11</v>
      </c>
      <c r="D18" s="10" t="s">
        <v>90</v>
      </c>
      <c r="E18" s="7" t="s">
        <v>157</v>
      </c>
      <c r="L18" s="31"/>
    </row>
    <row r="19" spans="1:12" x14ac:dyDescent="0.25">
      <c r="A19" s="7" t="s">
        <v>101</v>
      </c>
      <c r="B19" s="49">
        <v>0</v>
      </c>
      <c r="C19" s="46">
        <v>8.2000000000000003E-2</v>
      </c>
      <c r="D19" s="7"/>
      <c r="E19" s="7"/>
    </row>
    <row r="20" spans="1:12" x14ac:dyDescent="0.25">
      <c r="A20" s="7"/>
      <c r="B20" s="47"/>
      <c r="C20" s="47"/>
      <c r="D20" s="7"/>
      <c r="E20" s="7"/>
    </row>
    <row r="21" spans="1:12" x14ac:dyDescent="0.25">
      <c r="A21" s="7"/>
      <c r="B21" s="7"/>
      <c r="C21" s="7"/>
      <c r="D21" s="7"/>
      <c r="E21" s="7"/>
    </row>
    <row r="22" spans="1:12" x14ac:dyDescent="0.25">
      <c r="A22" s="7"/>
      <c r="B22" s="7" t="s">
        <v>154</v>
      </c>
      <c r="C22" s="7" t="s">
        <v>155</v>
      </c>
      <c r="D22" s="7"/>
      <c r="E22" s="7"/>
    </row>
    <row r="23" spans="1:12" x14ac:dyDescent="0.25">
      <c r="A23" s="7" t="s">
        <v>156</v>
      </c>
      <c r="B23" s="49">
        <v>0.75</v>
      </c>
      <c r="C23" s="48">
        <f>(11%-(C24*B24*(1-0.25)))/B23</f>
        <v>0.12616666666666668</v>
      </c>
      <c r="D23" s="10" t="s">
        <v>89</v>
      </c>
      <c r="E23" s="7"/>
    </row>
    <row r="24" spans="1:12" x14ac:dyDescent="0.25">
      <c r="A24" s="7" t="s">
        <v>101</v>
      </c>
      <c r="B24" s="47">
        <v>0.25</v>
      </c>
      <c r="C24" s="46">
        <v>8.2000000000000003E-2</v>
      </c>
      <c r="D24" s="7"/>
      <c r="E24" s="7"/>
    </row>
    <row r="25" spans="1:12" x14ac:dyDescent="0.25">
      <c r="A25" s="7"/>
      <c r="B25" s="47"/>
      <c r="C25" s="47"/>
      <c r="D25" s="7"/>
      <c r="E25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7847-6267-440A-AC0D-0DB633FDC535}">
  <dimension ref="A14:C27"/>
  <sheetViews>
    <sheetView workbookViewId="0">
      <selection activeCell="U10" sqref="U10"/>
    </sheetView>
    <sheetView workbookViewId="1">
      <selection activeCell="H38" sqref="H38"/>
    </sheetView>
  </sheetViews>
  <sheetFormatPr defaultRowHeight="15" x14ac:dyDescent="0.25"/>
  <cols>
    <col min="1" max="1" width="21" bestFit="1" customWidth="1"/>
  </cols>
  <sheetData>
    <row r="14" spans="1:2" x14ac:dyDescent="0.25">
      <c r="A14" t="s">
        <v>158</v>
      </c>
      <c r="B14">
        <v>365000</v>
      </c>
    </row>
    <row r="15" spans="1:2" x14ac:dyDescent="0.25">
      <c r="A15" t="s">
        <v>159</v>
      </c>
      <c r="B15">
        <v>0.85</v>
      </c>
    </row>
    <row r="16" spans="1:2" x14ac:dyDescent="0.25">
      <c r="A16" t="s">
        <v>160</v>
      </c>
      <c r="B16">
        <v>5.8</v>
      </c>
    </row>
    <row r="17" spans="1:3" x14ac:dyDescent="0.25">
      <c r="A17" t="s">
        <v>161</v>
      </c>
      <c r="B17">
        <v>1.4</v>
      </c>
    </row>
    <row r="21" spans="1:3" x14ac:dyDescent="0.25">
      <c r="A21" t="s">
        <v>162</v>
      </c>
      <c r="B21">
        <f>B14*B17</f>
        <v>510999.99999999994</v>
      </c>
    </row>
    <row r="23" spans="1:3" x14ac:dyDescent="0.25">
      <c r="A23" t="s">
        <v>163</v>
      </c>
      <c r="B23">
        <f>B21-(B15*B14)</f>
        <v>200749.99999999994</v>
      </c>
    </row>
    <row r="25" spans="1:3" x14ac:dyDescent="0.25">
      <c r="A25" s="28" t="s">
        <v>164</v>
      </c>
      <c r="B25" s="50">
        <f>365/B16</f>
        <v>62.931034482758619</v>
      </c>
      <c r="C25" s="28" t="s">
        <v>165</v>
      </c>
    </row>
    <row r="27" spans="1:3" x14ac:dyDescent="0.25">
      <c r="A27" s="28" t="s">
        <v>166</v>
      </c>
      <c r="B27" s="28">
        <f>B16*B23</f>
        <v>1164349.9999999995</v>
      </c>
      <c r="C27" s="28" t="s">
        <v>167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BC3FA-236F-47DC-AA78-DCEB757A35C8}">
  <dimension ref="A17:H20"/>
  <sheetViews>
    <sheetView workbookViewId="0">
      <selection activeCell="I23" sqref="I23"/>
    </sheetView>
    <sheetView workbookViewId="1"/>
  </sheetViews>
  <sheetFormatPr defaultRowHeight="15" x14ac:dyDescent="0.25"/>
  <sheetData>
    <row r="17" spans="1:8" x14ac:dyDescent="0.25">
      <c r="A17" s="51" t="s">
        <v>64</v>
      </c>
      <c r="B17" s="2">
        <v>218000</v>
      </c>
    </row>
    <row r="18" spans="1:8" x14ac:dyDescent="0.25">
      <c r="A18" s="3" t="s">
        <v>168</v>
      </c>
      <c r="B18" s="52">
        <v>0.09</v>
      </c>
      <c r="D18" s="54">
        <f>B19/(B20/365)</f>
        <v>20.018910550458713</v>
      </c>
      <c r="E18" s="55" t="s">
        <v>169</v>
      </c>
      <c r="G18" s="56" t="s">
        <v>170</v>
      </c>
      <c r="H18" s="57"/>
    </row>
    <row r="19" spans="1:8" x14ac:dyDescent="0.25">
      <c r="A19" s="3" t="s">
        <v>171</v>
      </c>
      <c r="B19" s="5">
        <v>132850</v>
      </c>
      <c r="D19" s="110" t="s">
        <v>172</v>
      </c>
      <c r="E19" s="111"/>
    </row>
    <row r="20" spans="1:8" x14ac:dyDescent="0.25">
      <c r="A20" s="53" t="s">
        <v>173</v>
      </c>
      <c r="B20" s="18">
        <f>B17/B18</f>
        <v>2422222.2222222225</v>
      </c>
    </row>
  </sheetData>
  <mergeCells count="1">
    <mergeCell ref="D19:E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Razones</vt:lpstr>
      <vt:lpstr>Formulas Libro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 Paredes</dc:creator>
  <cp:keywords/>
  <dc:description/>
  <cp:lastModifiedBy>Edgar Paredes</cp:lastModifiedBy>
  <cp:revision/>
  <dcterms:created xsi:type="dcterms:W3CDTF">2022-05-11T22:47:24Z</dcterms:created>
  <dcterms:modified xsi:type="dcterms:W3CDTF">2022-05-13T14:14:57Z</dcterms:modified>
  <cp:category/>
  <cp:contentStatus/>
</cp:coreProperties>
</file>