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i\Downloads\"/>
    </mc:Choice>
  </mc:AlternateContent>
  <xr:revisionPtr revIDLastSave="0" documentId="13_ncr:1_{97BF3381-ADD5-4BA3-9F02-D996A7EE8E8C}" xr6:coauthVersionLast="47" xr6:coauthVersionMax="47" xr10:uidLastSave="{00000000-0000-0000-0000-000000000000}"/>
  <bookViews>
    <workbookView xWindow="-108" yWindow="-108" windowWidth="23256" windowHeight="12456" activeTab="4" xr2:uid="{2139CB90-D585-4443-99F5-2EF26267F356}"/>
  </bookViews>
  <sheets>
    <sheet name="Estudiante" sheetId="2" r:id="rId1"/>
    <sheet name="P1" sheetId="3" r:id="rId2"/>
    <sheet name="P2" sheetId="4" r:id="rId3"/>
    <sheet name="P3" sheetId="5" r:id="rId4"/>
    <sheet name="P4" sheetId="6" r:id="rId5"/>
    <sheet name="P5" sheetId="7" r:id="rId6"/>
    <sheet name="P6" sheetId="1" r:id="rId7"/>
    <sheet name="SP1" sheetId="8" r:id="rId8"/>
    <sheet name="SP2" sheetId="9" r:id="rId9"/>
    <sheet name="SP3" sheetId="10" r:id="rId10"/>
    <sheet name="SP4" sheetId="11" r:id="rId11"/>
    <sheet name="SP5" sheetId="12" r:id="rId12"/>
    <sheet name="SP6" sheetId="13" r:id="rId13"/>
  </sheets>
  <definedNames>
    <definedName name="_xlnm._FilterDatabase" localSheetId="2" hidden="1">'P2'!$B$2:$D$8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6" l="1"/>
  <c r="E41" i="6"/>
  <c r="C19" i="5" l="1"/>
  <c r="C18" i="5"/>
  <c r="C17" i="5"/>
  <c r="C15" i="5"/>
  <c r="C27" i="3"/>
  <c r="E12" i="3"/>
  <c r="C26" i="3"/>
  <c r="D24" i="3"/>
  <c r="C13" i="5"/>
  <c r="C12" i="5"/>
  <c r="C11" i="5"/>
  <c r="C9" i="5"/>
  <c r="C10" i="5"/>
  <c r="C32" i="4" l="1"/>
  <c r="B32" i="4"/>
  <c r="C31" i="4"/>
  <c r="B31" i="4"/>
  <c r="C30" i="4"/>
  <c r="B30" i="4"/>
  <c r="C29" i="4"/>
  <c r="C24" i="4"/>
  <c r="C23" i="4"/>
  <c r="C22" i="4"/>
  <c r="C21" i="4"/>
  <c r="C20" i="4"/>
  <c r="C19" i="4"/>
  <c r="C18" i="4"/>
  <c r="C17" i="4"/>
  <c r="C16" i="4"/>
  <c r="C15" i="4"/>
  <c r="C14" i="4"/>
  <c r="C13" i="4"/>
  <c r="B24" i="4"/>
  <c r="B23" i="4"/>
  <c r="B22" i="4"/>
  <c r="B21" i="4"/>
  <c r="B20" i="4"/>
  <c r="B19" i="4"/>
  <c r="B18" i="4"/>
  <c r="B17" i="4"/>
  <c r="B16" i="4"/>
  <c r="B15" i="4"/>
  <c r="B14" i="4"/>
  <c r="H3" i="4"/>
  <c r="C41" i="6"/>
  <c r="C40" i="6"/>
  <c r="C39" i="6"/>
  <c r="C38" i="6"/>
  <c r="C26" i="6"/>
  <c r="C25" i="6"/>
  <c r="C24" i="6"/>
  <c r="C34" i="6"/>
  <c r="C33" i="6"/>
  <c r="C32" i="6"/>
  <c r="F31" i="6"/>
  <c r="F30" i="6"/>
  <c r="F29" i="6"/>
  <c r="C11" i="6"/>
  <c r="C31" i="6"/>
  <c r="C29" i="6"/>
  <c r="C21" i="6"/>
  <c r="C18" i="6"/>
  <c r="G7" i="6"/>
  <c r="F7" i="7"/>
  <c r="E7" i="7"/>
  <c r="D9" i="7"/>
  <c r="C9" i="7"/>
  <c r="E24" i="1"/>
  <c r="H8" i="1"/>
  <c r="E8" i="1"/>
  <c r="H21" i="1"/>
  <c r="J18" i="1"/>
  <c r="E6" i="1"/>
</calcChain>
</file>

<file path=xl/sharedStrings.xml><?xml version="1.0" encoding="utf-8"?>
<sst xmlns="http://schemas.openxmlformats.org/spreadsheetml/2006/main" count="143" uniqueCount="123">
  <si>
    <t>Razon de deuda a largo plazo</t>
  </si>
  <si>
    <t>Pasivos corrientes</t>
  </si>
  <si>
    <t>Pasivos no corrientes</t>
  </si>
  <si>
    <t>Ventas</t>
  </si>
  <si>
    <t>Margen de utilidad</t>
  </si>
  <si>
    <t>ROE</t>
  </si>
  <si>
    <t>Activos Corrientes</t>
  </si>
  <si>
    <t>del activo</t>
  </si>
  <si>
    <t>Rotacion de Activos Totales</t>
  </si>
  <si>
    <t>Activos Totales</t>
  </si>
  <si>
    <t>Nombre</t>
  </si>
  <si>
    <t>Pablo Javier García Montenegro</t>
  </si>
  <si>
    <t>Información de Estudiante</t>
  </si>
  <si>
    <t>Razon Circulante</t>
  </si>
  <si>
    <t>Activo Corriente</t>
  </si>
  <si>
    <t>Pasivo Corriente</t>
  </si>
  <si>
    <t>Rendimiento Sobre Capital Contable</t>
  </si>
  <si>
    <t>Ingreso Neto para Acciones comunes</t>
  </si>
  <si>
    <t>Capital Contable Comun</t>
  </si>
  <si>
    <t>-&gt;</t>
  </si>
  <si>
    <t>Ingreso neto para acciones</t>
  </si>
  <si>
    <t>Deuda Total</t>
  </si>
  <si>
    <t>Pasivo Total</t>
  </si>
  <si>
    <t>Activo Total</t>
  </si>
  <si>
    <t>Activo Fijo Neto</t>
  </si>
  <si>
    <t>Cambio en los inventariod del 2020 al 2021</t>
  </si>
  <si>
    <t>ACTIVO</t>
  </si>
  <si>
    <t>Efectivo</t>
  </si>
  <si>
    <t>Cuentas por C.</t>
  </si>
  <si>
    <t>Inventario</t>
  </si>
  <si>
    <t>Planta y Equipo neto</t>
  </si>
  <si>
    <t>TOTAL ACTIVO</t>
  </si>
  <si>
    <t>% Horizontal</t>
  </si>
  <si>
    <t>Datos</t>
  </si>
  <si>
    <t>Se va a adquirir uno nuevo para REEMPLAZAR el actual</t>
  </si>
  <si>
    <t>Costo de maquinaria nueva</t>
  </si>
  <si>
    <t>Depreciacion</t>
  </si>
  <si>
    <t>Segun legislacion de GT</t>
  </si>
  <si>
    <t>Equipo viejo se adquirio hace</t>
  </si>
  <si>
    <t>años</t>
  </si>
  <si>
    <t>Costo de maquinaria vieja</t>
  </si>
  <si>
    <t>(metodo de linea recta)</t>
  </si>
  <si>
    <t>Venta de Maquinaria Vieja</t>
  </si>
  <si>
    <t>Como consecuencia del reemplazo, el capital de trabajo aumentara</t>
  </si>
  <si>
    <t>anuales</t>
  </si>
  <si>
    <t>Inversion de maquina nueva</t>
  </si>
  <si>
    <t>Costo de maquina nueva</t>
  </si>
  <si>
    <t>Aumento en el capital de trabajo</t>
  </si>
  <si>
    <t>Ingreso neto por la venta de maquina antigua</t>
  </si>
  <si>
    <t>Valor de venta de maquina antigua</t>
  </si>
  <si>
    <t>- ISR por ganancia</t>
  </si>
  <si>
    <t>Valor de adquisicion de maquina antigua</t>
  </si>
  <si>
    <t>Valor de venta de maq. Antigua</t>
  </si>
  <si>
    <t>- Valor en Libros</t>
  </si>
  <si>
    <t>Ganancia en venta del activo / maquina</t>
  </si>
  <si>
    <t>Depreciacion annual</t>
  </si>
  <si>
    <t>Anos trans.</t>
  </si>
  <si>
    <t>Depreciacion acumulada</t>
  </si>
  <si>
    <t>* ISR del 10%</t>
  </si>
  <si>
    <t>Inversion en el ano 0</t>
  </si>
  <si>
    <t>Aumento en el Cap. De Trabajo</t>
  </si>
  <si>
    <t>Ingreso neto por maquina antigua</t>
  </si>
  <si>
    <t>Dividendo annual</t>
  </si>
  <si>
    <t>Costos de Flotacion</t>
  </si>
  <si>
    <t>por accion</t>
  </si>
  <si>
    <t>Valor</t>
  </si>
  <si>
    <t>Proyecto</t>
  </si>
  <si>
    <t>Inversion Inicial</t>
  </si>
  <si>
    <t>TIR</t>
  </si>
  <si>
    <t>A</t>
  </si>
  <si>
    <t>B</t>
  </si>
  <si>
    <t>C</t>
  </si>
  <si>
    <t>D</t>
  </si>
  <si>
    <t>E</t>
  </si>
  <si>
    <t>F</t>
  </si>
  <si>
    <t>TMAR</t>
  </si>
  <si>
    <t>TMAR = WACC</t>
  </si>
  <si>
    <t>Presupuesto</t>
  </si>
  <si>
    <t>POI</t>
  </si>
  <si>
    <t>X</t>
  </si>
  <si>
    <t>Y</t>
  </si>
  <si>
    <t>DATOS</t>
  </si>
  <si>
    <t>Precio de venta</t>
  </si>
  <si>
    <t>c/u</t>
  </si>
  <si>
    <t>Plan II</t>
  </si>
  <si>
    <t>Apalancamiento</t>
  </si>
  <si>
    <t>Cantidad de Acciones en Circulacion</t>
  </si>
  <si>
    <t>Plan I - Capital Accionario</t>
  </si>
  <si>
    <t>Plan II - Apalancamiento</t>
  </si>
  <si>
    <t>Deuda</t>
  </si>
  <si>
    <t>millones</t>
  </si>
  <si>
    <t>Intereses de la deuda</t>
  </si>
  <si>
    <t>Ventas Esperadas</t>
  </si>
  <si>
    <t>Costos Variables</t>
  </si>
  <si>
    <t>Costos Fijos</t>
  </si>
  <si>
    <t>Ventas podrian aumentar a</t>
  </si>
  <si>
    <t>por ventas a municipios aledaños</t>
  </si>
  <si>
    <t>a)</t>
  </si>
  <si>
    <t>Mayores utilidades por accion por venta en municipios tambien</t>
  </si>
  <si>
    <t>Valor nominal de la accion</t>
  </si>
  <si>
    <t>Dividendos por accion</t>
  </si>
  <si>
    <t>Dividendo Preferente</t>
  </si>
  <si>
    <t>-</t>
  </si>
  <si>
    <t>Costos de flotacion</t>
  </si>
  <si>
    <t>Costo Neto</t>
  </si>
  <si>
    <t>GAT al nivel de base de ventas</t>
  </si>
  <si>
    <t>Q</t>
  </si>
  <si>
    <t>GAF</t>
  </si>
  <si>
    <t>GAO</t>
  </si>
  <si>
    <t>UPA</t>
  </si>
  <si>
    <t>Inciso</t>
  </si>
  <si>
    <t>Valor que pide</t>
  </si>
  <si>
    <t>Valor correcto</t>
  </si>
  <si>
    <t>b)</t>
  </si>
  <si>
    <t>c)</t>
  </si>
  <si>
    <t>d)</t>
  </si>
  <si>
    <t>UAII</t>
  </si>
  <si>
    <t>PEO</t>
  </si>
  <si>
    <t>GAT</t>
  </si>
  <si>
    <t>Carné</t>
  </si>
  <si>
    <t>Dp</t>
  </si>
  <si>
    <t>Np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</si>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</sst>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52606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0" applyNumberFormat="1"/>
    <xf numFmtId="43" fontId="0" fillId="0" borderId="0" xfId="1" applyFont="1"/>
    <xf numFmtId="0" fontId="2" fillId="0" borderId="1" xfId="0" applyFont="1" applyBorder="1" applyAlignment="1">
      <alignment horizontal="center"/>
    </xf>
    <xf numFmtId="0" fontId="0" fillId="0" borderId="0" xfId="0" quotePrefix="1"/>
    <xf numFmtId="43" fontId="0" fillId="0" borderId="0" xfId="0" applyNumberFormat="1"/>
    <xf numFmtId="0" fontId="0" fillId="3" borderId="0" xfId="0" applyFill="1"/>
    <xf numFmtId="10" fontId="0" fillId="3" borderId="0" xfId="0" applyNumberFormat="1" applyFill="1"/>
    <xf numFmtId="0" fontId="0" fillId="3" borderId="0" xfId="0" quotePrefix="1" applyFill="1"/>
    <xf numFmtId="43" fontId="0" fillId="3" borderId="0" xfId="0" applyNumberFormat="1" applyFill="1"/>
    <xf numFmtId="43" fontId="0" fillId="3" borderId="0" xfId="1" applyFont="1" applyFill="1"/>
    <xf numFmtId="43" fontId="0" fillId="4" borderId="0" xfId="1" applyFont="1" applyFill="1"/>
    <xf numFmtId="43" fontId="0" fillId="4" borderId="0" xfId="0" applyNumberFormat="1" applyFill="1"/>
    <xf numFmtId="4" fontId="0" fillId="0" borderId="0" xfId="0" applyNumberFormat="1"/>
    <xf numFmtId="4" fontId="3" fillId="0" borderId="0" xfId="0" applyNumberFormat="1" applyFont="1" applyAlignment="1">
      <alignment horizontal="right" vertical="center" wrapText="1"/>
    </xf>
    <xf numFmtId="0" fontId="0" fillId="4" borderId="0" xfId="0" applyFill="1"/>
    <xf numFmtId="4" fontId="3" fillId="4" borderId="0" xfId="0" applyNumberFormat="1" applyFont="1" applyFill="1" applyAlignment="1">
      <alignment horizontal="right" vertical="center" wrapText="1"/>
    </xf>
    <xf numFmtId="9" fontId="0" fillId="4" borderId="0" xfId="2" applyFont="1" applyFill="1"/>
    <xf numFmtId="0" fontId="2" fillId="0" borderId="0" xfId="0" applyFont="1"/>
    <xf numFmtId="43" fontId="0" fillId="0" borderId="2" xfId="0" applyNumberFormat="1" applyBorder="1"/>
    <xf numFmtId="0" fontId="2" fillId="0" borderId="0" xfId="0" applyFont="1" applyAlignment="1">
      <alignment horizontal="center"/>
    </xf>
    <xf numFmtId="9" fontId="0" fillId="0" borderId="0" xfId="2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2" applyNumberFormat="1" applyFo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/>
    <xf numFmtId="164" fontId="2" fillId="4" borderId="0" xfId="2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'P2'!$B$13:$B$24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70000</c:v>
                </c:pt>
                <c:pt idx="2">
                  <c:v>70000</c:v>
                </c:pt>
                <c:pt idx="3">
                  <c:v>170000</c:v>
                </c:pt>
                <c:pt idx="4">
                  <c:v>170000</c:v>
                </c:pt>
                <c:pt idx="5">
                  <c:v>230000</c:v>
                </c:pt>
                <c:pt idx="6">
                  <c:v>230000</c:v>
                </c:pt>
                <c:pt idx="7">
                  <c:v>310000</c:v>
                </c:pt>
                <c:pt idx="8">
                  <c:v>310000</c:v>
                </c:pt>
                <c:pt idx="9">
                  <c:v>420000</c:v>
                </c:pt>
                <c:pt idx="10">
                  <c:v>420000</c:v>
                </c:pt>
                <c:pt idx="11">
                  <c:v>460000</c:v>
                </c:pt>
              </c:numCache>
            </c:numRef>
          </c:xVal>
          <c:yVal>
            <c:numRef>
              <c:f>'P2'!$C$13:$C$24</c:f>
              <c:numCache>
                <c:formatCode>0%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  <c:pt idx="10">
                  <c:v>0.08</c:v>
                </c:pt>
                <c:pt idx="1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8-4066-AEBF-38A95D09B35A}"/>
            </c:ext>
          </c:extLst>
        </c:ser>
        <c:ser>
          <c:idx val="1"/>
          <c:order val="1"/>
          <c:tx>
            <c:v>TMAR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'P2'!$B$29:$B$32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250000</c:v>
                </c:pt>
                <c:pt idx="2">
                  <c:v>250000</c:v>
                </c:pt>
                <c:pt idx="3">
                  <c:v>460000</c:v>
                </c:pt>
              </c:numCache>
            </c:numRef>
          </c:xVal>
          <c:yVal>
            <c:numRef>
              <c:f>'P2'!$C$29:$C$32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28-4066-AEBF-38A95D09B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1200"/>
        <c:axId val="162277856"/>
      </c:scatterChart>
      <c:valAx>
        <c:axId val="1622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7856"/>
        <c:crosses val="autoZero"/>
        <c:crossBetween val="midCat"/>
      </c:valAx>
      <c:valAx>
        <c:axId val="1622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9</xdr:row>
      <xdr:rowOff>83820</xdr:rowOff>
    </xdr:from>
    <xdr:to>
      <xdr:col>8</xdr:col>
      <xdr:colOff>586740</xdr:colOff>
      <xdr:row>24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5F22F9-4C51-C799-2364-307DDD6F5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784860</xdr:colOff>
      <xdr:row>27</xdr:row>
      <xdr:rowOff>4876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EEAA30D-C336-E9E2-0B52-376265A96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09660" cy="4942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784860</xdr:colOff>
      <xdr:row>15</xdr:row>
      <xdr:rowOff>100091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D464C-CDD1-4152-8A7E-01A6E1D05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09660" cy="2843291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0</xdr:row>
      <xdr:rowOff>0</xdr:rowOff>
    </xdr:from>
    <xdr:to>
      <xdr:col>13</xdr:col>
      <xdr:colOff>617221</xdr:colOff>
      <xdr:row>23</xdr:row>
      <xdr:rowOff>28927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EDD502-22FA-4E18-8DDD-543D38701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2041" y="0"/>
          <a:ext cx="2217420" cy="42351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22860</xdr:colOff>
      <xdr:row>13</xdr:row>
      <xdr:rowOff>138561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D25278-18FA-4195-9A76-9A522D510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40140" cy="2516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716281</xdr:colOff>
      <xdr:row>14</xdr:row>
      <xdr:rowOff>84636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18AE85-13CE-4625-9031-ABFF1F0EA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641080" cy="26449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7</xdr:col>
      <xdr:colOff>671099</xdr:colOff>
      <xdr:row>33</xdr:row>
      <xdr:rowOff>53867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D4BF1F-3F54-49A2-9363-37C4E9FE0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"/>
          <a:ext cx="6218459" cy="6081287"/>
        </a:xfrm>
        <a:prstGeom prst="rect">
          <a:avLst/>
        </a:prstGeom>
      </xdr:spPr>
    </xdr:pic>
    <xdr:clientData/>
  </xdr:twoCellAnchor>
  <xdr:twoCellAnchor editAs="oneCell">
    <xdr:from>
      <xdr:col>7</xdr:col>
      <xdr:colOff>746760</xdr:colOff>
      <xdr:row>0</xdr:row>
      <xdr:rowOff>0</xdr:rowOff>
    </xdr:from>
    <xdr:to>
      <xdr:col>12</xdr:col>
      <xdr:colOff>693759</xdr:colOff>
      <xdr:row>5</xdr:row>
      <xdr:rowOff>152492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DDC2CB-D755-4A1C-9DEB-B31A8D09E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4120" y="0"/>
          <a:ext cx="3909399" cy="10668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723900</xdr:colOff>
      <xdr:row>20</xdr:row>
      <xdr:rowOff>142093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0826F1-3298-4569-8ED6-ECE89413C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8700" cy="3799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8803-B9C7-4956-9F7D-0CA0B04C6D76}">
  <dimension ref="B2:E4"/>
  <sheetViews>
    <sheetView workbookViewId="0">
      <selection activeCell="B5" sqref="B5"/>
    </sheetView>
  </sheetViews>
  <sheetFormatPr baseColWidth="10" defaultRowHeight="14.4" x14ac:dyDescent="0.3"/>
  <sheetData>
    <row r="2" spans="2:5" x14ac:dyDescent="0.3">
      <c r="B2" s="27" t="s">
        <v>12</v>
      </c>
      <c r="C2" s="27"/>
      <c r="D2" s="27"/>
      <c r="E2" s="27"/>
    </row>
    <row r="3" spans="2:5" x14ac:dyDescent="0.3">
      <c r="B3" s="3" t="s">
        <v>10</v>
      </c>
      <c r="C3" s="26" t="s">
        <v>11</v>
      </c>
      <c r="D3" s="26"/>
      <c r="E3" s="26"/>
    </row>
    <row r="4" spans="2:5" x14ac:dyDescent="0.3">
      <c r="B4" s="3" t="s">
        <v>119</v>
      </c>
      <c r="C4" s="26">
        <v>1174216</v>
      </c>
      <c r="D4" s="26"/>
      <c r="E4" s="26"/>
    </row>
  </sheetData>
  <mergeCells count="3">
    <mergeCell ref="C3:E3"/>
    <mergeCell ref="C4:E4"/>
    <mergeCell ref="B2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3587-6B1F-4ECF-B53E-BBA1FCDB87DD}">
  <dimension ref="A1"/>
  <sheetViews>
    <sheetView workbookViewId="0">
      <selection activeCell="M12" sqref="M1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917A-8F33-4767-9894-B54CCF7CB9B3}">
  <dimension ref="L13:M13"/>
  <sheetViews>
    <sheetView workbookViewId="0">
      <selection activeCell="M13" sqref="M13"/>
    </sheetView>
  </sheetViews>
  <sheetFormatPr baseColWidth="10" defaultRowHeight="14.4" x14ac:dyDescent="0.3"/>
  <sheetData>
    <row r="13" spans="12:13" x14ac:dyDescent="0.3">
      <c r="L13" t="s">
        <v>114</v>
      </c>
      <c r="M13">
        <v>53.5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82F3-CF94-45D8-BF6D-94F610E17458}">
  <dimension ref="A1"/>
  <sheetViews>
    <sheetView workbookViewId="0">
      <selection activeCell="I13" sqref="I1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8483-B200-4610-BB15-721766C471E6}">
  <dimension ref="A1"/>
  <sheetViews>
    <sheetView workbookViewId="0">
      <selection activeCell="M25" sqref="M2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0A07-620E-4E1C-BA66-74AF38D985A6}">
  <dimension ref="A2:I27"/>
  <sheetViews>
    <sheetView topLeftCell="A6" workbookViewId="0">
      <selection activeCell="D26" sqref="D26"/>
    </sheetView>
  </sheetViews>
  <sheetFormatPr baseColWidth="10" defaultRowHeight="14.4" x14ac:dyDescent="0.3"/>
  <cols>
    <col min="1" max="1" width="3" customWidth="1"/>
    <col min="2" max="2" width="30.5546875" bestFit="1" customWidth="1"/>
    <col min="3" max="3" width="15.77734375" bestFit="1" customWidth="1"/>
    <col min="4" max="4" width="13.109375" bestFit="1" customWidth="1"/>
  </cols>
  <sheetData>
    <row r="2" spans="1:9" x14ac:dyDescent="0.3">
      <c r="A2" s="28" t="s">
        <v>81</v>
      </c>
      <c r="B2" s="28"/>
      <c r="C2" s="28"/>
      <c r="D2" s="28"/>
      <c r="E2" s="28"/>
      <c r="F2" s="28"/>
      <c r="G2" s="28"/>
      <c r="H2" s="28"/>
      <c r="I2" s="28"/>
    </row>
    <row r="4" spans="1:9" x14ac:dyDescent="0.3">
      <c r="B4" t="s">
        <v>82</v>
      </c>
      <c r="C4">
        <v>20</v>
      </c>
      <c r="D4" t="s">
        <v>83</v>
      </c>
    </row>
    <row r="5" spans="1:9" x14ac:dyDescent="0.3">
      <c r="E5" t="s">
        <v>84</v>
      </c>
      <c r="F5" t="s">
        <v>85</v>
      </c>
    </row>
    <row r="6" spans="1:9" x14ac:dyDescent="0.3">
      <c r="B6" s="29" t="s">
        <v>87</v>
      </c>
      <c r="C6" s="29"/>
    </row>
    <row r="7" spans="1:9" x14ac:dyDescent="0.3">
      <c r="B7" t="s">
        <v>86</v>
      </c>
      <c r="C7" s="2">
        <v>160000</v>
      </c>
    </row>
    <row r="9" spans="1:9" x14ac:dyDescent="0.3">
      <c r="B9" s="29" t="s">
        <v>88</v>
      </c>
      <c r="C9" s="29"/>
    </row>
    <row r="10" spans="1:9" x14ac:dyDescent="0.3">
      <c r="B10" t="s">
        <v>86</v>
      </c>
      <c r="C10" s="2">
        <v>80000</v>
      </c>
    </row>
    <row r="11" spans="1:9" x14ac:dyDescent="0.3">
      <c r="B11" t="s">
        <v>89</v>
      </c>
      <c r="C11">
        <v>2.8</v>
      </c>
      <c r="D11" t="s">
        <v>90</v>
      </c>
    </row>
    <row r="12" spans="1:9" x14ac:dyDescent="0.3">
      <c r="B12" t="s">
        <v>91</v>
      </c>
      <c r="C12" s="1">
        <v>0.1</v>
      </c>
      <c r="E12" s="2">
        <f>2800000*C12</f>
        <v>280000</v>
      </c>
    </row>
    <row r="14" spans="1:9" x14ac:dyDescent="0.3">
      <c r="B14" t="s">
        <v>92</v>
      </c>
      <c r="C14" s="2">
        <v>50000</v>
      </c>
    </row>
    <row r="15" spans="1:9" x14ac:dyDescent="0.3">
      <c r="B15" t="s">
        <v>93</v>
      </c>
      <c r="C15" s="2">
        <v>12</v>
      </c>
    </row>
    <row r="16" spans="1:9" x14ac:dyDescent="0.3">
      <c r="B16" t="s">
        <v>94</v>
      </c>
      <c r="C16" s="2">
        <v>50000</v>
      </c>
    </row>
    <row r="18" spans="1:4" x14ac:dyDescent="0.3">
      <c r="B18" t="s">
        <v>95</v>
      </c>
      <c r="C18" s="2">
        <v>66500</v>
      </c>
      <c r="D18" t="s">
        <v>96</v>
      </c>
    </row>
    <row r="20" spans="1:4" x14ac:dyDescent="0.3">
      <c r="A20" t="s">
        <v>97</v>
      </c>
      <c r="B20" t="s">
        <v>98</v>
      </c>
    </row>
    <row r="24" spans="1:4" x14ac:dyDescent="0.3">
      <c r="B24" t="s">
        <v>105</v>
      </c>
      <c r="C24" t="s">
        <v>106</v>
      </c>
      <c r="D24" s="5">
        <f>(50000*(C4-C15))/(50000*(C4-C15)-C16-0)</f>
        <v>1.1428571428571428</v>
      </c>
    </row>
    <row r="26" spans="1:4" x14ac:dyDescent="0.3">
      <c r="B26" t="s">
        <v>108</v>
      </c>
      <c r="C26">
        <f>(50000*(C4-C15))/(50000*(C4-C15)-C16)</f>
        <v>1.1428571428571428</v>
      </c>
    </row>
    <row r="27" spans="1:4" x14ac:dyDescent="0.3">
      <c r="B27" t="s">
        <v>107</v>
      </c>
      <c r="C27">
        <f>E12/(E12)</f>
        <v>1</v>
      </c>
    </row>
  </sheetData>
  <mergeCells count="3">
    <mergeCell ref="A2:I2"/>
    <mergeCell ref="B6:C6"/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ADB8-90C6-452D-BD93-C313415C9823}">
  <dimension ref="B2:H32"/>
  <sheetViews>
    <sheetView workbookViewId="0">
      <selection activeCell="E5" sqref="E5"/>
    </sheetView>
  </sheetViews>
  <sheetFormatPr baseColWidth="10" defaultRowHeight="14.4" x14ac:dyDescent="0.3"/>
  <cols>
    <col min="3" max="3" width="14.109375" bestFit="1" customWidth="1"/>
    <col min="6" max="6" width="13.21875" bestFit="1" customWidth="1"/>
  </cols>
  <sheetData>
    <row r="2" spans="2:8" x14ac:dyDescent="0.3">
      <c r="B2" s="20" t="s">
        <v>66</v>
      </c>
      <c r="C2" s="20" t="s">
        <v>67</v>
      </c>
      <c r="D2" s="20" t="s">
        <v>68</v>
      </c>
      <c r="F2" s="18" t="s">
        <v>76</v>
      </c>
      <c r="H2" s="18" t="s">
        <v>77</v>
      </c>
    </row>
    <row r="3" spans="2:8" x14ac:dyDescent="0.3">
      <c r="B3" s="24" t="s">
        <v>70</v>
      </c>
      <c r="C3" s="2">
        <v>70000</v>
      </c>
      <c r="D3" s="21">
        <v>0.2</v>
      </c>
      <c r="F3" s="1">
        <v>0.1</v>
      </c>
      <c r="H3" s="2">
        <f>250000</f>
        <v>250000</v>
      </c>
    </row>
    <row r="4" spans="2:8" x14ac:dyDescent="0.3">
      <c r="B4" s="24" t="s">
        <v>71</v>
      </c>
      <c r="C4" s="2">
        <v>100000</v>
      </c>
      <c r="D4" s="21">
        <v>0.16</v>
      </c>
    </row>
    <row r="5" spans="2:8" x14ac:dyDescent="0.3">
      <c r="B5" s="24" t="s">
        <v>73</v>
      </c>
      <c r="C5" s="2">
        <v>60000</v>
      </c>
      <c r="D5" s="21">
        <v>0.15</v>
      </c>
    </row>
    <row r="6" spans="2:8" x14ac:dyDescent="0.3">
      <c r="B6" s="24" t="s">
        <v>69</v>
      </c>
      <c r="C6" s="2">
        <v>80000</v>
      </c>
      <c r="D6" s="21">
        <v>0.12</v>
      </c>
    </row>
    <row r="7" spans="2:8" x14ac:dyDescent="0.3">
      <c r="B7" s="24" t="s">
        <v>74</v>
      </c>
      <c r="C7" s="2">
        <v>110000</v>
      </c>
      <c r="D7" s="21">
        <v>0.11</v>
      </c>
    </row>
    <row r="8" spans="2:8" x14ac:dyDescent="0.3">
      <c r="B8" s="22" t="s">
        <v>72</v>
      </c>
      <c r="C8" s="2">
        <v>40000</v>
      </c>
      <c r="D8" s="21">
        <v>0.08</v>
      </c>
    </row>
    <row r="11" spans="2:8" x14ac:dyDescent="0.3">
      <c r="B11" s="30" t="s">
        <v>78</v>
      </c>
      <c r="C11" s="30"/>
    </row>
    <row r="12" spans="2:8" x14ac:dyDescent="0.3">
      <c r="B12" s="23" t="s">
        <v>79</v>
      </c>
      <c r="C12" s="23" t="s">
        <v>80</v>
      </c>
    </row>
    <row r="13" spans="2:8" x14ac:dyDescent="0.3">
      <c r="B13" s="2">
        <v>0</v>
      </c>
      <c r="C13" s="1">
        <f>D3</f>
        <v>0.2</v>
      </c>
    </row>
    <row r="14" spans="2:8" x14ac:dyDescent="0.3">
      <c r="B14" s="2">
        <f>C3</f>
        <v>70000</v>
      </c>
      <c r="C14" s="1">
        <f>C13</f>
        <v>0.2</v>
      </c>
    </row>
    <row r="15" spans="2:8" x14ac:dyDescent="0.3">
      <c r="B15" s="2">
        <f>B14</f>
        <v>70000</v>
      </c>
      <c r="C15" s="1">
        <f>D4</f>
        <v>0.16</v>
      </c>
    </row>
    <row r="16" spans="2:8" x14ac:dyDescent="0.3">
      <c r="B16" s="2">
        <f>B15+C4</f>
        <v>170000</v>
      </c>
      <c r="C16" s="1">
        <f>C15</f>
        <v>0.16</v>
      </c>
    </row>
    <row r="17" spans="2:3" x14ac:dyDescent="0.3">
      <c r="B17" s="2">
        <f>B16</f>
        <v>170000</v>
      </c>
      <c r="C17" s="1">
        <f>D5</f>
        <v>0.15</v>
      </c>
    </row>
    <row r="18" spans="2:3" x14ac:dyDescent="0.3">
      <c r="B18" s="2">
        <f>B17+C5</f>
        <v>230000</v>
      </c>
      <c r="C18" s="1">
        <f>C17</f>
        <v>0.15</v>
      </c>
    </row>
    <row r="19" spans="2:3" x14ac:dyDescent="0.3">
      <c r="B19" s="2">
        <f>B18</f>
        <v>230000</v>
      </c>
      <c r="C19" s="1">
        <f>D6</f>
        <v>0.12</v>
      </c>
    </row>
    <row r="20" spans="2:3" x14ac:dyDescent="0.3">
      <c r="B20" s="2">
        <f>B19+C6</f>
        <v>310000</v>
      </c>
      <c r="C20" s="1">
        <f>C19</f>
        <v>0.12</v>
      </c>
    </row>
    <row r="21" spans="2:3" x14ac:dyDescent="0.3">
      <c r="B21" s="2">
        <f>B20</f>
        <v>310000</v>
      </c>
      <c r="C21" s="1">
        <f>D7</f>
        <v>0.11</v>
      </c>
    </row>
    <row r="22" spans="2:3" x14ac:dyDescent="0.3">
      <c r="B22" s="2">
        <f>B21+C7</f>
        <v>420000</v>
      </c>
      <c r="C22" s="1">
        <f>C21</f>
        <v>0.11</v>
      </c>
    </row>
    <row r="23" spans="2:3" x14ac:dyDescent="0.3">
      <c r="B23" s="2">
        <f>B22</f>
        <v>420000</v>
      </c>
      <c r="C23" s="1">
        <f>D8</f>
        <v>0.08</v>
      </c>
    </row>
    <row r="24" spans="2:3" x14ac:dyDescent="0.3">
      <c r="B24" s="2">
        <f>B23+C8</f>
        <v>460000</v>
      </c>
      <c r="C24" s="1">
        <f>C23</f>
        <v>0.08</v>
      </c>
    </row>
    <row r="27" spans="2:3" x14ac:dyDescent="0.3">
      <c r="B27" s="30" t="s">
        <v>75</v>
      </c>
      <c r="C27" s="30"/>
    </row>
    <row r="28" spans="2:3" x14ac:dyDescent="0.3">
      <c r="B28" s="23" t="s">
        <v>79</v>
      </c>
      <c r="C28" s="23" t="s">
        <v>80</v>
      </c>
    </row>
    <row r="29" spans="2:3" x14ac:dyDescent="0.3">
      <c r="B29" s="2">
        <v>0</v>
      </c>
      <c r="C29" s="1">
        <f>F3</f>
        <v>0.1</v>
      </c>
    </row>
    <row r="30" spans="2:3" x14ac:dyDescent="0.3">
      <c r="B30" s="5">
        <f>H3</f>
        <v>250000</v>
      </c>
      <c r="C30" s="1">
        <f>C29</f>
        <v>0.1</v>
      </c>
    </row>
    <row r="31" spans="2:3" x14ac:dyDescent="0.3">
      <c r="B31" s="5">
        <f>B30</f>
        <v>250000</v>
      </c>
      <c r="C31" s="1">
        <f>C30</f>
        <v>0.1</v>
      </c>
    </row>
    <row r="32" spans="2:3" x14ac:dyDescent="0.3">
      <c r="B32" s="5">
        <f>B24</f>
        <v>460000</v>
      </c>
      <c r="C32" s="1">
        <f>C31</f>
        <v>0.1</v>
      </c>
    </row>
  </sheetData>
  <autoFilter ref="B2:D8" xr:uid="{5054ADB8-90C6-452D-BD93-C313415C9823}">
    <sortState xmlns:xlrd2="http://schemas.microsoft.com/office/spreadsheetml/2017/richdata2" ref="B3:D8">
      <sortCondition descending="1" ref="D2:D8"/>
    </sortState>
  </autoFilter>
  <mergeCells count="2">
    <mergeCell ref="B11:C11"/>
    <mergeCell ref="B27:C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573A-3CBC-47B2-8C49-4A5944BD6280}">
  <dimension ref="A2:I19"/>
  <sheetViews>
    <sheetView workbookViewId="0">
      <selection activeCell="D18" sqref="D18"/>
    </sheetView>
  </sheetViews>
  <sheetFormatPr baseColWidth="10" defaultRowHeight="14.4" x14ac:dyDescent="0.3"/>
  <cols>
    <col min="1" max="1" width="5.44140625" customWidth="1"/>
    <col min="2" max="2" width="22.6640625" bestFit="1" customWidth="1"/>
  </cols>
  <sheetData>
    <row r="2" spans="1:9" x14ac:dyDescent="0.3">
      <c r="A2" s="28" t="s">
        <v>33</v>
      </c>
      <c r="B2" s="28"/>
      <c r="C2" s="28"/>
      <c r="D2" s="28"/>
      <c r="E2" s="28"/>
      <c r="F2" s="28"/>
      <c r="G2" s="28"/>
      <c r="H2" s="28"/>
      <c r="I2" s="28"/>
    </row>
    <row r="4" spans="1:9" x14ac:dyDescent="0.3">
      <c r="B4" t="s">
        <v>62</v>
      </c>
      <c r="C4" s="1">
        <v>0.15</v>
      </c>
    </row>
    <row r="5" spans="1:9" x14ac:dyDescent="0.3">
      <c r="B5" t="s">
        <v>65</v>
      </c>
      <c r="C5" s="2">
        <v>35</v>
      </c>
      <c r="D5" t="s">
        <v>64</v>
      </c>
    </row>
    <row r="6" spans="1:9" x14ac:dyDescent="0.3">
      <c r="B6" t="s">
        <v>63</v>
      </c>
      <c r="C6" s="2">
        <v>3</v>
      </c>
      <c r="D6" t="s">
        <v>64</v>
      </c>
    </row>
    <row r="9" spans="1:9" x14ac:dyDescent="0.3">
      <c r="B9" t="s">
        <v>99</v>
      </c>
      <c r="C9" s="5">
        <f>C5</f>
        <v>35</v>
      </c>
    </row>
    <row r="10" spans="1:9" x14ac:dyDescent="0.3">
      <c r="B10" t="s">
        <v>100</v>
      </c>
      <c r="C10" s="1">
        <f>C4</f>
        <v>0.15</v>
      </c>
    </row>
    <row r="11" spans="1:9" x14ac:dyDescent="0.3">
      <c r="B11" t="s">
        <v>101</v>
      </c>
      <c r="C11" s="5">
        <f>C9*C10</f>
        <v>5.25</v>
      </c>
    </row>
    <row r="12" spans="1:9" x14ac:dyDescent="0.3">
      <c r="A12" t="s">
        <v>102</v>
      </c>
      <c r="B12" t="s">
        <v>103</v>
      </c>
      <c r="C12" s="19">
        <f>C6</f>
        <v>3</v>
      </c>
    </row>
    <row r="13" spans="1:9" x14ac:dyDescent="0.3">
      <c r="B13" t="s">
        <v>104</v>
      </c>
      <c r="C13" s="5">
        <f>C11-C12</f>
        <v>2.25</v>
      </c>
    </row>
    <row r="15" spans="1:9" x14ac:dyDescent="0.3">
      <c r="C15" s="25">
        <f>C13/C9</f>
        <v>6.4285714285714279E-2</v>
      </c>
    </row>
    <row r="17" spans="2:3" x14ac:dyDescent="0.3">
      <c r="B17" t="s">
        <v>120</v>
      </c>
      <c r="C17" s="5">
        <f>C4*C5</f>
        <v>5.25</v>
      </c>
    </row>
    <row r="18" spans="2:3" x14ac:dyDescent="0.3">
      <c r="B18" t="s">
        <v>121</v>
      </c>
      <c r="C18" s="5">
        <f>C5-C6</f>
        <v>32</v>
      </c>
    </row>
    <row r="19" spans="2:3" x14ac:dyDescent="0.3">
      <c r="B19" s="31" t="s">
        <v>122</v>
      </c>
      <c r="C19" s="32">
        <f>C17/C18</f>
        <v>0.1640625</v>
      </c>
    </row>
  </sheetData>
  <mergeCells count="1">
    <mergeCell ref="A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852E0-92AE-47C2-8620-C0AD1B24B1C2}">
  <dimension ref="A2:I42"/>
  <sheetViews>
    <sheetView tabSelected="1" topLeftCell="A16" workbookViewId="0">
      <selection activeCell="J20" sqref="J20"/>
    </sheetView>
  </sheetViews>
  <sheetFormatPr baseColWidth="10" defaultRowHeight="14.4" x14ac:dyDescent="0.3"/>
  <cols>
    <col min="1" max="1" width="4" customWidth="1"/>
    <col min="2" max="2" width="33.21875" customWidth="1"/>
    <col min="5" max="5" width="21.44140625" customWidth="1"/>
  </cols>
  <sheetData>
    <row r="2" spans="1:9" x14ac:dyDescent="0.3">
      <c r="A2" s="28" t="s">
        <v>33</v>
      </c>
      <c r="B2" s="28"/>
      <c r="C2" s="28"/>
      <c r="D2" s="28"/>
      <c r="E2" s="28"/>
      <c r="F2" s="28"/>
      <c r="G2" s="28"/>
      <c r="H2" s="28"/>
      <c r="I2" s="28"/>
    </row>
    <row r="4" spans="1:9" x14ac:dyDescent="0.3">
      <c r="B4" t="s">
        <v>34</v>
      </c>
    </row>
    <row r="6" spans="1:9" x14ac:dyDescent="0.3">
      <c r="B6" t="s">
        <v>35</v>
      </c>
      <c r="C6" s="2">
        <v>80000</v>
      </c>
    </row>
    <row r="7" spans="1:9" x14ac:dyDescent="0.3">
      <c r="B7" t="s">
        <v>36</v>
      </c>
      <c r="C7" s="1">
        <v>0.2</v>
      </c>
      <c r="D7" t="s">
        <v>37</v>
      </c>
      <c r="F7" s="4" t="s">
        <v>19</v>
      </c>
      <c r="G7" s="5">
        <f>C6*C7</f>
        <v>16000</v>
      </c>
      <c r="H7" t="s">
        <v>44</v>
      </c>
    </row>
    <row r="9" spans="1:9" x14ac:dyDescent="0.3">
      <c r="B9" t="s">
        <v>38</v>
      </c>
      <c r="C9">
        <v>4</v>
      </c>
      <c r="D9" t="s">
        <v>39</v>
      </c>
    </row>
    <row r="10" spans="1:9" x14ac:dyDescent="0.3">
      <c r="B10" t="s">
        <v>40</v>
      </c>
      <c r="C10" s="2">
        <v>50000</v>
      </c>
    </row>
    <row r="11" spans="1:9" x14ac:dyDescent="0.3">
      <c r="B11" t="s">
        <v>36</v>
      </c>
      <c r="C11" s="2">
        <f>0.2*C10</f>
        <v>10000</v>
      </c>
      <c r="D11" t="s">
        <v>41</v>
      </c>
    </row>
    <row r="12" spans="1:9" x14ac:dyDescent="0.3">
      <c r="B12" t="s">
        <v>42</v>
      </c>
      <c r="C12" s="2">
        <v>45000</v>
      </c>
    </row>
    <row r="14" spans="1:9" x14ac:dyDescent="0.3">
      <c r="B14" t="s">
        <v>43</v>
      </c>
      <c r="F14">
        <v>15000</v>
      </c>
    </row>
    <row r="17" spans="2:6" x14ac:dyDescent="0.3">
      <c r="B17" s="18" t="s">
        <v>45</v>
      </c>
    </row>
    <row r="18" spans="2:6" x14ac:dyDescent="0.3">
      <c r="B18" t="s">
        <v>46</v>
      </c>
      <c r="C18" s="5">
        <f>C6</f>
        <v>80000</v>
      </c>
    </row>
    <row r="20" spans="2:6" x14ac:dyDescent="0.3">
      <c r="B20" s="18" t="s">
        <v>47</v>
      </c>
    </row>
    <row r="21" spans="2:6" x14ac:dyDescent="0.3">
      <c r="B21" t="s">
        <v>47</v>
      </c>
      <c r="C21">
        <f>F14</f>
        <v>15000</v>
      </c>
    </row>
    <row r="23" spans="2:6" x14ac:dyDescent="0.3">
      <c r="B23" s="18" t="s">
        <v>48</v>
      </c>
    </row>
    <row r="24" spans="2:6" x14ac:dyDescent="0.3">
      <c r="B24" t="s">
        <v>49</v>
      </c>
      <c r="C24" s="5">
        <f>C12</f>
        <v>45000</v>
      </c>
    </row>
    <row r="25" spans="2:6" x14ac:dyDescent="0.3">
      <c r="B25" s="4" t="s">
        <v>50</v>
      </c>
      <c r="C25" s="19">
        <f>C34</f>
        <v>3500</v>
      </c>
    </row>
    <row r="26" spans="2:6" x14ac:dyDescent="0.3">
      <c r="C26" s="12">
        <f>C24-C25</f>
        <v>41500</v>
      </c>
    </row>
    <row r="29" spans="2:6" x14ac:dyDescent="0.3">
      <c r="B29" t="s">
        <v>51</v>
      </c>
      <c r="C29" s="5">
        <f>C10</f>
        <v>50000</v>
      </c>
      <c r="E29" t="s">
        <v>55</v>
      </c>
      <c r="F29" s="5">
        <f>C11</f>
        <v>10000</v>
      </c>
    </row>
    <row r="30" spans="2:6" x14ac:dyDescent="0.3">
      <c r="E30" t="s">
        <v>56</v>
      </c>
      <c r="F30">
        <f>C9</f>
        <v>4</v>
      </c>
    </row>
    <row r="31" spans="2:6" x14ac:dyDescent="0.3">
      <c r="B31" t="s">
        <v>52</v>
      </c>
      <c r="C31" s="5">
        <f>C12</f>
        <v>45000</v>
      </c>
      <c r="E31" t="s">
        <v>57</v>
      </c>
      <c r="F31" s="5">
        <f>F29*F30</f>
        <v>40000</v>
      </c>
    </row>
    <row r="32" spans="2:6" x14ac:dyDescent="0.3">
      <c r="B32" s="4" t="s">
        <v>53</v>
      </c>
      <c r="C32" s="12">
        <f>C29-F31</f>
        <v>10000</v>
      </c>
    </row>
    <row r="33" spans="2:5" x14ac:dyDescent="0.3">
      <c r="B33" t="s">
        <v>54</v>
      </c>
      <c r="C33" s="5">
        <f>C31-C32</f>
        <v>35000</v>
      </c>
    </row>
    <row r="34" spans="2:5" x14ac:dyDescent="0.3">
      <c r="B34" s="4" t="s">
        <v>58</v>
      </c>
      <c r="C34" s="5">
        <f>C33*0.1</f>
        <v>3500</v>
      </c>
    </row>
    <row r="37" spans="2:5" x14ac:dyDescent="0.3">
      <c r="B37" s="18" t="s">
        <v>59</v>
      </c>
    </row>
    <row r="38" spans="2:5" x14ac:dyDescent="0.3">
      <c r="B38" t="s">
        <v>45</v>
      </c>
      <c r="C38" s="5">
        <f>-C18</f>
        <v>-80000</v>
      </c>
    </row>
    <row r="39" spans="2:5" x14ac:dyDescent="0.3">
      <c r="B39" t="s">
        <v>60</v>
      </c>
      <c r="C39">
        <f>-C21</f>
        <v>-15000</v>
      </c>
    </row>
    <row r="40" spans="2:5" x14ac:dyDescent="0.3">
      <c r="B40" t="s">
        <v>61</v>
      </c>
      <c r="C40" s="5">
        <f>-C26</f>
        <v>-41500</v>
      </c>
    </row>
    <row r="41" spans="2:5" x14ac:dyDescent="0.3">
      <c r="C41" s="12">
        <f>SUM(C38:C40)</f>
        <v>-136500</v>
      </c>
      <c r="E41">
        <f>C40/C41</f>
        <v>0.304029304029304</v>
      </c>
    </row>
    <row r="42" spans="2:5" x14ac:dyDescent="0.3">
      <c r="E42">
        <f>C38/C41</f>
        <v>0.58608058608058611</v>
      </c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BDD1-D9E4-47EB-9F33-D8F9B659AC07}">
  <dimension ref="B2:F10"/>
  <sheetViews>
    <sheetView workbookViewId="0">
      <selection activeCell="B25" sqref="B25"/>
    </sheetView>
  </sheetViews>
  <sheetFormatPr baseColWidth="10" defaultRowHeight="14.4" x14ac:dyDescent="0.3"/>
  <cols>
    <col min="2" max="2" width="36.21875" bestFit="1" customWidth="1"/>
  </cols>
  <sheetData>
    <row r="2" spans="2:6" x14ac:dyDescent="0.3">
      <c r="B2" t="s">
        <v>25</v>
      </c>
    </row>
    <row r="4" spans="2:6" x14ac:dyDescent="0.3">
      <c r="B4" t="s">
        <v>26</v>
      </c>
      <c r="C4">
        <v>2020</v>
      </c>
      <c r="D4">
        <v>2021</v>
      </c>
      <c r="E4" t="s">
        <v>32</v>
      </c>
    </row>
    <row r="5" spans="2:6" x14ac:dyDescent="0.3">
      <c r="B5" t="s">
        <v>27</v>
      </c>
      <c r="C5" s="14">
        <v>21860</v>
      </c>
      <c r="D5" s="14">
        <v>22050</v>
      </c>
    </row>
    <row r="6" spans="2:6" x14ac:dyDescent="0.3">
      <c r="B6" t="s">
        <v>28</v>
      </c>
      <c r="C6" s="14">
        <v>11316</v>
      </c>
      <c r="D6" s="14">
        <v>13850</v>
      </c>
    </row>
    <row r="7" spans="2:6" x14ac:dyDescent="0.3">
      <c r="B7" s="15" t="s">
        <v>29</v>
      </c>
      <c r="C7" s="16">
        <v>23084</v>
      </c>
      <c r="D7" s="16">
        <v>24650</v>
      </c>
      <c r="E7" s="17">
        <f>(D7-C7)/C7</f>
        <v>6.78391959798995E-2</v>
      </c>
      <c r="F7">
        <f>1+E7</f>
        <v>1.0678391959798994</v>
      </c>
    </row>
    <row r="8" spans="2:6" x14ac:dyDescent="0.3">
      <c r="B8" t="s">
        <v>30</v>
      </c>
      <c r="C8" s="14">
        <v>234068</v>
      </c>
      <c r="D8" s="14">
        <v>260525</v>
      </c>
    </row>
    <row r="9" spans="2:6" x14ac:dyDescent="0.3">
      <c r="B9" t="s">
        <v>31</v>
      </c>
      <c r="C9" s="14">
        <f>SUM(C5:C8)</f>
        <v>290328</v>
      </c>
      <c r="D9" s="14">
        <f>SUM(D5:D8)</f>
        <v>321075</v>
      </c>
    </row>
    <row r="10" spans="2:6" x14ac:dyDescent="0.3">
      <c r="C1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1939-66B7-457E-AB31-AB40DE0FCA25}">
  <dimension ref="B2:J25"/>
  <sheetViews>
    <sheetView workbookViewId="0">
      <selection activeCell="E25" sqref="E25"/>
    </sheetView>
  </sheetViews>
  <sheetFormatPr baseColWidth="10" defaultRowHeight="14.4" x14ac:dyDescent="0.3"/>
  <cols>
    <col min="2" max="2" width="30.6640625" bestFit="1" customWidth="1"/>
    <col min="7" max="7" width="20.77734375" bestFit="1" customWidth="1"/>
  </cols>
  <sheetData>
    <row r="2" spans="2:8" x14ac:dyDescent="0.3">
      <c r="B2" s="6" t="s">
        <v>0</v>
      </c>
      <c r="C2" s="6">
        <v>0.45</v>
      </c>
    </row>
    <row r="3" spans="2:8" x14ac:dyDescent="0.3">
      <c r="B3" s="6" t="s">
        <v>1</v>
      </c>
      <c r="C3" s="10">
        <v>875</v>
      </c>
    </row>
    <row r="4" spans="2:8" x14ac:dyDescent="0.3">
      <c r="B4" s="6" t="s">
        <v>2</v>
      </c>
      <c r="C4" s="10">
        <v>1553.45</v>
      </c>
    </row>
    <row r="5" spans="2:8" x14ac:dyDescent="0.3">
      <c r="B5" s="6" t="s">
        <v>3</v>
      </c>
      <c r="C5" s="10">
        <v>5780</v>
      </c>
    </row>
    <row r="6" spans="2:8" x14ac:dyDescent="0.3">
      <c r="B6" s="6" t="s">
        <v>4</v>
      </c>
      <c r="C6" s="7">
        <v>9.5000000000000001E-2</v>
      </c>
      <c r="D6" s="8" t="s">
        <v>19</v>
      </c>
      <c r="E6" s="9">
        <f>C6*C5</f>
        <v>549.1</v>
      </c>
    </row>
    <row r="7" spans="2:8" x14ac:dyDescent="0.3">
      <c r="B7" s="6" t="s">
        <v>5</v>
      </c>
      <c r="C7" s="7">
        <v>0.185</v>
      </c>
    </row>
    <row r="8" spans="2:8" x14ac:dyDescent="0.3">
      <c r="B8" t="s">
        <v>6</v>
      </c>
      <c r="C8" s="1">
        <v>0.55000000000000004</v>
      </c>
      <c r="D8" t="s">
        <v>7</v>
      </c>
      <c r="E8" s="5">
        <f>C8*H21</f>
        <v>2968.1055555555554</v>
      </c>
      <c r="F8" s="4" t="s">
        <v>19</v>
      </c>
      <c r="G8" t="s">
        <v>24</v>
      </c>
      <c r="H8" s="12">
        <f>0.45*H21</f>
        <v>2428.4499999999998</v>
      </c>
    </row>
    <row r="11" spans="2:8" x14ac:dyDescent="0.3">
      <c r="G11" s="5"/>
    </row>
    <row r="12" spans="2:8" x14ac:dyDescent="0.3">
      <c r="B12" t="s">
        <v>8</v>
      </c>
      <c r="C12" t="s">
        <v>3</v>
      </c>
    </row>
    <row r="13" spans="2:8" x14ac:dyDescent="0.3">
      <c r="C13" t="s">
        <v>9</v>
      </c>
    </row>
    <row r="18" spans="2:10" x14ac:dyDescent="0.3">
      <c r="B18" t="s">
        <v>16</v>
      </c>
      <c r="C18" t="s">
        <v>17</v>
      </c>
      <c r="F18" s="4" t="s">
        <v>19</v>
      </c>
      <c r="G18" t="s">
        <v>18</v>
      </c>
      <c r="H18" t="s">
        <v>20</v>
      </c>
      <c r="J18" s="11">
        <f>E6/C7</f>
        <v>2968.1081081081084</v>
      </c>
    </row>
    <row r="19" spans="2:10" x14ac:dyDescent="0.3">
      <c r="C19" t="s">
        <v>18</v>
      </c>
      <c r="H19" t="s">
        <v>5</v>
      </c>
    </row>
    <row r="21" spans="2:10" x14ac:dyDescent="0.3">
      <c r="B21" t="s">
        <v>21</v>
      </c>
      <c r="C21" t="s">
        <v>22</v>
      </c>
      <c r="E21" s="4" t="s">
        <v>19</v>
      </c>
      <c r="F21" t="s">
        <v>23</v>
      </c>
      <c r="G21" t="s">
        <v>22</v>
      </c>
      <c r="H21" s="5">
        <f>(C3+C4)/C2</f>
        <v>5396.5555555555547</v>
      </c>
    </row>
    <row r="22" spans="2:10" x14ac:dyDescent="0.3">
      <c r="C22" t="s">
        <v>9</v>
      </c>
      <c r="G22" t="s">
        <v>21</v>
      </c>
    </row>
    <row r="24" spans="2:10" x14ac:dyDescent="0.3">
      <c r="B24" t="s">
        <v>13</v>
      </c>
      <c r="C24" t="s">
        <v>14</v>
      </c>
      <c r="E24">
        <f>E8/C3</f>
        <v>3.3921206349206345</v>
      </c>
    </row>
    <row r="25" spans="2:10" x14ac:dyDescent="0.3">
      <c r="C25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53C8-50FD-4997-99AA-CAFE76D8F760}">
  <dimension ref="L19:N23"/>
  <sheetViews>
    <sheetView workbookViewId="0">
      <selection activeCell="O130" sqref="O130"/>
    </sheetView>
  </sheetViews>
  <sheetFormatPr baseColWidth="10" defaultRowHeight="14.4" x14ac:dyDescent="0.3"/>
  <cols>
    <col min="13" max="13" width="13.21875" style="23" bestFit="1" customWidth="1"/>
    <col min="14" max="15" width="12.88671875" bestFit="1" customWidth="1"/>
  </cols>
  <sheetData>
    <row r="19" spans="12:14" x14ac:dyDescent="0.3">
      <c r="L19" s="23" t="s">
        <v>110</v>
      </c>
      <c r="M19" s="23" t="s">
        <v>111</v>
      </c>
      <c r="N19" s="23" t="s">
        <v>112</v>
      </c>
    </row>
    <row r="20" spans="12:14" x14ac:dyDescent="0.3">
      <c r="L20" s="23" t="s">
        <v>97</v>
      </c>
      <c r="M20" t="s">
        <v>109</v>
      </c>
      <c r="N20">
        <v>2.34</v>
      </c>
    </row>
    <row r="21" spans="12:14" x14ac:dyDescent="0.3">
      <c r="L21" s="23" t="s">
        <v>113</v>
      </c>
      <c r="M21" t="s">
        <v>116</v>
      </c>
      <c r="N21" s="2">
        <v>560000</v>
      </c>
    </row>
    <row r="22" spans="12:14" x14ac:dyDescent="0.3">
      <c r="L22" s="23" t="s">
        <v>114</v>
      </c>
      <c r="M22" t="s">
        <v>117</v>
      </c>
      <c r="N22">
        <v>6250</v>
      </c>
    </row>
    <row r="23" spans="12:14" x14ac:dyDescent="0.3">
      <c r="L23" s="23" t="s">
        <v>115</v>
      </c>
      <c r="M23" t="s">
        <v>118</v>
      </c>
      <c r="N23">
        <v>5.7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B181-B9D2-431C-A6E0-B623B3586331}">
  <dimension ref="A1"/>
  <sheetViews>
    <sheetView workbookViewId="0">
      <selection activeCell="O10" sqref="O1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Estudiante</vt:lpstr>
      <vt:lpstr>P1</vt:lpstr>
      <vt:lpstr>P2</vt:lpstr>
      <vt:lpstr>P3</vt:lpstr>
      <vt:lpstr>P4</vt:lpstr>
      <vt:lpstr>P5</vt:lpstr>
      <vt:lpstr>P6</vt:lpstr>
      <vt:lpstr>SP1</vt:lpstr>
      <vt:lpstr>SP2</vt:lpstr>
      <vt:lpstr>SP3</vt:lpstr>
      <vt:lpstr>SP4</vt:lpstr>
      <vt:lpstr>SP5</vt:lpstr>
      <vt:lpstr>SP6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Garcia Montenegro</dc:creator>
  <cp:lastModifiedBy>Pablo Garcia Montenegro</cp:lastModifiedBy>
  <dcterms:created xsi:type="dcterms:W3CDTF">2022-05-06T23:35:31Z</dcterms:created>
  <dcterms:modified xsi:type="dcterms:W3CDTF">2022-05-13T04:02:18Z</dcterms:modified>
</cp:coreProperties>
</file>