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 A\Documents\Ruth 2022\Fundamentos de administración y análisis financiero\"/>
    </mc:Choice>
  </mc:AlternateContent>
  <bookViews>
    <workbookView xWindow="0" yWindow="0" windowWidth="28800" windowHeight="12345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3" l="1"/>
  <c r="D152" i="3"/>
  <c r="C163" i="3" s="1"/>
  <c r="E159" i="3"/>
  <c r="E158" i="3"/>
  <c r="D149" i="3"/>
  <c r="C175" i="3" s="1"/>
  <c r="D110" i="3"/>
  <c r="D107" i="3"/>
  <c r="C133" i="3" s="1"/>
  <c r="C121" i="3"/>
  <c r="E117" i="3"/>
  <c r="E116" i="3"/>
  <c r="E115" i="3"/>
  <c r="D68" i="3"/>
  <c r="C79" i="3" s="1"/>
  <c r="C91" i="3"/>
  <c r="C90" i="3"/>
  <c r="C92" i="3" s="1"/>
  <c r="E75" i="3"/>
  <c r="E74" i="3"/>
  <c r="E73" i="3"/>
  <c r="C48" i="3"/>
  <c r="C47" i="3"/>
  <c r="C36" i="3"/>
  <c r="E32" i="3"/>
  <c r="E31" i="3"/>
  <c r="E30" i="3"/>
  <c r="C174" i="3" l="1"/>
  <c r="C176" i="3" s="1"/>
  <c r="E157" i="3"/>
  <c r="E160" i="3" s="1"/>
  <c r="C49" i="3"/>
  <c r="C132" i="3"/>
  <c r="E76" i="3"/>
  <c r="C97" i="3" s="1"/>
  <c r="E33" i="3"/>
  <c r="E118" i="3"/>
  <c r="C120" i="3" s="1"/>
  <c r="C134" i="3"/>
  <c r="C78" i="3"/>
  <c r="C162" i="3" l="1"/>
  <c r="C181" i="3"/>
  <c r="C54" i="3"/>
  <c r="C35" i="3"/>
  <c r="C139" i="3"/>
  <c r="C122" i="3"/>
  <c r="C140" i="3"/>
  <c r="C98" i="3"/>
  <c r="C99" i="3" s="1"/>
  <c r="C103" i="3" s="1"/>
  <c r="C80" i="3"/>
  <c r="C182" i="3" l="1"/>
  <c r="C183" i="3" s="1"/>
  <c r="C187" i="3" s="1"/>
  <c r="C164" i="3"/>
  <c r="C55" i="3"/>
  <c r="C56" i="3" s="1"/>
  <c r="C60" i="3" s="1"/>
  <c r="C37" i="3"/>
  <c r="C38" i="3" s="1"/>
  <c r="C39" i="3" s="1"/>
  <c r="C41" i="3" s="1"/>
  <c r="C42" i="3" s="1"/>
  <c r="C141" i="3"/>
  <c r="C145" i="3" s="1"/>
  <c r="C123" i="3"/>
  <c r="C124" i="3" s="1"/>
  <c r="C126" i="3" s="1"/>
  <c r="C127" i="3" s="1"/>
  <c r="C81" i="3"/>
  <c r="C82" i="3" s="1"/>
  <c r="C84" i="3" s="1"/>
  <c r="C85" i="3" s="1"/>
  <c r="C165" i="3" l="1"/>
  <c r="C166" i="3" s="1"/>
  <c r="C168" i="3" s="1"/>
  <c r="C169" i="3" s="1"/>
  <c r="C77" i="2" l="1"/>
  <c r="C71" i="2"/>
  <c r="C70" i="2"/>
  <c r="G72" i="2"/>
  <c r="F71" i="2"/>
  <c r="G66" i="2"/>
  <c r="C60" i="2"/>
  <c r="C61" i="2" s="1"/>
  <c r="C59" i="2"/>
  <c r="C54" i="2"/>
  <c r="C36" i="2"/>
  <c r="C73" i="2" l="1"/>
  <c r="G32" i="2" l="1"/>
  <c r="C35" i="2" s="1"/>
  <c r="C62" i="1"/>
  <c r="C61" i="1"/>
  <c r="C60" i="1"/>
  <c r="C58" i="1"/>
  <c r="C56" i="1"/>
  <c r="C48" i="2" l="1"/>
  <c r="C47" i="2"/>
  <c r="C49" i="2" s="1"/>
  <c r="F49" i="2" s="1"/>
  <c r="C54" i="1" l="1"/>
  <c r="C53" i="1"/>
  <c r="C47" i="1"/>
</calcChain>
</file>

<file path=xl/sharedStrings.xml><?xml version="1.0" encoding="utf-8"?>
<sst xmlns="http://schemas.openxmlformats.org/spreadsheetml/2006/main" count="232" uniqueCount="101">
  <si>
    <t>wacc =</t>
  </si>
  <si>
    <t>g =</t>
  </si>
  <si>
    <t>a)</t>
  </si>
  <si>
    <t>El modelo de valoración de acciones más apropiado es el de Flujo de efectivo Libre</t>
  </si>
  <si>
    <t>La limitante es que no tenemos el valor de la deuda que nos limita, solo tengo los pasivos</t>
  </si>
  <si>
    <t>Año</t>
  </si>
  <si>
    <t xml:space="preserve">FE </t>
  </si>
  <si>
    <t>Total acciones comunes en circulación</t>
  </si>
  <si>
    <t>Total pasivos</t>
  </si>
  <si>
    <t>Capital preferente</t>
  </si>
  <si>
    <t>Utilidades retenidas</t>
  </si>
  <si>
    <t>Total activos</t>
  </si>
  <si>
    <t>no existe</t>
  </si>
  <si>
    <t>FET =</t>
  </si>
  <si>
    <t>Patrimonio =</t>
  </si>
  <si>
    <t>PASO 1</t>
  </si>
  <si>
    <t>PASO 2</t>
  </si>
  <si>
    <t>PASO 3</t>
  </si>
  <si>
    <t>PASO 4</t>
  </si>
  <si>
    <t>Capital común =</t>
  </si>
  <si>
    <t>PASO 5</t>
  </si>
  <si>
    <t>P =</t>
  </si>
  <si>
    <t>c)</t>
  </si>
  <si>
    <t xml:space="preserve">El valor de su acción ha crecido debido a la variedad de inversiones que realiza en </t>
  </si>
  <si>
    <t>tecnología, haciendo que más personas quieran adquirir acciones con ellos.</t>
  </si>
  <si>
    <t>Fuene de capital</t>
  </si>
  <si>
    <t>Estructura de capital</t>
  </si>
  <si>
    <t>Deuda a largo plazo</t>
  </si>
  <si>
    <t>Acciones preferentes</t>
  </si>
  <si>
    <t xml:space="preserve">Acciones comunes </t>
  </si>
  <si>
    <t>Costo de las fuentes de financiamiento</t>
  </si>
  <si>
    <t>n =</t>
  </si>
  <si>
    <t>años</t>
  </si>
  <si>
    <t>VN =</t>
  </si>
  <si>
    <t>Tasa cupón =</t>
  </si>
  <si>
    <t>Nd =</t>
  </si>
  <si>
    <t>costo de flotación =</t>
  </si>
  <si>
    <t>Descuento =</t>
  </si>
  <si>
    <t>I =</t>
  </si>
  <si>
    <t>kd =</t>
  </si>
  <si>
    <t>ki =</t>
  </si>
  <si>
    <t>T =</t>
  </si>
  <si>
    <t>Dp =</t>
  </si>
  <si>
    <t>Np =</t>
  </si>
  <si>
    <t>Costo flotante =</t>
  </si>
  <si>
    <t>anual</t>
  </si>
  <si>
    <t>kp =</t>
  </si>
  <si>
    <t>Acciones comunes</t>
  </si>
  <si>
    <t>D1 =</t>
  </si>
  <si>
    <t>F = P*(1+g)^n</t>
  </si>
  <si>
    <t>F =</t>
  </si>
  <si>
    <t>60.70 = 4.45*(1+g)^6</t>
  </si>
  <si>
    <t>(1+g)^6</t>
  </si>
  <si>
    <t xml:space="preserve">5 años atrás + el próximo </t>
  </si>
  <si>
    <t>kr =</t>
  </si>
  <si>
    <t>(+) 5.31%</t>
  </si>
  <si>
    <t>costos de flotación</t>
  </si>
  <si>
    <t>b)</t>
  </si>
  <si>
    <t>Ventas anuales (pares) =</t>
  </si>
  <si>
    <t>Precio de venta por par =</t>
  </si>
  <si>
    <t>Costo variable por par =</t>
  </si>
  <si>
    <t>Costos fijos anuales =</t>
  </si>
  <si>
    <t>Deuda bancaria =</t>
  </si>
  <si>
    <t>Tasa interés anual =</t>
  </si>
  <si>
    <t># acciones a $1 cada una =</t>
  </si>
  <si>
    <t>EBIT</t>
  </si>
  <si>
    <t>Intereses</t>
  </si>
  <si>
    <t>UAI</t>
  </si>
  <si>
    <t>Impuestos</t>
  </si>
  <si>
    <t>UN</t>
  </si>
  <si>
    <t>UDAC</t>
  </si>
  <si>
    <t>UPA</t>
  </si>
  <si>
    <t># acc comunes</t>
  </si>
  <si>
    <t>EBIT = V - CV - CF</t>
  </si>
  <si>
    <t>Ventas =</t>
  </si>
  <si>
    <t>CV =</t>
  </si>
  <si>
    <t>CF =</t>
  </si>
  <si>
    <t>EBIT =</t>
  </si>
  <si>
    <t>D Preferentes</t>
  </si>
  <si>
    <t>GAO =</t>
  </si>
  <si>
    <t>Q*(P - CV)</t>
  </si>
  <si>
    <t>Q*(P-CV)-CF</t>
  </si>
  <si>
    <t>GAF =</t>
  </si>
  <si>
    <t>EBIT - I - (DP/1-T)</t>
  </si>
  <si>
    <t>GAT =</t>
  </si>
  <si>
    <t>GAO*GAF</t>
  </si>
  <si>
    <t>Por cada punto porcentual que varían las ventas, las EBIT varían 1.5 veces más</t>
  </si>
  <si>
    <t>Por cada punto porcentual que varía las EBIT, las UPA varían 1.07 veces más</t>
  </si>
  <si>
    <t>Por cada punto porcentual que varían las ventas, las UPA varían 1.61 veces más.</t>
  </si>
  <si>
    <t>d)</t>
  </si>
  <si>
    <t>Por cada punto porcentual que varían las ventas, las EBIT varían 1.29 veces más</t>
  </si>
  <si>
    <t>Por cada punto porcentual que varía las EBIT, las UPA varían 1.04 veces más</t>
  </si>
  <si>
    <t>Por cada punto porcentual que varían las ventas, las UPA varían 1.34 veces más.</t>
  </si>
  <si>
    <t>Por cada punto porcentual que varían las ventas, las EBIT varían 1.19 veces más</t>
  </si>
  <si>
    <t>Por cada punto porcentual que varía las EBIT, las UPA varían 1.10 veces más</t>
  </si>
  <si>
    <t>Por cada punto porcentual que varían las ventas, las UPA varían 1.31 veces más.</t>
  </si>
  <si>
    <t>Por cada punto porcentual que varían las ventas, las EBIT varían 2.14 veces más</t>
  </si>
  <si>
    <t>Por cada punto porcentual que varía las EBIT, las UPA varían 1.05 veces más</t>
  </si>
  <si>
    <t>Por cada punto porcentual que varían las ventas, las UPA varían 2.24 veces más.</t>
  </si>
  <si>
    <r>
      <t>Un </t>
    </r>
    <r>
      <rPr>
        <b/>
        <sz val="12"/>
        <color rgb="FF202124"/>
        <rFont val="Arial"/>
        <family val="2"/>
      </rPr>
      <t>alto grado de apalancamiento</t>
    </r>
    <r>
      <rPr>
        <sz val="12"/>
        <color rgb="FF202124"/>
        <rFont val="Arial"/>
        <family val="2"/>
      </rPr>
      <t> financiero conlleva </t>
    </r>
    <r>
      <rPr>
        <b/>
        <sz val="12"/>
        <color rgb="FF202124"/>
        <rFont val="Arial"/>
        <family val="2"/>
      </rPr>
      <t>altos</t>
    </r>
    <r>
      <rPr>
        <sz val="12"/>
        <color rgb="FF202124"/>
        <rFont val="Arial"/>
        <family val="2"/>
      </rPr>
      <t> pagos de interés sobre esa deuda, lo que afecta negativamente a las ganancias.</t>
    </r>
  </si>
  <si>
    <t>Por lo tanto, se recomienda invertir en la expansión via deuda bancaria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</si>
</sst>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Q&quot;#,##0.00;[Red]\-&quot;Q&quot;#,##0.00"/>
    <numFmt numFmtId="43" formatCode="_-* #,##0.00_-;\-* #,##0.00_-;_-* &quot;-&quot;??_-;_-@_-"/>
    <numFmt numFmtId="170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2"/>
      <color rgb="FF202124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20" fontId="0" fillId="0" borderId="0" xfId="0" applyNumberFormat="1"/>
    <xf numFmtId="10" fontId="0" fillId="0" borderId="0" xfId="0" applyNumberFormat="1"/>
    <xf numFmtId="9" fontId="0" fillId="0" borderId="0" xfId="0" applyNumberFormat="1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8" fontId="0" fillId="0" borderId="0" xfId="0" applyNumberFormat="1"/>
    <xf numFmtId="43" fontId="0" fillId="0" borderId="0" xfId="0" applyNumberFormat="1"/>
    <xf numFmtId="0" fontId="2" fillId="0" borderId="0" xfId="0" applyFont="1"/>
    <xf numFmtId="0" fontId="2" fillId="2" borderId="0" xfId="0" applyFont="1" applyFill="1"/>
    <xf numFmtId="43" fontId="2" fillId="2" borderId="0" xfId="1" applyFont="1" applyFill="1"/>
    <xf numFmtId="43" fontId="0" fillId="0" borderId="2" xfId="1" applyFont="1" applyBorder="1"/>
    <xf numFmtId="9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right"/>
    </xf>
    <xf numFmtId="2" fontId="0" fillId="0" borderId="2" xfId="0" applyNumberFormat="1" applyBorder="1"/>
    <xf numFmtId="0" fontId="2" fillId="0" borderId="0" xfId="0" applyFont="1" applyAlignment="1">
      <alignment horizontal="right"/>
    </xf>
    <xf numFmtId="10" fontId="2" fillId="0" borderId="0" xfId="2" applyNumberFormat="1" applyFont="1"/>
    <xf numFmtId="10" fontId="2" fillId="2" borderId="0" xfId="2" applyNumberFormat="1" applyFont="1" applyFill="1"/>
    <xf numFmtId="43" fontId="0" fillId="0" borderId="2" xfId="0" applyNumberFormat="1" applyBorder="1"/>
    <xf numFmtId="0" fontId="2" fillId="0" borderId="3" xfId="0" applyFont="1" applyBorder="1"/>
    <xf numFmtId="0" fontId="0" fillId="0" borderId="0" xfId="0" applyBorder="1"/>
    <xf numFmtId="43" fontId="0" fillId="0" borderId="0" xfId="0" applyNumberFormat="1" applyBorder="1"/>
    <xf numFmtId="10" fontId="0" fillId="0" borderId="0" xfId="2" applyNumberFormat="1" applyFont="1" applyBorder="1"/>
    <xf numFmtId="10" fontId="2" fillId="2" borderId="0" xfId="0" applyNumberFormat="1" applyFont="1" applyFill="1"/>
    <xf numFmtId="0" fontId="0" fillId="0" borderId="4" xfId="0" applyBorder="1"/>
    <xf numFmtId="0" fontId="0" fillId="0" borderId="5" xfId="0" applyBorder="1"/>
    <xf numFmtId="43" fontId="0" fillId="0" borderId="6" xfId="1" applyFont="1" applyBorder="1"/>
    <xf numFmtId="0" fontId="0" fillId="0" borderId="7" xfId="0" applyBorder="1"/>
    <xf numFmtId="0" fontId="0" fillId="0" borderId="8" xfId="0" applyBorder="1"/>
    <xf numFmtId="43" fontId="1" fillId="0" borderId="2" xfId="1" applyFont="1" applyBorder="1"/>
    <xf numFmtId="0" fontId="0" fillId="0" borderId="2" xfId="0" applyBorder="1"/>
    <xf numFmtId="170" fontId="2" fillId="2" borderId="0" xfId="0" applyNumberFormat="1" applyFont="1" applyFill="1"/>
    <xf numFmtId="43" fontId="2" fillId="2" borderId="0" xfId="0" applyNumberFormat="1" applyFont="1" applyFill="1"/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0" fillId="4" borderId="0" xfId="0" applyFill="1"/>
    <xf numFmtId="2" fontId="2" fillId="2" borderId="0" xfId="0" applyNumberFormat="1" applyFont="1" applyFill="1"/>
    <xf numFmtId="0" fontId="3" fillId="0" borderId="0" xfId="0" applyFont="1"/>
    <xf numFmtId="0" fontId="5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7</xdr:col>
      <xdr:colOff>658128</xdr:colOff>
      <xdr:row>29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3EF2AB-1E5F-4023-AF7F-0C63C24CA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6430278" cy="5505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390320</xdr:colOff>
      <xdr:row>18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2961A7-8D18-43CA-AB43-D967F130F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53120" cy="3600450"/>
        </a:xfrm>
        <a:prstGeom prst="rect">
          <a:avLst/>
        </a:prstGeom>
      </xdr:spPr>
    </xdr:pic>
    <xdr:clientData/>
  </xdr:twoCellAnchor>
  <xdr:oneCellAnchor>
    <xdr:from>
      <xdr:col>1</xdr:col>
      <xdr:colOff>781050</xdr:colOff>
      <xdr:row>41</xdr:row>
      <xdr:rowOff>180975</xdr:rowOff>
    </xdr:from>
    <xdr:ext cx="1885950" cy="5820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1543050" y="7800975"/>
              <a:ext cx="1885950" cy="582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80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1000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 −945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945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+1000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1543050" y="7800975"/>
              <a:ext cx="1885950" cy="582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𝑘_𝑑=(80+(1000 −945)/15)/((945+1000)/2)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</xdr:col>
      <xdr:colOff>942975</xdr:colOff>
      <xdr:row>38</xdr:row>
      <xdr:rowOff>38100</xdr:rowOff>
    </xdr:from>
    <xdr:ext cx="1333500" cy="570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1704975" y="7086600"/>
              <a:ext cx="1333500" cy="570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𝑉𝑁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𝑁𝑑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𝑁𝑑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𝑉𝑁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1704975" y="7086600"/>
              <a:ext cx="1333500" cy="570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𝑘_𝑑=(𝐼+(𝑉𝑁 −𝑁𝑑)/𝑛)/((𝑁𝑑+𝑉𝑁)/2)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428625</xdr:colOff>
      <xdr:row>18</xdr:row>
      <xdr:rowOff>115832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0A90B0-1C45-4E72-8648-93DCA03ED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58050" cy="3544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66"/>
  <sheetViews>
    <sheetView tabSelected="1" workbookViewId="0">
      <selection activeCell="P5" sqref="P5"/>
    </sheetView>
  </sheetViews>
  <sheetFormatPr baseColWidth="10" defaultRowHeight="15" x14ac:dyDescent="0.25"/>
  <cols>
    <col min="2" max="2" width="15.28515625" customWidth="1"/>
    <col min="3" max="3" width="15.140625" bestFit="1" customWidth="1"/>
    <col min="8" max="8" width="15.140625" bestFit="1" customWidth="1"/>
  </cols>
  <sheetData>
    <row r="5" spans="16:16" x14ac:dyDescent="0.25">
      <c r="P5" s="1"/>
    </row>
    <row r="32" spans="2:3" x14ac:dyDescent="0.25">
      <c r="B32" t="s">
        <v>0</v>
      </c>
      <c r="C32" s="2">
        <v>0.1046</v>
      </c>
    </row>
    <row r="33" spans="1:8" x14ac:dyDescent="0.25">
      <c r="B33" t="s">
        <v>1</v>
      </c>
      <c r="C33" s="3">
        <v>7.0000000000000007E-2</v>
      </c>
    </row>
    <row r="36" spans="1:8" x14ac:dyDescent="0.25">
      <c r="A36" t="s">
        <v>2</v>
      </c>
      <c r="B36" t="s">
        <v>3</v>
      </c>
    </row>
    <row r="37" spans="1:8" x14ac:dyDescent="0.25">
      <c r="B37" t="s">
        <v>4</v>
      </c>
    </row>
    <row r="40" spans="1:8" x14ac:dyDescent="0.25">
      <c r="B40" s="9" t="s">
        <v>5</v>
      </c>
      <c r="C40" s="9" t="s">
        <v>6</v>
      </c>
      <c r="E40" s="8" t="s">
        <v>7</v>
      </c>
      <c r="F40" s="8"/>
      <c r="G40" s="8"/>
      <c r="H40" s="5">
        <v>144780</v>
      </c>
    </row>
    <row r="41" spans="1:8" x14ac:dyDescent="0.25">
      <c r="B41" s="5">
        <v>2015</v>
      </c>
      <c r="C41" s="6">
        <v>-1798000</v>
      </c>
      <c r="E41" s="8" t="s">
        <v>8</v>
      </c>
      <c r="F41" s="8"/>
      <c r="G41" s="8"/>
      <c r="H41" s="6">
        <v>61877000</v>
      </c>
    </row>
    <row r="42" spans="1:8" x14ac:dyDescent="0.25">
      <c r="B42" s="5">
        <v>2016</v>
      </c>
      <c r="C42" s="6">
        <v>-3631000</v>
      </c>
      <c r="E42" s="8" t="s">
        <v>9</v>
      </c>
      <c r="F42" s="8"/>
      <c r="G42" s="8"/>
      <c r="H42" s="5" t="s">
        <v>12</v>
      </c>
    </row>
    <row r="43" spans="1:8" x14ac:dyDescent="0.25">
      <c r="B43" s="5">
        <v>2017</v>
      </c>
      <c r="C43" s="6">
        <v>-2203000</v>
      </c>
      <c r="E43" s="8" t="s">
        <v>10</v>
      </c>
      <c r="F43" s="8"/>
      <c r="G43" s="8"/>
      <c r="H43" s="6">
        <v>38000000</v>
      </c>
    </row>
    <row r="44" spans="1:8" x14ac:dyDescent="0.25">
      <c r="B44" s="5">
        <v>2018</v>
      </c>
      <c r="C44" s="6">
        <v>5986000</v>
      </c>
      <c r="E44" s="8" t="s">
        <v>11</v>
      </c>
      <c r="F44" s="8"/>
      <c r="G44" s="8"/>
      <c r="H44" s="6">
        <v>245349000</v>
      </c>
    </row>
    <row r="45" spans="1:8" x14ac:dyDescent="0.25">
      <c r="C45" s="10"/>
    </row>
    <row r="47" spans="1:8" x14ac:dyDescent="0.25">
      <c r="A47" t="s">
        <v>15</v>
      </c>
      <c r="B47" t="s">
        <v>13</v>
      </c>
      <c r="C47" s="4">
        <f>(C44*(1+C33))/(C32-C33)</f>
        <v>185116184.9710983</v>
      </c>
    </row>
    <row r="49" spans="1:3" x14ac:dyDescent="0.25">
      <c r="A49" t="s">
        <v>16</v>
      </c>
      <c r="B49" s="9" t="s">
        <v>5</v>
      </c>
      <c r="C49" s="9" t="s">
        <v>6</v>
      </c>
    </row>
    <row r="50" spans="1:3" x14ac:dyDescent="0.25">
      <c r="B50" s="5">
        <v>2015</v>
      </c>
      <c r="C50" s="6">
        <v>-1798000</v>
      </c>
    </row>
    <row r="51" spans="1:3" x14ac:dyDescent="0.25">
      <c r="B51" s="5">
        <v>2016</v>
      </c>
      <c r="C51" s="6">
        <v>-3631000</v>
      </c>
    </row>
    <row r="52" spans="1:3" x14ac:dyDescent="0.25">
      <c r="B52" s="5">
        <v>2017</v>
      </c>
      <c r="C52" s="6">
        <v>-2203000</v>
      </c>
    </row>
    <row r="53" spans="1:3" x14ac:dyDescent="0.25">
      <c r="B53" s="5">
        <v>2018</v>
      </c>
      <c r="C53" s="6">
        <f>5986000+C47</f>
        <v>191102184.9710983</v>
      </c>
    </row>
    <row r="54" spans="1:3" x14ac:dyDescent="0.25">
      <c r="C54" s="4">
        <f>NPV(C32,C50:C53)</f>
        <v>122126488.43094134</v>
      </c>
    </row>
    <row r="56" spans="1:3" x14ac:dyDescent="0.25">
      <c r="A56" t="s">
        <v>17</v>
      </c>
      <c r="B56" t="s">
        <v>14</v>
      </c>
      <c r="C56" s="10">
        <f>C54-H41</f>
        <v>60249488.430941343</v>
      </c>
    </row>
    <row r="58" spans="1:3" x14ac:dyDescent="0.25">
      <c r="A58" t="s">
        <v>18</v>
      </c>
      <c r="B58" t="s">
        <v>19</v>
      </c>
      <c r="C58" s="4">
        <f>C56-0-H43</f>
        <v>22249488.430941343</v>
      </c>
    </row>
    <row r="60" spans="1:3" x14ac:dyDescent="0.25">
      <c r="A60" t="s">
        <v>20</v>
      </c>
      <c r="B60" t="s">
        <v>21</v>
      </c>
      <c r="C60" s="15">
        <f>C58</f>
        <v>22249488.430941343</v>
      </c>
    </row>
    <row r="61" spans="1:3" x14ac:dyDescent="0.25">
      <c r="C61" s="7">
        <f>H40</f>
        <v>144780</v>
      </c>
    </row>
    <row r="62" spans="1:3" x14ac:dyDescent="0.25">
      <c r="B62" s="13" t="s">
        <v>21</v>
      </c>
      <c r="C62" s="14">
        <f>C60/C61</f>
        <v>153.67791429024274</v>
      </c>
    </row>
    <row r="65" spans="1:2" x14ac:dyDescent="0.25">
      <c r="A65" t="s">
        <v>22</v>
      </c>
      <c r="B65" t="s">
        <v>23</v>
      </c>
    </row>
    <row r="66" spans="1:2" x14ac:dyDescent="0.25">
      <c r="B66" t="s">
        <v>24</v>
      </c>
    </row>
  </sheetData>
  <mergeCells count="5">
    <mergeCell ref="E40:G40"/>
    <mergeCell ref="E41:G41"/>
    <mergeCell ref="E42:G42"/>
    <mergeCell ref="E43:G43"/>
    <mergeCell ref="E44:G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77"/>
  <sheetViews>
    <sheetView workbookViewId="0">
      <selection activeCell="F77" sqref="F76:F77"/>
    </sheetView>
  </sheetViews>
  <sheetFormatPr baseColWidth="10" defaultRowHeight="15" x14ac:dyDescent="0.25"/>
  <cols>
    <col min="2" max="2" width="20.140625" customWidth="1"/>
    <col min="3" max="3" width="18.7109375" customWidth="1"/>
  </cols>
  <sheetData>
    <row r="22" spans="1:7" x14ac:dyDescent="0.25">
      <c r="B22" s="9" t="s">
        <v>25</v>
      </c>
      <c r="C22" s="9" t="s">
        <v>26</v>
      </c>
    </row>
    <row r="23" spans="1:7" x14ac:dyDescent="0.25">
      <c r="B23" s="5" t="s">
        <v>27</v>
      </c>
      <c r="C23" s="16">
        <v>0.4</v>
      </c>
    </row>
    <row r="24" spans="1:7" x14ac:dyDescent="0.25">
      <c r="B24" s="5" t="s">
        <v>28</v>
      </c>
      <c r="C24" s="16">
        <v>0.15</v>
      </c>
    </row>
    <row r="25" spans="1:7" x14ac:dyDescent="0.25">
      <c r="B25" s="5" t="s">
        <v>29</v>
      </c>
      <c r="C25" s="16">
        <v>0.45</v>
      </c>
    </row>
    <row r="28" spans="1:7" x14ac:dyDescent="0.25">
      <c r="A28" s="12" t="s">
        <v>2</v>
      </c>
      <c r="B28" t="s">
        <v>30</v>
      </c>
    </row>
    <row r="30" spans="1:7" x14ac:dyDescent="0.25">
      <c r="B30" s="12" t="s">
        <v>27</v>
      </c>
    </row>
    <row r="32" spans="1:7" x14ac:dyDescent="0.25">
      <c r="B32" t="s">
        <v>31</v>
      </c>
      <c r="C32">
        <v>15</v>
      </c>
      <c r="D32" t="s">
        <v>32</v>
      </c>
      <c r="E32" s="17" t="s">
        <v>36</v>
      </c>
      <c r="G32" s="4">
        <f>C33*3%</f>
        <v>30</v>
      </c>
    </row>
    <row r="33" spans="2:7" x14ac:dyDescent="0.25">
      <c r="B33" t="s">
        <v>33</v>
      </c>
      <c r="C33" s="4">
        <v>1000</v>
      </c>
      <c r="E33" s="17" t="s">
        <v>37</v>
      </c>
      <c r="G33" s="4">
        <v>25</v>
      </c>
    </row>
    <row r="34" spans="2:7" x14ac:dyDescent="0.25">
      <c r="B34" t="s">
        <v>34</v>
      </c>
      <c r="C34" s="3">
        <v>0.08</v>
      </c>
      <c r="E34" s="17"/>
      <c r="G34" s="4"/>
    </row>
    <row r="35" spans="2:7" x14ac:dyDescent="0.25">
      <c r="B35" t="s">
        <v>35</v>
      </c>
      <c r="C35" s="11">
        <f>C33-G32-G33</f>
        <v>945</v>
      </c>
      <c r="E35" s="17"/>
    </row>
    <row r="36" spans="2:7" x14ac:dyDescent="0.25">
      <c r="B36" t="s">
        <v>38</v>
      </c>
      <c r="C36" s="11">
        <f>C33*C34</f>
        <v>80</v>
      </c>
    </row>
    <row r="37" spans="2:7" x14ac:dyDescent="0.25">
      <c r="B37" t="s">
        <v>41</v>
      </c>
      <c r="C37" s="3">
        <v>0.4</v>
      </c>
    </row>
    <row r="47" spans="2:7" x14ac:dyDescent="0.25">
      <c r="B47" s="18" t="s">
        <v>39</v>
      </c>
      <c r="C47" s="19">
        <f>80+((C33-C35)/C32)</f>
        <v>83.666666666666671</v>
      </c>
    </row>
    <row r="48" spans="2:7" x14ac:dyDescent="0.25">
      <c r="C48">
        <f>(C35+C33)/2</f>
        <v>972.5</v>
      </c>
    </row>
    <row r="49" spans="2:6" x14ac:dyDescent="0.25">
      <c r="B49" s="20" t="s">
        <v>39</v>
      </c>
      <c r="C49" s="21">
        <f>C47/C48</f>
        <v>8.6032562125107112E-2</v>
      </c>
      <c r="E49" s="13" t="s">
        <v>40</v>
      </c>
      <c r="F49" s="22">
        <f>C49*(1-C37)</f>
        <v>5.1619537275064263E-2</v>
      </c>
    </row>
    <row r="52" spans="2:6" x14ac:dyDescent="0.25">
      <c r="B52" s="12" t="s">
        <v>28</v>
      </c>
    </row>
    <row r="53" spans="2:6" x14ac:dyDescent="0.25">
      <c r="B53" t="s">
        <v>42</v>
      </c>
      <c r="C53" s="4">
        <v>10</v>
      </c>
      <c r="D53" t="s">
        <v>45</v>
      </c>
    </row>
    <row r="54" spans="2:6" x14ac:dyDescent="0.25">
      <c r="B54" t="s">
        <v>43</v>
      </c>
      <c r="C54" s="11">
        <f>C55-C56</f>
        <v>69</v>
      </c>
    </row>
    <row r="55" spans="2:6" x14ac:dyDescent="0.25">
      <c r="B55" t="s">
        <v>21</v>
      </c>
      <c r="C55" s="4">
        <v>75</v>
      </c>
    </row>
    <row r="56" spans="2:6" x14ac:dyDescent="0.25">
      <c r="B56" t="s">
        <v>44</v>
      </c>
      <c r="C56" s="4">
        <v>6</v>
      </c>
    </row>
    <row r="59" spans="2:6" x14ac:dyDescent="0.25">
      <c r="B59" t="s">
        <v>46</v>
      </c>
      <c r="C59" s="23">
        <f>C53</f>
        <v>10</v>
      </c>
    </row>
    <row r="60" spans="2:6" x14ac:dyDescent="0.25">
      <c r="C60" s="11">
        <f>C54</f>
        <v>69</v>
      </c>
    </row>
    <row r="61" spans="2:6" x14ac:dyDescent="0.25">
      <c r="B61" s="13" t="s">
        <v>46</v>
      </c>
      <c r="C61" s="22">
        <f>C59/C60</f>
        <v>0.14492753623188406</v>
      </c>
    </row>
    <row r="64" spans="2:6" x14ac:dyDescent="0.25">
      <c r="B64" s="12" t="s">
        <v>47</v>
      </c>
    </row>
    <row r="65" spans="1:9" x14ac:dyDescent="0.25">
      <c r="F65" s="24" t="s">
        <v>49</v>
      </c>
      <c r="G65" s="25"/>
    </row>
    <row r="66" spans="1:9" x14ac:dyDescent="0.25">
      <c r="B66" t="s">
        <v>21</v>
      </c>
      <c r="C66" s="4">
        <v>50</v>
      </c>
      <c r="F66" s="17" t="s">
        <v>50</v>
      </c>
      <c r="G66" s="26">
        <f>C67</f>
        <v>6.07</v>
      </c>
    </row>
    <row r="67" spans="1:9" x14ac:dyDescent="0.25">
      <c r="B67" t="s">
        <v>48</v>
      </c>
      <c r="C67" s="4">
        <v>6.07</v>
      </c>
      <c r="F67" s="17" t="s">
        <v>21</v>
      </c>
      <c r="G67" s="26">
        <v>4.45</v>
      </c>
    </row>
    <row r="68" spans="1:9" x14ac:dyDescent="0.25">
      <c r="B68" t="s">
        <v>56</v>
      </c>
      <c r="C68" s="4">
        <v>3</v>
      </c>
      <c r="F68" s="17" t="s">
        <v>31</v>
      </c>
      <c r="G68" s="25">
        <v>6</v>
      </c>
      <c r="H68" t="s">
        <v>32</v>
      </c>
      <c r="I68" t="s">
        <v>53</v>
      </c>
    </row>
    <row r="69" spans="1:9" x14ac:dyDescent="0.25">
      <c r="F69" s="17"/>
      <c r="G69" s="25"/>
    </row>
    <row r="70" spans="1:9" x14ac:dyDescent="0.25">
      <c r="B70" t="s">
        <v>54</v>
      </c>
      <c r="C70" s="23">
        <f>C67</f>
        <v>6.07</v>
      </c>
      <c r="D70" t="s">
        <v>55</v>
      </c>
      <c r="F70" s="24" t="s">
        <v>51</v>
      </c>
      <c r="G70" s="25"/>
    </row>
    <row r="71" spans="1:9" x14ac:dyDescent="0.25">
      <c r="C71" s="11">
        <f>C66-C68</f>
        <v>47</v>
      </c>
      <c r="F71" s="17">
        <f>6.07/4.45</f>
        <v>1.3640449438202247</v>
      </c>
      <c r="G71" s="25" t="s">
        <v>52</v>
      </c>
    </row>
    <row r="72" spans="1:9" x14ac:dyDescent="0.25">
      <c r="F72" s="17" t="s">
        <v>1</v>
      </c>
      <c r="G72" s="27">
        <f>POWER(F71,1/6)-1</f>
        <v>5.310444698158201E-2</v>
      </c>
    </row>
    <row r="73" spans="1:9" x14ac:dyDescent="0.25">
      <c r="B73" s="13" t="s">
        <v>54</v>
      </c>
      <c r="C73" s="28">
        <f>(C70/C71)+G72</f>
        <v>0.18225338315179479</v>
      </c>
      <c r="F73" s="17"/>
      <c r="G73" s="25"/>
    </row>
    <row r="77" spans="1:9" x14ac:dyDescent="0.25">
      <c r="A77" t="s">
        <v>57</v>
      </c>
      <c r="B77" s="13" t="s">
        <v>0</v>
      </c>
      <c r="C77" s="28">
        <f>(C23*F49)+(C24*C61)+(C25*C73)</f>
        <v>0.12440096776311597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G191"/>
  <sheetViews>
    <sheetView zoomScaleNormal="100" workbookViewId="0">
      <selection activeCell="J31" sqref="J31"/>
    </sheetView>
  </sheetViews>
  <sheetFormatPr baseColWidth="10" defaultRowHeight="15" x14ac:dyDescent="0.25"/>
  <cols>
    <col min="2" max="2" width="14.85546875" customWidth="1"/>
    <col min="3" max="3" width="14.5703125" customWidth="1"/>
    <col min="4" max="4" width="13.140625" bestFit="1" customWidth="1"/>
    <col min="5" max="5" width="14.140625" bestFit="1" customWidth="1"/>
  </cols>
  <sheetData>
    <row r="21" spans="1:7" x14ac:dyDescent="0.25">
      <c r="B21" s="32" t="s">
        <v>58</v>
      </c>
      <c r="C21" s="33"/>
      <c r="D21" s="6">
        <v>600000</v>
      </c>
    </row>
    <row r="22" spans="1:7" x14ac:dyDescent="0.25">
      <c r="B22" s="32" t="s">
        <v>59</v>
      </c>
      <c r="C22" s="33"/>
      <c r="D22" s="6">
        <v>30</v>
      </c>
    </row>
    <row r="23" spans="1:7" x14ac:dyDescent="0.25">
      <c r="B23" s="32" t="s">
        <v>60</v>
      </c>
      <c r="C23" s="33"/>
      <c r="D23" s="6">
        <v>20</v>
      </c>
    </row>
    <row r="24" spans="1:7" x14ac:dyDescent="0.25">
      <c r="B24" s="32" t="s">
        <v>61</v>
      </c>
      <c r="C24" s="33"/>
      <c r="D24" s="6">
        <v>2000000</v>
      </c>
    </row>
    <row r="25" spans="1:7" x14ac:dyDescent="0.25">
      <c r="B25" s="32" t="s">
        <v>62</v>
      </c>
      <c r="C25" s="33"/>
      <c r="D25" s="6">
        <v>1850000</v>
      </c>
    </row>
    <row r="26" spans="1:7" x14ac:dyDescent="0.25">
      <c r="B26" s="32" t="s">
        <v>63</v>
      </c>
      <c r="C26" s="33"/>
      <c r="D26" s="16">
        <v>0.15</v>
      </c>
    </row>
    <row r="27" spans="1:7" x14ac:dyDescent="0.25">
      <c r="B27" s="29" t="s">
        <v>64</v>
      </c>
      <c r="C27" s="30"/>
      <c r="D27" s="31">
        <v>400000</v>
      </c>
      <c r="F27" t="s">
        <v>41</v>
      </c>
      <c r="G27" s="3">
        <v>0.25</v>
      </c>
    </row>
    <row r="30" spans="1:7" x14ac:dyDescent="0.25">
      <c r="A30" t="s">
        <v>2</v>
      </c>
      <c r="B30" s="17" t="s">
        <v>73</v>
      </c>
      <c r="D30" t="s">
        <v>74</v>
      </c>
      <c r="E30" s="4">
        <f>D21*D22</f>
        <v>18000000</v>
      </c>
    </row>
    <row r="31" spans="1:7" x14ac:dyDescent="0.25">
      <c r="D31" t="s">
        <v>75</v>
      </c>
      <c r="E31" s="4">
        <f>D21*D23</f>
        <v>12000000</v>
      </c>
    </row>
    <row r="32" spans="1:7" x14ac:dyDescent="0.25">
      <c r="D32" t="s">
        <v>76</v>
      </c>
      <c r="E32" s="15">
        <f>D24</f>
        <v>2000000</v>
      </c>
    </row>
    <row r="33" spans="1:5" x14ac:dyDescent="0.25">
      <c r="D33" s="13" t="s">
        <v>77</v>
      </c>
      <c r="E33" s="37">
        <f>E30-E31-E32</f>
        <v>4000000</v>
      </c>
    </row>
    <row r="35" spans="1:5" x14ac:dyDescent="0.25">
      <c r="B35" t="s">
        <v>65</v>
      </c>
      <c r="C35" s="4">
        <f>E33</f>
        <v>4000000</v>
      </c>
    </row>
    <row r="36" spans="1:5" x14ac:dyDescent="0.25">
      <c r="B36" t="s">
        <v>66</v>
      </c>
      <c r="C36" s="34">
        <f>D25*D26</f>
        <v>277500</v>
      </c>
    </row>
    <row r="37" spans="1:5" x14ac:dyDescent="0.25">
      <c r="B37" t="s">
        <v>67</v>
      </c>
      <c r="C37" s="11">
        <f>C35-C36</f>
        <v>3722500</v>
      </c>
    </row>
    <row r="38" spans="1:5" x14ac:dyDescent="0.25">
      <c r="B38" t="s">
        <v>68</v>
      </c>
      <c r="C38" s="23">
        <f>C37*G27</f>
        <v>930625</v>
      </c>
    </row>
    <row r="39" spans="1:5" x14ac:dyDescent="0.25">
      <c r="B39" t="s">
        <v>69</v>
      </c>
      <c r="C39" s="11">
        <f>C37-C38</f>
        <v>2791875</v>
      </c>
    </row>
    <row r="40" spans="1:5" x14ac:dyDescent="0.25">
      <c r="B40" t="s">
        <v>78</v>
      </c>
      <c r="C40" s="35">
        <v>0</v>
      </c>
    </row>
    <row r="41" spans="1:5" x14ac:dyDescent="0.25">
      <c r="B41" t="s">
        <v>70</v>
      </c>
      <c r="C41" s="11">
        <f>C39-C40</f>
        <v>2791875</v>
      </c>
    </row>
    <row r="42" spans="1:5" x14ac:dyDescent="0.25">
      <c r="B42" s="12" t="s">
        <v>71</v>
      </c>
      <c r="C42" s="36">
        <f>C41/C43</f>
        <v>6.9796874999999998</v>
      </c>
      <c r="E42" s="11"/>
    </row>
    <row r="43" spans="1:5" x14ac:dyDescent="0.25">
      <c r="B43" t="s">
        <v>72</v>
      </c>
      <c r="C43" s="4">
        <v>400000</v>
      </c>
    </row>
    <row r="45" spans="1:5" x14ac:dyDescent="0.25">
      <c r="A45" t="s">
        <v>57</v>
      </c>
      <c r="B45" s="38" t="s">
        <v>79</v>
      </c>
      <c r="C45" s="39" t="s">
        <v>80</v>
      </c>
    </row>
    <row r="46" spans="1:5" x14ac:dyDescent="0.25">
      <c r="B46" s="38"/>
      <c r="C46" s="38" t="s">
        <v>81</v>
      </c>
    </row>
    <row r="47" spans="1:5" x14ac:dyDescent="0.25">
      <c r="B47" s="40" t="s">
        <v>79</v>
      </c>
      <c r="C47" s="23">
        <f>D21*(D22-D23)</f>
        <v>6000000</v>
      </c>
    </row>
    <row r="48" spans="1:5" x14ac:dyDescent="0.25">
      <c r="B48" s="41"/>
      <c r="C48" s="11">
        <f>D21*(D22-D23)-D24</f>
        <v>4000000</v>
      </c>
    </row>
    <row r="49" spans="1:4" x14ac:dyDescent="0.25">
      <c r="B49" s="42" t="s">
        <v>79</v>
      </c>
      <c r="C49" s="13">
        <f>C47/C48</f>
        <v>1.5</v>
      </c>
      <c r="D49" s="12" t="s">
        <v>86</v>
      </c>
    </row>
    <row r="52" spans="1:4" x14ac:dyDescent="0.25">
      <c r="B52" s="43" t="s">
        <v>82</v>
      </c>
      <c r="C52" s="39" t="s">
        <v>65</v>
      </c>
    </row>
    <row r="53" spans="1:4" x14ac:dyDescent="0.25">
      <c r="B53" s="43"/>
      <c r="C53" s="38" t="s">
        <v>83</v>
      </c>
    </row>
    <row r="54" spans="1:4" x14ac:dyDescent="0.25">
      <c r="B54" s="41" t="s">
        <v>82</v>
      </c>
      <c r="C54" s="23">
        <f>E33</f>
        <v>4000000</v>
      </c>
    </row>
    <row r="55" spans="1:4" x14ac:dyDescent="0.25">
      <c r="C55" s="4">
        <f>C35-C36</f>
        <v>3722500</v>
      </c>
    </row>
    <row r="56" spans="1:4" x14ac:dyDescent="0.25">
      <c r="B56" s="13" t="s">
        <v>82</v>
      </c>
      <c r="C56" s="44">
        <f>C54/C55</f>
        <v>1.0745466756212223</v>
      </c>
      <c r="D56" s="12" t="s">
        <v>87</v>
      </c>
    </row>
    <row r="59" spans="1:4" x14ac:dyDescent="0.25">
      <c r="B59" t="s">
        <v>84</v>
      </c>
      <c r="C59" t="s">
        <v>85</v>
      </c>
    </row>
    <row r="60" spans="1:4" x14ac:dyDescent="0.25">
      <c r="B60" s="13" t="s">
        <v>84</v>
      </c>
      <c r="C60" s="44">
        <f>C49*C56</f>
        <v>1.6118200134318335</v>
      </c>
      <c r="D60" s="12" t="s">
        <v>88</v>
      </c>
    </row>
    <row r="64" spans="1:4" x14ac:dyDescent="0.25">
      <c r="A64" t="s">
        <v>22</v>
      </c>
      <c r="B64" s="32" t="s">
        <v>58</v>
      </c>
      <c r="C64" s="33"/>
      <c r="D64" s="6">
        <v>900000</v>
      </c>
    </row>
    <row r="65" spans="2:7" x14ac:dyDescent="0.25">
      <c r="B65" s="32" t="s">
        <v>59</v>
      </c>
      <c r="C65" s="33"/>
      <c r="D65" s="6">
        <v>30</v>
      </c>
    </row>
    <row r="66" spans="2:7" x14ac:dyDescent="0.25">
      <c r="B66" s="32" t="s">
        <v>60</v>
      </c>
      <c r="C66" s="33"/>
      <c r="D66" s="6">
        <v>20</v>
      </c>
    </row>
    <row r="67" spans="2:7" x14ac:dyDescent="0.25">
      <c r="B67" s="32" t="s">
        <v>61</v>
      </c>
      <c r="C67" s="33"/>
      <c r="D67" s="6">
        <v>2000000</v>
      </c>
    </row>
    <row r="68" spans="2:7" x14ac:dyDescent="0.25">
      <c r="B68" s="32" t="s">
        <v>62</v>
      </c>
      <c r="C68" s="33"/>
      <c r="D68" s="6">
        <f>1850000</f>
        <v>1850000</v>
      </c>
    </row>
    <row r="69" spans="2:7" x14ac:dyDescent="0.25">
      <c r="B69" s="32" t="s">
        <v>63</v>
      </c>
      <c r="C69" s="33"/>
      <c r="D69" s="16">
        <v>0.15</v>
      </c>
    </row>
    <row r="70" spans="2:7" x14ac:dyDescent="0.25">
      <c r="B70" s="29" t="s">
        <v>64</v>
      </c>
      <c r="C70" s="30"/>
      <c r="D70" s="31">
        <v>400000</v>
      </c>
      <c r="F70" t="s">
        <v>41</v>
      </c>
      <c r="G70" s="3">
        <v>0.25</v>
      </c>
    </row>
    <row r="73" spans="2:7" x14ac:dyDescent="0.25">
      <c r="B73" s="17" t="s">
        <v>73</v>
      </c>
      <c r="D73" t="s">
        <v>74</v>
      </c>
      <c r="E73" s="4">
        <f>D64*D65</f>
        <v>27000000</v>
      </c>
    </row>
    <row r="74" spans="2:7" x14ac:dyDescent="0.25">
      <c r="D74" t="s">
        <v>75</v>
      </c>
      <c r="E74" s="4">
        <f>D64*D66</f>
        <v>18000000</v>
      </c>
    </row>
    <row r="75" spans="2:7" x14ac:dyDescent="0.25">
      <c r="D75" t="s">
        <v>76</v>
      </c>
      <c r="E75" s="15">
        <f>D67</f>
        <v>2000000</v>
      </c>
    </row>
    <row r="76" spans="2:7" x14ac:dyDescent="0.25">
      <c r="D76" s="13" t="s">
        <v>77</v>
      </c>
      <c r="E76" s="37">
        <f>E73-E74-E75</f>
        <v>7000000</v>
      </c>
    </row>
    <row r="78" spans="2:7" x14ac:dyDescent="0.25">
      <c r="B78" t="s">
        <v>65</v>
      </c>
      <c r="C78" s="4">
        <f>E76</f>
        <v>7000000</v>
      </c>
    </row>
    <row r="79" spans="2:7" x14ac:dyDescent="0.25">
      <c r="B79" t="s">
        <v>66</v>
      </c>
      <c r="C79" s="34">
        <f>D68*D69</f>
        <v>277500</v>
      </c>
    </row>
    <row r="80" spans="2:7" x14ac:dyDescent="0.25">
      <c r="B80" t="s">
        <v>67</v>
      </c>
      <c r="C80" s="11">
        <f>C78-C79</f>
        <v>6722500</v>
      </c>
    </row>
    <row r="81" spans="2:5" x14ac:dyDescent="0.25">
      <c r="B81" t="s">
        <v>68</v>
      </c>
      <c r="C81" s="23">
        <f>C80*G70</f>
        <v>1680625</v>
      </c>
    </row>
    <row r="82" spans="2:5" x14ac:dyDescent="0.25">
      <c r="B82" t="s">
        <v>69</v>
      </c>
      <c r="C82" s="11">
        <f>C80-C81</f>
        <v>5041875</v>
      </c>
    </row>
    <row r="83" spans="2:5" x14ac:dyDescent="0.25">
      <c r="B83" t="s">
        <v>78</v>
      </c>
      <c r="C83" s="35">
        <v>0</v>
      </c>
    </row>
    <row r="84" spans="2:5" x14ac:dyDescent="0.25">
      <c r="B84" t="s">
        <v>70</v>
      </c>
      <c r="C84" s="11">
        <f>C82-C83</f>
        <v>5041875</v>
      </c>
    </row>
    <row r="85" spans="2:5" x14ac:dyDescent="0.25">
      <c r="B85" s="12" t="s">
        <v>71</v>
      </c>
      <c r="C85" s="36">
        <f>C84/C86</f>
        <v>12.604687500000001</v>
      </c>
      <c r="E85" s="11"/>
    </row>
    <row r="86" spans="2:5" x14ac:dyDescent="0.25">
      <c r="B86" t="s">
        <v>72</v>
      </c>
      <c r="C86" s="4">
        <v>400000</v>
      </c>
    </row>
    <row r="88" spans="2:5" x14ac:dyDescent="0.25">
      <c r="B88" s="38" t="s">
        <v>79</v>
      </c>
      <c r="C88" s="39" t="s">
        <v>80</v>
      </c>
    </row>
    <row r="89" spans="2:5" x14ac:dyDescent="0.25">
      <c r="B89" s="38"/>
      <c r="C89" s="38" t="s">
        <v>81</v>
      </c>
    </row>
    <row r="90" spans="2:5" x14ac:dyDescent="0.25">
      <c r="B90" s="40" t="s">
        <v>79</v>
      </c>
      <c r="C90" s="23">
        <f>D64*(D65-D66)</f>
        <v>9000000</v>
      </c>
    </row>
    <row r="91" spans="2:5" x14ac:dyDescent="0.25">
      <c r="B91" s="41"/>
      <c r="C91" s="11">
        <f>D64*(D65-D66)-D67</f>
        <v>7000000</v>
      </c>
    </row>
    <row r="92" spans="2:5" x14ac:dyDescent="0.25">
      <c r="B92" s="42" t="s">
        <v>79</v>
      </c>
      <c r="C92" s="44">
        <f>C90/C91</f>
        <v>1.2857142857142858</v>
      </c>
      <c r="D92" s="12" t="s">
        <v>90</v>
      </c>
    </row>
    <row r="95" spans="2:5" x14ac:dyDescent="0.25">
      <c r="B95" s="43" t="s">
        <v>82</v>
      </c>
      <c r="C95" s="39" t="s">
        <v>65</v>
      </c>
    </row>
    <row r="96" spans="2:5" x14ac:dyDescent="0.25">
      <c r="B96" s="43"/>
      <c r="C96" s="38" t="s">
        <v>83</v>
      </c>
    </row>
    <row r="97" spans="1:7" x14ac:dyDescent="0.25">
      <c r="B97" s="41" t="s">
        <v>82</v>
      </c>
      <c r="C97" s="23">
        <f>E76</f>
        <v>7000000</v>
      </c>
    </row>
    <row r="98" spans="1:7" x14ac:dyDescent="0.25">
      <c r="C98" s="4">
        <f>C78-C79</f>
        <v>6722500</v>
      </c>
    </row>
    <row r="99" spans="1:7" x14ac:dyDescent="0.25">
      <c r="B99" s="13" t="s">
        <v>82</v>
      </c>
      <c r="C99" s="44">
        <f>C97/C98</f>
        <v>1.0412792859799183</v>
      </c>
      <c r="D99" s="12" t="s">
        <v>91</v>
      </c>
    </row>
    <row r="102" spans="1:7" x14ac:dyDescent="0.25">
      <c r="B102" t="s">
        <v>84</v>
      </c>
      <c r="C102" t="s">
        <v>85</v>
      </c>
    </row>
    <row r="103" spans="1:7" x14ac:dyDescent="0.25">
      <c r="B103" s="13" t="s">
        <v>84</v>
      </c>
      <c r="C103" s="44">
        <f>C92*C99</f>
        <v>1.3387876534027521</v>
      </c>
      <c r="D103" s="12" t="s">
        <v>92</v>
      </c>
    </row>
    <row r="106" spans="1:7" x14ac:dyDescent="0.25">
      <c r="A106" t="s">
        <v>89</v>
      </c>
      <c r="B106" s="32" t="s">
        <v>58</v>
      </c>
      <c r="C106" s="33"/>
      <c r="D106" s="6">
        <v>1800000</v>
      </c>
    </row>
    <row r="107" spans="1:7" x14ac:dyDescent="0.25">
      <c r="B107" s="32" t="s">
        <v>59</v>
      </c>
      <c r="C107" s="33"/>
      <c r="D107" s="6">
        <f>30-(30*10%)</f>
        <v>27</v>
      </c>
    </row>
    <row r="108" spans="1:7" x14ac:dyDescent="0.25">
      <c r="B108" s="32" t="s">
        <v>60</v>
      </c>
      <c r="C108" s="33"/>
      <c r="D108" s="6">
        <v>20</v>
      </c>
    </row>
    <row r="109" spans="1:7" x14ac:dyDescent="0.25">
      <c r="B109" s="32" t="s">
        <v>61</v>
      </c>
      <c r="C109" s="33"/>
      <c r="D109" s="6">
        <v>2000000</v>
      </c>
    </row>
    <row r="110" spans="1:7" x14ac:dyDescent="0.25">
      <c r="B110" s="32" t="s">
        <v>62</v>
      </c>
      <c r="C110" s="33"/>
      <c r="D110" s="6">
        <f>1850000+4700000</f>
        <v>6550000</v>
      </c>
    </row>
    <row r="111" spans="1:7" x14ac:dyDescent="0.25">
      <c r="B111" s="32" t="s">
        <v>63</v>
      </c>
      <c r="C111" s="33"/>
      <c r="D111" s="16">
        <v>0.15</v>
      </c>
    </row>
    <row r="112" spans="1:7" x14ac:dyDescent="0.25">
      <c r="B112" s="29" t="s">
        <v>64</v>
      </c>
      <c r="C112" s="30"/>
      <c r="D112" s="31">
        <v>400000</v>
      </c>
      <c r="F112" t="s">
        <v>41</v>
      </c>
      <c r="G112" s="3">
        <v>0.25</v>
      </c>
    </row>
    <row r="115" spans="2:5" x14ac:dyDescent="0.25">
      <c r="B115" s="17" t="s">
        <v>73</v>
      </c>
      <c r="D115" t="s">
        <v>74</v>
      </c>
      <c r="E115" s="4">
        <f>D106*D107</f>
        <v>48600000</v>
      </c>
    </row>
    <row r="116" spans="2:5" x14ac:dyDescent="0.25">
      <c r="D116" t="s">
        <v>75</v>
      </c>
      <c r="E116" s="4">
        <f>D106*D108</f>
        <v>36000000</v>
      </c>
    </row>
    <row r="117" spans="2:5" x14ac:dyDescent="0.25">
      <c r="D117" t="s">
        <v>76</v>
      </c>
      <c r="E117" s="15">
        <f>D109</f>
        <v>2000000</v>
      </c>
    </row>
    <row r="118" spans="2:5" x14ac:dyDescent="0.25">
      <c r="D118" s="13" t="s">
        <v>77</v>
      </c>
      <c r="E118" s="37">
        <f>E115-E116-E117</f>
        <v>10600000</v>
      </c>
    </row>
    <row r="120" spans="2:5" x14ac:dyDescent="0.25">
      <c r="B120" t="s">
        <v>65</v>
      </c>
      <c r="C120" s="4">
        <f>E118</f>
        <v>10600000</v>
      </c>
    </row>
    <row r="121" spans="2:5" x14ac:dyDescent="0.25">
      <c r="B121" t="s">
        <v>66</v>
      </c>
      <c r="C121" s="34">
        <f>D110*D111</f>
        <v>982500</v>
      </c>
    </row>
    <row r="122" spans="2:5" x14ac:dyDescent="0.25">
      <c r="B122" t="s">
        <v>67</v>
      </c>
      <c r="C122" s="11">
        <f>C120-C121</f>
        <v>9617500</v>
      </c>
    </row>
    <row r="123" spans="2:5" x14ac:dyDescent="0.25">
      <c r="B123" t="s">
        <v>68</v>
      </c>
      <c r="C123" s="23">
        <f>C122*G112</f>
        <v>2404375</v>
      </c>
    </row>
    <row r="124" spans="2:5" x14ac:dyDescent="0.25">
      <c r="B124" t="s">
        <v>69</v>
      </c>
      <c r="C124" s="11">
        <f>C122-C123</f>
        <v>7213125</v>
      </c>
    </row>
    <row r="125" spans="2:5" x14ac:dyDescent="0.25">
      <c r="B125" t="s">
        <v>78</v>
      </c>
      <c r="C125" s="35">
        <v>0</v>
      </c>
    </row>
    <row r="126" spans="2:5" x14ac:dyDescent="0.25">
      <c r="B126" t="s">
        <v>70</v>
      </c>
      <c r="C126" s="11">
        <f>C124-C125</f>
        <v>7213125</v>
      </c>
    </row>
    <row r="127" spans="2:5" x14ac:dyDescent="0.25">
      <c r="B127" s="12" t="s">
        <v>71</v>
      </c>
      <c r="C127" s="36">
        <f>C126/C128</f>
        <v>18.032812499999999</v>
      </c>
      <c r="E127" s="11"/>
    </row>
    <row r="128" spans="2:5" x14ac:dyDescent="0.25">
      <c r="B128" t="s">
        <v>72</v>
      </c>
      <c r="C128" s="4">
        <v>400000</v>
      </c>
    </row>
    <row r="130" spans="2:4" x14ac:dyDescent="0.25">
      <c r="B130" s="38" t="s">
        <v>79</v>
      </c>
      <c r="C130" s="39" t="s">
        <v>80</v>
      </c>
    </row>
    <row r="131" spans="2:4" x14ac:dyDescent="0.25">
      <c r="B131" s="38"/>
      <c r="C131" s="38" t="s">
        <v>81</v>
      </c>
    </row>
    <row r="132" spans="2:4" x14ac:dyDescent="0.25">
      <c r="B132" s="40" t="s">
        <v>79</v>
      </c>
      <c r="C132" s="23">
        <f>D106*(D107-D108)</f>
        <v>12600000</v>
      </c>
    </row>
    <row r="133" spans="2:4" x14ac:dyDescent="0.25">
      <c r="B133" s="41"/>
      <c r="C133" s="11">
        <f>D106*(D107-D108)-D109</f>
        <v>10600000</v>
      </c>
    </row>
    <row r="134" spans="2:4" x14ac:dyDescent="0.25">
      <c r="B134" s="42" t="s">
        <v>79</v>
      </c>
      <c r="C134" s="44">
        <f>C132/C133</f>
        <v>1.1886792452830188</v>
      </c>
      <c r="D134" s="12" t="s">
        <v>93</v>
      </c>
    </row>
    <row r="137" spans="2:4" x14ac:dyDescent="0.25">
      <c r="B137" s="43" t="s">
        <v>82</v>
      </c>
      <c r="C137" s="39" t="s">
        <v>65</v>
      </c>
    </row>
    <row r="138" spans="2:4" x14ac:dyDescent="0.25">
      <c r="B138" s="43"/>
      <c r="C138" s="38" t="s">
        <v>83</v>
      </c>
    </row>
    <row r="139" spans="2:4" x14ac:dyDescent="0.25">
      <c r="B139" s="41" t="s">
        <v>82</v>
      </c>
      <c r="C139" s="23">
        <f>E118</f>
        <v>10600000</v>
      </c>
    </row>
    <row r="140" spans="2:4" x14ac:dyDescent="0.25">
      <c r="C140" s="4">
        <f>C120-C121</f>
        <v>9617500</v>
      </c>
    </row>
    <row r="141" spans="2:4" x14ac:dyDescent="0.25">
      <c r="B141" s="13" t="s">
        <v>82</v>
      </c>
      <c r="C141" s="44">
        <f>C139/C140</f>
        <v>1.1021575253444242</v>
      </c>
      <c r="D141" s="12" t="s">
        <v>94</v>
      </c>
    </row>
    <row r="144" spans="2:4" x14ac:dyDescent="0.25">
      <c r="B144" t="s">
        <v>84</v>
      </c>
      <c r="C144" t="s">
        <v>85</v>
      </c>
    </row>
    <row r="145" spans="2:7" x14ac:dyDescent="0.25">
      <c r="B145" s="13" t="s">
        <v>84</v>
      </c>
      <c r="C145" s="44">
        <f>C134*C141</f>
        <v>1.3101117754094098</v>
      </c>
      <c r="D145" s="12" t="s">
        <v>95</v>
      </c>
    </row>
    <row r="148" spans="2:7" x14ac:dyDescent="0.25">
      <c r="B148" s="32" t="s">
        <v>58</v>
      </c>
      <c r="C148" s="33"/>
      <c r="D148" s="6">
        <v>1800000</v>
      </c>
    </row>
    <row r="149" spans="2:7" x14ac:dyDescent="0.25">
      <c r="B149" s="32" t="s">
        <v>59</v>
      </c>
      <c r="C149" s="33"/>
      <c r="D149" s="6">
        <f>30-(30*10%)</f>
        <v>27</v>
      </c>
    </row>
    <row r="150" spans="2:7" x14ac:dyDescent="0.25">
      <c r="B150" s="32" t="s">
        <v>60</v>
      </c>
      <c r="C150" s="33"/>
      <c r="D150" s="6">
        <v>20</v>
      </c>
    </row>
    <row r="151" spans="2:7" x14ac:dyDescent="0.25">
      <c r="B151" s="32" t="s">
        <v>61</v>
      </c>
      <c r="C151" s="33"/>
      <c r="D151" s="6">
        <f>2000000+4700000</f>
        <v>6700000</v>
      </c>
    </row>
    <row r="152" spans="2:7" x14ac:dyDescent="0.25">
      <c r="B152" s="32" t="s">
        <v>62</v>
      </c>
      <c r="C152" s="33"/>
      <c r="D152" s="6">
        <f>1850000</f>
        <v>1850000</v>
      </c>
    </row>
    <row r="153" spans="2:7" x14ac:dyDescent="0.25">
      <c r="B153" s="32" t="s">
        <v>63</v>
      </c>
      <c r="C153" s="33"/>
      <c r="D153" s="16">
        <v>0.15</v>
      </c>
    </row>
    <row r="154" spans="2:7" x14ac:dyDescent="0.25">
      <c r="B154" s="29" t="s">
        <v>64</v>
      </c>
      <c r="C154" s="30"/>
      <c r="D154" s="31">
        <v>400000</v>
      </c>
      <c r="F154" t="s">
        <v>41</v>
      </c>
      <c r="G154" s="3">
        <v>0.25</v>
      </c>
    </row>
    <row r="157" spans="2:7" x14ac:dyDescent="0.25">
      <c r="B157" s="17" t="s">
        <v>73</v>
      </c>
      <c r="D157" t="s">
        <v>74</v>
      </c>
      <c r="E157" s="4">
        <f>D148*D149</f>
        <v>48600000</v>
      </c>
    </row>
    <row r="158" spans="2:7" x14ac:dyDescent="0.25">
      <c r="D158" t="s">
        <v>75</v>
      </c>
      <c r="E158" s="4">
        <f>D148*D150</f>
        <v>36000000</v>
      </c>
    </row>
    <row r="159" spans="2:7" x14ac:dyDescent="0.25">
      <c r="D159" t="s">
        <v>76</v>
      </c>
      <c r="E159" s="15">
        <f>D151</f>
        <v>6700000</v>
      </c>
    </row>
    <row r="160" spans="2:7" x14ac:dyDescent="0.25">
      <c r="D160" s="13" t="s">
        <v>77</v>
      </c>
      <c r="E160" s="37">
        <f>E157-E158-E159</f>
        <v>5900000</v>
      </c>
    </row>
    <row r="162" spans="2:5" x14ac:dyDescent="0.25">
      <c r="B162" t="s">
        <v>65</v>
      </c>
      <c r="C162" s="4">
        <f>E160</f>
        <v>5900000</v>
      </c>
    </row>
    <row r="163" spans="2:5" x14ac:dyDescent="0.25">
      <c r="B163" t="s">
        <v>66</v>
      </c>
      <c r="C163" s="34">
        <f>D152*D153</f>
        <v>277500</v>
      </c>
    </row>
    <row r="164" spans="2:5" x14ac:dyDescent="0.25">
      <c r="B164" t="s">
        <v>67</v>
      </c>
      <c r="C164" s="11">
        <f>C162-C163</f>
        <v>5622500</v>
      </c>
    </row>
    <row r="165" spans="2:5" x14ac:dyDescent="0.25">
      <c r="B165" t="s">
        <v>68</v>
      </c>
      <c r="C165" s="23">
        <f>C164*G154</f>
        <v>1405625</v>
      </c>
    </row>
    <row r="166" spans="2:5" x14ac:dyDescent="0.25">
      <c r="B166" t="s">
        <v>69</v>
      </c>
      <c r="C166" s="11">
        <f>C164-C165</f>
        <v>4216875</v>
      </c>
    </row>
    <row r="167" spans="2:5" x14ac:dyDescent="0.25">
      <c r="B167" t="s">
        <v>78</v>
      </c>
      <c r="C167" s="35">
        <v>0</v>
      </c>
    </row>
    <row r="168" spans="2:5" x14ac:dyDescent="0.25">
      <c r="B168" t="s">
        <v>70</v>
      </c>
      <c r="C168" s="11">
        <f>C166-C167</f>
        <v>4216875</v>
      </c>
    </row>
    <row r="169" spans="2:5" x14ac:dyDescent="0.25">
      <c r="B169" s="12" t="s">
        <v>71</v>
      </c>
      <c r="C169" s="36">
        <f>C168/C170</f>
        <v>10.542187500000001</v>
      </c>
      <c r="E169" s="11"/>
    </row>
    <row r="170" spans="2:5" x14ac:dyDescent="0.25">
      <c r="B170" t="s">
        <v>72</v>
      </c>
      <c r="C170" s="4">
        <v>400000</v>
      </c>
    </row>
    <row r="172" spans="2:5" x14ac:dyDescent="0.25">
      <c r="B172" s="38" t="s">
        <v>79</v>
      </c>
      <c r="C172" s="39" t="s">
        <v>80</v>
      </c>
    </row>
    <row r="173" spans="2:5" x14ac:dyDescent="0.25">
      <c r="B173" s="38"/>
      <c r="C173" s="38" t="s">
        <v>81</v>
      </c>
    </row>
    <row r="174" spans="2:5" x14ac:dyDescent="0.25">
      <c r="B174" s="40" t="s">
        <v>79</v>
      </c>
      <c r="C174" s="23">
        <f>D148*(D149-D150)</f>
        <v>12600000</v>
      </c>
    </row>
    <row r="175" spans="2:5" x14ac:dyDescent="0.25">
      <c r="B175" s="41"/>
      <c r="C175" s="11">
        <f>D148*(D149-D150)-D151</f>
        <v>5900000</v>
      </c>
    </row>
    <row r="176" spans="2:5" x14ac:dyDescent="0.25">
      <c r="B176" s="42" t="s">
        <v>79</v>
      </c>
      <c r="C176" s="44">
        <f>C174/C175</f>
        <v>2.1355932203389831</v>
      </c>
      <c r="D176" s="12" t="s">
        <v>96</v>
      </c>
    </row>
    <row r="179" spans="2:4" x14ac:dyDescent="0.25">
      <c r="B179" s="43" t="s">
        <v>82</v>
      </c>
      <c r="C179" s="39" t="s">
        <v>65</v>
      </c>
    </row>
    <row r="180" spans="2:4" x14ac:dyDescent="0.25">
      <c r="B180" s="43"/>
      <c r="C180" s="38" t="s">
        <v>83</v>
      </c>
    </row>
    <row r="181" spans="2:4" x14ac:dyDescent="0.25">
      <c r="B181" s="41" t="s">
        <v>82</v>
      </c>
      <c r="C181" s="23">
        <f>E160</f>
        <v>5900000</v>
      </c>
    </row>
    <row r="182" spans="2:4" x14ac:dyDescent="0.25">
      <c r="C182" s="4">
        <f>C162-C163</f>
        <v>5622500</v>
      </c>
    </row>
    <row r="183" spans="2:4" x14ac:dyDescent="0.25">
      <c r="B183" s="13" t="s">
        <v>82</v>
      </c>
      <c r="C183" s="44">
        <f>C181/C182</f>
        <v>1.0493552690084482</v>
      </c>
      <c r="D183" s="12" t="s">
        <v>97</v>
      </c>
    </row>
    <row r="186" spans="2:4" x14ac:dyDescent="0.25">
      <c r="B186" t="s">
        <v>84</v>
      </c>
      <c r="C186" t="s">
        <v>85</v>
      </c>
    </row>
    <row r="187" spans="2:4" x14ac:dyDescent="0.25">
      <c r="B187" s="13" t="s">
        <v>84</v>
      </c>
      <c r="C187" s="44">
        <f>C176*C183</f>
        <v>2.240995998221432</v>
      </c>
      <c r="D187" s="12" t="s">
        <v>98</v>
      </c>
    </row>
    <row r="190" spans="2:4" ht="15.75" x14ac:dyDescent="0.25">
      <c r="B190" s="45" t="s">
        <v>99</v>
      </c>
    </row>
    <row r="191" spans="2:4" ht="18.75" x14ac:dyDescent="0.3">
      <c r="B191" s="46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</dc:creator>
  <cp:lastModifiedBy>Victor A</cp:lastModifiedBy>
  <dcterms:created xsi:type="dcterms:W3CDTF">2022-05-06T05:18:50Z</dcterms:created>
  <dcterms:modified xsi:type="dcterms:W3CDTF">2022-05-06T08:02:38Z</dcterms:modified>
</cp:coreProperties>
</file>