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2F60F922-03B3-48F5-AD60-DB992DADE2D1}" xr6:coauthVersionLast="47" xr6:coauthVersionMax="47" xr10:uidLastSave="{00000000-0000-0000-0000-000000000000}"/>
  <bookViews>
    <workbookView xWindow="-108" yWindow="-108" windowWidth="23256" windowHeight="12576" activeTab="2" xr2:uid="{82D59EE6-715E-4940-AA5B-8175158A4316}"/>
  </bookViews>
  <sheets>
    <sheet name="FORMULARIO" sheetId="5" r:id="rId1"/>
    <sheet name="PROBLEMA 1" sheetId="6" r:id="rId2"/>
    <sheet name="PROBLEMA 2" sheetId="4" r:id="rId3"/>
    <sheet name="PROBLEMA 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9" i="4" l="1"/>
  <c r="M99" i="4"/>
  <c r="M98" i="4"/>
  <c r="M95" i="4"/>
  <c r="M94" i="4"/>
  <c r="M91" i="4"/>
  <c r="M90" i="4"/>
  <c r="D37" i="2" l="1"/>
  <c r="D23" i="2"/>
  <c r="D25" i="2" s="1"/>
  <c r="F21" i="2"/>
  <c r="F23" i="2" s="1"/>
  <c r="F25" i="2" s="1"/>
  <c r="E21" i="2"/>
  <c r="E23" i="2" s="1"/>
  <c r="E25" i="2" s="1"/>
  <c r="D21" i="2"/>
  <c r="G114" i="4"/>
  <c r="D114" i="4"/>
  <c r="D112" i="4"/>
  <c r="G111" i="4"/>
  <c r="D111" i="4"/>
  <c r="D77" i="4"/>
  <c r="F77" i="4"/>
  <c r="G77" i="4"/>
  <c r="C77" i="4"/>
  <c r="G74" i="4"/>
  <c r="F74" i="4"/>
  <c r="D74" i="4"/>
  <c r="C74" i="4"/>
  <c r="C32" i="4"/>
  <c r="C38" i="4"/>
  <c r="D37" i="4"/>
  <c r="D36" i="4"/>
  <c r="C37" i="4"/>
  <c r="C36" i="4"/>
  <c r="D31" i="4"/>
  <c r="D30" i="4"/>
  <c r="C31" i="4"/>
  <c r="C30" i="4"/>
  <c r="D26" i="4"/>
  <c r="F26" i="4"/>
  <c r="G26" i="4"/>
  <c r="C26" i="4"/>
  <c r="D22" i="4"/>
  <c r="F22" i="4"/>
  <c r="G22" i="4"/>
  <c r="C22" i="4"/>
  <c r="G21" i="4"/>
  <c r="F21" i="4"/>
  <c r="D21" i="4"/>
  <c r="C21" i="4"/>
  <c r="D19" i="4"/>
  <c r="D20" i="4"/>
  <c r="F20" i="4"/>
  <c r="G20" i="4"/>
  <c r="C20" i="4"/>
  <c r="F19" i="4"/>
  <c r="G19" i="4"/>
  <c r="C19" i="4"/>
  <c r="F18" i="4"/>
  <c r="G18" i="4"/>
  <c r="D18" i="4"/>
  <c r="C18" i="4"/>
  <c r="C55" i="6"/>
  <c r="F44" i="6"/>
  <c r="I43" i="6"/>
  <c r="D44" i="6"/>
  <c r="L26" i="6"/>
  <c r="H19" i="6"/>
  <c r="F19" i="6"/>
  <c r="D26" i="2" l="1"/>
  <c r="D27" i="2" s="1"/>
  <c r="D30" i="2" s="1"/>
  <c r="E26" i="2"/>
  <c r="E27" i="2" s="1"/>
  <c r="E30" i="2" s="1"/>
  <c r="F26" i="2"/>
  <c r="F27" i="2" s="1"/>
  <c r="F30" i="2" s="1"/>
  <c r="D113" i="4"/>
  <c r="D115" i="4" s="1"/>
  <c r="D119" i="4" s="1"/>
  <c r="G112" i="4"/>
  <c r="G113" i="4" s="1"/>
  <c r="G115" i="4" s="1"/>
  <c r="G119" i="4" s="1"/>
</calcChain>
</file>

<file path=xl/sharedStrings.xml><?xml version="1.0" encoding="utf-8"?>
<sst xmlns="http://schemas.openxmlformats.org/spreadsheetml/2006/main" count="116" uniqueCount="82">
  <si>
    <t>Probabilidad</t>
  </si>
  <si>
    <t>Fuente de Capital</t>
  </si>
  <si>
    <t>Estructura de Capital A</t>
  </si>
  <si>
    <t>Estructura de Capital B</t>
  </si>
  <si>
    <t>Deuda a L.P.</t>
  </si>
  <si>
    <t>Acciones Preferentes</t>
  </si>
  <si>
    <t>Acciones Comunes</t>
  </si>
  <si>
    <t>8,000 acciones</t>
  </si>
  <si>
    <t>10,000 acciones</t>
  </si>
  <si>
    <t>Q75,000.00 a una tasa cupón del 16%</t>
  </si>
  <si>
    <t>Q10,000.00 con un dividendo anual del 18%</t>
  </si>
  <si>
    <t>Q 50,000.00 a una tasa cupón del 15%</t>
  </si>
  <si>
    <t>Q15,000.00 con un dividendo anual del 18%</t>
  </si>
  <si>
    <t xml:space="preserve">Pronóstico de Ventas </t>
  </si>
  <si>
    <t>Datos ´proporcionados</t>
  </si>
  <si>
    <t>Costos Operativos Fijos</t>
  </si>
  <si>
    <t>CF</t>
  </si>
  <si>
    <t>Costos operativos Variables</t>
  </si>
  <si>
    <t>CV</t>
  </si>
  <si>
    <t>unidad</t>
  </si>
  <si>
    <t xml:space="preserve">Precio de venta </t>
  </si>
  <si>
    <t>P</t>
  </si>
  <si>
    <t xml:space="preserve"> 75.5 - 20</t>
  </si>
  <si>
    <t>unidades</t>
  </si>
  <si>
    <t>GAO =</t>
  </si>
  <si>
    <t>10,000 * (75.5 - 20)</t>
  </si>
  <si>
    <t>10,000 * (75.5 - 20) - 300000</t>
  </si>
  <si>
    <t>Estructura de capital (Fuentes de financiamiento)</t>
  </si>
  <si>
    <t>Deuda</t>
  </si>
  <si>
    <t>Monto</t>
  </si>
  <si>
    <t>Costo</t>
  </si>
  <si>
    <t>Capital común</t>
  </si>
  <si>
    <t>EBIT = UAII</t>
  </si>
  <si>
    <t>Intereses = 300,000*15%</t>
  </si>
  <si>
    <t>Intereses =</t>
  </si>
  <si>
    <t xml:space="preserve"> 100k - 45k - (0)</t>
  </si>
  <si>
    <t>GAF =</t>
  </si>
  <si>
    <t xml:space="preserve">GAT = </t>
  </si>
  <si>
    <t>Estructura A</t>
  </si>
  <si>
    <t>Estructura B</t>
  </si>
  <si>
    <t>UAII</t>
  </si>
  <si>
    <t xml:space="preserve"> - intereses</t>
  </si>
  <si>
    <t>UAI</t>
  </si>
  <si>
    <t>UN</t>
  </si>
  <si>
    <t xml:space="preserve"> - dividendos preferentes</t>
  </si>
  <si>
    <t xml:space="preserve"> - impuestos 25%</t>
  </si>
  <si>
    <t>UDAC</t>
  </si>
  <si>
    <t>Acciones comunes</t>
  </si>
  <si>
    <t>UPA = EPS</t>
  </si>
  <si>
    <t>Coordenada X (EBIT)</t>
  </si>
  <si>
    <t>Coordenada Y (EPS)</t>
  </si>
  <si>
    <t>Estrucutra B</t>
  </si>
  <si>
    <t>DP</t>
  </si>
  <si>
    <t>T</t>
  </si>
  <si>
    <t>I</t>
  </si>
  <si>
    <t>GAF</t>
  </si>
  <si>
    <t>Escenario 1</t>
  </si>
  <si>
    <t>Escenario 2</t>
  </si>
  <si>
    <t>Escenario 3</t>
  </si>
  <si>
    <t>Probabilidad de ocurrencia</t>
  </si>
  <si>
    <t xml:space="preserve"> - costos variables</t>
  </si>
  <si>
    <t xml:space="preserve"> - costos fijos</t>
  </si>
  <si>
    <t xml:space="preserve"> - impuesto 30%</t>
  </si>
  <si>
    <t>Utilidad neta</t>
  </si>
  <si>
    <t>EPS esperado</t>
  </si>
  <si>
    <t>ventas</t>
  </si>
  <si>
    <t>varianza esperada</t>
  </si>
  <si>
    <t xml:space="preserve"> 0.75*(UAII - 12k) - 1800</t>
  </si>
  <si>
    <t xml:space="preserve"> =</t>
  </si>
  <si>
    <t xml:space="preserve"> 0.75*(UAII - 7,500) - 2700</t>
  </si>
  <si>
    <t xml:space="preserve"> 10000*( 0.75*(UAII - 12k) - 1800)</t>
  </si>
  <si>
    <t>8000*( 0.75*(UAII - 7,500) - 2700)</t>
  </si>
  <si>
    <t>10K*(0.75UAII - 9000 - 1800)</t>
  </si>
  <si>
    <t>8k*(0.75UAII - 5625 - 2700)</t>
  </si>
  <si>
    <t>10k*(0.75UAII - 10800)</t>
  </si>
  <si>
    <t>(10/8)*(0.75UAII-10800)</t>
  </si>
  <si>
    <t>8K*(0.75UAII - 8325)</t>
  </si>
  <si>
    <t>0.9375UAII - 13500</t>
  </si>
  <si>
    <t xml:space="preserve">0.9375UAII - 0.75UAII </t>
  </si>
  <si>
    <t>0.75UAII - 8325</t>
  </si>
  <si>
    <t>13500 - 8325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</si>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</sst>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Q&quot;* #,##0.00_-;\-&quot;Q&quot;* #,##0.00_-;_-&quot;Q&quot;* &quot;-&quot;??_-;_-@_-"/>
    <numFmt numFmtId="164" formatCode="_-[$$-540A]* #,##0.00_ ;_-[$$-540A]* \-#,##0.00\ ;_-[$$-540A]* &quot;-&quot;??_ ;_-@_ "/>
    <numFmt numFmtId="165" formatCode="0.0"/>
    <numFmt numFmtId="166" formatCode="_-&quot;Q&quot;* #,##0.000_-;\-&quot;Q&quot;* #,##0.000_-;_-&quot;Q&quot;* &quot;-&quot;??_-;_-@_-"/>
    <numFmt numFmtId="167" formatCode="0.000"/>
  </numFmts>
  <fonts count="6">
    <font>
      <sz val="11"/>
      <color theme="1"/>
      <name val="Calibri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justify" vertical="center" wrapText="1"/>
    </xf>
    <xf numFmtId="164" fontId="2" fillId="2" borderId="4" xfId="0" applyNumberFormat="1" applyFont="1" applyFill="1" applyBorder="1" applyAlignment="1">
      <alignment horizontal="justify" vertical="center" wrapText="1"/>
    </xf>
    <xf numFmtId="44" fontId="0" fillId="0" borderId="0" xfId="1" applyFont="1"/>
    <xf numFmtId="0" fontId="0" fillId="0" borderId="0" xfId="0" applyAlignment="1">
      <alignment horizontal="right"/>
    </xf>
    <xf numFmtId="0" fontId="0" fillId="0" borderId="5" xfId="0" applyBorder="1"/>
    <xf numFmtId="0" fontId="0" fillId="0" borderId="0" xfId="1" applyNumberFormat="1" applyFont="1"/>
    <xf numFmtId="165" fontId="0" fillId="0" borderId="0" xfId="0" applyNumberFormat="1"/>
    <xf numFmtId="0" fontId="4" fillId="0" borderId="0" xfId="0" applyFont="1"/>
    <xf numFmtId="165" fontId="4" fillId="3" borderId="0" xfId="0" applyNumberFormat="1" applyFont="1" applyFill="1"/>
    <xf numFmtId="0" fontId="4" fillId="3" borderId="0" xfId="0" applyFont="1" applyFill="1"/>
    <xf numFmtId="44" fontId="0" fillId="0" borderId="0" xfId="0" applyNumberFormat="1"/>
    <xf numFmtId="9" fontId="0" fillId="0" borderId="0" xfId="0" applyNumberFormat="1"/>
    <xf numFmtId="44" fontId="0" fillId="0" borderId="5" xfId="0" applyNumberFormat="1" applyBorder="1"/>
    <xf numFmtId="166" fontId="0" fillId="0" borderId="0" xfId="0" applyNumberFormat="1"/>
    <xf numFmtId="44" fontId="0" fillId="0" borderId="5" xfId="1" applyFont="1" applyBorder="1"/>
    <xf numFmtId="44" fontId="4" fillId="3" borderId="0" xfId="0" applyNumberFormat="1" applyFont="1" applyFill="1"/>
    <xf numFmtId="44" fontId="0" fillId="0" borderId="0" xfId="1" applyFont="1" applyBorder="1"/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67" fontId="0" fillId="0" borderId="0" xfId="0" applyNumberFormat="1"/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Estructura</a:t>
            </a:r>
            <a:r>
              <a:rPr lang="es-GT" baseline="0"/>
              <a:t> de capital para la empresa XX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Estructura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'PROBLEMA 2'!$C$30:$C$32</c:f>
              <c:numCache>
                <c:formatCode>_("Q"* #,##0.00_);_("Q"* \(#,##0.00\);_("Q"* "-"??_);_(@_)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14400</c:v>
                </c:pt>
              </c:numCache>
            </c:numRef>
          </c:xVal>
          <c:yVal>
            <c:numRef>
              <c:f>'PROBLEMA 2'!$D$30:$D$32</c:f>
              <c:numCache>
                <c:formatCode>_("Q"* #,##0.00_);_("Q"* \(#,##0.00\);_("Q"* "-"??_);_(@_)</c:formatCode>
                <c:ptCount val="3"/>
                <c:pt idx="0">
                  <c:v>1.4624999999999999</c:v>
                </c:pt>
                <c:pt idx="1">
                  <c:v>3.3374999999999999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B-4E30-BB8B-483AD154DA23}"/>
            </c:ext>
          </c:extLst>
        </c:ser>
        <c:ser>
          <c:idx val="1"/>
          <c:order val="1"/>
          <c:tx>
            <c:v>Estructura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'PROBLEMA 2'!$C$36:$C$38</c:f>
              <c:numCache>
                <c:formatCode>_("Q"* #,##0.00_);_("Q"* \(#,##0.00\);_("Q"* "-"??_);_(@_)</c:formatCode>
                <c:ptCount val="3"/>
                <c:pt idx="0">
                  <c:v>30000</c:v>
                </c:pt>
                <c:pt idx="1">
                  <c:v>50000</c:v>
                </c:pt>
                <c:pt idx="2">
                  <c:v>11100</c:v>
                </c:pt>
              </c:numCache>
            </c:numRef>
          </c:xVal>
          <c:yVal>
            <c:numRef>
              <c:f>'PROBLEMA 2'!$D$36:$D$38</c:f>
              <c:numCache>
                <c:formatCode>_("Q"* #,##0.00_);_("Q"* \(#,##0.00\);_("Q"* "-"??_);_(@_)</c:formatCode>
                <c:ptCount val="3"/>
                <c:pt idx="0">
                  <c:v>1.4175</c:v>
                </c:pt>
                <c:pt idx="1">
                  <c:v>2.9175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B-4E30-BB8B-483AD154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05231"/>
        <c:axId val="1944599407"/>
      </c:scatterChart>
      <c:valAx>
        <c:axId val="194460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utilidad operativa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4599407"/>
        <c:crosses val="autoZero"/>
        <c:crossBetween val="midCat"/>
      </c:valAx>
      <c:valAx>
        <c:axId val="19445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Utilidad</a:t>
                </a:r>
                <a:r>
                  <a:rPr lang="es-GT" baseline="0"/>
                  <a:t>  por accion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460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8.png"/><Relationship Id="rId7" Type="http://schemas.openxmlformats.org/officeDocument/2006/relationships/image" Target="../media/image6.emf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0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chart" Target="../charts/chart1.xml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6</xdr:row>
      <xdr:rowOff>15240</xdr:rowOff>
    </xdr:from>
    <xdr:to>
      <xdr:col>6</xdr:col>
      <xdr:colOff>335280</xdr:colOff>
      <xdr:row>9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D4740F-B95B-49DD-AE56-8272DDD29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11252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14</xdr:row>
      <xdr:rowOff>160020</xdr:rowOff>
    </xdr:from>
    <xdr:to>
      <xdr:col>4</xdr:col>
      <xdr:colOff>129540</xdr:colOff>
      <xdr:row>17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B97A22-5132-4EEE-B68A-E9FB15DAA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720340"/>
          <a:ext cx="285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12</xdr:row>
      <xdr:rowOff>22860</xdr:rowOff>
    </xdr:from>
    <xdr:to>
      <xdr:col>4</xdr:col>
      <xdr:colOff>426720</xdr:colOff>
      <xdr:row>14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C8B94A-FA46-46AC-A085-4D801AAE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217420"/>
          <a:ext cx="35280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137160</xdr:rowOff>
    </xdr:from>
    <xdr:to>
      <xdr:col>4</xdr:col>
      <xdr:colOff>464820</xdr:colOff>
      <xdr:row>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546259F-3F9B-4EFD-B0C8-F49F05AE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2920"/>
          <a:ext cx="325374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4</xdr:col>
      <xdr:colOff>304800</xdr:colOff>
      <xdr:row>2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6DD69E6-4E1A-419C-9251-31F47C6D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99060"/>
          <a:ext cx="34061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289560</xdr:colOff>
      <xdr:row>18</xdr:row>
      <xdr:rowOff>129540</xdr:rowOff>
    </xdr:from>
    <xdr:to>
      <xdr:col>6</xdr:col>
      <xdr:colOff>99060</xdr:colOff>
      <xdr:row>23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7E4738-1B1C-43B3-A5FC-097BD035E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42138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784860</xdr:colOff>
      <xdr:row>1</xdr:row>
      <xdr:rowOff>15240</xdr:rowOff>
    </xdr:from>
    <xdr:to>
      <xdr:col>11</xdr:col>
      <xdr:colOff>655320</xdr:colOff>
      <xdr:row>2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BAB2D7-ED04-47D9-A823-B88AE06EB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198120"/>
          <a:ext cx="30403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586740</xdr:colOff>
      <xdr:row>3</xdr:row>
      <xdr:rowOff>38100</xdr:rowOff>
    </xdr:from>
    <xdr:to>
      <xdr:col>13</xdr:col>
      <xdr:colOff>30480</xdr:colOff>
      <xdr:row>5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261CFEF-E54D-49E9-BE63-3E030FEE6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586740"/>
          <a:ext cx="34061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6</xdr:row>
      <xdr:rowOff>175260</xdr:rowOff>
    </xdr:from>
    <xdr:to>
      <xdr:col>16</xdr:col>
      <xdr:colOff>373380</xdr:colOff>
      <xdr:row>11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C6DAACB-769A-4367-BB40-4D589E935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1272540"/>
          <a:ext cx="59055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4</xdr:row>
      <xdr:rowOff>7620</xdr:rowOff>
    </xdr:from>
    <xdr:to>
      <xdr:col>15</xdr:col>
      <xdr:colOff>502920</xdr:colOff>
      <xdr:row>5</xdr:row>
      <xdr:rowOff>30480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5B99A6D-9361-440A-9470-9F587439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739140"/>
          <a:ext cx="1638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</xdr:colOff>
      <xdr:row>18</xdr:row>
      <xdr:rowOff>60960</xdr:rowOff>
    </xdr:from>
    <xdr:to>
      <xdr:col>11</xdr:col>
      <xdr:colOff>693420</xdr:colOff>
      <xdr:row>20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B64BFD3-C30E-4D71-9602-1A0C3C14D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335280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15</xdr:row>
      <xdr:rowOff>0</xdr:rowOff>
    </xdr:from>
    <xdr:to>
      <xdr:col>13</xdr:col>
      <xdr:colOff>60960</xdr:colOff>
      <xdr:row>16</xdr:row>
      <xdr:rowOff>121920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3B7C8D6-73B3-49C6-ABBC-9C893A65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743200"/>
          <a:ext cx="392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167640</xdr:colOff>
      <xdr:row>29</xdr:row>
      <xdr:rowOff>91440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DD0AB95-A6D7-4CBB-9DA5-230932A5DBA7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DD0AB95-A6D7-4CBB-9DA5-230932A5DBA7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594360</xdr:colOff>
      <xdr:row>33</xdr:row>
      <xdr:rowOff>91440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73B3044-3EE4-49A7-9B21-FFB2C4E27F13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73B3044-3EE4-49A7-9B21-FFB2C4E27F13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38</xdr:row>
      <xdr:rowOff>30480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1E3A790-8D62-40F1-B3E2-0823B25000D7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1E3A790-8D62-40F1-B3E2-0823B25000D7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777240</xdr:colOff>
      <xdr:row>22</xdr:row>
      <xdr:rowOff>129540</xdr:rowOff>
    </xdr:from>
    <xdr:to>
      <xdr:col>14</xdr:col>
      <xdr:colOff>210849</xdr:colOff>
      <xdr:row>25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82362A8A-5C84-43E2-8684-4801D8CA8435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82362A8A-5C84-43E2-8684-4801D8CA8435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7</xdr:col>
      <xdr:colOff>83820</xdr:colOff>
      <xdr:row>30</xdr:row>
      <xdr:rowOff>114300</xdr:rowOff>
    </xdr:from>
    <xdr:to>
      <xdr:col>17</xdr:col>
      <xdr:colOff>644734</xdr:colOff>
      <xdr:row>39</xdr:row>
      <xdr:rowOff>144570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6AB4705-A590-4105-9B84-94887BE80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31180" y="5600700"/>
          <a:ext cx="8485714" cy="1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27</xdr:row>
      <xdr:rowOff>97399</xdr:rowOff>
    </xdr:from>
    <xdr:to>
      <xdr:col>17</xdr:col>
      <xdr:colOff>279041</xdr:colOff>
      <xdr:row>30</xdr:row>
      <xdr:rowOff>32317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4B971C97-BEF1-4D2F-9FD5-C578B8423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0" y="5035159"/>
          <a:ext cx="7083701" cy="48355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152401</xdr:rowOff>
    </xdr:from>
    <xdr:to>
      <xdr:col>4</xdr:col>
      <xdr:colOff>381000</xdr:colOff>
      <xdr:row>28</xdr:row>
      <xdr:rowOff>33623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109AAB8-927A-4017-B00A-D4BE9ACE1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4724401"/>
          <a:ext cx="3474720" cy="429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746878</xdr:colOff>
      <xdr:row>8</xdr:row>
      <xdr:rowOff>66020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DA6A92-2646-4834-A169-4A100C28E1AF}"/>
            </a:ext>
          </a:extLst>
        </xdr:cNvPr>
        <xdr:cNvSpPr txBox="1"/>
      </xdr:nvSpPr>
      <xdr:spPr>
        <a:xfrm>
          <a:off x="0" y="0"/>
          <a:ext cx="9448802" cy="150858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BBC Company tiene costos operativos fijos de Q300,000.00, costo operativos variables de Q20.00 por unidad, y un precio de venta unitario de Q75.50 por unidad.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el punto de equilibrio operativo en unidades.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¿Cuál es el GAO si se tiene un nivel basal de ventas de 10,000 unidades?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BBC Company se decide por una estructura de capital integrada por Q300,000.00 de deuda al 15% anual y de 1,000 acciones comunes, y tiene un nivel de EBIT de Q100,000.00, ¿cuál es el grado de apalancamiento financiero a ese nivel basal?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Cual sería el GAT y su interpretación? </a:t>
          </a:r>
        </a:p>
        <a:p>
          <a:pPr marL="0" lvl="1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32545</xdr:colOff>
      <xdr:row>17</xdr:row>
      <xdr:rowOff>78075</xdr:rowOff>
    </xdr:from>
    <xdr:to>
      <xdr:col>3</xdr:col>
      <xdr:colOff>703253</xdr:colOff>
      <xdr:row>20</xdr:row>
      <xdr:rowOff>41455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8BE360-19B5-4A59-AA72-2BA32C57F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7621" y="3168247"/>
          <a:ext cx="1476581" cy="5087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5</xdr:col>
      <xdr:colOff>365144</xdr:colOff>
      <xdr:row>16</xdr:row>
      <xdr:rowOff>75436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DB1868-AF34-4A80-92B7-45D463FEF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26622"/>
          <a:ext cx="4553585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437648</xdr:colOff>
      <xdr:row>23</xdr:row>
      <xdr:rowOff>56385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B7827D-D2B9-4743-9457-62E9931BE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99046"/>
          <a:ext cx="6201640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428988</xdr:colOff>
      <xdr:row>24</xdr:row>
      <xdr:rowOff>65439</xdr:rowOff>
    </xdr:from>
    <xdr:to>
      <xdr:col>6</xdr:col>
      <xdr:colOff>246704</xdr:colOff>
      <xdr:row>27</xdr:row>
      <xdr:rowOff>129714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64F6C7F-17B9-4291-BF49-636F3A18A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988" y="4428034"/>
          <a:ext cx="4789170" cy="605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460326</xdr:colOff>
      <xdr:row>29</xdr:row>
      <xdr:rowOff>101445</xdr:rowOff>
    </xdr:from>
    <xdr:ext cx="8554778" cy="436786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C163AE75-F16F-4172-B14C-EA13B9C276F3}"/>
            </a:ext>
          </a:extLst>
        </xdr:cNvPr>
        <xdr:cNvSpPr txBox="1"/>
      </xdr:nvSpPr>
      <xdr:spPr>
        <a:xfrm>
          <a:off x="1252864" y="5372914"/>
          <a:ext cx="855477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En esta empresa existe apalancamiento</a:t>
          </a:r>
          <a:r>
            <a:rPr lang="es-GT" sz="1100" baseline="0"/>
            <a:t> operativo, ya que el GAO es mayor a 1. Por cada punto porcnetual que aumenten las ventas, las utilidades</a:t>
          </a:r>
        </a:p>
        <a:p>
          <a:r>
            <a:rPr lang="es-GT" sz="1100" baseline="0"/>
            <a:t>operativas van a aumentar 2.2%. Y por cada punto porcentual que disminuyan las ventas, las utilidades operativas disminuyen 2.2%.</a:t>
          </a:r>
          <a:endParaRPr lang="es-GT" sz="1100"/>
        </a:p>
      </xdr:txBody>
    </xdr:sp>
    <xdr:clientData/>
  </xdr:oneCellAnchor>
  <xdr:twoCellAnchor editAs="oneCell">
    <xdr:from>
      <xdr:col>0</xdr:col>
      <xdr:colOff>0</xdr:colOff>
      <xdr:row>33</xdr:row>
      <xdr:rowOff>0</xdr:rowOff>
    </xdr:from>
    <xdr:to>
      <xdr:col>14</xdr:col>
      <xdr:colOff>705728</xdr:colOff>
      <xdr:row>35</xdr:row>
      <xdr:rowOff>150873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2B71E4D-CA11-4378-A02D-1D0E70315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98569"/>
          <a:ext cx="12231807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109066</xdr:colOff>
      <xdr:row>39</xdr:row>
      <xdr:rowOff>174503</xdr:rowOff>
    </xdr:from>
    <xdr:to>
      <xdr:col>4</xdr:col>
      <xdr:colOff>515035</xdr:colOff>
      <xdr:row>41</xdr:row>
      <xdr:rowOff>18069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745F949-5536-4FB8-BC87-E8C3AEA4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604" y="7263721"/>
          <a:ext cx="2992188" cy="203305"/>
        </a:xfrm>
        <a:prstGeom prst="rect">
          <a:avLst/>
        </a:prstGeom>
      </xdr:spPr>
    </xdr:pic>
    <xdr:clientData/>
  </xdr:twoCellAnchor>
  <xdr:twoCellAnchor editAs="oneCell">
    <xdr:from>
      <xdr:col>6</xdr:col>
      <xdr:colOff>185236</xdr:colOff>
      <xdr:row>36</xdr:row>
      <xdr:rowOff>36356</xdr:rowOff>
    </xdr:from>
    <xdr:to>
      <xdr:col>11</xdr:col>
      <xdr:colOff>555461</xdr:colOff>
      <xdr:row>40</xdr:row>
      <xdr:rowOff>97927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42E6958-8C1C-4C77-A04E-FD2A2B2B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595" y="6580249"/>
          <a:ext cx="456819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46</xdr:row>
      <xdr:rowOff>0</xdr:rowOff>
    </xdr:from>
    <xdr:to>
      <xdr:col>11</xdr:col>
      <xdr:colOff>421719</xdr:colOff>
      <xdr:row>49</xdr:row>
      <xdr:rowOff>60436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9FB4DF0-D441-4FB2-ABA2-4B9040AF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4142" y="8361641"/>
          <a:ext cx="7881756" cy="609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3</xdr:col>
      <xdr:colOff>855156</xdr:colOff>
      <xdr:row>52</xdr:row>
      <xdr:rowOff>60193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3A17D18-947F-45DC-9635-47E0BFCFE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270515"/>
          <a:ext cx="3334215" cy="238158"/>
        </a:xfrm>
        <a:prstGeom prst="rect">
          <a:avLst/>
        </a:prstGeom>
      </xdr:spPr>
    </xdr:pic>
    <xdr:clientData/>
  </xdr:twoCellAnchor>
  <xdr:twoCellAnchor editAs="oneCell">
    <xdr:from>
      <xdr:col>5</xdr:col>
      <xdr:colOff>159961</xdr:colOff>
      <xdr:row>51</xdr:row>
      <xdr:rowOff>116336</xdr:rowOff>
    </xdr:from>
    <xdr:to>
      <xdr:col>7</xdr:col>
      <xdr:colOff>213185</xdr:colOff>
      <xdr:row>52</xdr:row>
      <xdr:rowOff>134586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8DCEA6E-6213-4411-8C10-D059EF9A7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0782" y="9386851"/>
          <a:ext cx="1642110" cy="20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588950</xdr:colOff>
      <xdr:row>55</xdr:row>
      <xdr:rowOff>174853</xdr:rowOff>
    </xdr:from>
    <xdr:to>
      <xdr:col>7</xdr:col>
      <xdr:colOff>863343</xdr:colOff>
      <xdr:row>58</xdr:row>
      <xdr:rowOff>60004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838DAF-1113-43DD-9FD1-67A058BF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8950" y="10172468"/>
          <a:ext cx="6040290" cy="430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175381</xdr:colOff>
      <xdr:row>0</xdr:row>
      <xdr:rowOff>84667</xdr:rowOff>
    </xdr:from>
    <xdr:to>
      <xdr:col>3</xdr:col>
      <xdr:colOff>786191</xdr:colOff>
      <xdr:row>2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ED3FFCE-4B0D-4C6E-BBAE-AFC1B851241C}"/>
            </a:ext>
          </a:extLst>
        </xdr:cNvPr>
        <xdr:cNvSpPr txBox="1"/>
      </xdr:nvSpPr>
      <xdr:spPr>
        <a:xfrm>
          <a:off x="175381" y="84667"/>
          <a:ext cx="5829905" cy="3326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dos opciones a elegir de estructura de capital: A y B, presentadas en la siguiente tabla.  </a:t>
          </a:r>
          <a:endParaRPr lang="es-GT" sz="1100"/>
        </a:p>
      </xdr:txBody>
    </xdr:sp>
    <xdr:clientData/>
  </xdr:twoCellAnchor>
  <xdr:twoCellAnchor>
    <xdr:from>
      <xdr:col>0</xdr:col>
      <xdr:colOff>267908</xdr:colOff>
      <xdr:row>7</xdr:row>
      <xdr:rowOff>180975</xdr:rowOff>
    </xdr:from>
    <xdr:to>
      <xdr:col>4</xdr:col>
      <xdr:colOff>182184</xdr:colOff>
      <xdr:row>13</xdr:row>
      <xdr:rowOff>2873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A6874E7-1709-4236-A2E8-1C31EDE8515A}"/>
            </a:ext>
          </a:extLst>
        </xdr:cNvPr>
        <xdr:cNvSpPr txBox="1"/>
      </xdr:nvSpPr>
      <xdr:spPr>
        <a:xfrm>
          <a:off x="267908" y="1620308"/>
          <a:ext cx="8157181" cy="103142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dos coordenadas EBIT-EPS para cada una de las estructuras seleccionando dos niveles de EBIT: 1.  Q30,00.00 y 2.  Q50,000.00.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Grafique las dos estructuras de capital en la misma serie de ejes EBIT-EPS.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Analice el apalancamiento y el riesgo relacionaos con cada una de las estructuras.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¿Sobre qué limite de EBIT se prefiere cada estructura?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¿Qué estructura recomienda si la empresa espera que sus EBIT sean de Q35,000.00?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4</xdr:col>
      <xdr:colOff>670030</xdr:colOff>
      <xdr:row>39</xdr:row>
      <xdr:rowOff>56732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410F0CE-9ABC-464C-B57A-8DD7A2F2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38155"/>
          <a:ext cx="5515745" cy="247685"/>
        </a:xfrm>
        <a:prstGeom prst="rect">
          <a:avLst/>
        </a:prstGeom>
      </xdr:spPr>
    </xdr:pic>
    <xdr:clientData/>
  </xdr:twoCellAnchor>
  <xdr:twoCellAnchor>
    <xdr:from>
      <xdr:col>1</xdr:col>
      <xdr:colOff>501620</xdr:colOff>
      <xdr:row>41</xdr:row>
      <xdr:rowOff>34502</xdr:rowOff>
    </xdr:from>
    <xdr:to>
      <xdr:col>8</xdr:col>
      <xdr:colOff>755953</xdr:colOff>
      <xdr:row>57</xdr:row>
      <xdr:rowOff>120952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396C24-5B88-49E9-BA33-CBE02EFC2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438452</xdr:colOff>
      <xdr:row>30</xdr:row>
      <xdr:rowOff>37798</xdr:rowOff>
    </xdr:from>
    <xdr:to>
      <xdr:col>10</xdr:col>
      <xdr:colOff>708447</xdr:colOff>
      <xdr:row>34</xdr:row>
      <xdr:rowOff>131348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956820E-2095-49C3-ACB1-2187FD8CB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0297" y="6924524"/>
          <a:ext cx="5410955" cy="8230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60476</xdr:rowOff>
    </xdr:from>
    <xdr:to>
      <xdr:col>4</xdr:col>
      <xdr:colOff>630017</xdr:colOff>
      <xdr:row>61</xdr:row>
      <xdr:rowOff>93916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F1F5D77-DAA2-420A-8DCA-CDF7FD8C1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208631"/>
          <a:ext cx="5460492" cy="411537"/>
        </a:xfrm>
        <a:prstGeom prst="rect">
          <a:avLst/>
        </a:prstGeom>
      </xdr:spPr>
    </xdr:pic>
    <xdr:clientData/>
  </xdr:twoCellAnchor>
  <xdr:twoCellAnchor editAs="oneCell">
    <xdr:from>
      <xdr:col>4</xdr:col>
      <xdr:colOff>703036</xdr:colOff>
      <xdr:row>62</xdr:row>
      <xdr:rowOff>105834</xdr:rowOff>
    </xdr:from>
    <xdr:to>
      <xdr:col>10</xdr:col>
      <xdr:colOff>367268</xdr:colOff>
      <xdr:row>67</xdr:row>
      <xdr:rowOff>97976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4908998-8D16-465F-8E78-BA6DD35DC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41131" y="12798274"/>
          <a:ext cx="5601482" cy="899285"/>
        </a:xfrm>
        <a:prstGeom prst="rect">
          <a:avLst/>
        </a:prstGeom>
      </xdr:spPr>
    </xdr:pic>
    <xdr:clientData/>
  </xdr:twoCellAnchor>
  <xdr:twoCellAnchor editAs="oneCell">
    <xdr:from>
      <xdr:col>1</xdr:col>
      <xdr:colOff>9464</xdr:colOff>
      <xdr:row>78</xdr:row>
      <xdr:rowOff>1</xdr:rowOff>
    </xdr:from>
    <xdr:to>
      <xdr:col>9</xdr:col>
      <xdr:colOff>370769</xdr:colOff>
      <xdr:row>86</xdr:row>
      <xdr:rowOff>130565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690ED0B-5081-4ED1-BEF5-71AA568E4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214" y="15595299"/>
          <a:ext cx="9541530" cy="1576277"/>
        </a:xfrm>
        <a:prstGeom prst="rect">
          <a:avLst/>
        </a:prstGeom>
      </xdr:spPr>
    </xdr:pic>
    <xdr:clientData/>
  </xdr:twoCellAnchor>
  <xdr:oneCellAnchor>
    <xdr:from>
      <xdr:col>3</xdr:col>
      <xdr:colOff>219226</xdr:colOff>
      <xdr:row>47</xdr:row>
      <xdr:rowOff>105833</xdr:rowOff>
    </xdr:from>
    <xdr:ext cx="1048300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F4CA874-1315-45CA-87D9-516F28B46F78}"/>
            </a:ext>
          </a:extLst>
        </xdr:cNvPr>
        <xdr:cNvSpPr txBox="1"/>
      </xdr:nvSpPr>
      <xdr:spPr>
        <a:xfrm>
          <a:off x="4278690" y="10076845"/>
          <a:ext cx="1048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Punto de cruce</a:t>
          </a:r>
        </a:p>
      </xdr:txBody>
    </xdr:sp>
    <xdr:clientData/>
  </xdr:oneCellAnchor>
  <xdr:twoCellAnchor editAs="oneCell">
    <xdr:from>
      <xdr:col>0</xdr:col>
      <xdr:colOff>0</xdr:colOff>
      <xdr:row>87</xdr:row>
      <xdr:rowOff>98273</xdr:rowOff>
    </xdr:from>
    <xdr:to>
      <xdr:col>3</xdr:col>
      <xdr:colOff>341700</xdr:colOff>
      <xdr:row>88</xdr:row>
      <xdr:rowOff>168340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9D9B093-9252-41F9-BFD8-94A52EC90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326428"/>
          <a:ext cx="4401164" cy="245780"/>
        </a:xfrm>
        <a:prstGeom prst="rect">
          <a:avLst/>
        </a:prstGeom>
      </xdr:spPr>
    </xdr:pic>
    <xdr:clientData/>
  </xdr:twoCellAnchor>
  <xdr:twoCellAnchor editAs="oneCell">
    <xdr:from>
      <xdr:col>3</xdr:col>
      <xdr:colOff>370417</xdr:colOff>
      <xdr:row>88</xdr:row>
      <xdr:rowOff>52917</xdr:rowOff>
    </xdr:from>
    <xdr:to>
      <xdr:col>7</xdr:col>
      <xdr:colOff>97011</xdr:colOff>
      <xdr:row>92</xdr:row>
      <xdr:rowOff>22624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31DC88-8F72-4F0A-BE5F-1D806BE1B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29881" y="17462500"/>
          <a:ext cx="2871235" cy="695422"/>
        </a:xfrm>
        <a:prstGeom prst="rect">
          <a:avLst/>
        </a:prstGeom>
      </xdr:spPr>
    </xdr:pic>
    <xdr:clientData/>
  </xdr:twoCellAnchor>
  <xdr:twoCellAnchor editAs="oneCell">
    <xdr:from>
      <xdr:col>0</xdr:col>
      <xdr:colOff>565060</xdr:colOff>
      <xdr:row>90</xdr:row>
      <xdr:rowOff>98275</xdr:rowOff>
    </xdr:from>
    <xdr:to>
      <xdr:col>3</xdr:col>
      <xdr:colOff>22679</xdr:colOff>
      <xdr:row>92</xdr:row>
      <xdr:rowOff>97134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23B0017-06EA-4CAC-B54B-2BB1DAE3D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5060" y="17870715"/>
          <a:ext cx="3517083" cy="35409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95</xdr:row>
      <xdr:rowOff>0</xdr:rowOff>
    </xdr:from>
    <xdr:to>
      <xdr:col>6</xdr:col>
      <xdr:colOff>94526</xdr:colOff>
      <xdr:row>98</xdr:row>
      <xdr:rowOff>132033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8F4B379-E1EE-4BA3-8BC6-9256B979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3751" y="18679583"/>
          <a:ext cx="5722560" cy="67250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5</xdr:col>
      <xdr:colOff>302382</xdr:colOff>
      <xdr:row>101</xdr:row>
      <xdr:rowOff>140878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A75EED-38BF-2F13-E4BF-8903A41E7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19586726"/>
          <a:ext cx="5934226" cy="328022"/>
        </a:xfrm>
        <a:prstGeom prst="rect">
          <a:avLst/>
        </a:prstGeom>
      </xdr:spPr>
    </xdr:pic>
    <xdr:clientData/>
  </xdr:twoCellAnchor>
  <xdr:twoCellAnchor editAs="oneCell">
    <xdr:from>
      <xdr:col>2</xdr:col>
      <xdr:colOff>30238</xdr:colOff>
      <xdr:row>102</xdr:row>
      <xdr:rowOff>128513</xdr:rowOff>
    </xdr:from>
    <xdr:to>
      <xdr:col>8</xdr:col>
      <xdr:colOff>1046991</xdr:colOff>
      <xdr:row>104</xdr:row>
      <xdr:rowOff>173383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DA133D-0EC0-FB5B-3555-C20D733C4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85357" y="20078096"/>
          <a:ext cx="6481714" cy="411537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0.46895</cdr:x>
      <cdr:y>0.49139</cdr:y>
    </cdr:from>
    <cdr:to>
      <cdr:x>0.51753</cdr:x>
      <cdr:y>0.58237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07135A73-EE4F-4657-99E8-AFDD7B8401B7}"/>
            </a:ext>
          </a:extLst>
        </cdr:cNvPr>
        <cdr:cNvSpPr/>
      </cdr:nvSpPr>
      <cdr:spPr>
        <a:xfrm xmlns:a="http://schemas.openxmlformats.org/drawingml/2006/main">
          <a:off x="3503023" y="1469844"/>
          <a:ext cx="362857" cy="272143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GT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0</xdr:row>
      <xdr:rowOff>58831</xdr:rowOff>
    </xdr:from>
    <xdr:to>
      <xdr:col>9</xdr:col>
      <xdr:colOff>471207</xdr:colOff>
      <xdr:row>2</xdr:row>
      <xdr:rowOff>49306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42B320-4C66-4BAF-8DAA-C3019FE55BB3}"/>
            </a:ext>
          </a:extLst>
        </xdr:cNvPr>
        <xdr:cNvSpPr txBox="1"/>
      </xdr:nvSpPr>
      <xdr:spPr>
        <a:xfrm>
          <a:off x="156882" y="58831"/>
          <a:ext cx="8550649" cy="36026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corporación JCV ha elaborado el siguiente pronóstico de ventas.  Se incluye la probabilidad para cada nivel de ventas:</a:t>
          </a:r>
        </a:p>
        <a:p>
          <a:endParaRPr lang="es-GT" sz="1100"/>
        </a:p>
      </xdr:txBody>
    </xdr:sp>
    <xdr:clientData/>
  </xdr:twoCellAnchor>
  <xdr:twoCellAnchor>
    <xdr:from>
      <xdr:col>0</xdr:col>
      <xdr:colOff>126066</xdr:colOff>
      <xdr:row>7</xdr:row>
      <xdr:rowOff>71156</xdr:rowOff>
    </xdr:from>
    <xdr:to>
      <xdr:col>10</xdr:col>
      <xdr:colOff>526116</xdr:colOff>
      <xdr:row>13</xdr:row>
      <xdr:rowOff>128867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473C5C0-EF74-419C-BC58-9A9493842672}"/>
            </a:ext>
          </a:extLst>
        </xdr:cNvPr>
        <xdr:cNvSpPr txBox="1"/>
      </xdr:nvSpPr>
      <xdr:spPr>
        <a:xfrm>
          <a:off x="126066" y="1393450"/>
          <a:ext cx="9426388" cy="116709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tiene costos de operación fijos de $75,000.00 y costos de operación variables de 70% del nivel de ventas. La compañía paga $12,000.00 de intereses por período.  La tasa fiscal es del 30%.  Suponga que existen 10,000 acciones comunes.  Hay ahorro fiscal con pérdidas.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las EBIT y calcule las EPS correspondientes a cada nivel de ventas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Calcule las EPS Esperadas, con su correspondiente desviación estándar y CV.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empresa tiene la oportunidad de reducir su apalancamiento a cero y no pagar ningún interés, ¿de cuanto serán las EPS esperadas, con su correspondiente desviación estándar y CV si el número de acciones entonces aumenta a 15,000?</a:t>
          </a:r>
        </a:p>
        <a:p>
          <a:endParaRPr lang="es-GT" sz="1100"/>
        </a:p>
      </xdr:txBody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5</xdr:col>
      <xdr:colOff>797643</xdr:colOff>
      <xdr:row>16</xdr:row>
      <xdr:rowOff>56064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487BC8-D24F-35C9-BB04-381670A91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6452"/>
          <a:ext cx="6077798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35019</xdr:colOff>
      <xdr:row>32</xdr:row>
      <xdr:rowOff>133070</xdr:rowOff>
    </xdr:from>
    <xdr:to>
      <xdr:col>6</xdr:col>
      <xdr:colOff>204836</xdr:colOff>
      <xdr:row>34</xdr:row>
      <xdr:rowOff>60387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60A3DC-085B-66C7-69E5-BF3EB8E3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19" y="5995147"/>
          <a:ext cx="6357873" cy="299128"/>
        </a:xfrm>
        <a:prstGeom prst="rect">
          <a:avLst/>
        </a:prstGeom>
      </xdr:spPr>
    </xdr:pic>
    <xdr:clientData/>
  </xdr:twoCellAnchor>
  <xdr:twoCellAnchor editAs="oneCell">
    <xdr:from>
      <xdr:col>7</xdr:col>
      <xdr:colOff>175091</xdr:colOff>
      <xdr:row>15</xdr:row>
      <xdr:rowOff>82139</xdr:rowOff>
    </xdr:from>
    <xdr:to>
      <xdr:col>11</xdr:col>
      <xdr:colOff>170267</xdr:colOff>
      <xdr:row>19</xdr:row>
      <xdr:rowOff>115862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7FE442-55BA-BEBD-2BF7-2839649FE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6709" y="2848591"/>
          <a:ext cx="3174173" cy="762106"/>
        </a:xfrm>
        <a:prstGeom prst="rect">
          <a:avLst/>
        </a:prstGeom>
      </xdr:spPr>
    </xdr:pic>
    <xdr:clientData/>
  </xdr:twoCellAnchor>
  <xdr:twoCellAnchor editAs="oneCell">
    <xdr:from>
      <xdr:col>7</xdr:col>
      <xdr:colOff>10814</xdr:colOff>
      <xdr:row>21</xdr:row>
      <xdr:rowOff>112059</xdr:rowOff>
    </xdr:from>
    <xdr:to>
      <xdr:col>13</xdr:col>
      <xdr:colOff>779972</xdr:colOff>
      <xdr:row>26</xdr:row>
      <xdr:rowOff>137068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528578C-2D72-D6D1-C5C9-9957B3AF8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2432" y="3971085"/>
          <a:ext cx="5519555" cy="931677"/>
        </a:xfrm>
        <a:prstGeom prst="rect">
          <a:avLst/>
        </a:prstGeom>
      </xdr:spPr>
    </xdr:pic>
    <xdr:clientData/>
  </xdr:twoCellAnchor>
  <xdr:twoCellAnchor editAs="oneCell">
    <xdr:from>
      <xdr:col>7</xdr:col>
      <xdr:colOff>143267</xdr:colOff>
      <xdr:row>33</xdr:row>
      <xdr:rowOff>112059</xdr:rowOff>
    </xdr:from>
    <xdr:to>
      <xdr:col>12</xdr:col>
      <xdr:colOff>72932</xdr:colOff>
      <xdr:row>37</xdr:row>
      <xdr:rowOff>60048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8066DE3-6EEF-0986-D715-1F244B090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34885" y="6156232"/>
          <a:ext cx="3888647" cy="672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0991-482A-40C1-82C0-8049C0E1A04D}">
  <dimension ref="A1"/>
  <sheetViews>
    <sheetView topLeftCell="A7" workbookViewId="0">
      <selection activeCell="G26" sqref="G26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FBBA-2D6F-44AD-A0A1-B23C008AF5A1}">
  <dimension ref="A10:L55"/>
  <sheetViews>
    <sheetView topLeftCell="A46" zoomScale="131" zoomScaleNormal="131" workbookViewId="0">
      <selection activeCell="I56" sqref="I56"/>
    </sheetView>
  </sheetViews>
  <sheetFormatPr baseColWidth="10" defaultRowHeight="14.4"/>
  <cols>
    <col min="2" max="2" width="13.21875" bestFit="1" customWidth="1"/>
    <col min="4" max="4" width="13.21875" bestFit="1" customWidth="1"/>
    <col min="8" max="9" width="13.21875" bestFit="1" customWidth="1"/>
  </cols>
  <sheetData>
    <row r="10" spans="1:5">
      <c r="A10" t="s">
        <v>14</v>
      </c>
    </row>
    <row r="11" spans="1:5">
      <c r="A11" t="s">
        <v>15</v>
      </c>
      <c r="C11" t="s">
        <v>16</v>
      </c>
      <c r="D11" s="8">
        <v>300000</v>
      </c>
    </row>
    <row r="12" spans="1:5">
      <c r="A12" t="s">
        <v>17</v>
      </c>
      <c r="C12" t="s">
        <v>18</v>
      </c>
      <c r="D12" s="8">
        <v>20</v>
      </c>
      <c r="E12" t="s">
        <v>19</v>
      </c>
    </row>
    <row r="13" spans="1:5">
      <c r="A13" t="s">
        <v>20</v>
      </c>
      <c r="C13" t="s">
        <v>21</v>
      </c>
      <c r="D13" s="8">
        <v>75.5</v>
      </c>
      <c r="E13" t="s">
        <v>19</v>
      </c>
    </row>
    <row r="14" spans="1:5">
      <c r="D14" s="8"/>
    </row>
    <row r="15" spans="1:5">
      <c r="D15" s="8"/>
    </row>
    <row r="16" spans="1:5">
      <c r="D16" s="8"/>
    </row>
    <row r="17" spans="4:12">
      <c r="D17" s="8"/>
    </row>
    <row r="18" spans="4:12">
      <c r="D18" s="8"/>
    </row>
    <row r="19" spans="4:12">
      <c r="E19" s="10">
        <v>300000</v>
      </c>
      <c r="F19" s="11">
        <f>D11/(D13-D12)</f>
        <v>5405.405405405405</v>
      </c>
      <c r="H19" s="14">
        <f>5406</f>
        <v>5406</v>
      </c>
      <c r="I19" s="15" t="s">
        <v>23</v>
      </c>
    </row>
    <row r="20" spans="4:12">
      <c r="E20" s="9" t="s">
        <v>22</v>
      </c>
    </row>
    <row r="26" spans="4:12">
      <c r="H26" t="s">
        <v>24</v>
      </c>
      <c r="I26" s="10" t="s">
        <v>25</v>
      </c>
      <c r="L26" s="14">
        <f>(10000*(75.5-20))/(10000*(75.5-20)-D11)</f>
        <v>2.1764705882352939</v>
      </c>
    </row>
    <row r="27" spans="4:12">
      <c r="I27" t="s">
        <v>26</v>
      </c>
    </row>
    <row r="37" spans="1:9">
      <c r="A37" t="s">
        <v>14</v>
      </c>
    </row>
    <row r="38" spans="1:9">
      <c r="A38" s="13" t="s">
        <v>27</v>
      </c>
      <c r="D38" s="8"/>
    </row>
    <row r="39" spans="1:9">
      <c r="B39" s="10" t="s">
        <v>29</v>
      </c>
      <c r="C39" s="10" t="s">
        <v>30</v>
      </c>
      <c r="D39" s="8"/>
    </row>
    <row r="40" spans="1:9">
      <c r="A40" t="s">
        <v>28</v>
      </c>
      <c r="B40" s="8">
        <v>300000</v>
      </c>
      <c r="C40" s="17">
        <v>0.15</v>
      </c>
      <c r="D40" s="8"/>
    </row>
    <row r="41" spans="1:9">
      <c r="A41" t="s">
        <v>31</v>
      </c>
    </row>
    <row r="42" spans="1:9">
      <c r="H42" t="s">
        <v>33</v>
      </c>
    </row>
    <row r="43" spans="1:9">
      <c r="A43" t="s">
        <v>32</v>
      </c>
      <c r="B43" s="8">
        <v>100000</v>
      </c>
      <c r="H43" t="s">
        <v>34</v>
      </c>
      <c r="I43" s="19">
        <f>B40*C40</f>
        <v>45000</v>
      </c>
    </row>
    <row r="44" spans="1:9">
      <c r="C44" t="s">
        <v>36</v>
      </c>
      <c r="D44" s="18">
        <f>B43</f>
        <v>100000</v>
      </c>
      <c r="E44" t="s">
        <v>36</v>
      </c>
      <c r="F44" s="14">
        <f>B43/(B43-I43)</f>
        <v>1.8181818181818181</v>
      </c>
    </row>
    <row r="45" spans="1:9">
      <c r="D45" t="s">
        <v>35</v>
      </c>
    </row>
    <row r="55" spans="2:3">
      <c r="B55" t="s">
        <v>37</v>
      </c>
      <c r="C55" s="14">
        <f>F44*L26</f>
        <v>3.9572192513368978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8484-BEF0-4860-A779-D895C5915EA3}">
  <dimension ref="B3:M119"/>
  <sheetViews>
    <sheetView tabSelected="1" topLeftCell="A85" zoomScaleNormal="100" workbookViewId="0">
      <selection activeCell="I99" sqref="I99:K99"/>
    </sheetView>
  </sheetViews>
  <sheetFormatPr baseColWidth="10" defaultRowHeight="14.4"/>
  <cols>
    <col min="2" max="2" width="25.6640625" customWidth="1"/>
    <col min="3" max="3" width="21.88671875" customWidth="1"/>
    <col min="4" max="4" width="11.33203125" customWidth="1"/>
    <col min="9" max="9" width="28.5546875" bestFit="1" customWidth="1"/>
    <col min="11" max="11" width="22.44140625" bestFit="1" customWidth="1"/>
  </cols>
  <sheetData>
    <row r="3" spans="2:7" ht="15" thickBot="1"/>
    <row r="4" spans="2:7" ht="34.799999999999997" customHeight="1" thickBot="1">
      <c r="B4" s="4" t="s">
        <v>1</v>
      </c>
      <c r="C4" s="5" t="s">
        <v>2</v>
      </c>
      <c r="D4" s="5" t="s">
        <v>3</v>
      </c>
    </row>
    <row r="5" spans="2:7" ht="36.6" customHeight="1" thickBot="1">
      <c r="B5" s="3" t="s">
        <v>4</v>
      </c>
      <c r="C5" s="6" t="s">
        <v>9</v>
      </c>
      <c r="D5" s="6" t="s">
        <v>11</v>
      </c>
    </row>
    <row r="6" spans="2:7" ht="48.6" customHeight="1" thickBot="1">
      <c r="B6" s="3" t="s">
        <v>5</v>
      </c>
      <c r="C6" s="6" t="s">
        <v>10</v>
      </c>
      <c r="D6" s="6" t="s">
        <v>12</v>
      </c>
    </row>
    <row r="7" spans="2:7" ht="40.799999999999997" customHeight="1" thickBot="1">
      <c r="B7" s="3" t="s">
        <v>6</v>
      </c>
      <c r="C7" s="6" t="s">
        <v>7</v>
      </c>
      <c r="D7" s="6" t="s">
        <v>8</v>
      </c>
    </row>
    <row r="8" spans="2:7" ht="24" customHeight="1"/>
    <row r="15" spans="2:7">
      <c r="C15" s="27" t="s">
        <v>38</v>
      </c>
      <c r="D15" s="27"/>
      <c r="F15" s="27" t="s">
        <v>39</v>
      </c>
      <c r="G15" s="27"/>
    </row>
    <row r="16" spans="2:7">
      <c r="B16" t="s">
        <v>40</v>
      </c>
      <c r="C16" s="8">
        <v>30000</v>
      </c>
      <c r="D16" s="8">
        <v>50000</v>
      </c>
      <c r="E16" s="8"/>
      <c r="F16" s="8">
        <v>30000</v>
      </c>
      <c r="G16" s="8">
        <v>50000</v>
      </c>
    </row>
    <row r="17" spans="2:7">
      <c r="B17" t="s">
        <v>41</v>
      </c>
      <c r="C17" s="20">
        <v>12000</v>
      </c>
      <c r="D17" s="20">
        <v>12000</v>
      </c>
      <c r="E17" s="8"/>
      <c r="F17" s="20">
        <v>7500</v>
      </c>
      <c r="G17" s="20">
        <v>7500</v>
      </c>
    </row>
    <row r="18" spans="2:7">
      <c r="B18" t="s">
        <v>42</v>
      </c>
      <c r="C18" s="8">
        <f>C16-C17</f>
        <v>18000</v>
      </c>
      <c r="D18" s="8">
        <f>D16-D17</f>
        <v>38000</v>
      </c>
      <c r="E18" s="8"/>
      <c r="F18" s="8">
        <f t="shared" ref="F18:G18" si="0">F16-F17</f>
        <v>22500</v>
      </c>
      <c r="G18" s="8">
        <f t="shared" si="0"/>
        <v>42500</v>
      </c>
    </row>
    <row r="19" spans="2:7">
      <c r="B19" t="s">
        <v>45</v>
      </c>
      <c r="C19" s="20">
        <f>C18*25%</f>
        <v>4500</v>
      </c>
      <c r="D19" s="20">
        <f>D18*25%</f>
        <v>9500</v>
      </c>
      <c r="E19" s="8"/>
      <c r="F19" s="20">
        <f t="shared" ref="F19:G19" si="1">F18*25%</f>
        <v>5625</v>
      </c>
      <c r="G19" s="20">
        <f t="shared" si="1"/>
        <v>10625</v>
      </c>
    </row>
    <row r="20" spans="2:7">
      <c r="B20" t="s">
        <v>43</v>
      </c>
      <c r="C20" s="8">
        <f>C18-C19</f>
        <v>13500</v>
      </c>
      <c r="D20" s="8">
        <f t="shared" ref="D20:G20" si="2">D18-D19</f>
        <v>28500</v>
      </c>
      <c r="E20" s="8"/>
      <c r="F20" s="8">
        <f t="shared" si="2"/>
        <v>16875</v>
      </c>
      <c r="G20" s="8">
        <f t="shared" si="2"/>
        <v>31875</v>
      </c>
    </row>
    <row r="21" spans="2:7">
      <c r="B21" t="s">
        <v>44</v>
      </c>
      <c r="C21" s="20">
        <f>10000*18%</f>
        <v>1800</v>
      </c>
      <c r="D21" s="20">
        <f>10000*18%</f>
        <v>1800</v>
      </c>
      <c r="E21" s="8"/>
      <c r="F21" s="20">
        <f>15000*18%</f>
        <v>2700</v>
      </c>
      <c r="G21" s="20">
        <f>15000*18%</f>
        <v>2700</v>
      </c>
    </row>
    <row r="22" spans="2:7">
      <c r="B22" t="s">
        <v>46</v>
      </c>
      <c r="C22" s="16">
        <f>C20-C21</f>
        <v>11700</v>
      </c>
      <c r="D22" s="16">
        <f t="shared" ref="D22:G22" si="3">D20-D21</f>
        <v>26700</v>
      </c>
      <c r="E22" s="16"/>
      <c r="F22" s="16">
        <f t="shared" si="3"/>
        <v>14175</v>
      </c>
      <c r="G22" s="16">
        <f t="shared" si="3"/>
        <v>29175</v>
      </c>
    </row>
    <row r="24" spans="2:7">
      <c r="B24" t="s">
        <v>47</v>
      </c>
      <c r="C24">
        <v>8000</v>
      </c>
      <c r="D24">
        <v>8000</v>
      </c>
      <c r="F24">
        <v>10000</v>
      </c>
      <c r="G24">
        <v>10000</v>
      </c>
    </row>
    <row r="26" spans="2:7">
      <c r="B26" t="s">
        <v>48</v>
      </c>
      <c r="C26" s="16">
        <f>C22/C24</f>
        <v>1.4624999999999999</v>
      </c>
      <c r="D26" s="21">
        <f t="shared" ref="D26:G26" si="4">D22/D24</f>
        <v>3.3374999999999999</v>
      </c>
      <c r="E26" s="16"/>
      <c r="F26" s="16">
        <f t="shared" si="4"/>
        <v>1.4175</v>
      </c>
      <c r="G26" s="21">
        <f t="shared" si="4"/>
        <v>2.9175</v>
      </c>
    </row>
    <row r="29" spans="2:7">
      <c r="C29" s="10" t="s">
        <v>49</v>
      </c>
      <c r="D29" s="10" t="s">
        <v>50</v>
      </c>
    </row>
    <row r="30" spans="2:7">
      <c r="B30" t="s">
        <v>38</v>
      </c>
      <c r="C30" s="16">
        <f>C16</f>
        <v>30000</v>
      </c>
      <c r="D30" s="16">
        <f>C26</f>
        <v>1.4624999999999999</v>
      </c>
    </row>
    <row r="31" spans="2:7">
      <c r="C31" s="16">
        <f>D16</f>
        <v>50000</v>
      </c>
      <c r="D31" s="16">
        <f>D26</f>
        <v>3.3374999999999999</v>
      </c>
    </row>
    <row r="32" spans="2:7">
      <c r="C32" s="16">
        <f>C17+(C21/(1-0.25))</f>
        <v>14400</v>
      </c>
      <c r="D32">
        <v>0</v>
      </c>
    </row>
    <row r="35" spans="2:4">
      <c r="B35" t="s">
        <v>51</v>
      </c>
      <c r="C35" s="10" t="s">
        <v>49</v>
      </c>
      <c r="D35" s="10" t="s">
        <v>50</v>
      </c>
    </row>
    <row r="36" spans="2:4">
      <c r="C36" s="16">
        <f>F16</f>
        <v>30000</v>
      </c>
      <c r="D36" s="16">
        <f>F26</f>
        <v>1.4175</v>
      </c>
    </row>
    <row r="37" spans="2:4">
      <c r="C37" s="16">
        <f>G16</f>
        <v>50000</v>
      </c>
      <c r="D37" s="16">
        <f>G26</f>
        <v>2.9175</v>
      </c>
    </row>
    <row r="38" spans="2:4">
      <c r="C38" s="16">
        <f>F17+(F21/(1-0.25))</f>
        <v>11100</v>
      </c>
      <c r="D38">
        <v>0</v>
      </c>
    </row>
    <row r="71" spans="2:7">
      <c r="C71" s="27" t="s">
        <v>38</v>
      </c>
      <c r="D71" s="27"/>
      <c r="F71" s="27" t="s">
        <v>39</v>
      </c>
      <c r="G71" s="27"/>
    </row>
    <row r="72" spans="2:7">
      <c r="B72" t="s">
        <v>40</v>
      </c>
      <c r="C72" s="8">
        <v>30000</v>
      </c>
      <c r="D72" s="8">
        <v>50000</v>
      </c>
      <c r="E72" s="8"/>
      <c r="F72" s="8">
        <v>30000</v>
      </c>
      <c r="G72" s="8">
        <v>50000</v>
      </c>
    </row>
    <row r="73" spans="2:7">
      <c r="B73" t="s">
        <v>54</v>
      </c>
      <c r="C73" s="22">
        <v>12000</v>
      </c>
      <c r="D73" s="22">
        <v>12000</v>
      </c>
      <c r="E73" s="22"/>
      <c r="F73" s="22">
        <v>7500</v>
      </c>
      <c r="G73" s="22">
        <v>7500</v>
      </c>
    </row>
    <row r="74" spans="2:7">
      <c r="B74" t="s">
        <v>52</v>
      </c>
      <c r="C74" s="22">
        <f>10000*18%</f>
        <v>1800</v>
      </c>
      <c r="D74" s="22">
        <f>10000*18%</f>
        <v>1800</v>
      </c>
      <c r="E74" s="22"/>
      <c r="F74" s="22">
        <f>15000*18%</f>
        <v>2700</v>
      </c>
      <c r="G74" s="22">
        <f>15000*18%</f>
        <v>2700</v>
      </c>
    </row>
    <row r="75" spans="2:7">
      <c r="B75" t="s">
        <v>53</v>
      </c>
      <c r="C75">
        <v>0.25</v>
      </c>
      <c r="D75">
        <v>0.25</v>
      </c>
      <c r="F75">
        <v>0.25</v>
      </c>
      <c r="G75">
        <v>0.25</v>
      </c>
    </row>
    <row r="77" spans="2:7">
      <c r="B77" t="s">
        <v>55</v>
      </c>
      <c r="C77" s="14">
        <f>C72/(C72-C73-(C74/(1-C75)))</f>
        <v>1.9230769230769231</v>
      </c>
      <c r="D77" s="14">
        <f t="shared" ref="D77:G77" si="5">D72/(D72-D73-(D74/(1-D75)))</f>
        <v>1.404494382022472</v>
      </c>
      <c r="E77" s="12"/>
      <c r="F77" s="14">
        <f t="shared" si="5"/>
        <v>1.5873015873015872</v>
      </c>
      <c r="G77" s="14">
        <f t="shared" si="5"/>
        <v>1.2853470437017995</v>
      </c>
    </row>
    <row r="89" spans="2:13">
      <c r="I89" s="10" t="s">
        <v>67</v>
      </c>
      <c r="J89" t="s">
        <v>68</v>
      </c>
      <c r="K89" s="10" t="s">
        <v>69</v>
      </c>
    </row>
    <row r="90" spans="2:13">
      <c r="I90">
        <v>8000</v>
      </c>
      <c r="K90">
        <v>10000</v>
      </c>
      <c r="M90">
        <f>0.75*12000</f>
        <v>9000</v>
      </c>
    </row>
    <row r="91" spans="2:13">
      <c r="I91" t="s">
        <v>70</v>
      </c>
      <c r="J91" t="s">
        <v>68</v>
      </c>
      <c r="K91" t="s">
        <v>71</v>
      </c>
      <c r="M91">
        <f>0.75*7500</f>
        <v>5625</v>
      </c>
    </row>
    <row r="94" spans="2:13">
      <c r="B94" t="s">
        <v>40</v>
      </c>
      <c r="C94" s="16">
        <v>27600</v>
      </c>
      <c r="I94" t="s">
        <v>72</v>
      </c>
      <c r="J94" t="s">
        <v>68</v>
      </c>
      <c r="K94" t="s">
        <v>73</v>
      </c>
      <c r="M94">
        <f>-9000-1800</f>
        <v>-10800</v>
      </c>
    </row>
    <row r="95" spans="2:13">
      <c r="I95" t="s">
        <v>74</v>
      </c>
      <c r="J95" t="s">
        <v>68</v>
      </c>
      <c r="K95" t="s">
        <v>76</v>
      </c>
      <c r="M95">
        <f>-5625-2700</f>
        <v>-8325</v>
      </c>
    </row>
    <row r="96" spans="2:13">
      <c r="I96" t="s">
        <v>75</v>
      </c>
      <c r="J96" t="s">
        <v>68</v>
      </c>
      <c r="K96" t="s">
        <v>79</v>
      </c>
    </row>
    <row r="97" spans="3:13">
      <c r="I97" t="s">
        <v>77</v>
      </c>
      <c r="J97" t="s">
        <v>68</v>
      </c>
      <c r="K97" t="s">
        <v>79</v>
      </c>
    </row>
    <row r="98" spans="3:13">
      <c r="I98" t="s">
        <v>78</v>
      </c>
      <c r="J98" t="s">
        <v>68</v>
      </c>
      <c r="K98" t="s">
        <v>80</v>
      </c>
      <c r="M98">
        <f>13500-8325</f>
        <v>5175</v>
      </c>
    </row>
    <row r="99" spans="3:13">
      <c r="I99" s="15" t="s">
        <v>40</v>
      </c>
      <c r="J99" s="15" t="s">
        <v>81</v>
      </c>
      <c r="K99" s="15">
        <f>M98/M99</f>
        <v>27600</v>
      </c>
      <c r="M99">
        <f>0.9375-0.75</f>
        <v>0.1875</v>
      </c>
    </row>
    <row r="108" spans="3:13">
      <c r="D108" s="27" t="s">
        <v>38</v>
      </c>
      <c r="E108" s="27"/>
      <c r="G108" s="27" t="s">
        <v>39</v>
      </c>
      <c r="H108" s="27"/>
    </row>
    <row r="109" spans="3:13">
      <c r="C109" t="s">
        <v>40</v>
      </c>
      <c r="D109" s="8">
        <v>35000</v>
      </c>
      <c r="E109" s="8"/>
      <c r="F109" s="8"/>
      <c r="G109" s="8">
        <v>35000</v>
      </c>
      <c r="H109" s="8"/>
    </row>
    <row r="110" spans="3:13">
      <c r="C110" t="s">
        <v>41</v>
      </c>
      <c r="D110" s="20">
        <v>12000</v>
      </c>
      <c r="E110" s="20"/>
      <c r="F110" s="8"/>
      <c r="G110" s="20">
        <v>7500</v>
      </c>
      <c r="H110" s="20"/>
    </row>
    <row r="111" spans="3:13">
      <c r="C111" t="s">
        <v>42</v>
      </c>
      <c r="D111" s="8">
        <f>D109-D110</f>
        <v>23000</v>
      </c>
      <c r="E111" s="8"/>
      <c r="F111" s="8"/>
      <c r="G111" s="8">
        <f t="shared" ref="G111" si="6">G109-G110</f>
        <v>27500</v>
      </c>
      <c r="H111" s="8"/>
    </row>
    <row r="112" spans="3:13">
      <c r="C112" t="s">
        <v>45</v>
      </c>
      <c r="D112" s="20">
        <f>D111*25%</f>
        <v>5750</v>
      </c>
      <c r="E112" s="20"/>
      <c r="F112" s="8"/>
      <c r="G112" s="20">
        <f t="shared" ref="G112" si="7">G111*25%</f>
        <v>6875</v>
      </c>
      <c r="H112" s="20"/>
    </row>
    <row r="113" spans="3:8">
      <c r="C113" t="s">
        <v>43</v>
      </c>
      <c r="D113" s="8">
        <f>D111-D112</f>
        <v>17250</v>
      </c>
      <c r="E113" s="8"/>
      <c r="F113" s="8"/>
      <c r="G113" s="8">
        <f t="shared" ref="G113" si="8">G111-G112</f>
        <v>20625</v>
      </c>
      <c r="H113" s="8"/>
    </row>
    <row r="114" spans="3:8">
      <c r="C114" t="s">
        <v>44</v>
      </c>
      <c r="D114" s="20">
        <f>10000*18%</f>
        <v>1800</v>
      </c>
      <c r="E114" s="20"/>
      <c r="F114" s="8"/>
      <c r="G114" s="20">
        <f>15000*18%</f>
        <v>2700</v>
      </c>
      <c r="H114" s="20"/>
    </row>
    <row r="115" spans="3:8">
      <c r="C115" t="s">
        <v>46</v>
      </c>
      <c r="D115" s="16">
        <f>D113-D114</f>
        <v>15450</v>
      </c>
      <c r="E115" s="16"/>
      <c r="F115" s="16"/>
      <c r="G115" s="16">
        <f t="shared" ref="G115" si="9">G113-G114</f>
        <v>17925</v>
      </c>
      <c r="H115" s="16"/>
    </row>
    <row r="117" spans="3:8">
      <c r="C117" t="s">
        <v>47</v>
      </c>
      <c r="D117">
        <v>8000</v>
      </c>
      <c r="G117">
        <v>10000</v>
      </c>
    </row>
    <row r="119" spans="3:8">
      <c r="C119" t="s">
        <v>48</v>
      </c>
      <c r="D119" s="21">
        <f>D115/D117</f>
        <v>1.9312499999999999</v>
      </c>
      <c r="E119" s="21"/>
      <c r="F119" s="16"/>
      <c r="G119" s="21">
        <f t="shared" ref="G119" si="10">G115/G117</f>
        <v>1.7925</v>
      </c>
      <c r="H119" s="21"/>
    </row>
  </sheetData>
  <mergeCells count="6">
    <mergeCell ref="C15:D15"/>
    <mergeCell ref="F15:G15"/>
    <mergeCell ref="C71:D71"/>
    <mergeCell ref="F71:G71"/>
    <mergeCell ref="D108:E108"/>
    <mergeCell ref="G108:H1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1D78-065B-4C59-94DD-DB35D9DD92EC}">
  <dimension ref="B3:F38"/>
  <sheetViews>
    <sheetView zoomScale="115" zoomScaleNormal="115" workbookViewId="0">
      <selection activeCell="F21" sqref="F21"/>
    </sheetView>
  </sheetViews>
  <sheetFormatPr baseColWidth="10" defaultRowHeight="14.4"/>
  <cols>
    <col min="2" max="2" width="14.5546875" customWidth="1"/>
    <col min="3" max="3" width="24.88671875" customWidth="1"/>
    <col min="4" max="6" width="13.109375" bestFit="1" customWidth="1"/>
  </cols>
  <sheetData>
    <row r="3" spans="2:3" ht="15" thickBot="1"/>
    <row r="4" spans="2:3" ht="15" thickBot="1">
      <c r="B4" s="1" t="s">
        <v>0</v>
      </c>
      <c r="C4" s="2" t="s">
        <v>13</v>
      </c>
    </row>
    <row r="5" spans="2:3" ht="15" thickBot="1">
      <c r="B5" s="3">
        <v>0.2</v>
      </c>
      <c r="C5" s="7">
        <v>200000</v>
      </c>
    </row>
    <row r="6" spans="2:3" ht="15" thickBot="1">
      <c r="B6" s="3">
        <v>0.6</v>
      </c>
      <c r="C6" s="7">
        <v>300000</v>
      </c>
    </row>
    <row r="7" spans="2:3" ht="15" thickBot="1">
      <c r="B7" s="3">
        <v>0.2</v>
      </c>
      <c r="C7" s="7">
        <v>400000</v>
      </c>
    </row>
    <row r="18" spans="3:6">
      <c r="D18" t="s">
        <v>56</v>
      </c>
      <c r="E18" t="s">
        <v>57</v>
      </c>
      <c r="F18" t="s">
        <v>58</v>
      </c>
    </row>
    <row r="19" spans="3:6">
      <c r="C19" t="s">
        <v>59</v>
      </c>
      <c r="D19">
        <v>0.2</v>
      </c>
      <c r="E19">
        <v>0.6</v>
      </c>
      <c r="F19">
        <v>0.2</v>
      </c>
    </row>
    <row r="20" spans="3:6">
      <c r="C20" t="s">
        <v>65</v>
      </c>
      <c r="D20" s="8">
        <v>200000</v>
      </c>
      <c r="E20" s="8">
        <v>300000</v>
      </c>
      <c r="F20" s="8">
        <v>400000</v>
      </c>
    </row>
    <row r="21" spans="3:6">
      <c r="C21" t="s">
        <v>60</v>
      </c>
      <c r="D21" s="8">
        <f>D20*0.7</f>
        <v>140000</v>
      </c>
      <c r="E21" s="8">
        <f>E20*0.7</f>
        <v>210000</v>
      </c>
      <c r="F21" s="8">
        <f>F20*0.7</f>
        <v>280000</v>
      </c>
    </row>
    <row r="22" spans="3:6">
      <c r="C22" t="s">
        <v>61</v>
      </c>
      <c r="D22" s="20">
        <v>75000</v>
      </c>
      <c r="E22" s="20">
        <v>75000</v>
      </c>
      <c r="F22" s="20">
        <v>75000</v>
      </c>
    </row>
    <row r="23" spans="3:6">
      <c r="C23" s="23" t="s">
        <v>40</v>
      </c>
      <c r="D23" s="25">
        <f>D20-D21-D22</f>
        <v>-15000</v>
      </c>
      <c r="E23" s="25">
        <f t="shared" ref="E23:F23" si="0">E20-E21-E22</f>
        <v>15000</v>
      </c>
      <c r="F23" s="25">
        <f t="shared" si="0"/>
        <v>45000</v>
      </c>
    </row>
    <row r="24" spans="3:6">
      <c r="C24" t="s">
        <v>41</v>
      </c>
      <c r="D24" s="20">
        <v>12000</v>
      </c>
      <c r="E24" s="20">
        <v>12000</v>
      </c>
      <c r="F24" s="20">
        <v>12000</v>
      </c>
    </row>
    <row r="25" spans="3:6">
      <c r="C25" t="s">
        <v>42</v>
      </c>
      <c r="D25" s="16">
        <f>D23-D24</f>
        <v>-27000</v>
      </c>
      <c r="E25" s="16">
        <f t="shared" ref="E25:F25" si="1">E23-E24</f>
        <v>3000</v>
      </c>
      <c r="F25" s="16">
        <f t="shared" si="1"/>
        <v>33000</v>
      </c>
    </row>
    <row r="26" spans="3:6">
      <c r="C26" t="s">
        <v>62</v>
      </c>
      <c r="D26" s="18">
        <f>D25*0.3</f>
        <v>-8100</v>
      </c>
      <c r="E26" s="18">
        <f t="shared" ref="E26:F26" si="2">E25*0.3</f>
        <v>900</v>
      </c>
      <c r="F26" s="18">
        <f t="shared" si="2"/>
        <v>9900</v>
      </c>
    </row>
    <row r="27" spans="3:6">
      <c r="C27" t="s">
        <v>63</v>
      </c>
      <c r="D27" s="16">
        <f>D25-D26</f>
        <v>-18900</v>
      </c>
      <c r="E27" s="16">
        <f t="shared" ref="E27:F27" si="3">E25-E26</f>
        <v>2100</v>
      </c>
      <c r="F27" s="16">
        <f t="shared" si="3"/>
        <v>23100</v>
      </c>
    </row>
    <row r="29" spans="3:6">
      <c r="C29" t="s">
        <v>47</v>
      </c>
      <c r="D29">
        <v>10000</v>
      </c>
      <c r="E29">
        <v>10000</v>
      </c>
      <c r="F29">
        <v>10000</v>
      </c>
    </row>
    <row r="30" spans="3:6">
      <c r="C30" s="23" t="s">
        <v>48</v>
      </c>
      <c r="D30" s="24">
        <f>D27/D29</f>
        <v>-1.89</v>
      </c>
      <c r="E30" s="24">
        <f t="shared" ref="E30:F30" si="4">E27/E29</f>
        <v>0.21</v>
      </c>
      <c r="F30" s="24">
        <f t="shared" si="4"/>
        <v>2.31</v>
      </c>
    </row>
    <row r="37" spans="3:4">
      <c r="C37" t="s">
        <v>64</v>
      </c>
      <c r="D37" s="26">
        <f>SUMPRODUCT(D19,D30,E19,E30,F19,F30)</f>
        <v>-2.2004136000000001E-2</v>
      </c>
    </row>
    <row r="38" spans="3:4">
      <c r="C38" t="s">
        <v>66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0" ma:contentTypeDescription="Crear nuevo documento." ma:contentTypeScope="" ma:versionID="ee9fee176d4af82617c81644f5e4da6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07fdcc48e19dad7ca1fb567c5340ae51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cf48576-7158-4643-890c-33bfb9d26a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  <SharedWithUsers xmlns="8166c9d8-24b3-4905-a1d5-62babcd3670f">
      <UserInfo>
        <DisplayName>Integrantes de la Finanzas Sección 1 Año 2022</DisplayName>
        <AccountId>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7DE9EBC-EAB2-486E-B26C-2A2ACB72B1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277F87-03E6-4AD0-A3AA-26365C3C4B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930A77-B9D2-4C39-BADD-1BCA038F5327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FORMULARIO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Azurdia</cp:lastModifiedBy>
  <dcterms:created xsi:type="dcterms:W3CDTF">2020-04-28T18:39:32Z</dcterms:created>
  <dcterms:modified xsi:type="dcterms:W3CDTF">2022-05-06T22:53:12Z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