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Tareas 50GB II\Fundamentos y analis financiero\"/>
    </mc:Choice>
  </mc:AlternateContent>
  <xr:revisionPtr revIDLastSave="0" documentId="8_{51804B84-79A2-4F17-AD7D-53209F73457F}" xr6:coauthVersionLast="47" xr6:coauthVersionMax="47" xr10:uidLastSave="{00000000-0000-0000-0000-000000000000}"/>
  <bookViews>
    <workbookView xWindow="28680" yWindow="-2580" windowWidth="29040" windowHeight="15840" activeTab="3" xr2:uid="{C0E898BE-EAD0-4CDE-BEE9-086ED50AF98D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2" i="4" l="1"/>
  <c r="D26" i="4"/>
  <c r="C19" i="4"/>
  <c r="B19" i="4"/>
  <c r="D41" i="4"/>
  <c r="C35" i="4"/>
  <c r="G37" i="4"/>
  <c r="H36" i="4"/>
  <c r="H37" i="4" s="1"/>
  <c r="G36" i="4"/>
  <c r="H35" i="4"/>
  <c r="G35" i="4"/>
  <c r="D37" i="3"/>
  <c r="H28" i="4"/>
  <c r="G28" i="4"/>
  <c r="H27" i="4"/>
  <c r="G27" i="4"/>
  <c r="G29" i="4"/>
  <c r="G19" i="4"/>
  <c r="C18" i="4"/>
  <c r="B18" i="4"/>
  <c r="C20" i="4"/>
  <c r="B20" i="4"/>
  <c r="B21" i="4"/>
  <c r="D56" i="3"/>
  <c r="C46" i="3"/>
  <c r="H48" i="3"/>
  <c r="G48" i="3"/>
  <c r="H47" i="3"/>
  <c r="G47" i="3"/>
  <c r="H39" i="3"/>
  <c r="G39" i="3"/>
  <c r="G40" i="3"/>
  <c r="H40" i="3"/>
  <c r="H38" i="3"/>
  <c r="G38" i="3"/>
  <c r="G31" i="3"/>
  <c r="D33" i="3"/>
  <c r="C31" i="3"/>
  <c r="C32" i="3"/>
  <c r="B32" i="3"/>
  <c r="B31" i="3"/>
  <c r="C33" i="3"/>
  <c r="B33" i="3"/>
  <c r="C30" i="3"/>
  <c r="B30" i="3"/>
  <c r="I50" i="2"/>
  <c r="I43" i="2"/>
  <c r="J35" i="2"/>
  <c r="E25" i="2"/>
  <c r="F17" i="2"/>
  <c r="J30" i="1"/>
  <c r="E22" i="1"/>
  <c r="D43" i="4" l="1"/>
  <c r="H29" i="4"/>
  <c r="C21" i="4"/>
  <c r="D21" i="4" s="1"/>
</calcChain>
</file>

<file path=xl/sharedStrings.xml><?xml version="1.0" encoding="utf-8"?>
<sst xmlns="http://schemas.openxmlformats.org/spreadsheetml/2006/main" count="122" uniqueCount="56">
  <si>
    <t>Q* = CEP = Cantidad óptima de pedido</t>
  </si>
  <si>
    <t>S = Uso anual (demanda)</t>
  </si>
  <si>
    <t>C = Costo de mantenimiento por unidad</t>
  </si>
  <si>
    <t>unidades / año</t>
  </si>
  <si>
    <t>Quetzales</t>
  </si>
  <si>
    <t xml:space="preserve">a) </t>
  </si>
  <si>
    <t>Unidades</t>
  </si>
  <si>
    <t>b)</t>
  </si>
  <si>
    <t>Cantidad a pedir</t>
  </si>
  <si>
    <t>Punto de pedido</t>
  </si>
  <si>
    <t xml:space="preserve">Dias del año </t>
  </si>
  <si>
    <t xml:space="preserve"> dias</t>
  </si>
  <si>
    <t>Tiempo de entrega</t>
  </si>
  <si>
    <t>días</t>
  </si>
  <si>
    <t>Inventario de seguridad</t>
  </si>
  <si>
    <t>unidades</t>
  </si>
  <si>
    <t>O = Cantidad monetaria a pagar por un pedido</t>
  </si>
  <si>
    <t>cajas</t>
  </si>
  <si>
    <t>dólares</t>
  </si>
  <si>
    <t>c)</t>
  </si>
  <si>
    <t>Tiempo de ciclo</t>
  </si>
  <si>
    <t>Días</t>
  </si>
  <si>
    <t>d)</t>
  </si>
  <si>
    <t>Costo total anual</t>
  </si>
  <si>
    <t xml:space="preserve">Precio de venta </t>
  </si>
  <si>
    <t>unidad</t>
  </si>
  <si>
    <t>Actualidad</t>
  </si>
  <si>
    <t>Propuesta</t>
  </si>
  <si>
    <t>Costo variable</t>
  </si>
  <si>
    <t>Costos fijos</t>
  </si>
  <si>
    <t>anual</t>
  </si>
  <si>
    <t>PPC</t>
  </si>
  <si>
    <t>DÍAS</t>
  </si>
  <si>
    <t>Gastos incobrables</t>
  </si>
  <si>
    <t>s/ventas</t>
  </si>
  <si>
    <t>Costos de oportunidad</t>
  </si>
  <si>
    <t>a) Contribución adicional a las utilidades</t>
  </si>
  <si>
    <t>Ventas anuales</t>
  </si>
  <si>
    <t xml:space="preserve"> - Costo variable</t>
  </si>
  <si>
    <t xml:space="preserve"> - Costo fijo</t>
  </si>
  <si>
    <t>Utilidad</t>
  </si>
  <si>
    <t>b) Costo de la inversión marginal en cxc</t>
  </si>
  <si>
    <t>Costo variable total</t>
  </si>
  <si>
    <t>Rotación de las cxc</t>
  </si>
  <si>
    <t>inversion promedio en cxc</t>
  </si>
  <si>
    <t>Costo de la inversion marginal en cxc = Cambio * Costo de oportunidad</t>
  </si>
  <si>
    <t>Valor monetario de gastos incobrables</t>
  </si>
  <si>
    <t>Costo de la inversion marginal en cuentas incobrables</t>
  </si>
  <si>
    <t>Resumen de la evaluacion de la propuesta</t>
  </si>
  <si>
    <t>Utilidad adicional</t>
  </si>
  <si>
    <t>Costos adicionales</t>
  </si>
  <si>
    <t>Resultado</t>
  </si>
  <si>
    <t>pérdida</t>
  </si>
  <si>
    <t>(ahorro)</t>
  </si>
  <si>
    <t>Pérdida con la implementación</t>
  </si>
  <si>
    <t>Ahorros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</si>
</sst>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Q&quot;* #,##0.00_-;\-&quot;Q&quot;* #,##0.00_-;_-&quot;Q&quot;* &quot;-&quot;??_-;_-@_-"/>
    <numFmt numFmtId="169" formatCode="0.0"/>
    <numFmt numFmtId="172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2" fontId="0" fillId="0" borderId="0" xfId="0" applyNumberFormat="1"/>
    <xf numFmtId="169" fontId="0" fillId="0" borderId="0" xfId="0" applyNumberFormat="1"/>
    <xf numFmtId="1" fontId="0" fillId="2" borderId="0" xfId="0" applyNumberFormat="1" applyFill="1"/>
    <xf numFmtId="0" fontId="0" fillId="2" borderId="0" xfId="0" applyFill="1"/>
    <xf numFmtId="169" fontId="0" fillId="2" borderId="0" xfId="0" applyNumberFormat="1" applyFill="1"/>
    <xf numFmtId="44" fontId="0" fillId="0" borderId="0" xfId="1" applyFont="1"/>
    <xf numFmtId="9" fontId="0" fillId="0" borderId="0" xfId="0" applyNumberFormat="1"/>
    <xf numFmtId="44" fontId="0" fillId="0" borderId="0" xfId="0" applyNumberFormat="1"/>
    <xf numFmtId="44" fontId="0" fillId="0" borderId="1" xfId="0" applyNumberFormat="1" applyBorder="1"/>
    <xf numFmtId="44" fontId="2" fillId="2" borderId="0" xfId="0" applyNumberFormat="1" applyFont="1" applyFill="1"/>
    <xf numFmtId="44" fontId="0" fillId="0" borderId="1" xfId="1" applyFont="1" applyBorder="1"/>
    <xf numFmtId="0" fontId="2" fillId="0" borderId="0" xfId="0" applyFont="1"/>
    <xf numFmtId="44" fontId="2" fillId="0" borderId="0" xfId="1" applyFont="1"/>
    <xf numFmtId="44" fontId="2" fillId="2" borderId="0" xfId="1" applyFont="1" applyFill="1"/>
    <xf numFmtId="172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9.png"/><Relationship Id="rId2" Type="http://schemas.openxmlformats.org/officeDocument/2006/relationships/image" Target="../media/image2.png"/><Relationship Id="rId1" Type="http://schemas.openxmlformats.org/officeDocument/2006/relationships/image" Target="../media/image5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79833</xdr:colOff>
      <xdr:row>8</xdr:row>
      <xdr:rowOff>93562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D5ED679-94A1-4C44-83D6-F6F4642C9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384228" cy="1552792"/>
        </a:xfrm>
        <a:prstGeom prst="rect">
          <a:avLst/>
        </a:prstGeom>
      </xdr:spPr>
    </xdr:pic>
    <xdr:clientData/>
  </xdr:twoCellAnchor>
  <xdr:twoCellAnchor editAs="oneCell">
    <xdr:from>
      <xdr:col>14</xdr:col>
      <xdr:colOff>567690</xdr:colOff>
      <xdr:row>9</xdr:row>
      <xdr:rowOff>5715</xdr:rowOff>
    </xdr:from>
    <xdr:to>
      <xdr:col>17</xdr:col>
      <xdr:colOff>135525</xdr:colOff>
      <xdr:row>12</xdr:row>
      <xdr:rowOff>129632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16B87FE-7095-4CE1-A86A-583E0BDB0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35740" y="1634490"/>
          <a:ext cx="1939560" cy="657317"/>
        </a:xfrm>
        <a:prstGeom prst="rect">
          <a:avLst/>
        </a:prstGeom>
      </xdr:spPr>
    </xdr:pic>
    <xdr:clientData/>
  </xdr:twoCellAnchor>
  <xdr:twoCellAnchor editAs="oneCell">
    <xdr:from>
      <xdr:col>1</xdr:col>
      <xdr:colOff>131445</xdr:colOff>
      <xdr:row>18</xdr:row>
      <xdr:rowOff>177165</xdr:rowOff>
    </xdr:from>
    <xdr:to>
      <xdr:col>1</xdr:col>
      <xdr:colOff>2095770</xdr:colOff>
      <xdr:row>22</xdr:row>
      <xdr:rowOff>129632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2544D6D-3F59-4949-AC83-5CF2CD6643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2020" y="3434715"/>
          <a:ext cx="1960515" cy="666842"/>
        </a:xfrm>
        <a:prstGeom prst="rect">
          <a:avLst/>
        </a:prstGeom>
      </xdr:spPr>
    </xdr:pic>
    <xdr:clientData/>
  </xdr:twoCellAnchor>
  <xdr:twoCellAnchor editAs="oneCell">
    <xdr:from>
      <xdr:col>5</xdr:col>
      <xdr:colOff>68580</xdr:colOff>
      <xdr:row>25</xdr:row>
      <xdr:rowOff>43815</xdr:rowOff>
    </xdr:from>
    <xdr:to>
      <xdr:col>13</xdr:col>
      <xdr:colOff>246653</xdr:colOff>
      <xdr:row>26</xdr:row>
      <xdr:rowOff>161966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6FF0589-6EC1-44DE-9132-F3EBE0D85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40755" y="4568190"/>
          <a:ext cx="6502673" cy="29531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8</xdr:col>
      <xdr:colOff>686227</xdr:colOff>
      <xdr:row>30</xdr:row>
      <xdr:rowOff>57183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CEF071C-54C4-463B-83FA-90D7E88A3F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72175" y="5248275"/>
          <a:ext cx="3057952" cy="2381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213141</xdr:colOff>
      <xdr:row>9</xdr:row>
      <xdr:rowOff>59292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EA17D5A-F2CB-4C9D-8DB2-7F1186833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079386" cy="1695687"/>
        </a:xfrm>
        <a:prstGeom prst="rect">
          <a:avLst/>
        </a:prstGeom>
      </xdr:spPr>
    </xdr:pic>
    <xdr:clientData/>
  </xdr:twoCellAnchor>
  <xdr:twoCellAnchor editAs="oneCell">
    <xdr:from>
      <xdr:col>1</xdr:col>
      <xdr:colOff>131445</xdr:colOff>
      <xdr:row>21</xdr:row>
      <xdr:rowOff>177165</xdr:rowOff>
    </xdr:from>
    <xdr:to>
      <xdr:col>3</xdr:col>
      <xdr:colOff>514620</xdr:colOff>
      <xdr:row>25</xdr:row>
      <xdr:rowOff>133442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6B6C10C-F32E-4DD3-9108-8C08481F14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5830" y="3430905"/>
          <a:ext cx="1960515" cy="683987"/>
        </a:xfrm>
        <a:prstGeom prst="rect">
          <a:avLst/>
        </a:prstGeom>
      </xdr:spPr>
    </xdr:pic>
    <xdr:clientData/>
  </xdr:twoCellAnchor>
  <xdr:twoCellAnchor editAs="oneCell">
    <xdr:from>
      <xdr:col>5</xdr:col>
      <xdr:colOff>68580</xdr:colOff>
      <xdr:row>30</xdr:row>
      <xdr:rowOff>43815</xdr:rowOff>
    </xdr:from>
    <xdr:to>
      <xdr:col>13</xdr:col>
      <xdr:colOff>250463</xdr:colOff>
      <xdr:row>31</xdr:row>
      <xdr:rowOff>171491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6291F29-4966-418E-B66C-9C3CF5D8B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38850" y="4570095"/>
          <a:ext cx="6508388" cy="29912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8</xdr:col>
      <xdr:colOff>457595</xdr:colOff>
      <xdr:row>35</xdr:row>
      <xdr:rowOff>57183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CA50134-8C49-44CB-8FD4-3095F3316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52875" y="6153150"/>
          <a:ext cx="2829320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7</xdr:col>
      <xdr:colOff>282530</xdr:colOff>
      <xdr:row>44</xdr:row>
      <xdr:rowOff>152497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AF058425-B038-4909-9D9D-4943F08F2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81150" y="7419975"/>
          <a:ext cx="4229690" cy="695422"/>
        </a:xfrm>
        <a:prstGeom prst="rect">
          <a:avLst/>
        </a:prstGeom>
      </xdr:spPr>
    </xdr:pic>
    <xdr:clientData/>
  </xdr:twoCellAnchor>
  <xdr:twoCellAnchor editAs="oneCell">
    <xdr:from>
      <xdr:col>1</xdr:col>
      <xdr:colOff>781050</xdr:colOff>
      <xdr:row>48</xdr:row>
      <xdr:rowOff>28575</xdr:rowOff>
    </xdr:from>
    <xdr:to>
      <xdr:col>4</xdr:col>
      <xdr:colOff>55476</xdr:colOff>
      <xdr:row>52</xdr:row>
      <xdr:rowOff>15340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11E3263-3266-4BE6-8E79-DC46F0300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71625" y="8715375"/>
          <a:ext cx="1657581" cy="710665"/>
        </a:xfrm>
        <a:prstGeom prst="rect">
          <a:avLst/>
        </a:prstGeom>
      </xdr:spPr>
    </xdr:pic>
    <xdr:clientData/>
  </xdr:twoCellAnchor>
  <xdr:twoCellAnchor editAs="oneCell">
    <xdr:from>
      <xdr:col>4</xdr:col>
      <xdr:colOff>154305</xdr:colOff>
      <xdr:row>48</xdr:row>
      <xdr:rowOff>81915</xdr:rowOff>
    </xdr:from>
    <xdr:to>
      <xdr:col>6</xdr:col>
      <xdr:colOff>739442</xdr:colOff>
      <xdr:row>51</xdr:row>
      <xdr:rowOff>15305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CC1A37E2-78C8-41D8-B1B4-09D88E880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316605" y="8768715"/>
          <a:ext cx="2160572" cy="470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399768</xdr:colOff>
      <xdr:row>19</xdr:row>
      <xdr:rowOff>38585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B1167CA-EFD0-41FF-B75A-6B53D1FD1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631648" cy="3477110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26</xdr:row>
      <xdr:rowOff>95250</xdr:rowOff>
    </xdr:from>
    <xdr:to>
      <xdr:col>11</xdr:col>
      <xdr:colOff>781876</xdr:colOff>
      <xdr:row>29</xdr:row>
      <xdr:rowOff>17211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F7213D2-80A4-4887-9862-0B76CBA68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76825" y="4800600"/>
          <a:ext cx="5912041" cy="476316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54</xdr:row>
      <xdr:rowOff>66675</xdr:rowOff>
    </xdr:from>
    <xdr:to>
      <xdr:col>8</xdr:col>
      <xdr:colOff>573987</xdr:colOff>
      <xdr:row>56</xdr:row>
      <xdr:rowOff>57199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449FDDC-9651-431E-9BD1-02BA8AE27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48175" y="9839325"/>
          <a:ext cx="4174437" cy="348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435990</xdr:colOff>
      <xdr:row>7</xdr:row>
      <xdr:rowOff>114493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866C54F-4D06-4BF1-8FF5-C28E882F46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822175" cy="1381318"/>
        </a:xfrm>
        <a:prstGeom prst="rect">
          <a:avLst/>
        </a:prstGeom>
      </xdr:spPr>
    </xdr:pic>
    <xdr:clientData/>
  </xdr:twoCellAnchor>
  <xdr:twoCellAnchor editAs="oneCell">
    <xdr:from>
      <xdr:col>6</xdr:col>
      <xdr:colOff>9525</xdr:colOff>
      <xdr:row>14</xdr:row>
      <xdr:rowOff>142875</xdr:rowOff>
    </xdr:from>
    <xdr:to>
      <xdr:col>12</xdr:col>
      <xdr:colOff>417959</xdr:colOff>
      <xdr:row>17</xdr:row>
      <xdr:rowOff>131521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57AFEF0-85A4-42C0-B813-6439C62AA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91175" y="2676525"/>
          <a:ext cx="5479544" cy="543001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41</xdr:row>
      <xdr:rowOff>133350</xdr:rowOff>
    </xdr:from>
    <xdr:to>
      <xdr:col>8</xdr:col>
      <xdr:colOff>391109</xdr:colOff>
      <xdr:row>43</xdr:row>
      <xdr:rowOff>1937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E5A878-8273-484E-BD6D-486473E31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10275" y="7553325"/>
          <a:ext cx="4182059" cy="2305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347C8-4886-46CC-89F0-FB234F2C4BC9}">
  <dimension ref="A11:K31"/>
  <sheetViews>
    <sheetView workbookViewId="0">
      <selection activeCell="B36" sqref="B36"/>
    </sheetView>
  </sheetViews>
  <sheetFormatPr baseColWidth="10" defaultRowHeight="14.4" x14ac:dyDescent="0.3"/>
  <cols>
    <col min="2" max="2" width="41" bestFit="1" customWidth="1"/>
  </cols>
  <sheetData>
    <row r="11" spans="2:7" x14ac:dyDescent="0.3">
      <c r="B11" t="s">
        <v>0</v>
      </c>
    </row>
    <row r="12" spans="2:7" x14ac:dyDescent="0.3">
      <c r="B12" t="s">
        <v>1</v>
      </c>
      <c r="F12">
        <v>1100</v>
      </c>
      <c r="G12" t="s">
        <v>3</v>
      </c>
    </row>
    <row r="13" spans="2:7" x14ac:dyDescent="0.3">
      <c r="B13" t="s">
        <v>16</v>
      </c>
      <c r="F13">
        <v>150</v>
      </c>
      <c r="G13" t="s">
        <v>4</v>
      </c>
    </row>
    <row r="14" spans="2:7" x14ac:dyDescent="0.3">
      <c r="B14" t="s">
        <v>2</v>
      </c>
      <c r="F14">
        <v>200</v>
      </c>
      <c r="G14" t="s">
        <v>4</v>
      </c>
    </row>
    <row r="18" spans="1:11" x14ac:dyDescent="0.3">
      <c r="A18" t="s">
        <v>5</v>
      </c>
      <c r="B18" t="s">
        <v>8</v>
      </c>
    </row>
    <row r="22" spans="1:11" x14ac:dyDescent="0.3">
      <c r="E22" s="3">
        <f>SQRT((2*F12*F13)/F14)</f>
        <v>40.620192023179804</v>
      </c>
      <c r="F22" s="4" t="s">
        <v>6</v>
      </c>
    </row>
    <row r="27" spans="1:11" x14ac:dyDescent="0.3">
      <c r="A27" t="s">
        <v>7</v>
      </c>
      <c r="B27" t="s">
        <v>9</v>
      </c>
    </row>
    <row r="29" spans="1:11" x14ac:dyDescent="0.3">
      <c r="B29" t="s">
        <v>10</v>
      </c>
      <c r="C29">
        <v>250</v>
      </c>
      <c r="D29" t="s">
        <v>11</v>
      </c>
    </row>
    <row r="30" spans="1:11" x14ac:dyDescent="0.3">
      <c r="B30" t="s">
        <v>12</v>
      </c>
      <c r="C30">
        <v>2</v>
      </c>
      <c r="D30" t="s">
        <v>13</v>
      </c>
      <c r="J30" s="3">
        <f>C30*(F12/C29)+C31</f>
        <v>12.8</v>
      </c>
      <c r="K30" s="4" t="s">
        <v>6</v>
      </c>
    </row>
    <row r="31" spans="1:11" x14ac:dyDescent="0.3">
      <c r="B31" t="s">
        <v>14</v>
      </c>
      <c r="C31">
        <v>4</v>
      </c>
      <c r="D31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BE0F6-F9D8-494C-8AC4-DB55180979A4}">
  <dimension ref="A14:K50"/>
  <sheetViews>
    <sheetView topLeftCell="A22" workbookViewId="0">
      <selection activeCell="J49" sqref="J49"/>
    </sheetView>
  </sheetViews>
  <sheetFormatPr baseColWidth="10" defaultRowHeight="14.4" x14ac:dyDescent="0.3"/>
  <sheetData>
    <row r="14" spans="2:7" x14ac:dyDescent="0.3">
      <c r="B14" t="s">
        <v>0</v>
      </c>
    </row>
    <row r="15" spans="2:7" x14ac:dyDescent="0.3">
      <c r="B15" t="s">
        <v>1</v>
      </c>
      <c r="F15">
        <v>3600</v>
      </c>
      <c r="G15" t="s">
        <v>17</v>
      </c>
    </row>
    <row r="16" spans="2:7" x14ac:dyDescent="0.3">
      <c r="B16" t="s">
        <v>16</v>
      </c>
      <c r="F16">
        <v>20</v>
      </c>
      <c r="G16" t="s">
        <v>18</v>
      </c>
    </row>
    <row r="17" spans="1:7" x14ac:dyDescent="0.3">
      <c r="B17" t="s">
        <v>2</v>
      </c>
      <c r="F17">
        <f>0.25*3</f>
        <v>0.75</v>
      </c>
      <c r="G17" t="s">
        <v>18</v>
      </c>
    </row>
    <row r="21" spans="1:7" x14ac:dyDescent="0.3">
      <c r="A21" t="s">
        <v>5</v>
      </c>
      <c r="B21" t="s">
        <v>8</v>
      </c>
    </row>
    <row r="25" spans="1:7" x14ac:dyDescent="0.3">
      <c r="E25" s="3">
        <f>ROUNDUP((SQRT((2*F15*F16)/F17)),0)</f>
        <v>439</v>
      </c>
      <c r="F25" s="4" t="s">
        <v>6</v>
      </c>
    </row>
    <row r="32" spans="1:7" x14ac:dyDescent="0.3">
      <c r="A32" t="s">
        <v>7</v>
      </c>
      <c r="B32" t="s">
        <v>9</v>
      </c>
    </row>
    <row r="34" spans="1:11" x14ac:dyDescent="0.3">
      <c r="B34" t="s">
        <v>10</v>
      </c>
      <c r="C34">
        <v>250</v>
      </c>
      <c r="D34" t="s">
        <v>11</v>
      </c>
    </row>
    <row r="35" spans="1:11" x14ac:dyDescent="0.3">
      <c r="B35" t="s">
        <v>12</v>
      </c>
      <c r="C35">
        <v>5</v>
      </c>
      <c r="D35" t="s">
        <v>13</v>
      </c>
      <c r="J35" s="3">
        <f>C35*(F15/C34)</f>
        <v>72</v>
      </c>
      <c r="K35" s="4" t="s">
        <v>6</v>
      </c>
    </row>
    <row r="36" spans="1:11" x14ac:dyDescent="0.3">
      <c r="B36" t="s">
        <v>14</v>
      </c>
      <c r="C36">
        <v>0</v>
      </c>
      <c r="D36" t="s">
        <v>15</v>
      </c>
    </row>
    <row r="40" spans="1:11" x14ac:dyDescent="0.3">
      <c r="A40" t="s">
        <v>19</v>
      </c>
      <c r="B40" t="s">
        <v>20</v>
      </c>
    </row>
    <row r="43" spans="1:11" x14ac:dyDescent="0.3">
      <c r="I43" s="5">
        <f>C34*E25/F15</f>
        <v>30.486111111111111</v>
      </c>
      <c r="J43" s="4" t="s">
        <v>21</v>
      </c>
    </row>
    <row r="47" spans="1:11" x14ac:dyDescent="0.3">
      <c r="A47" t="s">
        <v>22</v>
      </c>
      <c r="B47" t="s">
        <v>23</v>
      </c>
    </row>
    <row r="50" spans="9:9" x14ac:dyDescent="0.3">
      <c r="I50" s="1">
        <f>0.5*E25*F17+(F15/E25)+F16</f>
        <v>192.82545558086559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A5E54-4CA9-40E3-9990-8F5924606347}">
  <dimension ref="A22:I56"/>
  <sheetViews>
    <sheetView topLeftCell="A31" workbookViewId="0">
      <selection activeCell="A52" sqref="A52:I56"/>
    </sheetView>
  </sheetViews>
  <sheetFormatPr baseColWidth="10" defaultRowHeight="14.4" x14ac:dyDescent="0.3"/>
  <cols>
    <col min="1" max="1" width="20.6640625" bestFit="1" customWidth="1"/>
    <col min="2" max="2" width="14.109375" bestFit="1" customWidth="1"/>
    <col min="3" max="3" width="16.88671875" bestFit="1" customWidth="1"/>
    <col min="6" max="6" width="17.21875" bestFit="1" customWidth="1"/>
    <col min="7" max="8" width="12.6640625" bestFit="1" customWidth="1"/>
  </cols>
  <sheetData>
    <row r="22" spans="1:9" x14ac:dyDescent="0.3">
      <c r="A22" t="s">
        <v>24</v>
      </c>
      <c r="B22" s="6">
        <v>10</v>
      </c>
      <c r="C22" t="s">
        <v>25</v>
      </c>
      <c r="G22" t="s">
        <v>26</v>
      </c>
      <c r="H22" t="s">
        <v>27</v>
      </c>
    </row>
    <row r="23" spans="1:9" x14ac:dyDescent="0.3">
      <c r="A23" t="s">
        <v>28</v>
      </c>
      <c r="B23" s="6">
        <v>6</v>
      </c>
      <c r="C23" t="s">
        <v>25</v>
      </c>
      <c r="F23" t="s">
        <v>6</v>
      </c>
      <c r="G23">
        <v>60000</v>
      </c>
      <c r="H23" s="1">
        <v>63000</v>
      </c>
    </row>
    <row r="24" spans="1:9" x14ac:dyDescent="0.3">
      <c r="A24" t="s">
        <v>29</v>
      </c>
      <c r="B24" s="6">
        <v>120000</v>
      </c>
      <c r="C24" t="s">
        <v>30</v>
      </c>
      <c r="F24" t="s">
        <v>31</v>
      </c>
      <c r="G24">
        <v>30</v>
      </c>
      <c r="H24">
        <v>45</v>
      </c>
      <c r="I24" t="s">
        <v>32</v>
      </c>
    </row>
    <row r="25" spans="1:9" x14ac:dyDescent="0.3">
      <c r="A25" t="s">
        <v>35</v>
      </c>
      <c r="B25" s="7">
        <v>0.15</v>
      </c>
      <c r="F25" t="s">
        <v>33</v>
      </c>
      <c r="G25" s="7">
        <v>0.01</v>
      </c>
      <c r="H25" s="7">
        <v>0.02</v>
      </c>
      <c r="I25" t="s">
        <v>34</v>
      </c>
    </row>
    <row r="28" spans="1:9" x14ac:dyDescent="0.3">
      <c r="A28" t="s">
        <v>36</v>
      </c>
    </row>
    <row r="29" spans="1:9" x14ac:dyDescent="0.3">
      <c r="B29" t="s">
        <v>26</v>
      </c>
      <c r="C29" t="s">
        <v>27</v>
      </c>
    </row>
    <row r="30" spans="1:9" x14ac:dyDescent="0.3">
      <c r="A30" t="s">
        <v>37</v>
      </c>
      <c r="B30" s="8">
        <f>G23*$B$22</f>
        <v>600000</v>
      </c>
      <c r="C30" s="8">
        <f>H23*$B$22</f>
        <v>630000</v>
      </c>
    </row>
    <row r="31" spans="1:9" x14ac:dyDescent="0.3">
      <c r="A31" t="s">
        <v>38</v>
      </c>
      <c r="B31" s="8">
        <f>-$B$23*G23</f>
        <v>-360000</v>
      </c>
      <c r="C31" s="8">
        <f>-$B$23*H23</f>
        <v>-378000</v>
      </c>
      <c r="G31" s="10">
        <f>(B22-B23)*(H23-G23)</f>
        <v>12000</v>
      </c>
    </row>
    <row r="32" spans="1:9" x14ac:dyDescent="0.3">
      <c r="A32" t="s">
        <v>39</v>
      </c>
      <c r="B32" s="9">
        <f>-$B$24</f>
        <v>-120000</v>
      </c>
      <c r="C32" s="9">
        <f>-$B$24</f>
        <v>-120000</v>
      </c>
    </row>
    <row r="33" spans="1:9" x14ac:dyDescent="0.3">
      <c r="A33" t="s">
        <v>40</v>
      </c>
      <c r="B33" s="8">
        <f>SUM(B30:B32)</f>
        <v>120000</v>
      </c>
      <c r="C33" s="8">
        <f>SUM(C30:C32)</f>
        <v>132000</v>
      </c>
      <c r="D33" s="10">
        <f>C33-B33</f>
        <v>12000</v>
      </c>
    </row>
    <row r="36" spans="1:9" x14ac:dyDescent="0.3">
      <c r="A36" t="s">
        <v>41</v>
      </c>
    </row>
    <row r="37" spans="1:9" x14ac:dyDescent="0.3">
      <c r="D37" s="14">
        <f>(H40-G40)*B25</f>
        <v>2552.0547945205481</v>
      </c>
      <c r="G37" t="s">
        <v>26</v>
      </c>
      <c r="H37" t="s">
        <v>27</v>
      </c>
    </row>
    <row r="38" spans="1:9" x14ac:dyDescent="0.3">
      <c r="F38" t="s">
        <v>42</v>
      </c>
      <c r="G38" s="8">
        <f>$B$23*G23</f>
        <v>360000</v>
      </c>
      <c r="H38" s="8">
        <f>$B$23*H23</f>
        <v>378000</v>
      </c>
    </row>
    <row r="39" spans="1:9" x14ac:dyDescent="0.3">
      <c r="F39" t="s">
        <v>43</v>
      </c>
      <c r="G39" s="2">
        <f>365/G24</f>
        <v>12.166666666666666</v>
      </c>
      <c r="H39" s="2">
        <f>365/H24</f>
        <v>8.1111111111111107</v>
      </c>
    </row>
    <row r="40" spans="1:9" x14ac:dyDescent="0.3">
      <c r="F40" t="s">
        <v>44</v>
      </c>
      <c r="G40" s="6">
        <f>G38/G39</f>
        <v>29589.041095890414</v>
      </c>
      <c r="H40" s="6">
        <f>H38/H39</f>
        <v>46602.739726027401</v>
      </c>
    </row>
    <row r="42" spans="1:9" x14ac:dyDescent="0.3">
      <c r="A42" t="s">
        <v>45</v>
      </c>
    </row>
    <row r="45" spans="1:9" x14ac:dyDescent="0.3">
      <c r="G45" t="s">
        <v>26</v>
      </c>
      <c r="H45" t="s">
        <v>27</v>
      </c>
    </row>
    <row r="46" spans="1:9" x14ac:dyDescent="0.3">
      <c r="A46" t="s">
        <v>19</v>
      </c>
      <c r="B46" t="s">
        <v>47</v>
      </c>
      <c r="C46" s="10">
        <f>H48-G48</f>
        <v>6600</v>
      </c>
      <c r="F46" t="s">
        <v>33</v>
      </c>
      <c r="G46" s="7">
        <v>0.01</v>
      </c>
      <c r="H46" s="7">
        <v>0.02</v>
      </c>
      <c r="I46" t="s">
        <v>34</v>
      </c>
    </row>
    <row r="47" spans="1:9" x14ac:dyDescent="0.3">
      <c r="F47" t="s">
        <v>37</v>
      </c>
      <c r="G47" s="8">
        <f>B30</f>
        <v>600000</v>
      </c>
      <c r="H47" s="8">
        <f>C30</f>
        <v>630000</v>
      </c>
    </row>
    <row r="48" spans="1:9" x14ac:dyDescent="0.3">
      <c r="F48" t="s">
        <v>46</v>
      </c>
      <c r="G48" s="8">
        <f>G47*G46</f>
        <v>6000</v>
      </c>
      <c r="H48" s="8">
        <f>H47*H46</f>
        <v>12600</v>
      </c>
    </row>
    <row r="52" spans="1:4" x14ac:dyDescent="0.3">
      <c r="A52" t="s">
        <v>48</v>
      </c>
    </row>
    <row r="54" spans="1:4" x14ac:dyDescent="0.3">
      <c r="C54" t="s">
        <v>49</v>
      </c>
      <c r="D54" s="6">
        <v>12000</v>
      </c>
    </row>
    <row r="55" spans="1:4" x14ac:dyDescent="0.3">
      <c r="C55" t="s">
        <v>50</v>
      </c>
      <c r="D55" s="11">
        <v>-9152.0499999999993</v>
      </c>
    </row>
    <row r="56" spans="1:4" x14ac:dyDescent="0.3">
      <c r="C56" s="12" t="s">
        <v>51</v>
      </c>
      <c r="D56" s="13">
        <f>SUM(D54:D55)</f>
        <v>2847.9500000000007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1844D-4C3B-4B11-BA21-8EAE9ABBE9AF}">
  <dimension ref="A10:I43"/>
  <sheetViews>
    <sheetView tabSelected="1" topLeftCell="A16" workbookViewId="0">
      <selection activeCell="F41" sqref="F41"/>
    </sheetView>
  </sheetViews>
  <sheetFormatPr baseColWidth="10" defaultRowHeight="14.4" x14ac:dyDescent="0.3"/>
  <cols>
    <col min="2" max="2" width="47.88671875" bestFit="1" customWidth="1"/>
    <col min="3" max="3" width="14.109375" bestFit="1" customWidth="1"/>
    <col min="4" max="4" width="12.77734375" bestFit="1" customWidth="1"/>
    <col min="6" max="6" width="17.21875" bestFit="1" customWidth="1"/>
    <col min="7" max="7" width="15.109375" bestFit="1" customWidth="1"/>
    <col min="8" max="8" width="12.6640625" bestFit="1" customWidth="1"/>
  </cols>
  <sheetData>
    <row r="10" spans="1:9" x14ac:dyDescent="0.3">
      <c r="A10" t="s">
        <v>24</v>
      </c>
      <c r="B10" s="6"/>
      <c r="C10" s="6">
        <v>56</v>
      </c>
      <c r="G10" t="s">
        <v>26</v>
      </c>
      <c r="H10" t="s">
        <v>27</v>
      </c>
    </row>
    <row r="11" spans="1:9" x14ac:dyDescent="0.3">
      <c r="A11" t="s">
        <v>28</v>
      </c>
      <c r="B11" s="6"/>
      <c r="C11" s="6">
        <v>45</v>
      </c>
      <c r="F11" t="s">
        <v>6</v>
      </c>
      <c r="G11" s="1">
        <v>12000</v>
      </c>
      <c r="H11" s="1">
        <v>10000</v>
      </c>
    </row>
    <row r="12" spans="1:9" x14ac:dyDescent="0.3">
      <c r="A12" t="s">
        <v>29</v>
      </c>
      <c r="B12" s="6"/>
      <c r="F12" t="s">
        <v>31</v>
      </c>
      <c r="G12">
        <v>45</v>
      </c>
      <c r="H12">
        <v>36</v>
      </c>
      <c r="I12" t="s">
        <v>13</v>
      </c>
    </row>
    <row r="13" spans="1:9" x14ac:dyDescent="0.3">
      <c r="A13" t="s">
        <v>35</v>
      </c>
      <c r="B13" s="7"/>
      <c r="C13" s="7">
        <v>0.25</v>
      </c>
      <c r="F13" t="s">
        <v>33</v>
      </c>
      <c r="G13" s="15">
        <v>1.4999999999999999E-2</v>
      </c>
      <c r="H13" s="7">
        <v>0.01</v>
      </c>
    </row>
    <row r="16" spans="1:9" x14ac:dyDescent="0.3">
      <c r="A16" t="s">
        <v>36</v>
      </c>
    </row>
    <row r="17" spans="1:8" x14ac:dyDescent="0.3">
      <c r="B17" t="s">
        <v>26</v>
      </c>
      <c r="C17" t="s">
        <v>27</v>
      </c>
    </row>
    <row r="18" spans="1:8" x14ac:dyDescent="0.3">
      <c r="A18" t="s">
        <v>37</v>
      </c>
      <c r="B18" s="8">
        <f>$C$10*G11</f>
        <v>672000</v>
      </c>
      <c r="C18" s="8">
        <f>$C$10*H11</f>
        <v>560000</v>
      </c>
    </row>
    <row r="19" spans="1:8" x14ac:dyDescent="0.3">
      <c r="A19" t="s">
        <v>38</v>
      </c>
      <c r="B19" s="8">
        <f>-$C$11*G11</f>
        <v>-540000</v>
      </c>
      <c r="C19" s="8">
        <f>-$C$11*H11</f>
        <v>-450000</v>
      </c>
      <c r="G19" s="10">
        <f>(C10-C11)*(H11-G11)</f>
        <v>-22000</v>
      </c>
      <c r="H19" s="12" t="s">
        <v>52</v>
      </c>
    </row>
    <row r="20" spans="1:8" x14ac:dyDescent="0.3">
      <c r="A20" t="s">
        <v>39</v>
      </c>
      <c r="B20" s="9">
        <f>-$B$24</f>
        <v>0</v>
      </c>
      <c r="C20" s="9">
        <f>-$B$24</f>
        <v>0</v>
      </c>
    </row>
    <row r="21" spans="1:8" x14ac:dyDescent="0.3">
      <c r="A21" t="s">
        <v>40</v>
      </c>
      <c r="B21" s="8">
        <f>SUM(B18:B20)</f>
        <v>132000</v>
      </c>
      <c r="C21" s="8">
        <f>SUM(C18:C20)</f>
        <v>110000</v>
      </c>
      <c r="D21" s="10">
        <f>C21-B21</f>
        <v>-22000</v>
      </c>
      <c r="E21" s="12" t="s">
        <v>52</v>
      </c>
    </row>
    <row r="25" spans="1:8" x14ac:dyDescent="0.3">
      <c r="A25" t="s">
        <v>41</v>
      </c>
    </row>
    <row r="26" spans="1:8" x14ac:dyDescent="0.3">
      <c r="D26" s="14">
        <f>(G29-H29)*C13</f>
        <v>-5547.9452054794547</v>
      </c>
      <c r="E26" s="12" t="s">
        <v>53</v>
      </c>
      <c r="G26" t="s">
        <v>26</v>
      </c>
      <c r="H26" t="s">
        <v>27</v>
      </c>
    </row>
    <row r="27" spans="1:8" x14ac:dyDescent="0.3">
      <c r="F27" t="s">
        <v>42</v>
      </c>
      <c r="G27" s="8">
        <f>B19</f>
        <v>-540000</v>
      </c>
      <c r="H27" s="8">
        <f>C19</f>
        <v>-450000</v>
      </c>
    </row>
    <row r="28" spans="1:8" x14ac:dyDescent="0.3">
      <c r="F28" t="s">
        <v>43</v>
      </c>
      <c r="G28" s="2">
        <f>365/G12</f>
        <v>8.1111111111111107</v>
      </c>
      <c r="H28" s="2">
        <f>365/H12</f>
        <v>10.138888888888889</v>
      </c>
    </row>
    <row r="29" spans="1:8" x14ac:dyDescent="0.3">
      <c r="F29" t="s">
        <v>44</v>
      </c>
      <c r="G29" s="6">
        <f>G27/G28</f>
        <v>-66575.342465753434</v>
      </c>
      <c r="H29" s="6">
        <f>H27/H28</f>
        <v>-44383.561643835616</v>
      </c>
    </row>
    <row r="34" spans="1:9" x14ac:dyDescent="0.3">
      <c r="G34" t="s">
        <v>26</v>
      </c>
      <c r="H34" t="s">
        <v>27</v>
      </c>
    </row>
    <row r="35" spans="1:9" x14ac:dyDescent="0.3">
      <c r="A35" t="s">
        <v>19</v>
      </c>
      <c r="B35" t="s">
        <v>47</v>
      </c>
      <c r="C35" s="10">
        <f>H37-G37</f>
        <v>-4480</v>
      </c>
      <c r="D35" t="s">
        <v>53</v>
      </c>
      <c r="F35" t="s">
        <v>33</v>
      </c>
      <c r="G35" s="15">
        <f>G13</f>
        <v>1.4999999999999999E-2</v>
      </c>
      <c r="H35" s="7">
        <f>H13</f>
        <v>0.01</v>
      </c>
      <c r="I35" t="s">
        <v>34</v>
      </c>
    </row>
    <row r="36" spans="1:9" x14ac:dyDescent="0.3">
      <c r="F36" t="s">
        <v>37</v>
      </c>
      <c r="G36" s="8">
        <f>B18</f>
        <v>672000</v>
      </c>
      <c r="H36" s="8">
        <f>C18</f>
        <v>560000</v>
      </c>
    </row>
    <row r="37" spans="1:9" x14ac:dyDescent="0.3">
      <c r="F37" t="s">
        <v>46</v>
      </c>
      <c r="G37" s="8">
        <f>G36*G35</f>
        <v>10080</v>
      </c>
      <c r="H37" s="8">
        <f>H36*H35</f>
        <v>5600</v>
      </c>
    </row>
    <row r="39" spans="1:9" x14ac:dyDescent="0.3">
      <c r="A39" t="s">
        <v>48</v>
      </c>
    </row>
    <row r="41" spans="1:9" x14ac:dyDescent="0.3">
      <c r="C41" t="s">
        <v>54</v>
      </c>
      <c r="D41" s="6">
        <f>G19</f>
        <v>-22000</v>
      </c>
    </row>
    <row r="42" spans="1:9" x14ac:dyDescent="0.3">
      <c r="C42" t="s">
        <v>55</v>
      </c>
      <c r="D42" s="11">
        <f>(C35+D26)*-1</f>
        <v>10027.945205479455</v>
      </c>
    </row>
    <row r="43" spans="1:9" x14ac:dyDescent="0.3">
      <c r="C43" s="12" t="s">
        <v>51</v>
      </c>
      <c r="D43" s="13">
        <f>SUM(D41:D42)</f>
        <v>-11972.054794520545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Azurdia</dc:creator>
  <cp:lastModifiedBy>Azurdia</cp:lastModifiedBy>
  <dcterms:created xsi:type="dcterms:W3CDTF">2022-03-05T01:45:27Z</dcterms:created>
  <dcterms:modified xsi:type="dcterms:W3CDTF">2022-03-05T02:54:46Z</dcterms:modified>
</cp:coreProperties>
</file>