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Fundamentos y analis financiero\"/>
    </mc:Choice>
  </mc:AlternateContent>
  <xr:revisionPtr revIDLastSave="0" documentId="13_ncr:1_{4D11D357-F918-48E5-BDD3-E70D22692E5C}" xr6:coauthVersionLast="47" xr6:coauthVersionMax="47" xr10:uidLastSave="{00000000-0000-0000-0000-000000000000}"/>
  <bookViews>
    <workbookView xWindow="28680" yWindow="-2580" windowWidth="29040" windowHeight="15840" activeTab="1" xr2:uid="{CC923109-335E-4D97-BBDC-1F3D1A7EB866}"/>
  </bookViews>
  <sheets>
    <sheet name="CASO " sheetId="1" r:id="rId1"/>
    <sheet name="Analisis %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8" i="3" l="1"/>
  <c r="C108" i="3"/>
  <c r="D105" i="3"/>
  <c r="C105" i="3"/>
  <c r="D102" i="3"/>
  <c r="C102" i="3"/>
  <c r="D117" i="3"/>
  <c r="C117" i="3"/>
  <c r="D114" i="3"/>
  <c r="C114" i="3"/>
  <c r="D97" i="3"/>
  <c r="C97" i="3"/>
  <c r="D94" i="3"/>
  <c r="C94" i="3"/>
  <c r="D89" i="3"/>
  <c r="C89" i="3"/>
  <c r="D86" i="3"/>
  <c r="C86" i="3"/>
  <c r="D50" i="3" l="1"/>
  <c r="D14" i="3"/>
  <c r="D49" i="3"/>
  <c r="D46" i="3"/>
  <c r="G46" i="3" s="1"/>
  <c r="D45" i="3"/>
  <c r="G45" i="3" s="1"/>
  <c r="F72" i="3"/>
  <c r="G72" i="3" s="1"/>
  <c r="F71" i="3"/>
  <c r="G71" i="3" s="1"/>
  <c r="F70" i="3"/>
  <c r="F69" i="3"/>
  <c r="F73" i="3" s="1"/>
  <c r="C53" i="3"/>
  <c r="B53" i="3"/>
  <c r="C51" i="3" s="1"/>
  <c r="B52" i="3"/>
  <c r="C50" i="3"/>
  <c r="G49" i="3"/>
  <c r="C49" i="3"/>
  <c r="B47" i="3"/>
  <c r="C45" i="3"/>
  <c r="D44" i="3"/>
  <c r="G44" i="3" s="1"/>
  <c r="C44" i="3"/>
  <c r="B44" i="3"/>
  <c r="D43" i="3"/>
  <c r="G43" i="3" s="1"/>
  <c r="D42" i="3"/>
  <c r="G42" i="3" s="1"/>
  <c r="B39" i="3"/>
  <c r="C37" i="3" s="1"/>
  <c r="B38" i="3"/>
  <c r="G36" i="3"/>
  <c r="D36" i="3"/>
  <c r="C36" i="3"/>
  <c r="B35" i="3"/>
  <c r="G34" i="3"/>
  <c r="D34" i="3"/>
  <c r="O33" i="3"/>
  <c r="G33" i="3"/>
  <c r="D33" i="3"/>
  <c r="D35" i="3" s="1"/>
  <c r="C33" i="3"/>
  <c r="G32" i="3"/>
  <c r="D32" i="3"/>
  <c r="D18" i="3"/>
  <c r="E18" i="3" s="1"/>
  <c r="C18" i="3"/>
  <c r="B18" i="3"/>
  <c r="G18" i="3" s="1"/>
  <c r="G14" i="3"/>
  <c r="C14" i="3"/>
  <c r="B14" i="3"/>
  <c r="G12" i="3"/>
  <c r="E12" i="3"/>
  <c r="D12" i="3"/>
  <c r="D37" i="3" s="1"/>
  <c r="B12" i="3"/>
  <c r="C12" i="3" s="1"/>
  <c r="C11" i="3"/>
  <c r="B10" i="3"/>
  <c r="C10" i="3" s="1"/>
  <c r="D9" i="3"/>
  <c r="G9" i="3" s="1"/>
  <c r="C9" i="3"/>
  <c r="B9" i="3"/>
  <c r="D8" i="3"/>
  <c r="D10" i="3" s="1"/>
  <c r="C8" i="3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3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2" i="1"/>
  <c r="C43" i="1"/>
  <c r="C44" i="1"/>
  <c r="C45" i="1"/>
  <c r="C46" i="1"/>
  <c r="C47" i="1"/>
  <c r="C48" i="1"/>
  <c r="C49" i="1"/>
  <c r="C50" i="1"/>
  <c r="C51" i="1"/>
  <c r="C52" i="1"/>
  <c r="C53" i="1"/>
  <c r="C42" i="1"/>
  <c r="E33" i="1"/>
  <c r="E34" i="1"/>
  <c r="E35" i="1"/>
  <c r="E36" i="1"/>
  <c r="E37" i="1"/>
  <c r="E38" i="1"/>
  <c r="E39" i="1"/>
  <c r="E32" i="1"/>
  <c r="C32" i="1"/>
  <c r="C33" i="1"/>
  <c r="C34" i="1"/>
  <c r="C35" i="1"/>
  <c r="C36" i="1"/>
  <c r="C37" i="1"/>
  <c r="C38" i="1"/>
  <c r="C3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8" i="1"/>
  <c r="O39" i="1"/>
  <c r="O38" i="1"/>
  <c r="O37" i="1"/>
  <c r="O36" i="1"/>
  <c r="O35" i="1"/>
  <c r="O34" i="1"/>
  <c r="O33" i="1"/>
  <c r="E20" i="1"/>
  <c r="E21" i="1"/>
  <c r="B70" i="1"/>
  <c r="B71" i="1"/>
  <c r="B72" i="1"/>
  <c r="B69" i="1"/>
  <c r="G70" i="1"/>
  <c r="G71" i="1"/>
  <c r="G72" i="1"/>
  <c r="G73" i="1"/>
  <c r="G69" i="1"/>
  <c r="F72" i="1"/>
  <c r="F71" i="1"/>
  <c r="F70" i="1"/>
  <c r="F69" i="1"/>
  <c r="B66" i="1"/>
  <c r="D55" i="1"/>
  <c r="D54" i="1"/>
  <c r="D53" i="1"/>
  <c r="D52" i="1"/>
  <c r="D51" i="1"/>
  <c r="B21" i="1"/>
  <c r="B20" i="1"/>
  <c r="D20" i="1"/>
  <c r="D21" i="1" s="1"/>
  <c r="D19" i="1"/>
  <c r="E19" i="1" s="1"/>
  <c r="D18" i="1"/>
  <c r="E18" i="1"/>
  <c r="B18" i="1"/>
  <c r="D16" i="1"/>
  <c r="D17" i="1" s="1"/>
  <c r="E17" i="1" s="1"/>
  <c r="B17" i="1"/>
  <c r="C17" i="1" s="1"/>
  <c r="E16" i="1"/>
  <c r="B16" i="1"/>
  <c r="D15" i="1"/>
  <c r="E15" i="1" s="1"/>
  <c r="D14" i="1"/>
  <c r="D47" i="1"/>
  <c r="D39" i="1"/>
  <c r="D38" i="1"/>
  <c r="D37" i="1"/>
  <c r="D35" i="1"/>
  <c r="D44" i="1"/>
  <c r="D43" i="1"/>
  <c r="D42" i="1"/>
  <c r="D33" i="1"/>
  <c r="D34" i="1"/>
  <c r="D32" i="1"/>
  <c r="D13" i="1"/>
  <c r="E13" i="1" s="1"/>
  <c r="E12" i="1"/>
  <c r="D12" i="1"/>
  <c r="D36" i="1"/>
  <c r="D11" i="1"/>
  <c r="E11" i="1" s="1"/>
  <c r="D9" i="1"/>
  <c r="D10" i="1" s="1"/>
  <c r="E10" i="1" s="1"/>
  <c r="C9" i="1"/>
  <c r="C10" i="1"/>
  <c r="C11" i="1"/>
  <c r="C12" i="1"/>
  <c r="C13" i="1"/>
  <c r="C14" i="1"/>
  <c r="C15" i="1"/>
  <c r="C16" i="1"/>
  <c r="C18" i="1"/>
  <c r="E9" i="1"/>
  <c r="E14" i="1"/>
  <c r="E8" i="1"/>
  <c r="C8" i="1"/>
  <c r="D8" i="1"/>
  <c r="B14" i="1"/>
  <c r="B12" i="1"/>
  <c r="B9" i="1"/>
  <c r="B52" i="1"/>
  <c r="B47" i="1"/>
  <c r="B44" i="1"/>
  <c r="B38" i="1"/>
  <c r="B39" i="1" s="1"/>
  <c r="B35" i="1"/>
  <c r="D47" i="3" l="1"/>
  <c r="G47" i="3" s="1"/>
  <c r="G35" i="3"/>
  <c r="G37" i="3"/>
  <c r="G73" i="3"/>
  <c r="G70" i="3"/>
  <c r="G69" i="3"/>
  <c r="E10" i="3"/>
  <c r="G10" i="3"/>
  <c r="D38" i="3"/>
  <c r="E9" i="3"/>
  <c r="D11" i="3"/>
  <c r="B13" i="3"/>
  <c r="E14" i="3"/>
  <c r="C39" i="3"/>
  <c r="C43" i="3"/>
  <c r="C47" i="3"/>
  <c r="C38" i="3"/>
  <c r="C52" i="3"/>
  <c r="C35" i="3"/>
  <c r="E8" i="3"/>
  <c r="C32" i="3"/>
  <c r="O36" i="3"/>
  <c r="G8" i="3"/>
  <c r="C34" i="3"/>
  <c r="C42" i="3"/>
  <c r="C46" i="3"/>
  <c r="C48" i="3"/>
  <c r="F73" i="1"/>
  <c r="B10" i="1"/>
  <c r="B13" i="1" s="1"/>
  <c r="B15" i="1" s="1"/>
  <c r="B53" i="1"/>
  <c r="B73" i="1"/>
  <c r="B15" i="3" l="1"/>
  <c r="C13" i="3"/>
  <c r="G11" i="3"/>
  <c r="E11" i="3"/>
  <c r="G38" i="3"/>
  <c r="D39" i="3"/>
  <c r="E38" i="3" s="1"/>
  <c r="D13" i="3"/>
  <c r="B19" i="1"/>
  <c r="C19" i="1" s="1"/>
  <c r="D15" i="3" l="1"/>
  <c r="G13" i="3"/>
  <c r="E13" i="3"/>
  <c r="E34" i="3"/>
  <c r="E32" i="3"/>
  <c r="G39" i="3"/>
  <c r="E39" i="3"/>
  <c r="E36" i="3"/>
  <c r="E33" i="3"/>
  <c r="E35" i="3"/>
  <c r="E37" i="3"/>
  <c r="B16" i="3"/>
  <c r="C16" i="3" s="1"/>
  <c r="C15" i="3"/>
  <c r="B17" i="3" l="1"/>
  <c r="G15" i="3"/>
  <c r="E15" i="3"/>
  <c r="D16" i="3"/>
  <c r="D17" i="3" s="1"/>
  <c r="E17" i="3" l="1"/>
  <c r="O34" i="3"/>
  <c r="O35" i="3" s="1"/>
  <c r="O37" i="3" s="1"/>
  <c r="D19" i="3"/>
  <c r="G17" i="3"/>
  <c r="B19" i="3"/>
  <c r="C17" i="3"/>
  <c r="G16" i="3"/>
  <c r="E16" i="3"/>
  <c r="B21" i="3" l="1"/>
  <c r="B20" i="3"/>
  <c r="C19" i="3"/>
  <c r="D20" i="3"/>
  <c r="D21" i="3" s="1"/>
  <c r="D51" i="3" s="1"/>
  <c r="G19" i="3"/>
  <c r="E19" i="3"/>
  <c r="G21" i="3" l="1"/>
  <c r="E21" i="3"/>
  <c r="O38" i="3"/>
  <c r="O39" i="3" s="1"/>
  <c r="G20" i="3"/>
  <c r="E20" i="3"/>
  <c r="G51" i="3" l="1"/>
  <c r="B73" i="3" l="1"/>
  <c r="G50" i="3"/>
  <c r="D52" i="3"/>
  <c r="D53" i="3" s="1"/>
  <c r="D54" i="3" l="1"/>
  <c r="B66" i="3" s="1"/>
  <c r="G52" i="3"/>
  <c r="G53" i="3"/>
  <c r="D55" i="3" l="1"/>
  <c r="E50" i="3" s="1"/>
  <c r="E43" i="3" l="1"/>
  <c r="E53" i="3"/>
  <c r="E44" i="3"/>
  <c r="E46" i="3"/>
  <c r="E52" i="3"/>
  <c r="E45" i="3"/>
  <c r="E54" i="3"/>
  <c r="E48" i="3"/>
  <c r="E51" i="3"/>
  <c r="E49" i="3"/>
  <c r="E55" i="3"/>
  <c r="E47" i="3"/>
  <c r="E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Azurdia</author>
  </authors>
  <commentList>
    <comment ref="D36" authorId="0" shapeId="0" xr:uid="{C81E74E6-6CFA-4E82-93EF-FFFADDFE9161}">
      <text>
        <r>
          <rPr>
            <b/>
            <sz val="9"/>
            <color indexed="81"/>
            <rFont val="Tahoma"/>
            <family val="2"/>
          </rPr>
          <t>Azurdia:</t>
        </r>
        <r>
          <rPr>
            <sz val="9"/>
            <color indexed="81"/>
            <rFont val="Tahoma"/>
            <family val="2"/>
          </rPr>
          <t xml:space="preserve">
Dato proporcionado por el enunciado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Azurdia</author>
  </authors>
  <commentList>
    <comment ref="D36" authorId="0" shapeId="0" xr:uid="{12BA1D07-A5F3-48E6-BECE-096D96BE1A62}">
      <text>
        <r>
          <rPr>
            <b/>
            <sz val="9"/>
            <color indexed="81"/>
            <rFont val="Tahoma"/>
            <family val="2"/>
          </rPr>
          <t>Azurdia:</t>
        </r>
        <r>
          <rPr>
            <sz val="9"/>
            <color indexed="81"/>
            <rFont val="Tahoma"/>
            <family val="2"/>
          </rPr>
          <t xml:space="preserve">
Dato proporcionado por el enunciado
</t>
        </r>
      </text>
    </comment>
  </commentList>
</comments>
</file>

<file path=xl/sharedStrings.xml><?xml version="1.0" encoding="utf-8"?>
<sst xmlns="http://schemas.openxmlformats.org/spreadsheetml/2006/main" count="210" uniqueCount="98">
  <si>
    <t>FLORESTA, S.A.</t>
  </si>
  <si>
    <t>ESTADO DE RESULTADOS</t>
  </si>
  <si>
    <t>EXPRESADO EN MILES DE QUETZALES</t>
  </si>
  <si>
    <t>Ventas</t>
  </si>
  <si>
    <t xml:space="preserve">(-) Costo de Ventas </t>
  </si>
  <si>
    <t>AÑO 2021</t>
  </si>
  <si>
    <t>DEL 01 DE ENERO AL 31 DE DICIEMBRE DE CADA AÑO</t>
  </si>
  <si>
    <t>(HISTÓRICO: 2021, PRONOSTICADO: 2022)</t>
  </si>
  <si>
    <t>Utilidad Bruta</t>
  </si>
  <si>
    <t>(-) Gastos Operativos</t>
  </si>
  <si>
    <t>(-) Depreciación</t>
  </si>
  <si>
    <t>Utilidad Operativa</t>
  </si>
  <si>
    <t>Utilidad antes de Impuestos</t>
  </si>
  <si>
    <t>(-) ISR (25%)</t>
  </si>
  <si>
    <t>* Corresponden a los bonos de largo plazo y documentos por pagar</t>
  </si>
  <si>
    <r>
      <t xml:space="preserve">(-) Intereses </t>
    </r>
    <r>
      <rPr>
        <sz val="12"/>
        <color rgb="FFFF0000"/>
        <rFont val="Calibri"/>
        <family val="2"/>
        <scheme val="minor"/>
      </rPr>
      <t>*</t>
    </r>
  </si>
  <si>
    <t>Utilidad Neta</t>
  </si>
  <si>
    <t>(-) Dividendos Preferentes</t>
  </si>
  <si>
    <t>(-) Dividendos Comunes</t>
  </si>
  <si>
    <t>Utilidad Retenida del Período</t>
  </si>
  <si>
    <t>BALANCE GENERAL</t>
  </si>
  <si>
    <t xml:space="preserve"> AL 31 DE DICIEMBRE DE CADA AÑO</t>
  </si>
  <si>
    <t>ACTIVOS</t>
  </si>
  <si>
    <t>Efectivo</t>
  </si>
  <si>
    <t>Cuentas por Cobrar</t>
  </si>
  <si>
    <t>Inventario</t>
  </si>
  <si>
    <t>Activo corriente</t>
  </si>
  <si>
    <t>Planta y Equipo</t>
  </si>
  <si>
    <t>(-) Depreciación Acumulada</t>
  </si>
  <si>
    <t>Activo no corriente</t>
  </si>
  <si>
    <t>TOTAL DEL ACTIVO</t>
  </si>
  <si>
    <t>PASIVOS</t>
  </si>
  <si>
    <t>Cuentas por Pagar</t>
  </si>
  <si>
    <t>Pasivo corriente</t>
  </si>
  <si>
    <t>Documentos por Pagar</t>
  </si>
  <si>
    <t>Bonos a Largo Plazo</t>
  </si>
  <si>
    <t>Pasivo no corriente</t>
  </si>
  <si>
    <t>CAPITAL</t>
  </si>
  <si>
    <t>Capital preferente</t>
  </si>
  <si>
    <t>Capital Común</t>
  </si>
  <si>
    <t>Utilidad retenida</t>
  </si>
  <si>
    <t>Total Capital</t>
  </si>
  <si>
    <t>TOTAL DEL PASIVO + CAPITAL</t>
  </si>
  <si>
    <t>(HISTÓRICO: 2021, PRONOSTICADO BAJO EL MÉTODO DEL % DE VENTAS: 2022)</t>
  </si>
  <si>
    <t>(+) Fondos Adicionales Necesarios (FAN)</t>
  </si>
  <si>
    <t>SUMA IGUAL AL ACTIVO</t>
  </si>
  <si>
    <t>Gastos devengados (Pasivos Acumulados)</t>
  </si>
  <si>
    <t>Fondos Adicionales Necesarios (FAN)</t>
  </si>
  <si>
    <t>Distribución del FAN:</t>
  </si>
  <si>
    <t>AÑO 2022</t>
  </si>
  <si>
    <t>a)</t>
  </si>
  <si>
    <t>b)</t>
  </si>
  <si>
    <t>c)</t>
  </si>
  <si>
    <t>d)</t>
  </si>
  <si>
    <t>i)</t>
  </si>
  <si>
    <t>UDAC (utilidad disponible para accionistas comunes</t>
  </si>
  <si>
    <t>%V</t>
  </si>
  <si>
    <t>Año 2022</t>
  </si>
  <si>
    <t>Monto</t>
  </si>
  <si>
    <t>ESTADO DE UTILIDADES RETENIDAS</t>
  </si>
  <si>
    <t>CORRESPONDIENTE AL AÑO 2022</t>
  </si>
  <si>
    <t>PRONOSTICADO</t>
  </si>
  <si>
    <t>Saldo al inicio del período, Enero 2022</t>
  </si>
  <si>
    <t xml:space="preserve"> + Utilidad del período 2022</t>
  </si>
  <si>
    <t>Utilidad disponible para accionista comun y preferente</t>
  </si>
  <si>
    <t xml:space="preserve"> - Dividendos preferentes</t>
  </si>
  <si>
    <t>Utilidad disponible para accionista comun</t>
  </si>
  <si>
    <t xml:space="preserve"> -Dividentos comunes</t>
  </si>
  <si>
    <t>Saldo al final del periodo</t>
  </si>
  <si>
    <t>%H</t>
  </si>
  <si>
    <t>RAZONES DE LIQUIDEZ</t>
  </si>
  <si>
    <t>Razón Circulante</t>
  </si>
  <si>
    <t>Activo Corriente</t>
  </si>
  <si>
    <t>Pasivo Corriente</t>
  </si>
  <si>
    <t>Razón Rápida</t>
  </si>
  <si>
    <t>Activo Corriente - Inventarios</t>
  </si>
  <si>
    <t>Comentario</t>
  </si>
  <si>
    <t>Nivel de riesgo de no cubrir sus obligaciones de corto plazo: NULO. Posee 20 veces lo que ya tiene comprometido, y sin usar sus inventarios alrededor de 11 veces.</t>
  </si>
  <si>
    <t>ADMINISTRACIÓN DE DEUDAS</t>
  </si>
  <si>
    <t>Deuda Total</t>
  </si>
  <si>
    <t>Pasivo Total</t>
  </si>
  <si>
    <t>(Razon de deuda)</t>
  </si>
  <si>
    <t>Activos Totales</t>
  </si>
  <si>
    <t>Rotación de Intereses</t>
  </si>
  <si>
    <t>UAII</t>
  </si>
  <si>
    <t>Cargo por Intereses</t>
  </si>
  <si>
    <t>RENTABILIDAD</t>
  </si>
  <si>
    <t>Margen de Utilidad sobre Ventas</t>
  </si>
  <si>
    <t>Ingreso Neto para Acc. Comunes</t>
  </si>
  <si>
    <t>Rendimiento sobre Activos (ROA)</t>
  </si>
  <si>
    <t>Rendimiento sobre Capital Contable</t>
  </si>
  <si>
    <t>(ROE)</t>
  </si>
  <si>
    <t>Capital Contable Común</t>
  </si>
  <si>
    <t>Captial contable comun es todo excepto las acciones preferentes</t>
  </si>
  <si>
    <t>Utilidades por acción (UPA)</t>
  </si>
  <si>
    <t>Número de Acciones</t>
  </si>
  <si>
    <t>Dividendos por acción (DPA)</t>
  </si>
  <si>
    <t>Dividendos Comunes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</si>
</sst>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_-[$Q-100A]* #,##0.00_-;\-[$Q-100A]* #,##0.00_-;_-[$Q-100A]* &quot;-&quot;??_-;_-@_-"/>
    <numFmt numFmtId="177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2" fillId="0" borderId="1" xfId="0" applyNumberFormat="1" applyFont="1" applyBorder="1"/>
    <xf numFmtId="0" fontId="5" fillId="0" borderId="0" xfId="0" applyFont="1"/>
    <xf numFmtId="164" fontId="2" fillId="0" borderId="0" xfId="0" applyNumberFormat="1" applyFont="1" applyBorder="1"/>
    <xf numFmtId="0" fontId="3" fillId="2" borderId="0" xfId="0" applyFont="1" applyFill="1"/>
    <xf numFmtId="164" fontId="3" fillId="0" borderId="2" xfId="0" applyNumberFormat="1" applyFont="1" applyBorder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164" fontId="7" fillId="0" borderId="0" xfId="0" applyNumberFormat="1" applyFont="1"/>
    <xf numFmtId="0" fontId="1" fillId="2" borderId="0" xfId="0" applyFont="1" applyFill="1" applyAlignment="1">
      <alignment horizontal="right"/>
    </xf>
    <xf numFmtId="0" fontId="0" fillId="3" borderId="0" xfId="0" applyFill="1"/>
    <xf numFmtId="164" fontId="0" fillId="3" borderId="0" xfId="0" applyNumberFormat="1" applyFill="1"/>
    <xf numFmtId="0" fontId="8" fillId="0" borderId="0" xfId="0" applyFont="1" applyAlignment="1">
      <alignment horizontal="right"/>
    </xf>
    <xf numFmtId="0" fontId="0" fillId="0" borderId="0" xfId="0" applyFill="1"/>
    <xf numFmtId="164" fontId="3" fillId="0" borderId="0" xfId="0" applyNumberFormat="1" applyFont="1" applyBorder="1"/>
    <xf numFmtId="164" fontId="0" fillId="0" borderId="0" xfId="0" applyNumberFormat="1" applyBorder="1"/>
    <xf numFmtId="10" fontId="0" fillId="0" borderId="0" xfId="1" applyNumberFormat="1" applyFont="1"/>
    <xf numFmtId="164" fontId="1" fillId="0" borderId="0" xfId="0" applyNumberFormat="1" applyFont="1"/>
    <xf numFmtId="164" fontId="1" fillId="3" borderId="0" xfId="0" applyNumberFormat="1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 wrapText="1"/>
    </xf>
    <xf numFmtId="0" fontId="13" fillId="3" borderId="3" xfId="0" applyFont="1" applyFill="1" applyBorder="1"/>
    <xf numFmtId="0" fontId="14" fillId="3" borderId="4" xfId="0" applyFont="1" applyFill="1" applyBorder="1" applyAlignment="1">
      <alignment horizontal="center"/>
    </xf>
    <xf numFmtId="4" fontId="14" fillId="3" borderId="4" xfId="0" applyNumberFormat="1" applyFont="1" applyFill="1" applyBorder="1" applyAlignment="1">
      <alignment horizontal="center"/>
    </xf>
    <xf numFmtId="0" fontId="13" fillId="4" borderId="5" xfId="0" applyFont="1" applyFill="1" applyBorder="1"/>
    <xf numFmtId="0" fontId="14" fillId="4" borderId="0" xfId="0" applyFont="1" applyFill="1" applyAlignment="1">
      <alignment horizontal="center"/>
    </xf>
    <xf numFmtId="4" fontId="14" fillId="4" borderId="0" xfId="0" applyNumberFormat="1" applyFont="1" applyFill="1" applyAlignment="1">
      <alignment horizontal="center"/>
    </xf>
    <xf numFmtId="0" fontId="14" fillId="4" borderId="5" xfId="0" applyFont="1" applyFill="1" applyBorder="1"/>
    <xf numFmtId="0" fontId="14" fillId="4" borderId="1" xfId="0" applyFont="1" applyFill="1" applyBorder="1" applyAlignment="1">
      <alignment horizontal="center"/>
    </xf>
    <xf numFmtId="10" fontId="14" fillId="4" borderId="0" xfId="0" applyNumberFormat="1" applyFont="1" applyFill="1" applyAlignment="1">
      <alignment horizontal="center"/>
    </xf>
    <xf numFmtId="0" fontId="14" fillId="4" borderId="6" xfId="0" applyFont="1" applyFill="1" applyBorder="1"/>
    <xf numFmtId="0" fontId="14" fillId="4" borderId="7" xfId="0" applyFont="1" applyFill="1" applyBorder="1" applyAlignment="1">
      <alignment horizontal="center"/>
    </xf>
    <xf numFmtId="4" fontId="14" fillId="4" borderId="7" xfId="0" applyNumberFormat="1" applyFon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left"/>
    </xf>
    <xf numFmtId="0" fontId="14" fillId="4" borderId="0" xfId="1" applyNumberFormat="1" applyFont="1" applyFill="1" applyAlignment="1">
      <alignment horizontal="center"/>
    </xf>
    <xf numFmtId="0" fontId="13" fillId="6" borderId="3" xfId="0" applyFont="1" applyFill="1" applyBorder="1"/>
    <xf numFmtId="0" fontId="14" fillId="6" borderId="4" xfId="0" applyFont="1" applyFill="1" applyBorder="1" applyAlignment="1">
      <alignment horizontal="center"/>
    </xf>
    <xf numFmtId="4" fontId="14" fillId="6" borderId="4" xfId="0" applyNumberFormat="1" applyFont="1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0" fontId="15" fillId="4" borderId="5" xfId="0" applyFont="1" applyFill="1" applyBorder="1"/>
    <xf numFmtId="164" fontId="14" fillId="4" borderId="0" xfId="2" applyNumberFormat="1" applyFont="1" applyFill="1" applyAlignment="1">
      <alignment horizontal="center"/>
    </xf>
    <xf numFmtId="177" fontId="14" fillId="4" borderId="0" xfId="0" applyNumberFormat="1" applyFont="1" applyFill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1109382</xdr:colOff>
      <xdr:row>56</xdr:row>
      <xdr:rowOff>25310</xdr:rowOff>
    </xdr:from>
    <xdr:to>
      <xdr:col>9</xdr:col>
      <xdr:colOff>631810</xdr:colOff>
      <xdr:row>63</xdr:row>
      <xdr:rowOff>172835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9ECC286-D170-4F47-A15B-C1049B3B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382" y="10760545"/>
          <a:ext cx="8727781" cy="1441806"/>
        </a:xfrm>
        <a:prstGeom prst="rect">
          <a:avLst/>
        </a:prstGeom>
      </xdr:spPr>
    </xdr:pic>
    <xdr:clientData/>
  </xdr:twoCellAnchor>
  <xdr:twoCellAnchor editAs="oneCell">
    <xdr:from>
      <xdr:col>0</xdr:col>
      <xdr:colOff>543485</xdr:colOff>
      <xdr:row>73</xdr:row>
      <xdr:rowOff>58174</xdr:rowOff>
    </xdr:from>
    <xdr:to>
      <xdr:col>8</xdr:col>
      <xdr:colOff>739148</xdr:colOff>
      <xdr:row>80</xdr:row>
      <xdr:rowOff>94228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0AD20F-1EDD-4B74-A2E8-C77081EEC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485" y="13936659"/>
          <a:ext cx="8609095" cy="1341765"/>
        </a:xfrm>
        <a:prstGeom prst="rect">
          <a:avLst/>
        </a:prstGeom>
      </xdr:spPr>
    </xdr:pic>
    <xdr:clientData/>
  </xdr:twoCellAnchor>
  <xdr:twoCellAnchor editAs="oneCell">
    <xdr:from>
      <xdr:col>8</xdr:col>
      <xdr:colOff>616325</xdr:colOff>
      <xdr:row>3</xdr:row>
      <xdr:rowOff>63032</xdr:rowOff>
    </xdr:from>
    <xdr:to>
      <xdr:col>17</xdr:col>
      <xdr:colOff>401519</xdr:colOff>
      <xdr:row>13</xdr:row>
      <xdr:rowOff>55359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945DBE-4D0B-43B6-9FBD-A16C49D6A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5608" y="672352"/>
          <a:ext cx="6655801" cy="2023393"/>
        </a:xfrm>
        <a:prstGeom prst="rect">
          <a:avLst/>
        </a:prstGeom>
      </xdr:spPr>
    </xdr:pic>
    <xdr:clientData/>
  </xdr:twoCellAnchor>
  <xdr:twoCellAnchor editAs="oneCell">
    <xdr:from>
      <xdr:col>9</xdr:col>
      <xdr:colOff>441232</xdr:colOff>
      <xdr:row>14</xdr:row>
      <xdr:rowOff>7004</xdr:rowOff>
    </xdr:from>
    <xdr:to>
      <xdr:col>15</xdr:col>
      <xdr:colOff>283700</xdr:colOff>
      <xdr:row>20</xdr:row>
      <xdr:rowOff>40860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97F22A-B183-4640-B669-E970E8351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63916" y="2850497"/>
          <a:ext cx="4422872" cy="1252495"/>
        </a:xfrm>
        <a:prstGeom prst="rect">
          <a:avLst/>
        </a:prstGeom>
      </xdr:spPr>
    </xdr:pic>
    <xdr:clientData/>
  </xdr:twoCellAnchor>
  <xdr:twoCellAnchor editAs="oneCell">
    <xdr:from>
      <xdr:col>8</xdr:col>
      <xdr:colOff>392206</xdr:colOff>
      <xdr:row>39</xdr:row>
      <xdr:rowOff>91048</xdr:rowOff>
    </xdr:from>
    <xdr:to>
      <xdr:col>15</xdr:col>
      <xdr:colOff>487935</xdr:colOff>
      <xdr:row>53</xdr:row>
      <xdr:rowOff>35384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C774167-0C0A-49B5-B8FA-8786EC0C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1489" y="8012206"/>
          <a:ext cx="5439534" cy="2619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1109382</xdr:colOff>
      <xdr:row>56</xdr:row>
      <xdr:rowOff>25310</xdr:rowOff>
    </xdr:from>
    <xdr:to>
      <xdr:col>7</xdr:col>
      <xdr:colOff>463722</xdr:colOff>
      <xdr:row>63</xdr:row>
      <xdr:rowOff>172835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4604F5-3939-4B60-B96C-1B30032DA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382" y="11093360"/>
          <a:ext cx="8428303" cy="1481025"/>
        </a:xfrm>
        <a:prstGeom prst="rect">
          <a:avLst/>
        </a:prstGeom>
      </xdr:spPr>
    </xdr:pic>
    <xdr:clientData/>
  </xdr:twoCellAnchor>
  <xdr:twoCellAnchor editAs="oneCell">
    <xdr:from>
      <xdr:col>0</xdr:col>
      <xdr:colOff>543485</xdr:colOff>
      <xdr:row>73</xdr:row>
      <xdr:rowOff>58174</xdr:rowOff>
    </xdr:from>
    <xdr:to>
      <xdr:col>6</xdr:col>
      <xdr:colOff>571060</xdr:colOff>
      <xdr:row>80</xdr:row>
      <xdr:rowOff>94228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BD1ADC-090E-482D-99F4-A92861299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485" y="14364724"/>
          <a:ext cx="8339538" cy="1369554"/>
        </a:xfrm>
        <a:prstGeom prst="rect">
          <a:avLst/>
        </a:prstGeom>
      </xdr:spPr>
    </xdr:pic>
    <xdr:clientData/>
  </xdr:twoCellAnchor>
  <xdr:twoCellAnchor editAs="oneCell">
    <xdr:from>
      <xdr:col>8</xdr:col>
      <xdr:colOff>616325</xdr:colOff>
      <xdr:row>3</xdr:row>
      <xdr:rowOff>63032</xdr:rowOff>
    </xdr:from>
    <xdr:to>
      <xdr:col>17</xdr:col>
      <xdr:colOff>401520</xdr:colOff>
      <xdr:row>13</xdr:row>
      <xdr:rowOff>55359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460C6E-57BC-48FC-B4E6-2B601300A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0200" y="663107"/>
          <a:ext cx="6643194" cy="1992577"/>
        </a:xfrm>
        <a:prstGeom prst="rect">
          <a:avLst/>
        </a:prstGeom>
      </xdr:spPr>
    </xdr:pic>
    <xdr:clientData/>
  </xdr:twoCellAnchor>
  <xdr:twoCellAnchor editAs="oneCell">
    <xdr:from>
      <xdr:col>9</xdr:col>
      <xdr:colOff>441232</xdr:colOff>
      <xdr:row>14</xdr:row>
      <xdr:rowOff>7004</xdr:rowOff>
    </xdr:from>
    <xdr:to>
      <xdr:col>15</xdr:col>
      <xdr:colOff>283700</xdr:colOff>
      <xdr:row>20</xdr:row>
      <xdr:rowOff>40860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A84417-57BE-4D1D-A25B-1391A6C48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47107" y="2807354"/>
          <a:ext cx="4414468" cy="1234006"/>
        </a:xfrm>
        <a:prstGeom prst="rect">
          <a:avLst/>
        </a:prstGeom>
      </xdr:spPr>
    </xdr:pic>
    <xdr:clientData/>
  </xdr:twoCellAnchor>
  <xdr:twoCellAnchor editAs="oneCell">
    <xdr:from>
      <xdr:col>8</xdr:col>
      <xdr:colOff>392206</xdr:colOff>
      <xdr:row>39</xdr:row>
      <xdr:rowOff>91048</xdr:rowOff>
    </xdr:from>
    <xdr:to>
      <xdr:col>15</xdr:col>
      <xdr:colOff>487935</xdr:colOff>
      <xdr:row>53</xdr:row>
      <xdr:rowOff>35384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29BDCD3-990F-4290-B59C-339D85E52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6081" y="7901548"/>
          <a:ext cx="5429729" cy="2630386"/>
        </a:xfrm>
        <a:prstGeom prst="rect">
          <a:avLst/>
        </a:prstGeom>
      </xdr:spPr>
    </xdr:pic>
    <xdr:clientData/>
  </xdr:twoCellAnchor>
  <xdr:twoCellAnchor editAs="oneCell">
    <xdr:from>
      <xdr:col>7</xdr:col>
      <xdr:colOff>562211</xdr:colOff>
      <xdr:row>31</xdr:row>
      <xdr:rowOff>168088</xdr:rowOff>
    </xdr:from>
    <xdr:to>
      <xdr:col>14</xdr:col>
      <xdr:colOff>717730</xdr:colOff>
      <xdr:row>45</xdr:row>
      <xdr:rowOff>63033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BE6D1F6-0FB8-4F68-ABE2-B5C7FC66B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58093" y="6478401"/>
          <a:ext cx="5499324" cy="2654393"/>
        </a:xfrm>
        <a:prstGeom prst="rect">
          <a:avLst/>
        </a:prstGeom>
      </xdr:spPr>
    </xdr:pic>
    <xdr:clientData/>
  </xdr:twoCellAnchor>
  <xdr:twoCellAnchor editAs="oneCell">
    <xdr:from>
      <xdr:col>5</xdr:col>
      <xdr:colOff>574301</xdr:colOff>
      <xdr:row>89</xdr:row>
      <xdr:rowOff>133069</xdr:rowOff>
    </xdr:from>
    <xdr:to>
      <xdr:col>9</xdr:col>
      <xdr:colOff>483253</xdr:colOff>
      <xdr:row>98</xdr:row>
      <xdr:rowOff>98050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922A84D-A992-49D0-8DAC-BC1216517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38272" y="17537205"/>
          <a:ext cx="2962555" cy="18349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9</xdr:col>
      <xdr:colOff>690244</xdr:colOff>
      <xdr:row>107</xdr:row>
      <xdr:rowOff>141136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516D2E8-AC54-423B-A712-D4212D008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63971" y="19687335"/>
          <a:ext cx="3743847" cy="1590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AD72-D09A-4A62-924C-4FCC87C4D8E7}">
  <dimension ref="A1:O73"/>
  <sheetViews>
    <sheetView zoomScale="136" zoomScaleNormal="136" workbookViewId="0">
      <selection activeCell="D14" sqref="D14"/>
    </sheetView>
  </sheetViews>
  <sheetFormatPr baseColWidth="10" defaultRowHeight="15" x14ac:dyDescent="0.25"/>
  <cols>
    <col min="1" max="1" width="36.7109375" customWidth="1"/>
    <col min="2" max="3" width="14.140625" customWidth="1"/>
  </cols>
  <sheetData>
    <row r="1" spans="1:7" ht="15.75" x14ac:dyDescent="0.25">
      <c r="A1" s="1" t="s">
        <v>0</v>
      </c>
      <c r="B1" s="1"/>
      <c r="C1" s="1"/>
    </row>
    <row r="2" spans="1:7" ht="15.75" x14ac:dyDescent="0.25">
      <c r="A2" s="1" t="s">
        <v>1</v>
      </c>
      <c r="B2" s="1"/>
      <c r="C2" s="1"/>
    </row>
    <row r="3" spans="1:7" ht="15.75" x14ac:dyDescent="0.25">
      <c r="A3" s="1" t="s">
        <v>6</v>
      </c>
      <c r="B3" s="1"/>
      <c r="C3" s="1"/>
    </row>
    <row r="4" spans="1:7" ht="15.75" x14ac:dyDescent="0.25">
      <c r="A4" s="1" t="s">
        <v>43</v>
      </c>
      <c r="B4" s="1"/>
      <c r="C4" s="1"/>
    </row>
    <row r="5" spans="1:7" ht="15.75" x14ac:dyDescent="0.25">
      <c r="A5" s="1" t="s">
        <v>2</v>
      </c>
      <c r="B5" s="1"/>
      <c r="C5" s="1"/>
    </row>
    <row r="6" spans="1:7" ht="15.75" x14ac:dyDescent="0.25">
      <c r="A6" s="1"/>
      <c r="B6" s="1"/>
      <c r="C6" s="1"/>
    </row>
    <row r="7" spans="1:7" ht="15.75" x14ac:dyDescent="0.25">
      <c r="A7" s="1"/>
      <c r="B7" s="7" t="s">
        <v>5</v>
      </c>
      <c r="C7" t="s">
        <v>56</v>
      </c>
      <c r="D7" s="7" t="s">
        <v>49</v>
      </c>
      <c r="E7" t="s">
        <v>56</v>
      </c>
      <c r="G7" t="s">
        <v>69</v>
      </c>
    </row>
    <row r="8" spans="1:7" ht="15.75" x14ac:dyDescent="0.25">
      <c r="A8" s="1" t="s">
        <v>3</v>
      </c>
      <c r="B8" s="2">
        <v>2575</v>
      </c>
      <c r="C8" s="24">
        <f>B8/$B$8</f>
        <v>1</v>
      </c>
      <c r="D8" s="9">
        <f>B8*0.1+B8</f>
        <v>2832.5</v>
      </c>
      <c r="E8" s="24">
        <f>D8/$D$8</f>
        <v>1</v>
      </c>
      <c r="F8" t="s">
        <v>50</v>
      </c>
      <c r="G8" s="27">
        <f>(D8-B8)/B8</f>
        <v>0.1</v>
      </c>
    </row>
    <row r="9" spans="1:7" ht="15.75" x14ac:dyDescent="0.25">
      <c r="A9" s="1" t="s">
        <v>4</v>
      </c>
      <c r="B9" s="4">
        <f>-(B8*0.25)</f>
        <v>-643.75</v>
      </c>
      <c r="C9" s="24">
        <f t="shared" ref="C9:C19" si="0">B9/$B$8</f>
        <v>-0.25</v>
      </c>
      <c r="D9" s="10">
        <f>-D8*0.22</f>
        <v>-623.15</v>
      </c>
      <c r="E9" s="24">
        <f t="shared" ref="E9:E21" si="1">D9/$D$8</f>
        <v>-0.22</v>
      </c>
      <c r="F9" t="s">
        <v>52</v>
      </c>
      <c r="G9" s="27">
        <f t="shared" ref="G9:G21" si="2">(D9-B9)/B9</f>
        <v>-3.2000000000000035E-2</v>
      </c>
    </row>
    <row r="10" spans="1:7" ht="15.75" x14ac:dyDescent="0.25">
      <c r="A10" s="1" t="s">
        <v>8</v>
      </c>
      <c r="B10" s="2">
        <f>SUM(B8:B9)</f>
        <v>1931.25</v>
      </c>
      <c r="C10" s="24">
        <f t="shared" si="0"/>
        <v>0.75</v>
      </c>
      <c r="D10" s="9">
        <f>SUM(D8:D9)</f>
        <v>2209.35</v>
      </c>
      <c r="E10" s="24">
        <f t="shared" si="1"/>
        <v>0.77999999999999992</v>
      </c>
      <c r="G10" s="27">
        <f t="shared" si="2"/>
        <v>0.14399999999999996</v>
      </c>
    </row>
    <row r="11" spans="1:7" ht="15.75" x14ac:dyDescent="0.25">
      <c r="A11" s="1" t="s">
        <v>9</v>
      </c>
      <c r="B11" s="2">
        <v>-1250</v>
      </c>
      <c r="C11" s="24">
        <f t="shared" si="0"/>
        <v>-0.4854368932038835</v>
      </c>
      <c r="D11" s="9">
        <f>D8*C11</f>
        <v>-1375</v>
      </c>
      <c r="E11" s="24">
        <f t="shared" si="1"/>
        <v>-0.4854368932038835</v>
      </c>
      <c r="F11" t="s">
        <v>53</v>
      </c>
      <c r="G11" s="27">
        <f t="shared" si="2"/>
        <v>0.1</v>
      </c>
    </row>
    <row r="12" spans="1:7" ht="15.75" x14ac:dyDescent="0.25">
      <c r="A12" s="1" t="s">
        <v>10</v>
      </c>
      <c r="B12" s="4">
        <f>-(B36/5)</f>
        <v>-130</v>
      </c>
      <c r="C12" s="24">
        <f t="shared" si="0"/>
        <v>-5.0485436893203881E-2</v>
      </c>
      <c r="D12" s="10">
        <f>-D36/5</f>
        <v>-135.85</v>
      </c>
      <c r="E12" s="24">
        <f>D12/$D$8</f>
        <v>-4.796116504854369E-2</v>
      </c>
      <c r="F12" t="s">
        <v>54</v>
      </c>
      <c r="G12" s="27">
        <f t="shared" si="2"/>
        <v>4.4999999999999957E-2</v>
      </c>
    </row>
    <row r="13" spans="1:7" ht="15.75" x14ac:dyDescent="0.25">
      <c r="A13" s="1" t="s">
        <v>11</v>
      </c>
      <c r="B13" s="2">
        <f>SUM(B10:B12)</f>
        <v>551.25</v>
      </c>
      <c r="C13" s="24">
        <f t="shared" si="0"/>
        <v>0.21407766990291263</v>
      </c>
      <c r="D13" s="9">
        <f>SUM(D10:D12)</f>
        <v>698.49999999999989</v>
      </c>
      <c r="E13" s="24">
        <f t="shared" si="1"/>
        <v>0.24660194174757277</v>
      </c>
      <c r="G13" s="27">
        <f t="shared" si="2"/>
        <v>0.2671201814058955</v>
      </c>
    </row>
    <row r="14" spans="1:7" ht="15.75" x14ac:dyDescent="0.25">
      <c r="A14" s="1" t="s">
        <v>15</v>
      </c>
      <c r="B14" s="4">
        <f>-(B46*0.11+B45*0.09)</f>
        <v>-165.35</v>
      </c>
      <c r="C14" s="24">
        <f t="shared" si="0"/>
        <v>-6.4213592233009709E-2</v>
      </c>
      <c r="D14" s="10">
        <f>B14</f>
        <v>-165.35</v>
      </c>
      <c r="E14" s="24">
        <f t="shared" si="1"/>
        <v>-5.837599293909973E-2</v>
      </c>
      <c r="G14" s="27">
        <f t="shared" si="2"/>
        <v>0</v>
      </c>
    </row>
    <row r="15" spans="1:7" ht="15.75" x14ac:dyDescent="0.25">
      <c r="A15" s="1" t="s">
        <v>12</v>
      </c>
      <c r="B15" s="2">
        <f>SUM(B13:B14)</f>
        <v>385.9</v>
      </c>
      <c r="C15" s="24">
        <f t="shared" si="0"/>
        <v>0.1498640776699029</v>
      </c>
      <c r="D15" s="9">
        <f>SUM(D13:D14)</f>
        <v>533.14999999999986</v>
      </c>
      <c r="E15" s="24">
        <f t="shared" si="1"/>
        <v>0.18822594880847304</v>
      </c>
      <c r="G15" s="27">
        <f t="shared" si="2"/>
        <v>0.38157553770406816</v>
      </c>
    </row>
    <row r="16" spans="1:7" ht="15.75" x14ac:dyDescent="0.25">
      <c r="A16" s="1" t="s">
        <v>13</v>
      </c>
      <c r="B16" s="4">
        <f>-(B15*0.25)</f>
        <v>-96.474999999999994</v>
      </c>
      <c r="C16" s="24">
        <f t="shared" si="0"/>
        <v>-3.7466019417475724E-2</v>
      </c>
      <c r="D16" s="10">
        <f>-D15*0.25</f>
        <v>-133.28749999999997</v>
      </c>
      <c r="E16" s="24">
        <f t="shared" si="1"/>
        <v>-4.7056487202118261E-2</v>
      </c>
      <c r="F16" t="s">
        <v>51</v>
      </c>
      <c r="G16" s="27">
        <f t="shared" si="2"/>
        <v>0.38157553770406816</v>
      </c>
    </row>
    <row r="17" spans="1:13" ht="15.75" x14ac:dyDescent="0.25">
      <c r="A17" s="1" t="s">
        <v>16</v>
      </c>
      <c r="B17" s="6">
        <f>SUM(B15:B16)</f>
        <v>289.42499999999995</v>
      </c>
      <c r="C17" s="24">
        <f t="shared" si="0"/>
        <v>0.11239805825242717</v>
      </c>
      <c r="D17" s="9">
        <f>SUM(D15:D16)</f>
        <v>399.8624999999999</v>
      </c>
      <c r="E17" s="24">
        <f t="shared" si="1"/>
        <v>0.14116946160635477</v>
      </c>
      <c r="G17" s="27">
        <f t="shared" si="2"/>
        <v>0.38157553770406827</v>
      </c>
    </row>
    <row r="18" spans="1:13" ht="15.75" x14ac:dyDescent="0.25">
      <c r="A18" s="1" t="s">
        <v>17</v>
      </c>
      <c r="B18" s="4">
        <f>-(15%*B49)</f>
        <v>-76.5</v>
      </c>
      <c r="C18" s="24">
        <f t="shared" si="0"/>
        <v>-2.9708737864077669E-2</v>
      </c>
      <c r="D18" s="4">
        <f>-(15%*D49)</f>
        <v>-76.5</v>
      </c>
      <c r="E18" s="24">
        <f t="shared" si="1"/>
        <v>-2.700794351279788E-2</v>
      </c>
      <c r="G18" s="27">
        <f t="shared" si="2"/>
        <v>0</v>
      </c>
    </row>
    <row r="19" spans="1:13" ht="15.75" x14ac:dyDescent="0.25">
      <c r="A19" s="1" t="s">
        <v>55</v>
      </c>
      <c r="B19" s="2">
        <f>SUM(B17:B18)</f>
        <v>212.92499999999995</v>
      </c>
      <c r="C19" s="24">
        <f t="shared" si="0"/>
        <v>8.2689320388349502E-2</v>
      </c>
      <c r="D19" s="9">
        <f>SUM(D17:D18)</f>
        <v>323.3624999999999</v>
      </c>
      <c r="E19" s="24">
        <f t="shared" si="1"/>
        <v>0.11416151809355689</v>
      </c>
      <c r="G19" s="27">
        <f t="shared" si="2"/>
        <v>0.51866854526241624</v>
      </c>
    </row>
    <row r="20" spans="1:13" ht="15.75" x14ac:dyDescent="0.25">
      <c r="A20" s="1" t="s">
        <v>18</v>
      </c>
      <c r="B20" s="4">
        <f>-B19*0.75</f>
        <v>-159.69374999999997</v>
      </c>
      <c r="C20" s="4"/>
      <c r="D20" s="4">
        <f>-D19*0.75</f>
        <v>-242.52187499999991</v>
      </c>
      <c r="E20" s="24">
        <f t="shared" si="1"/>
        <v>-8.5621138570167662E-2</v>
      </c>
      <c r="G20" s="27">
        <f t="shared" si="2"/>
        <v>0.51866854526241613</v>
      </c>
    </row>
    <row r="21" spans="1:13" ht="16.5" thickBot="1" x14ac:dyDescent="0.3">
      <c r="A21" s="3" t="s">
        <v>19</v>
      </c>
      <c r="B21" s="8">
        <f>SUM(B19:B20)</f>
        <v>53.231249999999989</v>
      </c>
      <c r="C21" s="22"/>
      <c r="D21" s="9">
        <f>SUM(D19:D20)</f>
        <v>80.840624999999989</v>
      </c>
      <c r="E21" s="24">
        <f t="shared" si="1"/>
        <v>2.8540379523389229E-2</v>
      </c>
      <c r="G21" s="27">
        <f t="shared" si="2"/>
        <v>0.51866854526241646</v>
      </c>
    </row>
    <row r="22" spans="1:13" ht="16.5" thickTop="1" x14ac:dyDescent="0.25">
      <c r="A22" s="5" t="s">
        <v>14</v>
      </c>
      <c r="B22" s="1"/>
      <c r="C22" s="1"/>
    </row>
    <row r="23" spans="1:13" ht="15.75" x14ac:dyDescent="0.25">
      <c r="A23" s="1"/>
      <c r="B23" s="1"/>
      <c r="C23" s="1"/>
    </row>
    <row r="24" spans="1:13" ht="15.75" x14ac:dyDescent="0.25">
      <c r="A24" s="1" t="s">
        <v>0</v>
      </c>
      <c r="B24" s="1"/>
      <c r="C24" s="1"/>
    </row>
    <row r="25" spans="1:13" ht="15.75" x14ac:dyDescent="0.25">
      <c r="A25" s="1" t="s">
        <v>20</v>
      </c>
    </row>
    <row r="26" spans="1:13" ht="15.75" x14ac:dyDescent="0.25">
      <c r="A26" s="1" t="s">
        <v>21</v>
      </c>
      <c r="K26" s="1" t="s">
        <v>0</v>
      </c>
      <c r="L26" s="1"/>
      <c r="M26" s="1"/>
    </row>
    <row r="27" spans="1:13" ht="15.75" x14ac:dyDescent="0.25">
      <c r="A27" s="1" t="s">
        <v>7</v>
      </c>
      <c r="K27" s="1" t="s">
        <v>59</v>
      </c>
      <c r="L27" s="1"/>
      <c r="M27" s="1"/>
    </row>
    <row r="28" spans="1:13" ht="15.75" x14ac:dyDescent="0.25">
      <c r="A28" s="1" t="s">
        <v>2</v>
      </c>
      <c r="K28" s="1" t="s">
        <v>60</v>
      </c>
      <c r="L28" s="1"/>
      <c r="M28" s="1"/>
    </row>
    <row r="29" spans="1:13" ht="15.75" x14ac:dyDescent="0.25">
      <c r="K29" s="1" t="s">
        <v>61</v>
      </c>
      <c r="L29" s="1"/>
      <c r="M29" s="1"/>
    </row>
    <row r="30" spans="1:13" ht="15.75" x14ac:dyDescent="0.25">
      <c r="B30" s="7" t="s">
        <v>5</v>
      </c>
      <c r="C30" s="7" t="s">
        <v>56</v>
      </c>
      <c r="D30" s="7" t="s">
        <v>57</v>
      </c>
      <c r="E30" s="7" t="s">
        <v>56</v>
      </c>
      <c r="G30" s="7" t="s">
        <v>69</v>
      </c>
      <c r="K30" s="1" t="s">
        <v>2</v>
      </c>
      <c r="L30" s="1"/>
      <c r="M30" s="1"/>
    </row>
    <row r="31" spans="1:13" ht="15.75" x14ac:dyDescent="0.25">
      <c r="A31" s="3" t="s">
        <v>22</v>
      </c>
    </row>
    <row r="32" spans="1:13" x14ac:dyDescent="0.25">
      <c r="A32" t="s">
        <v>23</v>
      </c>
      <c r="B32" s="9">
        <v>555</v>
      </c>
      <c r="C32" s="27">
        <f>B32/$B$39</f>
        <v>0.21022727272727273</v>
      </c>
      <c r="D32" s="9">
        <f>B32*1.1</f>
        <v>610.5</v>
      </c>
      <c r="E32" s="27">
        <f>D32/$D$39</f>
        <v>0.2213239559164733</v>
      </c>
      <c r="G32" s="27">
        <f>(D32-B32)/B32</f>
        <v>0.1</v>
      </c>
    </row>
    <row r="33" spans="1:15" ht="15.75" x14ac:dyDescent="0.25">
      <c r="A33" t="s">
        <v>24</v>
      </c>
      <c r="B33" s="9">
        <v>745</v>
      </c>
      <c r="C33" s="27">
        <f t="shared" ref="C33:C39" si="3">B33/$B$39</f>
        <v>0.28219696969696972</v>
      </c>
      <c r="D33" s="9">
        <f t="shared" ref="D33:D34" si="4">B33*1.1</f>
        <v>819.50000000000011</v>
      </c>
      <c r="E33" s="27">
        <f t="shared" ref="E33:E39" si="5">D33/$D$39</f>
        <v>0.29709251740139214</v>
      </c>
      <c r="G33" s="27">
        <f t="shared" ref="G33:G55" si="6">(D33-B33)/B33</f>
        <v>0.10000000000000016</v>
      </c>
      <c r="K33" s="1" t="s">
        <v>62</v>
      </c>
      <c r="O33" s="9">
        <f>B51</f>
        <v>260</v>
      </c>
    </row>
    <row r="34" spans="1:15" ht="15.75" x14ac:dyDescent="0.25">
      <c r="A34" t="s">
        <v>25</v>
      </c>
      <c r="B34" s="10">
        <v>950</v>
      </c>
      <c r="C34" s="27">
        <f t="shared" si="3"/>
        <v>0.35984848484848486</v>
      </c>
      <c r="D34" s="10">
        <f t="shared" si="4"/>
        <v>1045</v>
      </c>
      <c r="E34" s="27">
        <f t="shared" si="5"/>
        <v>0.37884280742459397</v>
      </c>
      <c r="G34" s="27">
        <f t="shared" si="6"/>
        <v>0.1</v>
      </c>
      <c r="K34" s="1" t="s">
        <v>63</v>
      </c>
      <c r="O34" s="10">
        <f>D17</f>
        <v>399.8624999999999</v>
      </c>
    </row>
    <row r="35" spans="1:15" ht="15.75" x14ac:dyDescent="0.25">
      <c r="A35" s="12" t="s">
        <v>26</v>
      </c>
      <c r="B35" s="13">
        <f>SUM(B32:B34)</f>
        <v>2250</v>
      </c>
      <c r="C35" s="27">
        <f t="shared" si="3"/>
        <v>0.85227272727272729</v>
      </c>
      <c r="D35" s="13">
        <f t="shared" ref="D35" si="7">SUM(D32:D34)</f>
        <v>2475</v>
      </c>
      <c r="E35" s="27">
        <f t="shared" si="5"/>
        <v>0.89725928074245942</v>
      </c>
      <c r="G35" s="27">
        <f t="shared" si="6"/>
        <v>0.1</v>
      </c>
      <c r="K35" s="1" t="s">
        <v>64</v>
      </c>
      <c r="O35" s="9">
        <f>SUM(O33:O34)</f>
        <v>659.86249999999995</v>
      </c>
    </row>
    <row r="36" spans="1:15" ht="15.75" x14ac:dyDescent="0.25">
      <c r="A36" t="s">
        <v>27</v>
      </c>
      <c r="B36" s="9">
        <v>650</v>
      </c>
      <c r="C36" s="27">
        <f t="shared" si="3"/>
        <v>0.24621212121212122</v>
      </c>
      <c r="D36" s="9">
        <f>B36*0.045+B36</f>
        <v>679.25</v>
      </c>
      <c r="E36" s="27">
        <f t="shared" si="5"/>
        <v>0.24624782482598606</v>
      </c>
      <c r="G36" s="27">
        <f t="shared" si="6"/>
        <v>4.4999999999999998E-2</v>
      </c>
      <c r="K36" s="1" t="s">
        <v>65</v>
      </c>
      <c r="O36" s="10">
        <f>D18</f>
        <v>-76.5</v>
      </c>
    </row>
    <row r="37" spans="1:15" ht="15.75" x14ac:dyDescent="0.25">
      <c r="A37" t="s">
        <v>28</v>
      </c>
      <c r="B37" s="10">
        <v>-260</v>
      </c>
      <c r="C37" s="27">
        <f t="shared" si="3"/>
        <v>-9.8484848484848481E-2</v>
      </c>
      <c r="D37" s="9">
        <f>B37+D12</f>
        <v>-395.85</v>
      </c>
      <c r="E37" s="27">
        <f t="shared" si="5"/>
        <v>-0.14350710556844548</v>
      </c>
      <c r="G37" s="27">
        <f t="shared" si="6"/>
        <v>0.52250000000000008</v>
      </c>
      <c r="K37" s="1" t="s">
        <v>66</v>
      </c>
      <c r="O37" s="9">
        <f>SUM(O35:O36)</f>
        <v>583.36249999999995</v>
      </c>
    </row>
    <row r="38" spans="1:15" ht="15.75" x14ac:dyDescent="0.25">
      <c r="A38" s="12" t="s">
        <v>29</v>
      </c>
      <c r="B38" s="13">
        <f>B36+B37</f>
        <v>390</v>
      </c>
      <c r="C38" s="27">
        <f t="shared" si="3"/>
        <v>0.14772727272727273</v>
      </c>
      <c r="D38" s="9">
        <f>SUM(D36:D37)</f>
        <v>283.39999999999998</v>
      </c>
      <c r="E38" s="27">
        <f t="shared" si="5"/>
        <v>0.10274071925754059</v>
      </c>
      <c r="G38" s="27">
        <f t="shared" si="6"/>
        <v>-0.27333333333333337</v>
      </c>
      <c r="K38" s="1" t="s">
        <v>67</v>
      </c>
      <c r="O38" s="10">
        <f>D20</f>
        <v>-242.52187499999991</v>
      </c>
    </row>
    <row r="39" spans="1:15" ht="15.75" x14ac:dyDescent="0.25">
      <c r="A39" s="17" t="s">
        <v>30</v>
      </c>
      <c r="B39" s="14">
        <f>B38+B35</f>
        <v>2640</v>
      </c>
      <c r="C39" s="27">
        <f t="shared" si="3"/>
        <v>1</v>
      </c>
      <c r="D39" s="14">
        <f t="shared" ref="D39" si="8">D38+D35</f>
        <v>2758.4</v>
      </c>
      <c r="E39" s="27">
        <f t="shared" si="5"/>
        <v>1</v>
      </c>
      <c r="G39" s="27">
        <f t="shared" si="6"/>
        <v>4.4848484848484881E-2</v>
      </c>
      <c r="K39" s="1" t="s">
        <v>68</v>
      </c>
      <c r="O39" s="25">
        <f>SUM(O37:O38)</f>
        <v>340.84062500000005</v>
      </c>
    </row>
    <row r="40" spans="1:15" x14ac:dyDescent="0.25">
      <c r="B40" s="9"/>
      <c r="C40" s="9"/>
      <c r="G40" s="27"/>
    </row>
    <row r="41" spans="1:15" ht="15.75" x14ac:dyDescent="0.25">
      <c r="A41" s="3" t="s">
        <v>31</v>
      </c>
      <c r="B41" s="9"/>
      <c r="C41" s="9"/>
      <c r="G41" s="27"/>
    </row>
    <row r="42" spans="1:15" x14ac:dyDescent="0.25">
      <c r="A42" t="s">
        <v>32</v>
      </c>
      <c r="B42" s="9">
        <v>35</v>
      </c>
      <c r="C42" s="27">
        <f>B42/$B$53</f>
        <v>1.3257575757575758E-2</v>
      </c>
      <c r="D42" s="9">
        <f>B42*1.1</f>
        <v>38.5</v>
      </c>
      <c r="E42" s="27">
        <f>D42/$D$55</f>
        <v>1.3957366589327145E-2</v>
      </c>
      <c r="G42" s="27">
        <f t="shared" si="6"/>
        <v>0.1</v>
      </c>
    </row>
    <row r="43" spans="1:15" x14ac:dyDescent="0.25">
      <c r="A43" t="s">
        <v>46</v>
      </c>
      <c r="B43" s="10">
        <v>75</v>
      </c>
      <c r="C43" s="27">
        <f t="shared" ref="C43:C53" si="9">B43/$B$53</f>
        <v>2.8409090909090908E-2</v>
      </c>
      <c r="D43" s="10">
        <f>B43*1.1</f>
        <v>82.5</v>
      </c>
      <c r="E43" s="27">
        <f t="shared" ref="E43:E55" si="10">D43/$D$55</f>
        <v>2.9908642691415313E-2</v>
      </c>
      <c r="G43" s="27">
        <f t="shared" si="6"/>
        <v>0.1</v>
      </c>
    </row>
    <row r="44" spans="1:15" x14ac:dyDescent="0.25">
      <c r="A44" s="12" t="s">
        <v>33</v>
      </c>
      <c r="B44" s="13">
        <f>SUM(B42:B43)</f>
        <v>110</v>
      </c>
      <c r="C44" s="27">
        <f t="shared" si="9"/>
        <v>4.1666666666666664E-2</v>
      </c>
      <c r="D44" s="13">
        <f t="shared" ref="D44" si="11">SUM(D42:D43)</f>
        <v>121</v>
      </c>
      <c r="E44" s="27">
        <f t="shared" si="10"/>
        <v>4.3866009280742455E-2</v>
      </c>
      <c r="G44" s="27">
        <f t="shared" si="6"/>
        <v>0.1</v>
      </c>
    </row>
    <row r="45" spans="1:15" x14ac:dyDescent="0.25">
      <c r="A45" s="21" t="s">
        <v>34</v>
      </c>
      <c r="B45" s="9">
        <v>725</v>
      </c>
      <c r="C45" s="27">
        <f t="shared" si="9"/>
        <v>0.2746212121212121</v>
      </c>
      <c r="D45" s="9">
        <v>725</v>
      </c>
      <c r="E45" s="27">
        <f t="shared" si="10"/>
        <v>0.26283352668213456</v>
      </c>
      <c r="G45" s="27">
        <f t="shared" si="6"/>
        <v>0</v>
      </c>
    </row>
    <row r="46" spans="1:15" x14ac:dyDescent="0.25">
      <c r="A46" s="21" t="s">
        <v>35</v>
      </c>
      <c r="B46" s="10">
        <v>910</v>
      </c>
      <c r="C46" s="27">
        <f t="shared" si="9"/>
        <v>0.34469696969696972</v>
      </c>
      <c r="D46" s="10">
        <v>910</v>
      </c>
      <c r="E46" s="27">
        <f t="shared" si="10"/>
        <v>0.32990139211136887</v>
      </c>
      <c r="G46" s="27">
        <f t="shared" si="6"/>
        <v>0</v>
      </c>
    </row>
    <row r="47" spans="1:15" x14ac:dyDescent="0.25">
      <c r="A47" s="12" t="s">
        <v>36</v>
      </c>
      <c r="B47" s="13">
        <f>B45+B46</f>
        <v>1635</v>
      </c>
      <c r="C47" s="27">
        <f t="shared" si="9"/>
        <v>0.61931818181818177</v>
      </c>
      <c r="D47" s="13">
        <f t="shared" ref="D47" si="12">D45+D46</f>
        <v>1635</v>
      </c>
      <c r="E47" s="27">
        <f t="shared" si="10"/>
        <v>0.59273491879350348</v>
      </c>
      <c r="G47" s="27">
        <f t="shared" si="6"/>
        <v>0</v>
      </c>
    </row>
    <row r="48" spans="1:15" ht="15.75" x14ac:dyDescent="0.25">
      <c r="A48" s="3" t="s">
        <v>37</v>
      </c>
      <c r="B48" s="9"/>
      <c r="C48" s="27">
        <f t="shared" si="9"/>
        <v>0</v>
      </c>
      <c r="E48" s="27">
        <f t="shared" si="10"/>
        <v>0</v>
      </c>
      <c r="G48" s="27"/>
    </row>
    <row r="49" spans="1:7" x14ac:dyDescent="0.25">
      <c r="A49" s="21" t="s">
        <v>38</v>
      </c>
      <c r="B49" s="9">
        <v>510</v>
      </c>
      <c r="C49" s="27">
        <f t="shared" si="9"/>
        <v>0.19318181818181818</v>
      </c>
      <c r="D49" s="9">
        <v>510</v>
      </c>
      <c r="E49" s="27">
        <f t="shared" si="10"/>
        <v>0.18488979118329466</v>
      </c>
      <c r="G49" s="27">
        <f t="shared" si="6"/>
        <v>0</v>
      </c>
    </row>
    <row r="50" spans="1:7" x14ac:dyDescent="0.25">
      <c r="A50" s="21" t="s">
        <v>39</v>
      </c>
      <c r="B50" s="9">
        <v>125</v>
      </c>
      <c r="C50" s="27">
        <f t="shared" si="9"/>
        <v>4.7348484848484848E-2</v>
      </c>
      <c r="D50" s="9">
        <v>125</v>
      </c>
      <c r="E50" s="27">
        <f t="shared" si="10"/>
        <v>4.5316125290023199E-2</v>
      </c>
      <c r="G50" s="27">
        <f t="shared" si="6"/>
        <v>0</v>
      </c>
    </row>
    <row r="51" spans="1:7" x14ac:dyDescent="0.25">
      <c r="A51" t="s">
        <v>40</v>
      </c>
      <c r="B51" s="10">
        <v>260</v>
      </c>
      <c r="C51" s="27">
        <f t="shared" si="9"/>
        <v>9.8484848484848481E-2</v>
      </c>
      <c r="D51" s="10">
        <f>B51+D21</f>
        <v>340.84062499999999</v>
      </c>
      <c r="E51" s="27">
        <f t="shared" si="10"/>
        <v>0.12356461173143851</v>
      </c>
      <c r="G51" s="27">
        <f t="shared" si="6"/>
        <v>0.31092548076923071</v>
      </c>
    </row>
    <row r="52" spans="1:7" x14ac:dyDescent="0.25">
      <c r="A52" s="12" t="s">
        <v>41</v>
      </c>
      <c r="B52" s="13">
        <f>SUM(B49:B51)</f>
        <v>895</v>
      </c>
      <c r="C52" s="27">
        <f t="shared" si="9"/>
        <v>0.33901515151515149</v>
      </c>
      <c r="D52" s="13">
        <f t="shared" ref="D52" si="13">SUM(D49:D51)</f>
        <v>975.84062500000005</v>
      </c>
      <c r="E52" s="27">
        <f t="shared" si="10"/>
        <v>0.35377052820475641</v>
      </c>
      <c r="G52" s="27">
        <f t="shared" si="6"/>
        <v>9.0324720670391115E-2</v>
      </c>
    </row>
    <row r="53" spans="1:7" x14ac:dyDescent="0.25">
      <c r="A53" s="15" t="s">
        <v>42</v>
      </c>
      <c r="B53" s="14">
        <f>B44+B47+B52</f>
        <v>2640</v>
      </c>
      <c r="C53" s="27">
        <f t="shared" si="9"/>
        <v>1</v>
      </c>
      <c r="D53" s="14">
        <f t="shared" ref="D53" si="14">D44+D47+D52</f>
        <v>2731.8406249999998</v>
      </c>
      <c r="E53" s="27">
        <f t="shared" si="10"/>
        <v>0.99037145627900225</v>
      </c>
      <c r="G53" s="27">
        <f t="shared" si="6"/>
        <v>3.4788115530302963E-2</v>
      </c>
    </row>
    <row r="54" spans="1:7" x14ac:dyDescent="0.25">
      <c r="A54" t="s">
        <v>44</v>
      </c>
      <c r="D54" s="9">
        <f>D39-D53</f>
        <v>26.559375000000273</v>
      </c>
      <c r="E54" s="27">
        <f t="shared" si="10"/>
        <v>9.6285437209977787E-3</v>
      </c>
      <c r="G54" s="27"/>
    </row>
    <row r="55" spans="1:7" x14ac:dyDescent="0.25">
      <c r="A55" s="11" t="s">
        <v>45</v>
      </c>
      <c r="D55" s="26">
        <f>SUM(D53:D54)</f>
        <v>2758.4</v>
      </c>
      <c r="E55" s="27">
        <f t="shared" si="10"/>
        <v>1</v>
      </c>
      <c r="G55" s="27"/>
    </row>
    <row r="66" spans="1:7" x14ac:dyDescent="0.25">
      <c r="A66" s="18" t="s">
        <v>47</v>
      </c>
      <c r="B66" s="19">
        <f>D54</f>
        <v>26.559375000000273</v>
      </c>
      <c r="C66" s="19"/>
    </row>
    <row r="68" spans="1:7" x14ac:dyDescent="0.25">
      <c r="A68" t="s">
        <v>48</v>
      </c>
      <c r="F68" t="s">
        <v>58</v>
      </c>
    </row>
    <row r="69" spans="1:7" x14ac:dyDescent="0.25">
      <c r="A69" s="20" t="s">
        <v>34</v>
      </c>
      <c r="B69" s="9">
        <f>$B$66*G69</f>
        <v>8.4826197687225537</v>
      </c>
      <c r="C69" s="9"/>
      <c r="E69" s="20" t="s">
        <v>34</v>
      </c>
      <c r="F69" s="9">
        <f>B45</f>
        <v>725</v>
      </c>
      <c r="G69" s="24">
        <f>F69/$F$73</f>
        <v>0.31938325991189426</v>
      </c>
    </row>
    <row r="70" spans="1:7" x14ac:dyDescent="0.25">
      <c r="A70" s="20" t="s">
        <v>35</v>
      </c>
      <c r="B70" s="9">
        <f t="shared" ref="B70:B72" si="15">$B$66*G70</f>
        <v>10.647150330396585</v>
      </c>
      <c r="C70" s="9"/>
      <c r="E70" s="20" t="s">
        <v>35</v>
      </c>
      <c r="F70" s="9">
        <f>B46</f>
        <v>910</v>
      </c>
      <c r="G70" s="24">
        <f t="shared" ref="G70:G73" si="16">F70/$F$73</f>
        <v>0.40088105726872247</v>
      </c>
    </row>
    <row r="71" spans="1:7" x14ac:dyDescent="0.25">
      <c r="A71" s="20" t="s">
        <v>38</v>
      </c>
      <c r="B71" s="9">
        <f t="shared" si="15"/>
        <v>5.9670842511013831</v>
      </c>
      <c r="C71" s="9"/>
      <c r="E71" s="20" t="s">
        <v>38</v>
      </c>
      <c r="F71" s="9">
        <f>B49</f>
        <v>510</v>
      </c>
      <c r="G71" s="24">
        <f t="shared" si="16"/>
        <v>0.22466960352422907</v>
      </c>
    </row>
    <row r="72" spans="1:7" x14ac:dyDescent="0.25">
      <c r="A72" s="20" t="s">
        <v>39</v>
      </c>
      <c r="B72" s="9">
        <f t="shared" si="15"/>
        <v>1.4625206497797507</v>
      </c>
      <c r="C72" s="23"/>
      <c r="E72" s="20" t="s">
        <v>39</v>
      </c>
      <c r="F72" s="10">
        <f>B50</f>
        <v>125</v>
      </c>
      <c r="G72" s="24">
        <f t="shared" si="16"/>
        <v>5.5066079295154183E-2</v>
      </c>
    </row>
    <row r="73" spans="1:7" x14ac:dyDescent="0.25">
      <c r="B73" s="16">
        <f>SUM(B69:B72)</f>
        <v>26.559375000000273</v>
      </c>
      <c r="C73" s="16"/>
      <c r="F73" s="16">
        <f>SUM(F69:F72)</f>
        <v>2270</v>
      </c>
      <c r="G73" s="24">
        <f t="shared" si="16"/>
        <v>1</v>
      </c>
    </row>
  </sheetData>
  <phoneticPr fontId="1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ECB5-5FEA-4FE5-BC4B-C3D66F51BB1D}">
  <dimension ref="A1:O117"/>
  <sheetViews>
    <sheetView tabSelected="1" topLeftCell="A85" zoomScale="136" zoomScaleNormal="136" workbookViewId="0">
      <selection activeCell="L98" sqref="L98"/>
    </sheetView>
  </sheetViews>
  <sheetFormatPr baseColWidth="10" defaultRowHeight="15" x14ac:dyDescent="0.25"/>
  <cols>
    <col min="1" max="1" width="36.7109375" customWidth="1"/>
    <col min="2" max="2" width="36.85546875" bestFit="1" customWidth="1"/>
    <col min="3" max="3" width="14.140625" customWidth="1"/>
    <col min="4" max="4" width="14.140625" bestFit="1" customWidth="1"/>
  </cols>
  <sheetData>
    <row r="1" spans="1:7" ht="15.75" x14ac:dyDescent="0.25">
      <c r="A1" s="1" t="s">
        <v>0</v>
      </c>
      <c r="B1" s="1"/>
      <c r="C1" s="1"/>
    </row>
    <row r="2" spans="1:7" ht="15.75" x14ac:dyDescent="0.25">
      <c r="A2" s="1" t="s">
        <v>1</v>
      </c>
      <c r="B2" s="1"/>
      <c r="C2" s="1"/>
    </row>
    <row r="3" spans="1:7" ht="15.75" x14ac:dyDescent="0.25">
      <c r="A3" s="1" t="s">
        <v>6</v>
      </c>
      <c r="B3" s="1"/>
      <c r="C3" s="1"/>
    </row>
    <row r="4" spans="1:7" ht="15.75" x14ac:dyDescent="0.25">
      <c r="A4" s="1" t="s">
        <v>43</v>
      </c>
      <c r="B4" s="1"/>
      <c r="C4" s="1"/>
    </row>
    <row r="5" spans="1:7" ht="15.75" x14ac:dyDescent="0.25">
      <c r="A5" s="1" t="s">
        <v>2</v>
      </c>
      <c r="B5" s="1"/>
      <c r="C5" s="1"/>
    </row>
    <row r="6" spans="1:7" ht="15.75" x14ac:dyDescent="0.25">
      <c r="A6" s="1"/>
      <c r="B6" s="1"/>
      <c r="C6" s="1"/>
    </row>
    <row r="7" spans="1:7" ht="15.75" x14ac:dyDescent="0.25">
      <c r="A7" s="1"/>
      <c r="B7" s="7" t="s">
        <v>5</v>
      </c>
      <c r="C7" t="s">
        <v>56</v>
      </c>
      <c r="D7" s="7" t="s">
        <v>49</v>
      </c>
      <c r="E7" t="s">
        <v>56</v>
      </c>
      <c r="G7" t="s">
        <v>69</v>
      </c>
    </row>
    <row r="8" spans="1:7" ht="15.75" x14ac:dyDescent="0.25">
      <c r="A8" s="1" t="s">
        <v>3</v>
      </c>
      <c r="B8" s="2">
        <v>2575</v>
      </c>
      <c r="C8" s="24">
        <f>B8/$B$8</f>
        <v>1</v>
      </c>
      <c r="D8" s="9">
        <f>B8*0.1+B8</f>
        <v>2832.5</v>
      </c>
      <c r="E8" s="24">
        <f>D8/$D$8</f>
        <v>1</v>
      </c>
      <c r="F8" t="s">
        <v>50</v>
      </c>
      <c r="G8" s="27">
        <f>(D8-B8)/B8</f>
        <v>0.1</v>
      </c>
    </row>
    <row r="9" spans="1:7" ht="15.75" x14ac:dyDescent="0.25">
      <c r="A9" s="1" t="s">
        <v>4</v>
      </c>
      <c r="B9" s="4">
        <f>-(B8*0.25)</f>
        <v>-643.75</v>
      </c>
      <c r="C9" s="24">
        <f t="shared" ref="C9:C19" si="0">B9/$B$8</f>
        <v>-0.25</v>
      </c>
      <c r="D9" s="10">
        <f>-D8*0.22</f>
        <v>-623.15</v>
      </c>
      <c r="E9" s="24">
        <f t="shared" ref="E9:E21" si="1">D9/$D$8</f>
        <v>-0.22</v>
      </c>
      <c r="F9" t="s">
        <v>52</v>
      </c>
      <c r="G9" s="27">
        <f t="shared" ref="G9:G21" si="2">(D9-B9)/B9</f>
        <v>-3.2000000000000035E-2</v>
      </c>
    </row>
    <row r="10" spans="1:7" ht="15.75" x14ac:dyDescent="0.25">
      <c r="A10" s="1" t="s">
        <v>8</v>
      </c>
      <c r="B10" s="2">
        <f>SUM(B8:B9)</f>
        <v>1931.25</v>
      </c>
      <c r="C10" s="24">
        <f t="shared" si="0"/>
        <v>0.75</v>
      </c>
      <c r="D10" s="9">
        <f>SUM(D8:D9)</f>
        <v>2209.35</v>
      </c>
      <c r="E10" s="24">
        <f t="shared" si="1"/>
        <v>0.77999999999999992</v>
      </c>
      <c r="G10" s="27">
        <f t="shared" si="2"/>
        <v>0.14399999999999996</v>
      </c>
    </row>
    <row r="11" spans="1:7" ht="15.75" x14ac:dyDescent="0.25">
      <c r="A11" s="1" t="s">
        <v>9</v>
      </c>
      <c r="B11" s="2">
        <v>-1250</v>
      </c>
      <c r="C11" s="24">
        <f t="shared" si="0"/>
        <v>-0.4854368932038835</v>
      </c>
      <c r="D11" s="9">
        <f>D8*C11</f>
        <v>-1375</v>
      </c>
      <c r="E11" s="24">
        <f t="shared" si="1"/>
        <v>-0.4854368932038835</v>
      </c>
      <c r="F11" t="s">
        <v>53</v>
      </c>
      <c r="G11" s="27">
        <f t="shared" si="2"/>
        <v>0.1</v>
      </c>
    </row>
    <row r="12" spans="1:7" ht="15.75" x14ac:dyDescent="0.25">
      <c r="A12" s="1" t="s">
        <v>10</v>
      </c>
      <c r="B12" s="4">
        <f>-(B36/5)</f>
        <v>-130</v>
      </c>
      <c r="C12" s="24">
        <f t="shared" si="0"/>
        <v>-5.0485436893203881E-2</v>
      </c>
      <c r="D12" s="10">
        <f>-D36/5</f>
        <v>-135.85</v>
      </c>
      <c r="E12" s="24">
        <f>D12/$D$8</f>
        <v>-4.796116504854369E-2</v>
      </c>
      <c r="F12" t="s">
        <v>54</v>
      </c>
      <c r="G12" s="27">
        <f t="shared" si="2"/>
        <v>4.4999999999999957E-2</v>
      </c>
    </row>
    <row r="13" spans="1:7" ht="15.75" x14ac:dyDescent="0.25">
      <c r="A13" s="1" t="s">
        <v>11</v>
      </c>
      <c r="B13" s="2">
        <f>SUM(B10:B12)</f>
        <v>551.25</v>
      </c>
      <c r="C13" s="24">
        <f t="shared" si="0"/>
        <v>0.21407766990291263</v>
      </c>
      <c r="D13" s="9">
        <f>SUM(D10:D12)</f>
        <v>698.49999999999989</v>
      </c>
      <c r="E13" s="24">
        <f t="shared" si="1"/>
        <v>0.24660194174757277</v>
      </c>
      <c r="G13" s="27">
        <f t="shared" si="2"/>
        <v>0.2671201814058955</v>
      </c>
    </row>
    <row r="14" spans="1:7" ht="15.75" x14ac:dyDescent="0.25">
      <c r="A14" s="1" t="s">
        <v>15</v>
      </c>
      <c r="B14" s="4">
        <f>-(B46*0.11+B45*0.09)</f>
        <v>-165.35</v>
      </c>
      <c r="C14" s="24">
        <f t="shared" si="0"/>
        <v>-6.4213592233009709E-2</v>
      </c>
      <c r="D14" s="10">
        <f>B14</f>
        <v>-165.35</v>
      </c>
      <c r="E14" s="24">
        <f t="shared" si="1"/>
        <v>-5.837599293909973E-2</v>
      </c>
      <c r="G14" s="27">
        <f t="shared" si="2"/>
        <v>0</v>
      </c>
    </row>
    <row r="15" spans="1:7" ht="15.75" x14ac:dyDescent="0.25">
      <c r="A15" s="1" t="s">
        <v>12</v>
      </c>
      <c r="B15" s="2">
        <f>SUM(B13:B14)</f>
        <v>385.9</v>
      </c>
      <c r="C15" s="24">
        <f t="shared" si="0"/>
        <v>0.1498640776699029</v>
      </c>
      <c r="D15" s="9">
        <f>SUM(D13:D14)</f>
        <v>533.14999999999986</v>
      </c>
      <c r="E15" s="24">
        <f t="shared" si="1"/>
        <v>0.18822594880847304</v>
      </c>
      <c r="G15" s="27">
        <f t="shared" si="2"/>
        <v>0.38157553770406816</v>
      </c>
    </row>
    <row r="16" spans="1:7" ht="15.75" x14ac:dyDescent="0.25">
      <c r="A16" s="1" t="s">
        <v>13</v>
      </c>
      <c r="B16" s="4">
        <f>-(B15*0.25)</f>
        <v>-96.474999999999994</v>
      </c>
      <c r="C16" s="24">
        <f t="shared" si="0"/>
        <v>-3.7466019417475724E-2</v>
      </c>
      <c r="D16" s="10">
        <f>-D15*0.25</f>
        <v>-133.28749999999997</v>
      </c>
      <c r="E16" s="24">
        <f t="shared" si="1"/>
        <v>-4.7056487202118261E-2</v>
      </c>
      <c r="F16" t="s">
        <v>51</v>
      </c>
      <c r="G16" s="27">
        <f t="shared" si="2"/>
        <v>0.38157553770406816</v>
      </c>
    </row>
    <row r="17" spans="1:13" ht="15.75" x14ac:dyDescent="0.25">
      <c r="A17" s="1" t="s">
        <v>16</v>
      </c>
      <c r="B17" s="6">
        <f>SUM(B15:B16)</f>
        <v>289.42499999999995</v>
      </c>
      <c r="C17" s="24">
        <f t="shared" si="0"/>
        <v>0.11239805825242717</v>
      </c>
      <c r="D17" s="9">
        <f>SUM(D15:D16)</f>
        <v>399.8624999999999</v>
      </c>
      <c r="E17" s="24">
        <f t="shared" si="1"/>
        <v>0.14116946160635477</v>
      </c>
      <c r="G17" s="27">
        <f t="shared" si="2"/>
        <v>0.38157553770406827</v>
      </c>
    </row>
    <row r="18" spans="1:13" ht="15.75" x14ac:dyDescent="0.25">
      <c r="A18" s="1" t="s">
        <v>17</v>
      </c>
      <c r="B18" s="4">
        <f>-(15%*B49)</f>
        <v>-76.5</v>
      </c>
      <c r="C18" s="24">
        <f t="shared" si="0"/>
        <v>-2.9708737864077669E-2</v>
      </c>
      <c r="D18" s="4">
        <f>-(15%*D49)</f>
        <v>-77.395062637665205</v>
      </c>
      <c r="E18" s="24">
        <f t="shared" si="1"/>
        <v>-2.7323940913562297E-2</v>
      </c>
      <c r="G18" s="27">
        <f t="shared" si="2"/>
        <v>1.1700165198237978E-2</v>
      </c>
    </row>
    <row r="19" spans="1:13" ht="15.75" x14ac:dyDescent="0.25">
      <c r="A19" s="1" t="s">
        <v>55</v>
      </c>
      <c r="B19" s="2">
        <f>SUM(B17:B18)</f>
        <v>212.92499999999995</v>
      </c>
      <c r="C19" s="24">
        <f t="shared" si="0"/>
        <v>8.2689320388349502E-2</v>
      </c>
      <c r="D19" s="9">
        <f>SUM(D17:D18)</f>
        <v>322.46743736233469</v>
      </c>
      <c r="E19" s="24">
        <f t="shared" si="1"/>
        <v>0.11384552069279248</v>
      </c>
      <c r="G19" s="27">
        <f t="shared" si="2"/>
        <v>0.51446489309538457</v>
      </c>
    </row>
    <row r="20" spans="1:13" ht="15.75" x14ac:dyDescent="0.25">
      <c r="A20" s="1" t="s">
        <v>18</v>
      </c>
      <c r="B20" s="4">
        <f>-B19*0.75</f>
        <v>-159.69374999999997</v>
      </c>
      <c r="C20" s="4"/>
      <c r="D20" s="4">
        <f>-D19*0.75</f>
        <v>-241.85057802175101</v>
      </c>
      <c r="E20" s="24">
        <f t="shared" si="1"/>
        <v>-8.5384140519594351E-2</v>
      </c>
      <c r="G20" s="27">
        <f t="shared" si="2"/>
        <v>0.51446489309538446</v>
      </c>
    </row>
    <row r="21" spans="1:13" ht="16.5" thickBot="1" x14ac:dyDescent="0.3">
      <c r="A21" s="3" t="s">
        <v>19</v>
      </c>
      <c r="B21" s="8">
        <f>SUM(B19:B20)</f>
        <v>53.231249999999989</v>
      </c>
      <c r="C21" s="22"/>
      <c r="D21" s="9">
        <f>SUM(D19:D20)</f>
        <v>80.616859340583687</v>
      </c>
      <c r="E21" s="24">
        <f t="shared" si="1"/>
        <v>2.8461380173198124E-2</v>
      </c>
      <c r="G21" s="27">
        <f t="shared" si="2"/>
        <v>0.51446489309538479</v>
      </c>
    </row>
    <row r="22" spans="1:13" ht="16.5" thickTop="1" x14ac:dyDescent="0.25">
      <c r="A22" s="5" t="s">
        <v>14</v>
      </c>
      <c r="B22" s="1"/>
      <c r="C22" s="1"/>
    </row>
    <row r="23" spans="1:13" ht="15.75" x14ac:dyDescent="0.25">
      <c r="A23" s="1"/>
      <c r="B23" s="1"/>
      <c r="C23" s="1"/>
    </row>
    <row r="24" spans="1:13" ht="15.75" x14ac:dyDescent="0.25">
      <c r="A24" s="1" t="s">
        <v>0</v>
      </c>
      <c r="B24" s="1"/>
      <c r="C24" s="1"/>
    </row>
    <row r="25" spans="1:13" ht="15.75" x14ac:dyDescent="0.25">
      <c r="A25" s="1" t="s">
        <v>20</v>
      </c>
    </row>
    <row r="26" spans="1:13" ht="15.75" x14ac:dyDescent="0.25">
      <c r="A26" s="1" t="s">
        <v>21</v>
      </c>
      <c r="K26" s="1" t="s">
        <v>0</v>
      </c>
      <c r="L26" s="1"/>
      <c r="M26" s="1"/>
    </row>
    <row r="27" spans="1:13" ht="15.75" x14ac:dyDescent="0.25">
      <c r="A27" s="1" t="s">
        <v>7</v>
      </c>
      <c r="K27" s="1" t="s">
        <v>59</v>
      </c>
      <c r="L27" s="1"/>
      <c r="M27" s="1"/>
    </row>
    <row r="28" spans="1:13" ht="15.75" x14ac:dyDescent="0.25">
      <c r="A28" s="1" t="s">
        <v>2</v>
      </c>
      <c r="K28" s="1" t="s">
        <v>60</v>
      </c>
      <c r="L28" s="1"/>
      <c r="M28" s="1"/>
    </row>
    <row r="29" spans="1:13" ht="15.75" x14ac:dyDescent="0.25">
      <c r="K29" s="1" t="s">
        <v>61</v>
      </c>
      <c r="L29" s="1"/>
      <c r="M29" s="1"/>
    </row>
    <row r="30" spans="1:13" ht="15.75" x14ac:dyDescent="0.25">
      <c r="B30" s="7" t="s">
        <v>5</v>
      </c>
      <c r="C30" s="7" t="s">
        <v>56</v>
      </c>
      <c r="D30" s="7" t="s">
        <v>57</v>
      </c>
      <c r="E30" s="7" t="s">
        <v>56</v>
      </c>
      <c r="G30" s="7" t="s">
        <v>69</v>
      </c>
      <c r="K30" s="1" t="s">
        <v>2</v>
      </c>
      <c r="L30" s="1"/>
      <c r="M30" s="1"/>
    </row>
    <row r="31" spans="1:13" ht="15.75" x14ac:dyDescent="0.25">
      <c r="A31" s="3" t="s">
        <v>22</v>
      </c>
    </row>
    <row r="32" spans="1:13" x14ac:dyDescent="0.25">
      <c r="A32" t="s">
        <v>23</v>
      </c>
      <c r="B32" s="9">
        <v>555</v>
      </c>
      <c r="C32" s="27">
        <f>B32/$B$39</f>
        <v>0.21022727272727273</v>
      </c>
      <c r="D32" s="9">
        <f>B32*1.1</f>
        <v>610.5</v>
      </c>
      <c r="E32" s="27">
        <f>D32/$D$39</f>
        <v>0.2213239559164733</v>
      </c>
      <c r="G32" s="27">
        <f>(D32-B32)/B32</f>
        <v>0.1</v>
      </c>
    </row>
    <row r="33" spans="1:15" ht="15.75" x14ac:dyDescent="0.25">
      <c r="A33" t="s">
        <v>24</v>
      </c>
      <c r="B33" s="9">
        <v>745</v>
      </c>
      <c r="C33" s="27">
        <f t="shared" ref="C33:C39" si="3">B33/$B$39</f>
        <v>0.28219696969696972</v>
      </c>
      <c r="D33" s="9">
        <f t="shared" ref="D33:D34" si="4">B33*1.1</f>
        <v>819.50000000000011</v>
      </c>
      <c r="E33" s="27">
        <f t="shared" ref="E33:E39" si="5">D33/$D$39</f>
        <v>0.29709251740139214</v>
      </c>
      <c r="G33" s="27">
        <f t="shared" ref="G33:G55" si="6">(D33-B33)/B33</f>
        <v>0.10000000000000016</v>
      </c>
      <c r="K33" s="1" t="s">
        <v>62</v>
      </c>
      <c r="O33" s="9">
        <f>B51</f>
        <v>260</v>
      </c>
    </row>
    <row r="34" spans="1:15" ht="15.75" x14ac:dyDescent="0.25">
      <c r="A34" t="s">
        <v>25</v>
      </c>
      <c r="B34" s="10">
        <v>950</v>
      </c>
      <c r="C34" s="27">
        <f t="shared" si="3"/>
        <v>0.35984848484848486</v>
      </c>
      <c r="D34" s="10">
        <f t="shared" si="4"/>
        <v>1045</v>
      </c>
      <c r="E34" s="27">
        <f t="shared" si="5"/>
        <v>0.37884280742459397</v>
      </c>
      <c r="G34" s="27">
        <f t="shared" si="6"/>
        <v>0.1</v>
      </c>
      <c r="K34" s="1" t="s">
        <v>63</v>
      </c>
      <c r="O34" s="10">
        <f>D17</f>
        <v>399.8624999999999</v>
      </c>
    </row>
    <row r="35" spans="1:15" ht="15.75" x14ac:dyDescent="0.25">
      <c r="A35" s="12" t="s">
        <v>26</v>
      </c>
      <c r="B35" s="13">
        <f>SUM(B32:B34)</f>
        <v>2250</v>
      </c>
      <c r="C35" s="27">
        <f t="shared" si="3"/>
        <v>0.85227272727272729</v>
      </c>
      <c r="D35" s="13">
        <f t="shared" ref="D35" si="7">SUM(D32:D34)</f>
        <v>2475</v>
      </c>
      <c r="E35" s="27">
        <f t="shared" si="5"/>
        <v>0.89725928074245942</v>
      </c>
      <c r="G35" s="27">
        <f t="shared" si="6"/>
        <v>0.1</v>
      </c>
      <c r="K35" s="1" t="s">
        <v>64</v>
      </c>
      <c r="O35" s="9">
        <f>SUM(O33:O34)</f>
        <v>659.86249999999995</v>
      </c>
    </row>
    <row r="36" spans="1:15" ht="15.75" x14ac:dyDescent="0.25">
      <c r="A36" t="s">
        <v>27</v>
      </c>
      <c r="B36" s="9">
        <v>650</v>
      </c>
      <c r="C36" s="27">
        <f t="shared" si="3"/>
        <v>0.24621212121212122</v>
      </c>
      <c r="D36" s="9">
        <f>B36*0.045+B36</f>
        <v>679.25</v>
      </c>
      <c r="E36" s="27">
        <f t="shared" si="5"/>
        <v>0.24624782482598606</v>
      </c>
      <c r="G36" s="27">
        <f t="shared" si="6"/>
        <v>4.4999999999999998E-2</v>
      </c>
      <c r="K36" s="1" t="s">
        <v>65</v>
      </c>
      <c r="O36" s="10">
        <f>D18</f>
        <v>-77.395062637665205</v>
      </c>
    </row>
    <row r="37" spans="1:15" ht="15.75" x14ac:dyDescent="0.25">
      <c r="A37" t="s">
        <v>28</v>
      </c>
      <c r="B37" s="10">
        <v>-260</v>
      </c>
      <c r="C37" s="27">
        <f t="shared" si="3"/>
        <v>-9.8484848484848481E-2</v>
      </c>
      <c r="D37" s="9">
        <f>B37+D12</f>
        <v>-395.85</v>
      </c>
      <c r="E37" s="27">
        <f t="shared" si="5"/>
        <v>-0.14350710556844548</v>
      </c>
      <c r="G37" s="27">
        <f t="shared" si="6"/>
        <v>0.52250000000000008</v>
      </c>
      <c r="K37" s="1" t="s">
        <v>66</v>
      </c>
      <c r="O37" s="9">
        <f>SUM(O35:O36)</f>
        <v>582.46743736233475</v>
      </c>
    </row>
    <row r="38" spans="1:15" ht="15.75" x14ac:dyDescent="0.25">
      <c r="A38" s="12" t="s">
        <v>29</v>
      </c>
      <c r="B38" s="13">
        <f>B36+B37</f>
        <v>390</v>
      </c>
      <c r="C38" s="27">
        <f t="shared" si="3"/>
        <v>0.14772727272727273</v>
      </c>
      <c r="D38" s="9">
        <f>SUM(D36:D37)</f>
        <v>283.39999999999998</v>
      </c>
      <c r="E38" s="27">
        <f t="shared" si="5"/>
        <v>0.10274071925754059</v>
      </c>
      <c r="G38" s="27">
        <f t="shared" si="6"/>
        <v>-0.27333333333333337</v>
      </c>
      <c r="K38" s="1" t="s">
        <v>67</v>
      </c>
      <c r="O38" s="10">
        <f>D20</f>
        <v>-241.85057802175101</v>
      </c>
    </row>
    <row r="39" spans="1:15" ht="15.75" x14ac:dyDescent="0.25">
      <c r="A39" s="17" t="s">
        <v>30</v>
      </c>
      <c r="B39" s="14">
        <f>B38+B35</f>
        <v>2640</v>
      </c>
      <c r="C39" s="27">
        <f t="shared" si="3"/>
        <v>1</v>
      </c>
      <c r="D39" s="14">
        <f t="shared" ref="D39" si="8">D38+D35</f>
        <v>2758.4</v>
      </c>
      <c r="E39" s="27">
        <f t="shared" si="5"/>
        <v>1</v>
      </c>
      <c r="G39" s="27">
        <f t="shared" si="6"/>
        <v>4.4848484848484881E-2</v>
      </c>
      <c r="K39" s="1" t="s">
        <v>68</v>
      </c>
      <c r="O39" s="25">
        <f>SUM(O37:O38)</f>
        <v>340.61685934058374</v>
      </c>
    </row>
    <row r="40" spans="1:15" x14ac:dyDescent="0.25">
      <c r="B40" s="9"/>
      <c r="C40" s="9"/>
      <c r="G40" s="27"/>
    </row>
    <row r="41" spans="1:15" ht="15.75" x14ac:dyDescent="0.25">
      <c r="A41" s="3" t="s">
        <v>31</v>
      </c>
      <c r="B41" s="9"/>
      <c r="C41" s="9"/>
      <c r="G41" s="27"/>
    </row>
    <row r="42" spans="1:15" x14ac:dyDescent="0.25">
      <c r="A42" t="s">
        <v>32</v>
      </c>
      <c r="B42" s="9">
        <v>35</v>
      </c>
      <c r="C42" s="27">
        <f>B42/$B$53</f>
        <v>1.3257575757575758E-2</v>
      </c>
      <c r="D42" s="9">
        <f>B42*1.1</f>
        <v>38.5</v>
      </c>
      <c r="E42" s="27">
        <f>D42/$D$55</f>
        <v>1.3957366589327145E-2</v>
      </c>
      <c r="G42" s="27">
        <f t="shared" si="6"/>
        <v>0.1</v>
      </c>
    </row>
    <row r="43" spans="1:15" x14ac:dyDescent="0.25">
      <c r="A43" t="s">
        <v>46</v>
      </c>
      <c r="B43" s="10">
        <v>75</v>
      </c>
      <c r="C43" s="27">
        <f t="shared" ref="C43:C53" si="9">B43/$B$53</f>
        <v>2.8409090909090908E-2</v>
      </c>
      <c r="D43" s="10">
        <f>B43*1.1</f>
        <v>82.5</v>
      </c>
      <c r="E43" s="27">
        <f t="shared" ref="E43:E55" si="10">D43/$D$55</f>
        <v>2.9908642691415313E-2</v>
      </c>
      <c r="G43" s="27">
        <f t="shared" si="6"/>
        <v>0.1</v>
      </c>
    </row>
    <row r="44" spans="1:15" x14ac:dyDescent="0.25">
      <c r="A44" s="12" t="s">
        <v>33</v>
      </c>
      <c r="B44" s="13">
        <f>SUM(B42:B43)</f>
        <v>110</v>
      </c>
      <c r="C44" s="27">
        <f t="shared" si="9"/>
        <v>4.1666666666666664E-2</v>
      </c>
      <c r="D44" s="13">
        <f t="shared" ref="D44" si="11">SUM(D42:D43)</f>
        <v>121</v>
      </c>
      <c r="E44" s="27">
        <f t="shared" si="10"/>
        <v>4.3866009280742455E-2</v>
      </c>
      <c r="G44" s="27">
        <f t="shared" si="6"/>
        <v>0.1</v>
      </c>
    </row>
    <row r="45" spans="1:15" x14ac:dyDescent="0.25">
      <c r="A45" s="21" t="s">
        <v>34</v>
      </c>
      <c r="B45" s="9">
        <v>725</v>
      </c>
      <c r="C45" s="27">
        <f t="shared" si="9"/>
        <v>0.2746212121212121</v>
      </c>
      <c r="D45" s="9">
        <f>725+B69</f>
        <v>733.48261976872254</v>
      </c>
      <c r="E45" s="27">
        <f t="shared" si="10"/>
        <v>0.26590872236395102</v>
      </c>
      <c r="G45" s="27">
        <f t="shared" si="6"/>
        <v>1.170016519823799E-2</v>
      </c>
    </row>
    <row r="46" spans="1:15" x14ac:dyDescent="0.25">
      <c r="A46" s="21" t="s">
        <v>35</v>
      </c>
      <c r="B46" s="10">
        <v>910</v>
      </c>
      <c r="C46" s="27">
        <f t="shared" si="9"/>
        <v>0.34469696969696972</v>
      </c>
      <c r="D46" s="10">
        <f>910+B70</f>
        <v>920.64715033039658</v>
      </c>
      <c r="E46" s="27">
        <f t="shared" si="10"/>
        <v>0.33376129289820061</v>
      </c>
      <c r="G46" s="27">
        <f t="shared" si="6"/>
        <v>1.1700165198238004E-2</v>
      </c>
    </row>
    <row r="47" spans="1:15" x14ac:dyDescent="0.25">
      <c r="A47" s="12" t="s">
        <v>36</v>
      </c>
      <c r="B47" s="13">
        <f>B45+B46</f>
        <v>1635</v>
      </c>
      <c r="C47" s="27">
        <f t="shared" si="9"/>
        <v>0.61931818181818177</v>
      </c>
      <c r="D47" s="13">
        <f t="shared" ref="D47" si="12">D45+D46</f>
        <v>1654.129770099119</v>
      </c>
      <c r="E47" s="27">
        <f t="shared" si="10"/>
        <v>0.59967001526215158</v>
      </c>
      <c r="G47" s="27">
        <f t="shared" si="6"/>
        <v>1.170016519823793E-2</v>
      </c>
    </row>
    <row r="48" spans="1:15" ht="15.75" x14ac:dyDescent="0.25">
      <c r="A48" s="3" t="s">
        <v>37</v>
      </c>
      <c r="B48" s="9"/>
      <c r="C48" s="27">
        <f t="shared" si="9"/>
        <v>0</v>
      </c>
      <c r="E48" s="27">
        <f t="shared" si="10"/>
        <v>0</v>
      </c>
      <c r="G48" s="27"/>
    </row>
    <row r="49" spans="1:7" x14ac:dyDescent="0.25">
      <c r="A49" s="21" t="s">
        <v>38</v>
      </c>
      <c r="B49" s="9">
        <v>510</v>
      </c>
      <c r="C49" s="27">
        <f t="shared" si="9"/>
        <v>0.19318181818181818</v>
      </c>
      <c r="D49" s="9">
        <f>510+B71</f>
        <v>515.96708425110137</v>
      </c>
      <c r="E49" s="27">
        <f t="shared" si="10"/>
        <v>0.18705303228360692</v>
      </c>
      <c r="G49" s="27">
        <f t="shared" si="6"/>
        <v>1.1700165198237978E-2</v>
      </c>
    </row>
    <row r="50" spans="1:7" x14ac:dyDescent="0.25">
      <c r="A50" s="21" t="s">
        <v>39</v>
      </c>
      <c r="B50" s="9">
        <v>125</v>
      </c>
      <c r="C50" s="27">
        <f t="shared" si="9"/>
        <v>4.7348484848484848E-2</v>
      </c>
      <c r="D50" s="9">
        <f>125+B72+0.22</f>
        <v>126.68252064977975</v>
      </c>
      <c r="E50" s="27">
        <f t="shared" si="10"/>
        <v>4.592608782257096E-2</v>
      </c>
      <c r="G50" s="27">
        <f t="shared" si="6"/>
        <v>1.3460165198237974E-2</v>
      </c>
    </row>
    <row r="51" spans="1:7" x14ac:dyDescent="0.25">
      <c r="A51" t="s">
        <v>40</v>
      </c>
      <c r="B51" s="10">
        <v>260</v>
      </c>
      <c r="C51" s="27">
        <f t="shared" si="9"/>
        <v>9.8484848484848481E-2</v>
      </c>
      <c r="D51" s="10">
        <f>B51+D21</f>
        <v>340.61685934058369</v>
      </c>
      <c r="E51" s="27">
        <f t="shared" si="10"/>
        <v>0.12348349019017679</v>
      </c>
      <c r="G51" s="27">
        <f t="shared" si="6"/>
        <v>0.31006484361762959</v>
      </c>
    </row>
    <row r="52" spans="1:7" x14ac:dyDescent="0.25">
      <c r="A52" s="12" t="s">
        <v>41</v>
      </c>
      <c r="B52" s="13">
        <f>SUM(B49:B51)</f>
        <v>895</v>
      </c>
      <c r="C52" s="27">
        <f t="shared" si="9"/>
        <v>0.33901515151515149</v>
      </c>
      <c r="D52" s="13">
        <f t="shared" ref="D52" si="13">SUM(D49:D51)</f>
        <v>983.26646424146475</v>
      </c>
      <c r="E52" s="27">
        <f t="shared" si="10"/>
        <v>0.35646261029635468</v>
      </c>
      <c r="G52" s="27">
        <f t="shared" si="6"/>
        <v>9.8621747755826536E-2</v>
      </c>
    </row>
    <row r="53" spans="1:7" x14ac:dyDescent="0.25">
      <c r="A53" s="15" t="s">
        <v>42</v>
      </c>
      <c r="B53" s="14">
        <f>B44+B47+B52</f>
        <v>2640</v>
      </c>
      <c r="C53" s="27">
        <f t="shared" si="9"/>
        <v>1</v>
      </c>
      <c r="D53" s="14">
        <f t="shared" ref="D53" si="14">D44+D47+D52</f>
        <v>2758.3962343405838</v>
      </c>
      <c r="E53" s="27">
        <f t="shared" si="10"/>
        <v>0.99999863483924867</v>
      </c>
      <c r="G53" s="27">
        <f t="shared" si="6"/>
        <v>4.4847058462342333E-2</v>
      </c>
    </row>
    <row r="54" spans="1:7" x14ac:dyDescent="0.25">
      <c r="A54" t="s">
        <v>44</v>
      </c>
      <c r="D54" s="9">
        <f>D39-D53</f>
        <v>3.765659416330891E-3</v>
      </c>
      <c r="E54" s="27">
        <f t="shared" si="10"/>
        <v>1.3651607512800504E-6</v>
      </c>
      <c r="G54" s="27"/>
    </row>
    <row r="55" spans="1:7" x14ac:dyDescent="0.25">
      <c r="A55" s="11" t="s">
        <v>45</v>
      </c>
      <c r="D55" s="26">
        <f>SUM(D53:D54)</f>
        <v>2758.4</v>
      </c>
      <c r="E55" s="27">
        <f t="shared" si="10"/>
        <v>1</v>
      </c>
      <c r="G55" s="27"/>
    </row>
    <row r="66" spans="1:7" x14ac:dyDescent="0.25">
      <c r="A66" s="18" t="s">
        <v>47</v>
      </c>
      <c r="B66" s="19">
        <f>D54</f>
        <v>3.765659416330891E-3</v>
      </c>
      <c r="C66" s="19"/>
    </row>
    <row r="68" spans="1:7" x14ac:dyDescent="0.25">
      <c r="A68" t="s">
        <v>48</v>
      </c>
      <c r="F68" t="s">
        <v>58</v>
      </c>
    </row>
    <row r="69" spans="1:7" x14ac:dyDescent="0.25">
      <c r="A69" s="20" t="s">
        <v>34</v>
      </c>
      <c r="B69" s="9">
        <v>8.4826197687225537</v>
      </c>
      <c r="C69" s="9"/>
      <c r="E69" s="20" t="s">
        <v>34</v>
      </c>
      <c r="F69" s="9">
        <f>B45</f>
        <v>725</v>
      </c>
      <c r="G69" s="24">
        <f>F69/$F$73</f>
        <v>0.31938325991189426</v>
      </c>
    </row>
    <row r="70" spans="1:7" x14ac:dyDescent="0.25">
      <c r="A70" s="20" t="s">
        <v>35</v>
      </c>
      <c r="B70" s="9">
        <v>10.647150330396585</v>
      </c>
      <c r="C70" s="9"/>
      <c r="E70" s="20" t="s">
        <v>35</v>
      </c>
      <c r="F70" s="9">
        <f>B46</f>
        <v>910</v>
      </c>
      <c r="G70" s="24">
        <f t="shared" ref="G70:G73" si="15">F70/$F$73</f>
        <v>0.40088105726872247</v>
      </c>
    </row>
    <row r="71" spans="1:7" x14ac:dyDescent="0.25">
      <c r="A71" s="20" t="s">
        <v>38</v>
      </c>
      <c r="B71" s="9">
        <v>5.9670842511013831</v>
      </c>
      <c r="C71" s="9"/>
      <c r="E71" s="20" t="s">
        <v>38</v>
      </c>
      <c r="F71" s="9">
        <f>B49</f>
        <v>510</v>
      </c>
      <c r="G71" s="24">
        <f t="shared" si="15"/>
        <v>0.22466960352422907</v>
      </c>
    </row>
    <row r="72" spans="1:7" x14ac:dyDescent="0.25">
      <c r="A72" s="20" t="s">
        <v>39</v>
      </c>
      <c r="B72" s="9">
        <v>1.4625206497797507</v>
      </c>
      <c r="C72" s="23"/>
      <c r="E72" s="20" t="s">
        <v>39</v>
      </c>
      <c r="F72" s="10">
        <f>B50</f>
        <v>125</v>
      </c>
      <c r="G72" s="24">
        <f t="shared" si="15"/>
        <v>5.5066079295154183E-2</v>
      </c>
    </row>
    <row r="73" spans="1:7" x14ac:dyDescent="0.25">
      <c r="B73" s="16">
        <f>SUM(B69:B72)</f>
        <v>26.559375000000273</v>
      </c>
      <c r="C73" s="16"/>
      <c r="F73" s="16">
        <f>SUM(F69:F72)</f>
        <v>2270</v>
      </c>
      <c r="G73" s="24">
        <f t="shared" si="15"/>
        <v>1</v>
      </c>
    </row>
    <row r="84" spans="1:8" x14ac:dyDescent="0.25">
      <c r="C84" t="s">
        <v>5</v>
      </c>
      <c r="D84" t="s">
        <v>49</v>
      </c>
      <c r="E84" s="44" t="s">
        <v>76</v>
      </c>
      <c r="F84" s="44"/>
      <c r="G84" s="44"/>
      <c r="H84" s="44"/>
    </row>
    <row r="85" spans="1:8" x14ac:dyDescent="0.25">
      <c r="A85" s="42" t="s">
        <v>70</v>
      </c>
      <c r="B85" s="43"/>
      <c r="C85" s="43"/>
      <c r="D85" s="43"/>
      <c r="E85" s="29" t="s">
        <v>77</v>
      </c>
      <c r="F85" s="29"/>
      <c r="G85" s="29"/>
      <c r="H85" s="29"/>
    </row>
    <row r="86" spans="1:8" ht="15" customHeight="1" x14ac:dyDescent="0.25">
      <c r="A86" t="s">
        <v>71</v>
      </c>
      <c r="B86" t="s">
        <v>72</v>
      </c>
      <c r="C86" s="28">
        <f>B35/B44</f>
        <v>20.454545454545453</v>
      </c>
      <c r="D86" s="28">
        <f>D35/D44</f>
        <v>20.454545454545453</v>
      </c>
      <c r="E86" s="29"/>
      <c r="F86" s="29"/>
      <c r="G86" s="29"/>
      <c r="H86" s="29"/>
    </row>
    <row r="87" spans="1:8" x14ac:dyDescent="0.25">
      <c r="B87" t="s">
        <v>73</v>
      </c>
      <c r="E87" s="29"/>
      <c r="F87" s="29"/>
      <c r="G87" s="29"/>
      <c r="H87" s="29"/>
    </row>
    <row r="88" spans="1:8" x14ac:dyDescent="0.25">
      <c r="E88" s="29"/>
      <c r="F88" s="29"/>
      <c r="G88" s="29"/>
      <c r="H88" s="29"/>
    </row>
    <row r="89" spans="1:8" x14ac:dyDescent="0.25">
      <c r="A89" t="s">
        <v>74</v>
      </c>
      <c r="B89" t="s">
        <v>75</v>
      </c>
      <c r="C89" s="28">
        <f>(B35-B34)/B44</f>
        <v>11.818181818181818</v>
      </c>
      <c r="D89" s="28">
        <f>(C35-C34)/C44</f>
        <v>11.818181818181818</v>
      </c>
      <c r="E89" s="29"/>
      <c r="F89" s="29"/>
      <c r="G89" s="29"/>
      <c r="H89" s="29"/>
    </row>
    <row r="90" spans="1:8" x14ac:dyDescent="0.25">
      <c r="B90" t="s">
        <v>73</v>
      </c>
    </row>
    <row r="91" spans="1:8" ht="15.75" thickBot="1" x14ac:dyDescent="0.3"/>
    <row r="92" spans="1:8" ht="16.5" x14ac:dyDescent="0.3">
      <c r="A92" s="30" t="s">
        <v>78</v>
      </c>
      <c r="B92" s="31"/>
      <c r="C92" s="32"/>
      <c r="D92" s="32"/>
      <c r="E92" s="32"/>
    </row>
    <row r="93" spans="1:8" ht="16.5" x14ac:dyDescent="0.3">
      <c r="A93" s="33"/>
      <c r="B93" s="34"/>
      <c r="C93" s="35"/>
      <c r="D93" s="35"/>
      <c r="E93" s="35"/>
    </row>
    <row r="94" spans="1:8" ht="16.5" x14ac:dyDescent="0.3">
      <c r="A94" s="36" t="s">
        <v>79</v>
      </c>
      <c r="B94" s="37" t="s">
        <v>80</v>
      </c>
      <c r="C94" s="38">
        <f>(B44+B47)/B39</f>
        <v>0.66098484848484851</v>
      </c>
      <c r="D94" s="38">
        <f>(D44+D47)/D39</f>
        <v>0.64353602454289405</v>
      </c>
      <c r="E94" s="38"/>
    </row>
    <row r="95" spans="1:8" ht="16.5" x14ac:dyDescent="0.3">
      <c r="A95" s="36" t="s">
        <v>81</v>
      </c>
      <c r="B95" s="34" t="s">
        <v>82</v>
      </c>
      <c r="C95" s="35"/>
      <c r="D95" s="35"/>
      <c r="E95" s="35"/>
    </row>
    <row r="96" spans="1:8" ht="16.5" x14ac:dyDescent="0.3">
      <c r="A96" s="36"/>
      <c r="B96" s="34"/>
      <c r="C96" s="35"/>
      <c r="D96" s="35"/>
      <c r="E96" s="35"/>
    </row>
    <row r="97" spans="1:5" ht="16.5" x14ac:dyDescent="0.3">
      <c r="A97" s="36" t="s">
        <v>83</v>
      </c>
      <c r="B97" s="37" t="s">
        <v>84</v>
      </c>
      <c r="C97" s="45">
        <f>B13/B14*-1</f>
        <v>3.3338373147868161</v>
      </c>
      <c r="D97" s="45">
        <f>D13/D14*-1</f>
        <v>4.2243725430904133</v>
      </c>
      <c r="E97" s="35"/>
    </row>
    <row r="98" spans="1:5" ht="17.25" thickBot="1" x14ac:dyDescent="0.35">
      <c r="A98" s="39"/>
      <c r="B98" s="40" t="s">
        <v>85</v>
      </c>
      <c r="C98" s="41"/>
      <c r="D98" s="41"/>
      <c r="E98" s="41"/>
    </row>
    <row r="99" spans="1:5" ht="15.75" thickBot="1" x14ac:dyDescent="0.3"/>
    <row r="100" spans="1:5" ht="16.5" x14ac:dyDescent="0.3">
      <c r="A100" s="46" t="s">
        <v>86</v>
      </c>
      <c r="B100" s="47"/>
      <c r="C100" s="48"/>
      <c r="D100" s="48"/>
    </row>
    <row r="101" spans="1:5" x14ac:dyDescent="0.25">
      <c r="A101" s="49"/>
      <c r="B101" s="50"/>
      <c r="C101" s="50"/>
      <c r="D101" s="50"/>
    </row>
    <row r="102" spans="1:5" ht="16.5" x14ac:dyDescent="0.3">
      <c r="A102" s="36" t="s">
        <v>87</v>
      </c>
      <c r="B102" s="37" t="s">
        <v>88</v>
      </c>
      <c r="C102" s="38">
        <f>B19/B8</f>
        <v>8.2689320388349502E-2</v>
      </c>
      <c r="D102" s="38">
        <f>D19/D8</f>
        <v>0.11384552069279248</v>
      </c>
    </row>
    <row r="103" spans="1:5" ht="16.5" x14ac:dyDescent="0.3">
      <c r="A103" s="36"/>
      <c r="B103" s="34" t="s">
        <v>3</v>
      </c>
      <c r="C103" s="34"/>
      <c r="D103" s="34"/>
    </row>
    <row r="104" spans="1:5" ht="16.5" x14ac:dyDescent="0.3">
      <c r="A104" s="36"/>
      <c r="B104" s="34"/>
      <c r="C104" s="34"/>
      <c r="D104" s="34"/>
    </row>
    <row r="105" spans="1:5" ht="16.5" x14ac:dyDescent="0.3">
      <c r="A105" s="36" t="s">
        <v>89</v>
      </c>
      <c r="B105" s="37" t="s">
        <v>88</v>
      </c>
      <c r="C105" s="38">
        <f>B19/B39</f>
        <v>8.0653409090909067E-2</v>
      </c>
      <c r="D105" s="38">
        <f>D19/D39</f>
        <v>0.11690379834771414</v>
      </c>
    </row>
    <row r="106" spans="1:5" ht="16.5" x14ac:dyDescent="0.3">
      <c r="A106" s="36"/>
      <c r="B106" s="34" t="s">
        <v>82</v>
      </c>
      <c r="C106" s="34"/>
      <c r="D106" s="34"/>
    </row>
    <row r="107" spans="1:5" ht="16.5" x14ac:dyDescent="0.3">
      <c r="A107" s="36"/>
      <c r="B107" s="34"/>
      <c r="C107" s="34"/>
      <c r="D107" s="34"/>
    </row>
    <row r="108" spans="1:5" ht="16.5" x14ac:dyDescent="0.3">
      <c r="A108" s="36" t="s">
        <v>90</v>
      </c>
      <c r="B108" s="37" t="s">
        <v>88</v>
      </c>
      <c r="C108" s="38">
        <f>B19/(B50+B51)</f>
        <v>0.55305194805194791</v>
      </c>
      <c r="D108" s="38">
        <f>D19/(D50+D51)</f>
        <v>0.69006605009616007</v>
      </c>
    </row>
    <row r="109" spans="1:5" ht="16.5" x14ac:dyDescent="0.3">
      <c r="A109" s="36" t="s">
        <v>91</v>
      </c>
      <c r="B109" s="34" t="s">
        <v>92</v>
      </c>
      <c r="C109" s="34"/>
      <c r="D109" s="34"/>
    </row>
    <row r="110" spans="1:5" ht="16.5" x14ac:dyDescent="0.3">
      <c r="A110" s="36"/>
      <c r="B110" s="34"/>
      <c r="C110" s="34"/>
      <c r="D110" s="34"/>
    </row>
    <row r="113" spans="1:4" ht="16.5" x14ac:dyDescent="0.3">
      <c r="A113" s="51" t="s">
        <v>93</v>
      </c>
      <c r="B113" s="34"/>
      <c r="C113" s="34"/>
      <c r="D113" s="34"/>
    </row>
    <row r="114" spans="1:4" ht="16.5" x14ac:dyDescent="0.3">
      <c r="A114" s="36" t="s">
        <v>94</v>
      </c>
      <c r="B114" s="37" t="s">
        <v>88</v>
      </c>
      <c r="C114" s="52" t="e">
        <f>#REF!/50</f>
        <v>#REF!</v>
      </c>
      <c r="D114" s="52" t="e">
        <f>#REF!/50</f>
        <v>#REF!</v>
      </c>
    </row>
    <row r="115" spans="1:4" ht="16.5" x14ac:dyDescent="0.3">
      <c r="A115" s="49"/>
      <c r="B115" s="34" t="s">
        <v>95</v>
      </c>
      <c r="C115" s="50"/>
      <c r="D115" s="50"/>
    </row>
    <row r="116" spans="1:4" x14ac:dyDescent="0.25">
      <c r="A116" s="49"/>
      <c r="B116" s="50"/>
      <c r="C116" s="50"/>
      <c r="D116" s="50"/>
    </row>
    <row r="117" spans="1:4" ht="16.5" x14ac:dyDescent="0.3">
      <c r="A117" s="36" t="s">
        <v>96</v>
      </c>
      <c r="B117" s="37" t="s">
        <v>97</v>
      </c>
      <c r="C117" s="53" t="e">
        <f>#REF!/50</f>
        <v>#REF!</v>
      </c>
      <c r="D117" s="53" t="e">
        <f>#REF!/50</f>
        <v>#REF!</v>
      </c>
    </row>
  </sheetData>
  <mergeCells count="2">
    <mergeCell ref="E84:H84"/>
    <mergeCell ref="E85:H89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166c9d8-24b3-4905-a1d5-62babcd3670f">
      <UserInfo>
        <DisplayName>Integrantes de la Finanzas Sección 1 Año 2022</DisplayName>
        <AccountId>52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7" ma:contentTypeDescription="Crear nuevo documento." ma:contentTypeScope="" ma:versionID="432c253ca438658ddc0f1f0ab072f527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376960a204336261187bec870999b3f4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C73A3F-1E26-495F-B906-25896751782F}">
  <ds:schemaRefs>
    <ds:schemaRef ds:uri="http://schemas.microsoft.com/office/2006/metadata/properties"/>
    <ds:schemaRef ds:uri="http://schemas.microsoft.com/office/infopath/2007/PartnerControls"/>
    <ds:schemaRef ds:uri="8166c9d8-24b3-4905-a1d5-62babcd3670f"/>
  </ds:schemaRefs>
</ds:datastoreItem>
</file>

<file path=customXml/itemProps2.xml><?xml version="1.0" encoding="utf-8"?>
<ds:datastoreItem xmlns:ds="http://schemas.openxmlformats.org/officeDocument/2006/customXml" ds:itemID="{DF9B5D15-CBEA-476C-8607-500BCF466D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D7CD47-FF69-46A4-A005-37D2CB4570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</vt:lpstr>
      <vt:lpstr>Analisis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Azurdia</cp:lastModifiedBy>
  <dcterms:created xsi:type="dcterms:W3CDTF">2022-02-14T23:54:54Z</dcterms:created>
  <dcterms:modified xsi:type="dcterms:W3CDTF">2022-02-19T02:03:02Z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