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tula" sheetId="1" r:id="rId4"/>
    <sheet state="visible" name="Caso 1" sheetId="2" r:id="rId5"/>
    <sheet state="visible" name="Caso 2" sheetId="3" r:id="rId6"/>
  </sheets>
  <definedNames/>
  <calcPr/>
</workbook>
</file>

<file path=xl/sharedStrings.xml><?xml version="1.0" encoding="utf-8"?>
<sst xmlns="http://schemas.openxmlformats.org/spreadsheetml/2006/main" count="75" uniqueCount="65">
  <si>
    <t>Universidad Rafael Landívar</t>
  </si>
  <si>
    <t>Faculta de Ingeniería</t>
  </si>
  <si>
    <t>FUNDAMENTOS DE ADMINISTRACION Y ANALISIS FINANCIERO</t>
  </si>
  <si>
    <t>Trabajo 6</t>
  </si>
  <si>
    <t>Estados Financieros Proyectos</t>
  </si>
  <si>
    <t>Santiago Bocel -1076818</t>
  </si>
  <si>
    <t>Lisbeth Diaz -  1224218</t>
  </si>
  <si>
    <t>Gerardo Acabal - 1152418</t>
  </si>
  <si>
    <t>Cristian Azurdia -1081718</t>
  </si>
  <si>
    <t>Guatemala, 25 de febrero del 2022</t>
  </si>
  <si>
    <t>a) Utilice el método de % de ventas para elaborar un estado de resultados proforma para el año 2022 que finaliza
el 31 de diciembre.</t>
  </si>
  <si>
    <t>%V</t>
  </si>
  <si>
    <t>Ventas</t>
  </si>
  <si>
    <t>(-)Costos de Ventas</t>
  </si>
  <si>
    <t>Utiliudad Bruta</t>
  </si>
  <si>
    <t>(-)Gastos Operativos</t>
  </si>
  <si>
    <t>Utilidad Operativa</t>
  </si>
  <si>
    <t>(-) Intereses</t>
  </si>
  <si>
    <t>Utilidad antes de Impuestos</t>
  </si>
  <si>
    <r>
      <rPr>
        <rFont val="Arial"/>
        <color theme="1"/>
      </rPr>
      <t xml:space="preserve">(-) ISR </t>
    </r>
    <r>
      <rPr>
        <rFont val="Arial"/>
        <b/>
        <color theme="1"/>
      </rPr>
      <t>(25%)</t>
    </r>
  </si>
  <si>
    <t>Utilidad Neta después de impuestos</t>
  </si>
  <si>
    <t xml:space="preserve">(-) Dividendos </t>
  </si>
  <si>
    <t>UDAC</t>
  </si>
  <si>
    <t>b) Use los datos de costo fijo y variable para elaborar un estado de resultados proforma para el año 2022 que
finaliza el 31 de diciembre.</t>
  </si>
  <si>
    <r>
      <rPr>
        <rFont val="Arial"/>
        <b/>
        <color theme="1"/>
      </rPr>
      <t xml:space="preserve"> </t>
    </r>
    <r>
      <rPr>
        <rFont val="Arial"/>
        <b val="0"/>
        <color theme="1"/>
      </rPr>
      <t>- Costo de ventas</t>
    </r>
  </si>
  <si>
    <t>Costos Fijos</t>
  </si>
  <si>
    <t>Costo variable</t>
  </si>
  <si>
    <t>Utilidad bruta</t>
  </si>
  <si>
    <t xml:space="preserve"> - Gastos operativos</t>
  </si>
  <si>
    <t>Gastos fijos</t>
  </si>
  <si>
    <t>Gastos Variables</t>
  </si>
  <si>
    <t xml:space="preserve"> - Gastos por intereses</t>
  </si>
  <si>
    <t>Utilidad neta antes de impuestos</t>
  </si>
  <si>
    <t xml:space="preserve"> - impuestos ISR (%25)</t>
  </si>
  <si>
    <t>Utilidad neta despues de impuestos</t>
  </si>
  <si>
    <t xml:space="preserve"> - Dividendos</t>
  </si>
  <si>
    <t>Utilidad retenida</t>
  </si>
  <si>
    <t>FLORESTA, S.A.</t>
  </si>
  <si>
    <t>BALANCE GENERAL</t>
  </si>
  <si>
    <t>AL 31 DE DICIEMBRE DE CADA AÑO</t>
  </si>
  <si>
    <t>(HISTÓRICO: 2021, PRONOSTICADO: 2022)</t>
  </si>
  <si>
    <t>EXPRESADO EN MILES DE DOLARES</t>
  </si>
  <si>
    <t>ACTIVOS</t>
  </si>
  <si>
    <t>HISTÓRICO</t>
  </si>
  <si>
    <t>PRONOSTICADO</t>
  </si>
  <si>
    <t>Efectivo</t>
  </si>
  <si>
    <t>Valores Negociables</t>
  </si>
  <si>
    <t>Cuentas por Cobrar</t>
  </si>
  <si>
    <t>Inventarios</t>
  </si>
  <si>
    <t>Total Activo Corriente</t>
  </si>
  <si>
    <t>Activos Fijos Netos</t>
  </si>
  <si>
    <t>Total ACTIVO</t>
  </si>
  <si>
    <t>PASIVOS + PATRIMONIO</t>
  </si>
  <si>
    <t>Cuentas por Pagar</t>
  </si>
  <si>
    <t>Deudas pendientes</t>
  </si>
  <si>
    <t>Otros pasivos corrientes</t>
  </si>
  <si>
    <t>Total Pasivo Corriente</t>
  </si>
  <si>
    <t>Deuda a Largo Plazo</t>
  </si>
  <si>
    <t>Capital Acciones Común</t>
  </si>
  <si>
    <t>Total PASIVO+ PATRIM.</t>
  </si>
  <si>
    <t>SUMA IGUAL AL ACTIVO</t>
  </si>
  <si>
    <t>ESTADO DE RESULTADOS</t>
  </si>
  <si>
    <t>Utilidad Neta</t>
  </si>
  <si>
    <t>(-) Dividendos Comunes</t>
  </si>
  <si>
    <t>Utilidad Retenida del 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</si>
</sst>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Q]#,##0.00"/>
    <numFmt numFmtId="165" formatCode="[$$]#,##0.00"/>
  </numFmts>
  <fonts count="14">
    <font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00"/>
      <name val="Arial"/>
    </font>
    <font>
      <color theme="1"/>
      <name val="Arial"/>
    </font>
    <font>
      <sz val="26.0"/>
      <color rgb="FF000000"/>
      <name val="Arial"/>
    </font>
    <font>
      <b/>
      <color rgb="FF000000"/>
      <name val="Arial"/>
    </font>
    <font>
      <b/>
      <color theme="1"/>
      <name val="Arial"/>
    </font>
    <font>
      <sz val="11.0"/>
      <color theme="1"/>
      <name val="&quot;Segoe UI&quot;"/>
    </font>
    <font/>
    <font>
      <b/>
      <sz val="11.0"/>
      <color theme="1"/>
      <name val="&quot;Segoe UI&quot;"/>
    </font>
    <font>
      <b/>
      <sz val="11.0"/>
      <color theme="1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10" xfId="0" applyFont="1" applyNumberFormat="1"/>
    <xf borderId="0" fillId="0" fontId="5" numFmtId="164" xfId="0" applyAlignment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164" xfId="0" applyFont="1" applyNumberFormat="1"/>
    <xf borderId="2" fillId="0" fontId="5" numFmtId="164" xfId="0" applyBorder="1" applyFont="1" applyNumberFormat="1"/>
    <xf borderId="2" fillId="0" fontId="5" numFmtId="164" xfId="0" applyAlignment="1" applyBorder="1" applyFont="1" applyNumberFormat="1">
      <alignment readingOrder="0"/>
    </xf>
    <xf borderId="3" fillId="0" fontId="8" numFmtId="164" xfId="0" applyBorder="1" applyFont="1" applyNumberForma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1" fillId="0" fontId="5" numFmtId="164" xfId="0" applyBorder="1" applyFont="1" applyNumberFormat="1"/>
    <xf borderId="4" fillId="0" fontId="8" numFmtId="164" xfId="0" applyBorder="1" applyFont="1" applyNumberFormat="1"/>
    <xf borderId="5" fillId="0" fontId="9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0" fontId="11" numFmtId="0" xfId="0" applyAlignment="1" applyBorder="1" applyFont="1">
      <alignment horizontal="right" readingOrder="0"/>
    </xf>
    <xf borderId="5" fillId="0" fontId="12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8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/>
    </xf>
    <xf borderId="0" fillId="0" fontId="3" numFmtId="165" xfId="0" applyFont="1" applyNumberFormat="1"/>
    <xf borderId="0" fillId="0" fontId="2" numFmtId="165" xfId="0" applyAlignment="1" applyFont="1" applyNumberFormat="1">
      <alignment horizontal="right" readingOrder="0" shrinkToFit="0" vertical="bottom" wrapText="0"/>
    </xf>
    <xf borderId="1" fillId="0" fontId="3" numFmtId="165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8" fillId="0" fontId="9" numFmtId="49" xfId="0" applyBorder="1" applyFont="1" applyNumberFormat="1"/>
    <xf borderId="0" fillId="0" fontId="2" numFmtId="0" xfId="0" applyAlignment="1" applyFont="1">
      <alignment shrinkToFit="0" vertical="bottom" wrapText="0"/>
    </xf>
    <xf borderId="8" fillId="0" fontId="3" numFmtId="165" xfId="0" applyAlignment="1" applyBorder="1" applyFont="1" applyNumberFormat="1">
      <alignment readingOrder="0"/>
    </xf>
    <xf borderId="0" fillId="2" fontId="13" numFmtId="0" xfId="0" applyAlignment="1" applyFill="1" applyFont="1">
      <alignment horizontal="left" readingOrder="0"/>
    </xf>
    <xf borderId="4" fillId="0" fontId="3" numFmtId="165" xfId="0" applyBorder="1" applyFont="1" applyNumberFormat="1"/>
    <xf borderId="4" fillId="0" fontId="13" numFmtId="165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readingOrder="0" shrinkToFit="0" vertical="bottom" wrapText="0"/>
    </xf>
    <xf borderId="4" fillId="0" fontId="2" numFmtId="165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odleacad.url.edu.gt/course/view.php?id=127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2.57"/>
    <col customWidth="1" min="7" max="7" width="27.57"/>
    <col customWidth="1" min="8" max="8" width="23.43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C2" s="1"/>
      <c r="D2" s="1"/>
      <c r="E2" s="1"/>
      <c r="F2" s="1"/>
      <c r="G2" s="1"/>
      <c r="I2" s="3"/>
      <c r="J2" s="4"/>
    </row>
    <row r="3">
      <c r="A3" s="2" t="s">
        <v>1</v>
      </c>
      <c r="C3" s="1"/>
      <c r="D3" s="1"/>
      <c r="E3" s="1"/>
      <c r="F3" s="1"/>
      <c r="G3" s="1"/>
    </row>
    <row r="4">
      <c r="A4" s="5" t="s">
        <v>2</v>
      </c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  <c r="L7" s="3"/>
      <c r="M7" s="7"/>
    </row>
    <row r="8">
      <c r="A8" s="8" t="s">
        <v>3</v>
      </c>
      <c r="F8" s="1"/>
      <c r="G8" s="1"/>
    </row>
    <row r="9">
      <c r="A9" s="9"/>
      <c r="B9" s="10" t="s">
        <v>4</v>
      </c>
      <c r="E9" s="1"/>
      <c r="F9" s="1"/>
      <c r="G9" s="1"/>
    </row>
    <row r="10">
      <c r="A10" s="11"/>
      <c r="B10" s="12"/>
      <c r="C10" s="1"/>
      <c r="D10" s="1"/>
      <c r="E10" s="1"/>
      <c r="F10" s="1"/>
      <c r="G10" s="1"/>
    </row>
    <row r="11">
      <c r="A11" s="12"/>
      <c r="B11" s="13"/>
      <c r="C11" s="1"/>
      <c r="D11" s="1"/>
      <c r="E11" s="1"/>
      <c r="F11" s="1"/>
      <c r="G11" s="1"/>
      <c r="L11" s="14"/>
    </row>
    <row r="12">
      <c r="A12" s="12"/>
      <c r="B12" s="12"/>
      <c r="C12" s="12"/>
      <c r="D12" s="12"/>
      <c r="E12" s="1"/>
      <c r="F12" s="1"/>
      <c r="G12" s="1"/>
    </row>
    <row r="13">
      <c r="A13" s="1"/>
      <c r="B13" s="15"/>
      <c r="C13" s="1"/>
      <c r="D13" s="1"/>
      <c r="E13" s="1"/>
      <c r="F13" s="1"/>
      <c r="G13" s="16" t="s">
        <v>5</v>
      </c>
    </row>
    <row r="14">
      <c r="A14" s="1"/>
      <c r="B14" s="15"/>
      <c r="C14" s="1"/>
      <c r="D14" s="1"/>
      <c r="E14" s="1"/>
      <c r="F14" s="1"/>
      <c r="G14" s="16" t="s">
        <v>6</v>
      </c>
    </row>
    <row r="15">
      <c r="A15" s="1"/>
      <c r="B15" s="15"/>
      <c r="C15" s="1"/>
      <c r="D15" s="1"/>
      <c r="E15" s="1"/>
      <c r="F15" s="1"/>
      <c r="G15" s="16" t="s">
        <v>7</v>
      </c>
    </row>
    <row r="16">
      <c r="A16" s="12"/>
      <c r="B16" s="11"/>
      <c r="C16" s="12"/>
      <c r="D16" s="12"/>
      <c r="E16" s="12"/>
      <c r="F16" s="1"/>
      <c r="G16" s="16" t="s">
        <v>8</v>
      </c>
    </row>
    <row r="17">
      <c r="A17" s="1"/>
      <c r="B17" s="9"/>
      <c r="C17" s="1"/>
      <c r="D17" s="1"/>
      <c r="E17" s="1"/>
      <c r="F17" s="1"/>
      <c r="G17" s="1"/>
    </row>
    <row r="18">
      <c r="A18" s="1"/>
      <c r="B18" s="9"/>
      <c r="C18" s="1"/>
      <c r="D18" s="1"/>
      <c r="E18" s="1"/>
      <c r="F18" s="1"/>
      <c r="G18" s="1"/>
    </row>
    <row r="19">
      <c r="A19" s="1"/>
      <c r="B19" s="9"/>
      <c r="C19" s="1"/>
      <c r="D19" s="1"/>
      <c r="E19" s="1"/>
      <c r="F19" s="1"/>
      <c r="G19" s="1"/>
    </row>
    <row r="20">
      <c r="A20" s="1"/>
      <c r="B20" s="1"/>
      <c r="C20" s="17" t="s">
        <v>9</v>
      </c>
      <c r="D20" s="1"/>
      <c r="E20" s="1"/>
      <c r="F20" s="1"/>
      <c r="G20" s="1"/>
    </row>
    <row r="21">
      <c r="A21" s="15"/>
      <c r="B21" s="1"/>
      <c r="C21" s="1"/>
      <c r="D21" s="1"/>
      <c r="E21" s="1"/>
      <c r="F21" s="1"/>
      <c r="G21" s="12"/>
    </row>
    <row r="22">
      <c r="A22" s="1"/>
      <c r="B22" s="15"/>
      <c r="C22" s="1"/>
      <c r="D22" s="1"/>
      <c r="E22" s="1"/>
      <c r="F22" s="1"/>
      <c r="G22" s="17"/>
    </row>
    <row r="23">
      <c r="A23" s="1"/>
      <c r="B23" s="15"/>
      <c r="C23" s="1"/>
      <c r="D23" s="1"/>
      <c r="E23" s="1"/>
      <c r="F23" s="1"/>
      <c r="G23" s="17"/>
    </row>
    <row r="24">
      <c r="A24" s="1"/>
      <c r="B24" s="9"/>
      <c r="C24" s="1"/>
      <c r="D24" s="1"/>
      <c r="E24" s="1"/>
      <c r="F24" s="1"/>
      <c r="G24" s="17"/>
    </row>
    <row r="25">
      <c r="A25" s="1"/>
      <c r="B25" s="9"/>
      <c r="C25" s="1"/>
      <c r="D25" s="1"/>
      <c r="E25" s="1"/>
      <c r="F25" s="1"/>
      <c r="G25" s="1"/>
    </row>
    <row r="26">
      <c r="A26" s="1"/>
      <c r="B26" s="9"/>
      <c r="C26" s="1"/>
      <c r="D26" s="1"/>
      <c r="E26" s="1"/>
      <c r="F26" s="1"/>
      <c r="G26" s="1"/>
    </row>
    <row r="27">
      <c r="A27" s="1"/>
      <c r="B27" s="9"/>
      <c r="C27" s="1"/>
      <c r="D27" s="1"/>
      <c r="E27" s="1"/>
      <c r="F27" s="1"/>
      <c r="G27" s="1"/>
    </row>
    <row r="28">
      <c r="A28" s="1"/>
      <c r="B28" s="1"/>
      <c r="C28" s="17"/>
      <c r="D28" s="1"/>
      <c r="E28" s="1"/>
      <c r="F28" s="1"/>
      <c r="G28" s="1"/>
    </row>
    <row r="29">
      <c r="A29" s="15"/>
      <c r="B29" s="1"/>
      <c r="C29" s="1"/>
      <c r="D29" s="1"/>
      <c r="E29" s="1"/>
      <c r="F29" s="1"/>
      <c r="G29" s="1"/>
    </row>
  </sheetData>
  <mergeCells count="5">
    <mergeCell ref="A2:B2"/>
    <mergeCell ref="A3:B3"/>
    <mergeCell ref="A4:D4"/>
    <mergeCell ref="A8:E8"/>
    <mergeCell ref="B9:D9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</cols>
  <sheetData>
    <row r="1">
      <c r="A1" s="7" t="s">
        <v>10</v>
      </c>
    </row>
    <row r="2">
      <c r="B2" s="7">
        <v>2021.0</v>
      </c>
      <c r="C2" s="7" t="s">
        <v>11</v>
      </c>
      <c r="D2" s="7">
        <v>2022.0</v>
      </c>
      <c r="E2" s="7" t="s">
        <v>11</v>
      </c>
    </row>
    <row r="3">
      <c r="A3" s="7" t="s">
        <v>12</v>
      </c>
      <c r="B3" s="18">
        <v>1400000.0</v>
      </c>
      <c r="C3" s="19">
        <f t="shared" ref="C3:C13" si="1">B3/$B$3</f>
        <v>1</v>
      </c>
      <c r="D3" s="20">
        <v>1500000.0</v>
      </c>
      <c r="E3" s="19">
        <f t="shared" ref="E3:E13" si="2">D3/$D$3</f>
        <v>1</v>
      </c>
    </row>
    <row r="4">
      <c r="A4" s="7" t="s">
        <v>13</v>
      </c>
      <c r="B4" s="21">
        <v>910000.0</v>
      </c>
      <c r="C4" s="19">
        <f t="shared" si="1"/>
        <v>0.65</v>
      </c>
      <c r="D4" s="22">
        <f>-D3*C4</f>
        <v>-975000</v>
      </c>
      <c r="E4" s="19">
        <f t="shared" si="2"/>
        <v>-0.65</v>
      </c>
    </row>
    <row r="5">
      <c r="A5" s="7" t="s">
        <v>14</v>
      </c>
      <c r="B5" s="18">
        <v>490000.0</v>
      </c>
      <c r="C5" s="19">
        <f t="shared" si="1"/>
        <v>0.35</v>
      </c>
      <c r="D5" s="23">
        <f>D3+D4</f>
        <v>525000</v>
      </c>
      <c r="E5" s="19">
        <f t="shared" si="2"/>
        <v>0.35</v>
      </c>
    </row>
    <row r="6">
      <c r="A6" s="7" t="s">
        <v>15</v>
      </c>
      <c r="B6" s="20">
        <v>120000.0</v>
      </c>
      <c r="C6" s="19">
        <f t="shared" si="1"/>
        <v>0.08571428571</v>
      </c>
      <c r="D6" s="22">
        <f>-D3*C6</f>
        <v>-128571.4286</v>
      </c>
      <c r="E6" s="19">
        <f t="shared" si="2"/>
        <v>-0.08571428571</v>
      </c>
    </row>
    <row r="7">
      <c r="A7" s="7" t="s">
        <v>16</v>
      </c>
      <c r="B7" s="24">
        <f>B5-B6</f>
        <v>370000</v>
      </c>
      <c r="C7" s="19">
        <f t="shared" si="1"/>
        <v>0.2642857143</v>
      </c>
      <c r="D7" s="23">
        <f>D5+D6</f>
        <v>396428.5714</v>
      </c>
      <c r="E7" s="19">
        <f t="shared" si="2"/>
        <v>0.2642857143</v>
      </c>
    </row>
    <row r="8">
      <c r="A8" s="7" t="s">
        <v>17</v>
      </c>
      <c r="B8" s="20">
        <v>35000.0</v>
      </c>
      <c r="C8" s="19">
        <f t="shared" si="1"/>
        <v>0.025</v>
      </c>
      <c r="D8" s="18">
        <v>-35000.0</v>
      </c>
      <c r="E8" s="19">
        <f t="shared" si="2"/>
        <v>-0.02333333333</v>
      </c>
    </row>
    <row r="9">
      <c r="A9" s="7" t="s">
        <v>18</v>
      </c>
      <c r="B9" s="24">
        <v>335000.0</v>
      </c>
      <c r="C9" s="19">
        <f t="shared" si="1"/>
        <v>0.2392857143</v>
      </c>
      <c r="D9" s="23">
        <f>SUM(D7:D8)</f>
        <v>361428.5714</v>
      </c>
      <c r="E9" s="19">
        <f t="shared" si="2"/>
        <v>0.240952381</v>
      </c>
    </row>
    <row r="10">
      <c r="A10" s="7" t="s">
        <v>19</v>
      </c>
      <c r="B10" s="20">
        <v>134000.0</v>
      </c>
      <c r="C10" s="19">
        <f t="shared" si="1"/>
        <v>0.09571428571</v>
      </c>
      <c r="D10" s="22">
        <f>-D9*0.25</f>
        <v>-90357.14286</v>
      </c>
      <c r="E10" s="19">
        <f t="shared" si="2"/>
        <v>-0.06023809524</v>
      </c>
    </row>
    <row r="11">
      <c r="A11" s="7" t="s">
        <v>20</v>
      </c>
      <c r="B11" s="23">
        <f>B9-B10</f>
        <v>201000</v>
      </c>
      <c r="C11" s="19">
        <f t="shared" si="1"/>
        <v>0.1435714286</v>
      </c>
      <c r="D11" s="23">
        <f>SUM(D9:D10)</f>
        <v>271071.4286</v>
      </c>
      <c r="E11" s="19">
        <f t="shared" si="2"/>
        <v>0.1807142857</v>
      </c>
    </row>
    <row r="12">
      <c r="A12" s="7" t="s">
        <v>21</v>
      </c>
      <c r="B12" s="20">
        <v>66000.0</v>
      </c>
      <c r="C12" s="19">
        <f t="shared" si="1"/>
        <v>0.04714285714</v>
      </c>
      <c r="D12" s="20">
        <v>-70000.0</v>
      </c>
      <c r="E12" s="19">
        <f t="shared" si="2"/>
        <v>-0.04666666667</v>
      </c>
    </row>
    <row r="13">
      <c r="A13" s="7" t="s">
        <v>22</v>
      </c>
      <c r="B13" s="25">
        <f>B11-B12</f>
        <v>135000</v>
      </c>
      <c r="C13" s="19">
        <f t="shared" si="1"/>
        <v>0.09642857143</v>
      </c>
      <c r="D13" s="25">
        <f>SUM(D11:D12)</f>
        <v>201071.4286</v>
      </c>
      <c r="E13" s="19">
        <f t="shared" si="2"/>
        <v>0.134047619</v>
      </c>
    </row>
    <row r="14">
      <c r="B14" s="22"/>
      <c r="D14" s="22"/>
    </row>
    <row r="22">
      <c r="A22" s="7" t="s">
        <v>23</v>
      </c>
    </row>
    <row r="25">
      <c r="B25" s="7">
        <v>2021.0</v>
      </c>
      <c r="C25" s="7" t="s">
        <v>11</v>
      </c>
      <c r="D25" s="7">
        <v>2022.0</v>
      </c>
    </row>
    <row r="26">
      <c r="A26" s="26" t="s">
        <v>12</v>
      </c>
      <c r="B26" s="20">
        <v>1400000.0</v>
      </c>
      <c r="C26" s="19"/>
      <c r="D26" s="22">
        <f>D3</f>
        <v>1500000</v>
      </c>
    </row>
    <row r="27">
      <c r="A27" s="26" t="s">
        <v>24</v>
      </c>
      <c r="B27" s="22">
        <f>-B4</f>
        <v>-910000</v>
      </c>
      <c r="C27" s="19"/>
      <c r="D27" s="22">
        <f>-SUM(D28:D29)</f>
        <v>-960000</v>
      </c>
    </row>
    <row r="28">
      <c r="A28" s="27" t="s">
        <v>25</v>
      </c>
      <c r="B28" s="22">
        <v>210000.0</v>
      </c>
      <c r="C28" s="19"/>
      <c r="D28" s="22">
        <f>B28</f>
        <v>210000</v>
      </c>
    </row>
    <row r="29">
      <c r="A29" s="27" t="s">
        <v>26</v>
      </c>
      <c r="B29" s="21">
        <v>700000.0</v>
      </c>
      <c r="C29" s="19">
        <f>B29/$B$26</f>
        <v>0.5</v>
      </c>
      <c r="D29" s="28">
        <f>D26*C29</f>
        <v>750000</v>
      </c>
    </row>
    <row r="30">
      <c r="A30" s="7" t="s">
        <v>27</v>
      </c>
      <c r="B30" s="22">
        <f>B26+B27</f>
        <v>490000</v>
      </c>
      <c r="C30" s="19"/>
      <c r="D30" s="22">
        <f>SUM(D26:D27)</f>
        <v>540000</v>
      </c>
    </row>
    <row r="31">
      <c r="A31" s="7" t="s">
        <v>28</v>
      </c>
      <c r="B31" s="20">
        <v>-120000.0</v>
      </c>
      <c r="C31" s="19"/>
      <c r="D31" s="22">
        <f>-SUM(D32:D33)</f>
        <v>-126000</v>
      </c>
    </row>
    <row r="32">
      <c r="A32" s="27" t="s">
        <v>29</v>
      </c>
      <c r="B32" s="20">
        <v>36000.0</v>
      </c>
      <c r="C32" s="19"/>
      <c r="D32" s="22">
        <f>B32</f>
        <v>36000</v>
      </c>
    </row>
    <row r="33">
      <c r="A33" s="27" t="s">
        <v>30</v>
      </c>
      <c r="B33" s="28">
        <v>84000.0</v>
      </c>
      <c r="C33" s="19">
        <f>B33/$B$26</f>
        <v>0.06</v>
      </c>
      <c r="D33" s="28">
        <f>D26*C33</f>
        <v>90000</v>
      </c>
    </row>
    <row r="34">
      <c r="A34" s="7" t="s">
        <v>16</v>
      </c>
      <c r="B34" s="20">
        <v>370000.0</v>
      </c>
      <c r="D34" s="20">
        <f>SUM(D30:D31)</f>
        <v>414000</v>
      </c>
    </row>
    <row r="35">
      <c r="A35" s="7" t="s">
        <v>31</v>
      </c>
      <c r="B35" s="21">
        <v>-35000.0</v>
      </c>
      <c r="D35" s="21">
        <v>-35000.0</v>
      </c>
    </row>
    <row r="36">
      <c r="A36" s="7" t="s">
        <v>32</v>
      </c>
      <c r="B36" s="22">
        <f>B34+B35</f>
        <v>335000</v>
      </c>
      <c r="C36" s="19"/>
      <c r="D36" s="22">
        <f>D34+D35</f>
        <v>379000</v>
      </c>
    </row>
    <row r="37">
      <c r="A37" s="7" t="s">
        <v>33</v>
      </c>
      <c r="B37" s="28">
        <f>B10</f>
        <v>134000</v>
      </c>
      <c r="C37" s="19"/>
      <c r="D37" s="28">
        <f>-D36*0.4</f>
        <v>-151600</v>
      </c>
    </row>
    <row r="38">
      <c r="A38" s="7" t="s">
        <v>34</v>
      </c>
      <c r="B38" s="22">
        <f>B36-B37</f>
        <v>201000</v>
      </c>
      <c r="C38" s="19"/>
      <c r="D38" s="22">
        <f>SUM(D36:D37)</f>
        <v>227400</v>
      </c>
    </row>
    <row r="39">
      <c r="A39" s="7" t="s">
        <v>35</v>
      </c>
      <c r="B39" s="28">
        <f t="shared" ref="B39:B40" si="3">B12</f>
        <v>66000</v>
      </c>
      <c r="C39" s="19"/>
      <c r="D39" s="28">
        <f>D12</f>
        <v>-70000</v>
      </c>
    </row>
    <row r="40">
      <c r="A40" s="7" t="s">
        <v>36</v>
      </c>
      <c r="B40" s="29">
        <f t="shared" si="3"/>
        <v>135000</v>
      </c>
      <c r="C40" s="19"/>
      <c r="D40" s="29">
        <f>SUM(D38:D39)</f>
        <v>157400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43"/>
    <col customWidth="1" min="7" max="7" width="19.0"/>
    <col customWidth="1" min="8" max="8" width="17.57"/>
  </cols>
  <sheetData>
    <row r="1">
      <c r="A1" s="2" t="s">
        <v>37</v>
      </c>
      <c r="B1" s="3"/>
      <c r="C1" s="3"/>
    </row>
    <row r="2">
      <c r="A2" s="2" t="s">
        <v>38</v>
      </c>
      <c r="B2" s="3"/>
      <c r="C2" s="3"/>
    </row>
    <row r="3">
      <c r="A3" s="2" t="s">
        <v>39</v>
      </c>
      <c r="B3" s="3"/>
      <c r="C3" s="3"/>
    </row>
    <row r="4">
      <c r="A4" s="2" t="s">
        <v>40</v>
      </c>
      <c r="B4" s="3"/>
      <c r="C4" s="3"/>
    </row>
    <row r="5">
      <c r="A5" s="2" t="s">
        <v>41</v>
      </c>
      <c r="B5" s="3"/>
      <c r="C5" s="3"/>
    </row>
    <row r="6">
      <c r="A6" s="30"/>
      <c r="B6" s="31"/>
      <c r="C6" s="31"/>
      <c r="D6" s="32"/>
      <c r="E6" s="33">
        <v>2021.0</v>
      </c>
      <c r="F6" s="7">
        <v>2021.0</v>
      </c>
      <c r="G6" s="7">
        <v>2022.0</v>
      </c>
      <c r="H6" s="7">
        <v>2023.0</v>
      </c>
    </row>
    <row r="7">
      <c r="A7" s="34" t="s">
        <v>42</v>
      </c>
      <c r="B7" s="31"/>
      <c r="C7" s="31"/>
      <c r="D7" s="32"/>
      <c r="E7" s="35"/>
      <c r="F7" s="7" t="s">
        <v>43</v>
      </c>
      <c r="G7" s="7" t="s">
        <v>44</v>
      </c>
      <c r="H7" s="7" t="s">
        <v>44</v>
      </c>
    </row>
    <row r="8">
      <c r="A8" s="36" t="s">
        <v>45</v>
      </c>
      <c r="B8" s="31"/>
      <c r="C8" s="31"/>
      <c r="D8" s="32"/>
      <c r="E8" s="37">
        <v>400.0</v>
      </c>
      <c r="F8" s="38">
        <f t="shared" ref="F8:F14" si="2">E8*1000</f>
        <v>400000</v>
      </c>
      <c r="G8" s="39">
        <f t="shared" ref="G8:H8" si="1">480*1000</f>
        <v>480000</v>
      </c>
      <c r="H8" s="39">
        <f t="shared" si="1"/>
        <v>480000</v>
      </c>
    </row>
    <row r="9">
      <c r="A9" s="36" t="s">
        <v>46</v>
      </c>
      <c r="B9" s="31"/>
      <c r="C9" s="31"/>
      <c r="D9" s="32"/>
      <c r="E9" s="37">
        <v>200.0</v>
      </c>
      <c r="F9" s="38">
        <f t="shared" si="2"/>
        <v>200000</v>
      </c>
      <c r="G9" s="40">
        <f t="shared" ref="G9:H9" si="3">F9</f>
        <v>200000</v>
      </c>
      <c r="H9" s="40">
        <f t="shared" si="3"/>
        <v>200000</v>
      </c>
    </row>
    <row r="10">
      <c r="A10" s="36" t="s">
        <v>47</v>
      </c>
      <c r="B10" s="31"/>
      <c r="C10" s="31"/>
      <c r="D10" s="32"/>
      <c r="E10" s="37">
        <v>1200.0</v>
      </c>
      <c r="F10" s="38">
        <f t="shared" si="2"/>
        <v>1200000</v>
      </c>
      <c r="G10" s="41">
        <f>11000000*0.12</f>
        <v>1320000</v>
      </c>
      <c r="H10" s="41">
        <f>12000000*0.12</f>
        <v>1440000</v>
      </c>
    </row>
    <row r="11">
      <c r="A11" s="36" t="s">
        <v>48</v>
      </c>
      <c r="B11" s="31"/>
      <c r="C11" s="31"/>
      <c r="D11" s="32"/>
      <c r="E11" s="37">
        <v>1800.0</v>
      </c>
      <c r="F11" s="42">
        <f t="shared" si="2"/>
        <v>1800000</v>
      </c>
      <c r="G11" s="43">
        <f>11000000*0.18</f>
        <v>1980000</v>
      </c>
      <c r="H11" s="43">
        <f>12000000*0.18</f>
        <v>2160000</v>
      </c>
    </row>
    <row r="12">
      <c r="A12" s="36" t="s">
        <v>49</v>
      </c>
      <c r="B12" s="31"/>
      <c r="C12" s="31"/>
      <c r="D12" s="32"/>
      <c r="E12" s="37">
        <v>3600.0</v>
      </c>
      <c r="F12" s="38">
        <f t="shared" si="2"/>
        <v>3600000</v>
      </c>
      <c r="G12" s="41">
        <f t="shared" ref="G12:H12" si="4">SUM(G8:G11)</f>
        <v>3980000</v>
      </c>
      <c r="H12" s="41">
        <f t="shared" si="4"/>
        <v>4280000</v>
      </c>
    </row>
    <row r="13">
      <c r="A13" s="36" t="s">
        <v>50</v>
      </c>
      <c r="B13" s="31"/>
      <c r="C13" s="31"/>
      <c r="D13" s="32"/>
      <c r="E13" s="37">
        <v>4000.0</v>
      </c>
      <c r="F13" s="42">
        <f t="shared" si="2"/>
        <v>4000000</v>
      </c>
      <c r="G13" s="43">
        <f>F13+650000-290000</f>
        <v>4360000</v>
      </c>
      <c r="H13" s="43">
        <f>G13+850000-390000</f>
        <v>4820000</v>
      </c>
    </row>
    <row r="14">
      <c r="A14" s="36" t="s">
        <v>51</v>
      </c>
      <c r="B14" s="31"/>
      <c r="C14" s="31"/>
      <c r="D14" s="32"/>
      <c r="E14" s="37">
        <v>7600.0</v>
      </c>
      <c r="F14" s="38">
        <f t="shared" si="2"/>
        <v>7600000</v>
      </c>
      <c r="G14" s="41">
        <f t="shared" ref="G14:H14" si="5">G12+G13</f>
        <v>8340000</v>
      </c>
      <c r="H14" s="41">
        <f t="shared" si="5"/>
        <v>9100000</v>
      </c>
    </row>
    <row r="15">
      <c r="A15" s="34" t="s">
        <v>52</v>
      </c>
      <c r="B15" s="31"/>
      <c r="C15" s="31"/>
      <c r="D15" s="32"/>
      <c r="E15" s="44"/>
      <c r="F15" s="38"/>
      <c r="G15" s="45"/>
      <c r="H15" s="45"/>
    </row>
    <row r="16">
      <c r="A16" s="36" t="s">
        <v>53</v>
      </c>
      <c r="B16" s="31"/>
      <c r="C16" s="31"/>
      <c r="D16" s="32"/>
      <c r="E16" s="46">
        <v>1400.0</v>
      </c>
      <c r="F16" s="38">
        <f t="shared" ref="F16:F21" si="6">E16*1000</f>
        <v>1400000</v>
      </c>
      <c r="G16" s="41">
        <f>11000000*0.14</f>
        <v>1540000</v>
      </c>
      <c r="H16" s="41">
        <f>12000000*0.14</f>
        <v>1680000</v>
      </c>
    </row>
    <row r="17">
      <c r="A17" s="36" t="s">
        <v>54</v>
      </c>
      <c r="B17" s="31"/>
      <c r="C17" s="31"/>
      <c r="D17" s="32"/>
      <c r="E17" s="46">
        <v>400.0</v>
      </c>
      <c r="F17" s="38">
        <f t="shared" si="6"/>
        <v>400000</v>
      </c>
      <c r="G17" s="41">
        <v>0.0</v>
      </c>
      <c r="H17" s="41">
        <v>500000.0</v>
      </c>
    </row>
    <row r="18">
      <c r="A18" s="36" t="s">
        <v>55</v>
      </c>
      <c r="B18" s="31"/>
      <c r="C18" s="31"/>
      <c r="D18" s="32"/>
      <c r="E18" s="46">
        <v>80.0</v>
      </c>
      <c r="F18" s="42">
        <f t="shared" si="6"/>
        <v>80000</v>
      </c>
      <c r="G18" s="43">
        <f t="shared" ref="G18:H18" si="7">F18</f>
        <v>80000</v>
      </c>
      <c r="H18" s="43">
        <f t="shared" si="7"/>
        <v>80000</v>
      </c>
    </row>
    <row r="19">
      <c r="A19" s="36" t="s">
        <v>56</v>
      </c>
      <c r="B19" s="31"/>
      <c r="C19" s="31"/>
      <c r="D19" s="32"/>
      <c r="E19" s="46">
        <v>1880.0</v>
      </c>
      <c r="F19" s="38">
        <f t="shared" si="6"/>
        <v>1880000</v>
      </c>
      <c r="G19" s="41">
        <f t="shared" ref="G19:H19" si="8">SUM(G16:G18)</f>
        <v>1620000</v>
      </c>
      <c r="H19" s="41">
        <f t="shared" si="8"/>
        <v>2260000</v>
      </c>
    </row>
    <row r="20">
      <c r="A20" s="36" t="s">
        <v>57</v>
      </c>
      <c r="B20" s="31"/>
      <c r="C20" s="31"/>
      <c r="D20" s="32"/>
      <c r="E20" s="46">
        <v>2000.0</v>
      </c>
      <c r="F20" s="38">
        <f t="shared" si="6"/>
        <v>2000000</v>
      </c>
      <c r="G20" s="41">
        <f t="shared" ref="G20:H20" si="9">F20</f>
        <v>2000000</v>
      </c>
      <c r="H20" s="41">
        <f t="shared" si="9"/>
        <v>2000000</v>
      </c>
    </row>
    <row r="21">
      <c r="A21" s="36" t="s">
        <v>58</v>
      </c>
      <c r="B21" s="31"/>
      <c r="C21" s="31"/>
      <c r="D21" s="32"/>
      <c r="E21" s="46">
        <v>3720.0</v>
      </c>
      <c r="F21" s="38">
        <f t="shared" si="6"/>
        <v>3720000</v>
      </c>
      <c r="G21" s="41">
        <f t="shared" ref="G21:H21" si="10">F21</f>
        <v>3720000</v>
      </c>
      <c r="H21" s="41">
        <f t="shared" si="10"/>
        <v>3720000</v>
      </c>
    </row>
    <row r="22">
      <c r="A22" s="34" t="s">
        <v>59</v>
      </c>
      <c r="B22" s="31"/>
      <c r="C22" s="31"/>
      <c r="D22" s="32"/>
      <c r="E22" s="46">
        <v>7600.0</v>
      </c>
      <c r="F22" s="43">
        <v>0.0</v>
      </c>
      <c r="G22" s="43">
        <f>F22+G34</f>
        <v>165000</v>
      </c>
      <c r="H22" s="43">
        <f>H34+G22</f>
        <v>345000</v>
      </c>
    </row>
    <row r="23">
      <c r="F23" s="38">
        <f t="shared" ref="F23:H23" si="11">SUM(F19:F22)</f>
        <v>7600000</v>
      </c>
      <c r="G23" s="41">
        <f t="shared" si="11"/>
        <v>7505000</v>
      </c>
      <c r="H23" s="41">
        <f t="shared" si="11"/>
        <v>8325000</v>
      </c>
    </row>
    <row r="24">
      <c r="F24" s="43">
        <v>0.0</v>
      </c>
      <c r="G24" s="43">
        <f t="shared" ref="G24:H24" si="12">G14-G23</f>
        <v>835000</v>
      </c>
      <c r="H24" s="43">
        <f t="shared" si="12"/>
        <v>775000</v>
      </c>
    </row>
    <row r="25">
      <c r="A25" s="47" t="s">
        <v>60</v>
      </c>
      <c r="F25" s="48">
        <f t="shared" ref="F25:H25" si="13">F23+F24</f>
        <v>7600000</v>
      </c>
      <c r="G25" s="49">
        <f t="shared" si="13"/>
        <v>8340000</v>
      </c>
      <c r="H25" s="49">
        <f t="shared" si="13"/>
        <v>9100000</v>
      </c>
    </row>
    <row r="27">
      <c r="B27" s="1"/>
      <c r="C27" s="1"/>
      <c r="D27" s="1"/>
    </row>
    <row r="28">
      <c r="A28" s="50" t="s">
        <v>61</v>
      </c>
      <c r="B28" s="1"/>
      <c r="C28" s="1"/>
      <c r="D28" s="1"/>
    </row>
    <row r="29">
      <c r="A29" s="50" t="s">
        <v>39</v>
      </c>
      <c r="F29" s="14">
        <v>2021.0</v>
      </c>
      <c r="G29" s="14">
        <v>2022.0</v>
      </c>
      <c r="H29" s="14">
        <v>2023.0</v>
      </c>
    </row>
    <row r="30">
      <c r="A30" s="51" t="s">
        <v>62</v>
      </c>
      <c r="B30" s="31"/>
      <c r="C30" s="31"/>
      <c r="D30" s="31"/>
      <c r="E30" s="32"/>
      <c r="F30" s="14" t="s">
        <v>43</v>
      </c>
      <c r="G30" s="14" t="s">
        <v>44</v>
      </c>
      <c r="H30" s="14" t="s">
        <v>44</v>
      </c>
    </row>
    <row r="31">
      <c r="A31" s="51" t="s">
        <v>22</v>
      </c>
      <c r="B31" s="31"/>
      <c r="C31" s="31"/>
      <c r="D31" s="31"/>
      <c r="E31" s="32"/>
      <c r="F31" s="43">
        <f>(3/100)*10000000</f>
        <v>300000</v>
      </c>
      <c r="G31" s="43">
        <f>(3/100)*11000000</f>
        <v>330000</v>
      </c>
      <c r="H31" s="43">
        <f>(3/100)*12000000</f>
        <v>360000</v>
      </c>
    </row>
    <row r="32">
      <c r="A32" s="51" t="s">
        <v>63</v>
      </c>
      <c r="B32" s="31"/>
      <c r="C32" s="31"/>
      <c r="D32" s="31"/>
      <c r="E32" s="32"/>
      <c r="F32" s="41">
        <f t="shared" ref="F32:H32" si="14">F31</f>
        <v>300000</v>
      </c>
      <c r="G32" s="41">
        <f t="shared" si="14"/>
        <v>330000</v>
      </c>
      <c r="H32" s="41">
        <f t="shared" si="14"/>
        <v>360000</v>
      </c>
    </row>
    <row r="33">
      <c r="A33" s="52" t="s">
        <v>64</v>
      </c>
      <c r="B33" s="31"/>
      <c r="C33" s="31"/>
      <c r="D33" s="31"/>
      <c r="E33" s="32"/>
      <c r="F33" s="43">
        <f t="shared" ref="F33:H33" si="15">F32*0.5</f>
        <v>150000</v>
      </c>
      <c r="G33" s="43">
        <f t="shared" si="15"/>
        <v>165000</v>
      </c>
      <c r="H33" s="43">
        <f t="shared" si="15"/>
        <v>180000</v>
      </c>
    </row>
    <row r="34">
      <c r="F34" s="53">
        <f t="shared" ref="F34:H34" si="16">F32-F33</f>
        <v>150000</v>
      </c>
      <c r="G34" s="49">
        <f t="shared" si="16"/>
        <v>165000</v>
      </c>
      <c r="H34" s="49">
        <f t="shared" si="16"/>
        <v>180000</v>
      </c>
    </row>
  </sheetData>
  <mergeCells count="22">
    <mergeCell ref="A7:D7"/>
    <mergeCell ref="A8:D8"/>
    <mergeCell ref="A9:D9"/>
    <mergeCell ref="A10:D10"/>
    <mergeCell ref="A11:D11"/>
    <mergeCell ref="A12:D12"/>
    <mergeCell ref="A13:D13"/>
    <mergeCell ref="A6:D6"/>
    <mergeCell ref="A21:D21"/>
    <mergeCell ref="A22:D22"/>
    <mergeCell ref="A30:E30"/>
    <mergeCell ref="A31:E31"/>
    <mergeCell ref="A32:E32"/>
    <mergeCell ref="A33:E33"/>
    <mergeCell ref="A25:E25"/>
    <mergeCell ref="A14:D14"/>
    <mergeCell ref="A15:D15"/>
    <mergeCell ref="A16:D16"/>
    <mergeCell ref="A17:D17"/>
    <mergeCell ref="A18:D18"/>
    <mergeCell ref="A19:D19"/>
    <mergeCell ref="A20:D20"/>
  </mergeCells>
  <drawing r:id="rId1"/>
</worksheet>
</file>