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\AppData\Local\Temp\Rar$DIa10816.20555\"/>
    </mc:Choice>
  </mc:AlternateContent>
  <xr:revisionPtr revIDLastSave="0" documentId="13_ncr:1_{3E218634-EAF8-4693-9664-C7BE362F5CD6}" xr6:coauthVersionLast="47" xr6:coauthVersionMax="47" xr10:uidLastSave="{00000000-0000-0000-0000-000000000000}"/>
  <bookViews>
    <workbookView xWindow="-108" yWindow="-108" windowWidth="23256" windowHeight="12576" activeTab="1" xr2:uid="{02BBF4BC-1CBB-4A4D-AA6B-5F33D95EE43E}"/>
  </bookViews>
  <sheets>
    <sheet name="Concentrados Nacionales" sheetId="2" r:id="rId1"/>
    <sheet name="Integrantes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2" l="1"/>
  <c r="D68" i="2"/>
  <c r="C68" i="2"/>
  <c r="E68" i="2" l="1"/>
  <c r="B68" i="2"/>
  <c r="F67" i="2" l="1"/>
  <c r="A100" i="2"/>
  <c r="B99" i="2"/>
  <c r="B100" i="2"/>
  <c r="A96" i="2"/>
  <c r="B67" i="2"/>
  <c r="K32" i="2"/>
  <c r="K24" i="2"/>
  <c r="G27" i="2"/>
  <c r="A99" i="2" l="1"/>
  <c r="A97" i="2"/>
  <c r="D73" i="2"/>
  <c r="D74" i="2" s="1"/>
  <c r="D72" i="2"/>
  <c r="A82" i="2" s="1"/>
  <c r="A83" i="2" s="1"/>
  <c r="E67" i="2"/>
  <c r="B72" i="2" s="1"/>
  <c r="B81" i="2" s="1"/>
  <c r="B82" i="2" s="1"/>
  <c r="D67" i="2"/>
  <c r="B76" i="2" s="1"/>
  <c r="C67" i="2"/>
  <c r="B73" i="2" s="1"/>
  <c r="B83" i="2" s="1"/>
  <c r="B84" i="2" s="1"/>
  <c r="B74" i="2"/>
  <c r="B85" i="2" s="1"/>
  <c r="B86" i="2" s="1"/>
  <c r="F56" i="2"/>
  <c r="B75" i="2" s="1"/>
  <c r="K51" i="2"/>
  <c r="D45" i="2" s="1"/>
  <c r="D48" i="2"/>
  <c r="K46" i="2"/>
  <c r="D42" i="2"/>
  <c r="K41" i="2"/>
  <c r="D39" i="2"/>
  <c r="B34" i="2"/>
  <c r="K20" i="2"/>
  <c r="H20" i="2"/>
  <c r="H25" i="2" s="1"/>
  <c r="K19" i="2"/>
  <c r="H14" i="2"/>
  <c r="H15" i="2" s="1"/>
  <c r="H11" i="2"/>
  <c r="C11" i="2"/>
  <c r="C12" i="2" s="1"/>
  <c r="C14" i="2" s="1"/>
  <c r="K8" i="2"/>
  <c r="B88" i="2" l="1"/>
  <c r="B87" i="2"/>
  <c r="B89" i="2"/>
  <c r="B90" i="2"/>
  <c r="A86" i="2"/>
  <c r="A87" i="2" s="1"/>
  <c r="D75" i="2"/>
  <c r="C15" i="2"/>
  <c r="C16" i="2" s="1"/>
  <c r="A84" i="2"/>
  <c r="A85" i="2" s="1"/>
  <c r="B33" i="2"/>
  <c r="K9" i="2" l="1"/>
  <c r="K10" i="2" s="1"/>
  <c r="K12" i="2" s="1"/>
  <c r="K13" i="2"/>
  <c r="K23" i="2" s="1"/>
  <c r="A88" i="2"/>
  <c r="A89" i="2" s="1"/>
  <c r="D76" i="2"/>
  <c r="A90" i="2" s="1"/>
  <c r="K31" i="2" l="1"/>
  <c r="K35" i="2" s="1"/>
  <c r="D49" i="2" s="1"/>
  <c r="K27" i="2"/>
  <c r="D40" i="2" s="1"/>
  <c r="K14" i="2"/>
  <c r="K18" i="2" s="1"/>
  <c r="K21" i="2" l="1"/>
  <c r="L18" i="2"/>
  <c r="D46" i="2"/>
  <c r="D43" i="2"/>
  <c r="L20" i="2" l="1"/>
  <c r="L19" i="2"/>
  <c r="C33" i="2" l="1"/>
  <c r="D33" i="2" s="1"/>
  <c r="C40" i="2"/>
  <c r="C43" i="2" s="1"/>
  <c r="C46" i="2" s="1"/>
  <c r="C49" i="2" s="1"/>
  <c r="C34" i="2"/>
  <c r="C39" i="2"/>
  <c r="L21" i="2"/>
  <c r="C42" i="2" l="1"/>
  <c r="E39" i="2"/>
  <c r="B95" i="2" s="1"/>
  <c r="B96" i="2" s="1"/>
  <c r="D34" i="2"/>
  <c r="C35" i="2"/>
  <c r="D35" i="2" s="1"/>
  <c r="C45" i="2" l="1"/>
  <c r="E42" i="2"/>
  <c r="B97" i="2" s="1"/>
  <c r="B98" i="2" s="1"/>
  <c r="C48" i="2" l="1"/>
  <c r="E48" i="2" s="1"/>
  <c r="E45" i="2"/>
</calcChain>
</file>

<file path=xl/sharedStrings.xml><?xml version="1.0" encoding="utf-8"?>
<sst xmlns="http://schemas.openxmlformats.org/spreadsheetml/2006/main" count="126" uniqueCount="99">
  <si>
    <t>Estado de Resultados</t>
  </si>
  <si>
    <t>Balance General</t>
  </si>
  <si>
    <t>Estado de Utilidades Retenidas</t>
  </si>
  <si>
    <t>Compañía de Concentrados Nacionales</t>
  </si>
  <si>
    <t>Del 01 de enero al 31 de diciembre del 2022</t>
  </si>
  <si>
    <t>Al 31 de diciembre del 2022</t>
  </si>
  <si>
    <t>Expresados en Quetzales</t>
  </si>
  <si>
    <t>Ventas</t>
  </si>
  <si>
    <t>ACTIVOS</t>
  </si>
  <si>
    <t>Costo de bienes vendidos</t>
  </si>
  <si>
    <t>Efectivo</t>
  </si>
  <si>
    <t>Saldo de utilidades retenidas al inicio del período</t>
  </si>
  <si>
    <t>(+) Otros Gastos</t>
  </si>
  <si>
    <t>Cuentas por cobrar</t>
  </si>
  <si>
    <t>(+) Utilidad del Período</t>
  </si>
  <si>
    <t>(+) Depreciación</t>
  </si>
  <si>
    <t>Inventarios</t>
  </si>
  <si>
    <t>Utilidad disponible para acciones comunes y preferentes</t>
  </si>
  <si>
    <t>Total de Costos Operativos</t>
  </si>
  <si>
    <t>Total de Activo Circulante</t>
  </si>
  <si>
    <t>(-) Dividiendos Preferentes</t>
  </si>
  <si>
    <t>UAII</t>
  </si>
  <si>
    <t>Activos Fijos Brutos</t>
  </si>
  <si>
    <t>Utilidad disponible para acciones comunes</t>
  </si>
  <si>
    <t>Gastos por intereses</t>
  </si>
  <si>
    <t>Depreciación Acumulada</t>
  </si>
  <si>
    <t>(-) Dividendos comunes</t>
  </si>
  <si>
    <t>UAI</t>
  </si>
  <si>
    <t>Activos Fijos Netos</t>
  </si>
  <si>
    <t>Saldo de utilidades retenidas al final del Período</t>
  </si>
  <si>
    <t>Impuestos</t>
  </si>
  <si>
    <t xml:space="preserve">Total de Activos </t>
  </si>
  <si>
    <t>Utilidad Neta</t>
  </si>
  <si>
    <t>PASIVOS Y CAPITAL CONTABLE</t>
  </si>
  <si>
    <t>Fuentes de Financiamiento</t>
  </si>
  <si>
    <t>Proveedores</t>
  </si>
  <si>
    <t>Utilidades Retenidas al final del período</t>
  </si>
  <si>
    <t>Pasivos acumulados</t>
  </si>
  <si>
    <t>Capital Común</t>
  </si>
  <si>
    <t>Proyecto</t>
  </si>
  <si>
    <t>Costo</t>
  </si>
  <si>
    <t>FNE anuales</t>
  </si>
  <si>
    <t>Vida de Proyecto (años)</t>
  </si>
  <si>
    <t>Total Pasivo Circulante</t>
  </si>
  <si>
    <t>Prestamos Bancarios</t>
  </si>
  <si>
    <t>Deuda a Largo Plazo</t>
  </si>
  <si>
    <t>Documentos por Pagar a Largo Plazo</t>
  </si>
  <si>
    <t>Costo de las acciones comunes actuales</t>
  </si>
  <si>
    <t>Capital Común (200000 Acciones)</t>
  </si>
  <si>
    <t>D1</t>
  </si>
  <si>
    <t>Utilidades Retenidas</t>
  </si>
  <si>
    <t>P0</t>
  </si>
  <si>
    <t>Total de Pasivos + Capital C.</t>
  </si>
  <si>
    <t>g</t>
  </si>
  <si>
    <t xml:space="preserve">Ks = Kr = </t>
  </si>
  <si>
    <t>Costo de las acciones comunes nuevas</t>
  </si>
  <si>
    <t>Puntos de Ruptura</t>
  </si>
  <si>
    <t>Peso</t>
  </si>
  <si>
    <t>Nn</t>
  </si>
  <si>
    <t>Acciones comunes</t>
  </si>
  <si>
    <t>G</t>
  </si>
  <si>
    <t>Presetamos a largo plazo</t>
  </si>
  <si>
    <t>Kn</t>
  </si>
  <si>
    <t>intervalos del nuevo financiamiento</t>
  </si>
  <si>
    <t>wi</t>
  </si>
  <si>
    <t>ki</t>
  </si>
  <si>
    <t>WACC (CCPP -&gt; EN ESPAÑOL)</t>
  </si>
  <si>
    <t>Costo de Prestamo bancario (0-540000)</t>
  </si>
  <si>
    <t>Préstamo Bancario</t>
  </si>
  <si>
    <t>kd</t>
  </si>
  <si>
    <t>Tasa de impuestos</t>
  </si>
  <si>
    <t> </t>
  </si>
  <si>
    <t>Ki (costo de la deuda después de impuestos)</t>
  </si>
  <si>
    <t>Costo de Prestamo bancario (540000,01-900000,00)</t>
  </si>
  <si>
    <t>11311100,00 en adelante</t>
  </si>
  <si>
    <t>Costo de Prestamo bancario (900000,01 en adelante)</t>
  </si>
  <si>
    <t>Años</t>
  </si>
  <si>
    <t>Proyectos</t>
  </si>
  <si>
    <t>TIR</t>
  </si>
  <si>
    <t>Programa de Oportunidades de inversión (POI)</t>
  </si>
  <si>
    <t>INVERSIÓN INICIAL</t>
  </si>
  <si>
    <t>INVERSIÓN ACUMULADA</t>
  </si>
  <si>
    <t>Tabla con coordenadas</t>
  </si>
  <si>
    <t>X</t>
  </si>
  <si>
    <t>Y</t>
  </si>
  <si>
    <t>Tabla con la TMAR</t>
  </si>
  <si>
    <t>Datos Generales</t>
  </si>
  <si>
    <t>Precio Actual de la acción común</t>
  </si>
  <si>
    <t>Costo de flotación</t>
  </si>
  <si>
    <t>VPN</t>
  </si>
  <si>
    <t>Valor nominal de la acción común</t>
  </si>
  <si>
    <t>0  - 1,268,798.40</t>
  </si>
  <si>
    <t>1,268,798.40 - 2,714,664.00</t>
  </si>
  <si>
    <t>2,714,664.00 - 11,311,100.00</t>
  </si>
  <si>
    <t>JOSÉ ALEJANDRO MONTENEGRO MONZÓN</t>
  </si>
  <si>
    <t>NOMBRE</t>
  </si>
  <si>
    <t>CARNET</t>
  </si>
  <si>
    <t>BRAZIL ABRAHAM BATRES CRUZ</t>
  </si>
  <si>
    <t>JOCELYN ABIGAIL DE LEÓN ARDÓN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</si>
</sst>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Q&quot;#,##0;[Red]\-&quot;Q&quot;#,##0"/>
    <numFmt numFmtId="44" formatCode="_-&quot;Q&quot;* #,##0.00_-;\-&quot;Q&quot;* #,##0.00_-;_-&quot;Q&quot;* &quot;-&quot;??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[$Q-100A]* #,##0.00_-;\-[$Q-100A]* #,##0.00_-;_-[$Q-10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Verdana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70C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6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4" fontId="0" fillId="0" borderId="0" xfId="1" applyNumberFormat="1" applyFont="1"/>
    <xf numFmtId="44" fontId="0" fillId="0" borderId="0" xfId="1" applyNumberFormat="1" applyFont="1" applyBorder="1"/>
    <xf numFmtId="44" fontId="0" fillId="0" borderId="1" xfId="1" applyNumberFormat="1" applyFont="1" applyBorder="1"/>
    <xf numFmtId="44" fontId="0" fillId="0" borderId="1" xfId="1" applyNumberFormat="1" applyFont="1" applyBorder="1" applyAlignment="1">
      <alignment horizontal="right"/>
    </xf>
    <xf numFmtId="44" fontId="0" fillId="0" borderId="2" xfId="1" applyNumberFormat="1" applyFont="1" applyBorder="1" applyAlignment="1">
      <alignment horizontal="center"/>
    </xf>
    <xf numFmtId="44" fontId="2" fillId="0" borderId="2" xfId="1" applyNumberFormat="1" applyFont="1" applyBorder="1" applyAlignment="1">
      <alignment horizontal="center"/>
    </xf>
    <xf numFmtId="44" fontId="0" fillId="0" borderId="0" xfId="1" applyNumberFormat="1" applyFont="1" applyAlignment="1">
      <alignment horizontal="center"/>
    </xf>
    <xf numFmtId="44" fontId="0" fillId="0" borderId="1" xfId="1" applyNumberFormat="1" applyFont="1" applyBorder="1" applyAlignment="1">
      <alignment horizontal="center"/>
    </xf>
    <xf numFmtId="0" fontId="5" fillId="0" borderId="0" xfId="0" applyFont="1"/>
    <xf numFmtId="44" fontId="0" fillId="0" borderId="0" xfId="0" applyNumberFormat="1"/>
    <xf numFmtId="0" fontId="6" fillId="0" borderId="8" xfId="0" applyFont="1" applyBorder="1"/>
    <xf numFmtId="0" fontId="6" fillId="0" borderId="7" xfId="0" applyFont="1" applyBorder="1"/>
    <xf numFmtId="0" fontId="6" fillId="0" borderId="0" xfId="0" applyFont="1"/>
    <xf numFmtId="44" fontId="0" fillId="0" borderId="1" xfId="0" applyNumberFormat="1" applyBorder="1"/>
    <xf numFmtId="44" fontId="0" fillId="0" borderId="2" xfId="0" applyNumberFormat="1" applyBorder="1"/>
    <xf numFmtId="4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 applyAlignment="1">
      <alignment horizontal="center"/>
    </xf>
    <xf numFmtId="43" fontId="0" fillId="0" borderId="0" xfId="0" applyNumberFormat="1"/>
    <xf numFmtId="10" fontId="0" fillId="0" borderId="0" xfId="0" applyNumberFormat="1" applyAlignment="1">
      <alignment horizontal="right"/>
    </xf>
    <xf numFmtId="0" fontId="5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44" fontId="0" fillId="0" borderId="1" xfId="0" applyNumberFormat="1" applyBorder="1" applyAlignment="1">
      <alignment horizontal="center"/>
    </xf>
    <xf numFmtId="43" fontId="0" fillId="0" borderId="0" xfId="0" applyNumberFormat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43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0" fontId="7" fillId="0" borderId="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/>
    </xf>
    <xf numFmtId="44" fontId="0" fillId="0" borderId="11" xfId="0" applyNumberFormat="1" applyBorder="1"/>
    <xf numFmtId="10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44" fontId="0" fillId="0" borderId="12" xfId="0" applyNumberFormat="1" applyBorder="1"/>
    <xf numFmtId="0" fontId="6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165" fontId="0" fillId="0" borderId="0" xfId="1" applyNumberFormat="1" applyFont="1"/>
    <xf numFmtId="165" fontId="9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Alignment="1">
      <alignment horizontal="center"/>
    </xf>
    <xf numFmtId="10" fontId="7" fillId="0" borderId="0" xfId="0" applyNumberFormat="1" applyFont="1" applyAlignment="1">
      <alignment horizontal="center" vertical="center"/>
    </xf>
    <xf numFmtId="10" fontId="7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PROGRAMA</a:t>
            </a:r>
            <a:r>
              <a:rPr lang="en-US" baseline="0"/>
              <a:t> DE OPORTUNIDADES DE INVERSIÓN (POI)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'Concentrados Nacionales'!$A$81:$A$90</c:f>
              <c:numCache>
                <c:formatCode>_("Q"* #,##0.00_);_("Q"* \(#,##0.00\);_("Q"* "-"??_);_(@_)</c:formatCode>
                <c:ptCount val="10"/>
                <c:pt idx="0">
                  <c:v>0</c:v>
                </c:pt>
                <c:pt idx="1">
                  <c:v>562500</c:v>
                </c:pt>
                <c:pt idx="2">
                  <c:v>562500</c:v>
                </c:pt>
                <c:pt idx="3">
                  <c:v>1462500</c:v>
                </c:pt>
                <c:pt idx="4">
                  <c:v>1462500</c:v>
                </c:pt>
                <c:pt idx="5">
                  <c:v>2137500</c:v>
                </c:pt>
                <c:pt idx="6">
                  <c:v>2137500</c:v>
                </c:pt>
                <c:pt idx="7">
                  <c:v>2837500</c:v>
                </c:pt>
                <c:pt idx="8">
                  <c:v>2837500</c:v>
                </c:pt>
                <c:pt idx="9">
                  <c:v>3212500</c:v>
                </c:pt>
              </c:numCache>
            </c:numRef>
          </c:xVal>
          <c:yVal>
            <c:numRef>
              <c:f>'Concentrados Nacionales'!$B$81:$B$90</c:f>
              <c:numCache>
                <c:formatCode>0.00%</c:formatCode>
                <c:ptCount val="10"/>
                <c:pt idx="0">
                  <c:v>0.3578783201212179</c:v>
                </c:pt>
                <c:pt idx="1">
                  <c:v>0.3578783201212179</c:v>
                </c:pt>
                <c:pt idx="2">
                  <c:v>0.29853102708644608</c:v>
                </c:pt>
                <c:pt idx="3">
                  <c:v>0.29853102708644608</c:v>
                </c:pt>
                <c:pt idx="4">
                  <c:v>0.25478051126350865</c:v>
                </c:pt>
                <c:pt idx="5">
                  <c:v>0.25478051126350865</c:v>
                </c:pt>
                <c:pt idx="6">
                  <c:v>0.23529636793408693</c:v>
                </c:pt>
                <c:pt idx="7">
                  <c:v>0.23529636793408693</c:v>
                </c:pt>
                <c:pt idx="8">
                  <c:v>0.13999887412162848</c:v>
                </c:pt>
                <c:pt idx="9">
                  <c:v>0.13999887412162848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B-4AE8-BE81-63498384355D}"/>
            </c:ext>
          </c:extLst>
        </c:ser>
        <c:ser>
          <c:idx val="1"/>
          <c:order val="1"/>
          <c:tx>
            <c:v>TMAR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'Concentrados Nacionales'!$A$95:$A$102</c:f>
              <c:numCache>
                <c:formatCode>_("Q"* #,##0.00_);_("Q"* \(#,##0.00\);_("Q"* "-"??_);_(@_)</c:formatCode>
                <c:ptCount val="8"/>
                <c:pt idx="0" formatCode="_-[$Q-100A]* #,##0.00_-;\-[$Q-100A]* #,##0.00_-;_-[$Q-100A]* &quot;-&quot;??_-;_-@_-">
                  <c:v>0</c:v>
                </c:pt>
                <c:pt idx="1">
                  <c:v>1628798.4000000001</c:v>
                </c:pt>
                <c:pt idx="2">
                  <c:v>1628798.4000000001</c:v>
                </c:pt>
                <c:pt idx="3">
                  <c:v>2714664</c:v>
                </c:pt>
                <c:pt idx="4">
                  <c:v>2714664</c:v>
                </c:pt>
                <c:pt idx="5">
                  <c:v>3212500</c:v>
                </c:pt>
              </c:numCache>
            </c:numRef>
          </c:xVal>
          <c:yVal>
            <c:numRef>
              <c:f>'Concentrados Nacionales'!$B$95:$B$102</c:f>
              <c:numCache>
                <c:formatCode>0.00%</c:formatCode>
                <c:ptCount val="8"/>
                <c:pt idx="0">
                  <c:v>0.1119536448997964</c:v>
                </c:pt>
                <c:pt idx="1">
                  <c:v>0.1119536448997964</c:v>
                </c:pt>
                <c:pt idx="2">
                  <c:v>0.11120769622990576</c:v>
                </c:pt>
                <c:pt idx="3">
                  <c:v>0.11120769622990576</c:v>
                </c:pt>
                <c:pt idx="4">
                  <c:v>0.1159320378058798</c:v>
                </c:pt>
                <c:pt idx="5">
                  <c:v>0.1159320378058798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B-4AE8-BE81-63498384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65839"/>
        <c:axId val="1273045071"/>
      </c:scatterChart>
      <c:valAx>
        <c:axId val="163386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INVERSIÓN</a:t>
                </a:r>
                <a:r>
                  <a:rPr lang="en-US" baseline="0"/>
                  <a:t> ACUMULADA (EXPRESADA EN QUETZALES)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3045071"/>
        <c:crosses val="autoZero"/>
        <c:crossBetween val="midCat"/>
      </c:valAx>
      <c:valAx>
        <c:axId val="1273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TIR/TMAR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386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png"/><Relationship Id="rId18" Type="http://schemas.openxmlformats.org/officeDocument/2006/relationships/customXml" Target="../ink/ink7.xml"/><Relationship Id="rId26" Type="http://schemas.openxmlformats.org/officeDocument/2006/relationships/customXml" Target="../ink/ink11.xml"/><Relationship Id="rId39" Type="http://schemas.openxmlformats.org/officeDocument/2006/relationships/image" Target="../media/image21.png"/><Relationship Id="rId21" Type="http://schemas.openxmlformats.org/officeDocument/2006/relationships/image" Target="../media/image12.png"/><Relationship Id="rId34" Type="http://schemas.openxmlformats.org/officeDocument/2006/relationships/customXml" Target="../ink/ink15.xml"/><Relationship Id="rId42" Type="http://schemas.openxmlformats.org/officeDocument/2006/relationships/customXml" Target="../ink/ink19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6" Type="http://schemas.openxmlformats.org/officeDocument/2006/relationships/customXml" Target="../ink/ink6.xml"/><Relationship Id="rId20" Type="http://schemas.openxmlformats.org/officeDocument/2006/relationships/customXml" Target="../ink/ink8.xml"/><Relationship Id="rId29" Type="http://schemas.openxmlformats.org/officeDocument/2006/relationships/image" Target="../media/image16.png"/><Relationship Id="rId41" Type="http://schemas.openxmlformats.org/officeDocument/2006/relationships/image" Target="../media/image22.png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11" Type="http://schemas.openxmlformats.org/officeDocument/2006/relationships/image" Target="../media/image7.png"/><Relationship Id="rId24" Type="http://schemas.openxmlformats.org/officeDocument/2006/relationships/customXml" Target="../ink/ink10.xml"/><Relationship Id="rId32" Type="http://schemas.openxmlformats.org/officeDocument/2006/relationships/customXml" Target="../ink/ink14.xml"/><Relationship Id="rId37" Type="http://schemas.openxmlformats.org/officeDocument/2006/relationships/image" Target="../media/image20.png"/><Relationship Id="rId40" Type="http://schemas.openxmlformats.org/officeDocument/2006/relationships/customXml" Target="../ink/ink18.xml"/><Relationship Id="rId5" Type="http://schemas.openxmlformats.org/officeDocument/2006/relationships/chart" Target="../charts/chart1.xml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customXml" Target="../ink/ink12.xml"/><Relationship Id="rId36" Type="http://schemas.openxmlformats.org/officeDocument/2006/relationships/customXml" Target="../ink/ink16.xml"/><Relationship Id="rId10" Type="http://schemas.openxmlformats.org/officeDocument/2006/relationships/customXml" Target="../ink/ink3.xml"/><Relationship Id="rId19" Type="http://schemas.openxmlformats.org/officeDocument/2006/relationships/image" Target="../media/image11.png"/><Relationship Id="rId31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6.png"/><Relationship Id="rId14" Type="http://schemas.openxmlformats.org/officeDocument/2006/relationships/customXml" Target="../ink/ink5.xml"/><Relationship Id="rId22" Type="http://schemas.openxmlformats.org/officeDocument/2006/relationships/customXml" Target="../ink/ink9.xml"/><Relationship Id="rId27" Type="http://schemas.openxmlformats.org/officeDocument/2006/relationships/image" Target="../media/image15.png"/><Relationship Id="rId30" Type="http://schemas.openxmlformats.org/officeDocument/2006/relationships/customXml" Target="../ink/ink13.xml"/><Relationship Id="rId35" Type="http://schemas.openxmlformats.org/officeDocument/2006/relationships/image" Target="../media/image19.png"/><Relationship Id="rId43" Type="http://schemas.openxmlformats.org/officeDocument/2006/relationships/image" Target="../media/image23.png"/><Relationship Id="rId8" Type="http://schemas.openxmlformats.org/officeDocument/2006/relationships/customXml" Target="../ink/ink2.xml"/><Relationship Id="rId3" Type="http://schemas.openxmlformats.org/officeDocument/2006/relationships/image" Target="../media/image3.png"/><Relationship Id="rId12" Type="http://schemas.openxmlformats.org/officeDocument/2006/relationships/customXml" Target="../ink/ink4.xml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33" Type="http://schemas.openxmlformats.org/officeDocument/2006/relationships/image" Target="../media/image18.png"/><Relationship Id="rId38" Type="http://schemas.openxmlformats.org/officeDocument/2006/relationships/customXml" Target="../ink/ink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171450</xdr:rowOff>
    </xdr:from>
    <xdr:to>
      <xdr:col>2</xdr:col>
      <xdr:colOff>137160</xdr:colOff>
      <xdr:row>30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A8B29E-F3C9-4398-A8F5-733FE1701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01590"/>
          <a:ext cx="4693920" cy="638175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21</xdr:row>
      <xdr:rowOff>28575</xdr:rowOff>
    </xdr:from>
    <xdr:to>
      <xdr:col>15</xdr:col>
      <xdr:colOff>464820</xdr:colOff>
      <xdr:row>24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1ACA264-CA38-421B-8B45-D7B0DAC328CC}"/>
            </a:ext>
            <a:ext uri="{147F2762-F138-4A5C-976F-8EAC2B608ADB}">
              <a16:predDERef xmlns:a16="http://schemas.microsoft.com/office/drawing/2014/main" pred="{6D722934-6268-061E-0772-4049F49C9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3405" y="4006215"/>
          <a:ext cx="4699635" cy="56197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35</xdr:row>
      <xdr:rowOff>180975</xdr:rowOff>
    </xdr:from>
    <xdr:to>
      <xdr:col>15</xdr:col>
      <xdr:colOff>464820</xdr:colOff>
      <xdr:row>38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EEEC7F-7DD5-43B4-B156-525671753957}"/>
            </a:ext>
            <a:ext uri="{147F2762-F138-4A5C-976F-8EAC2B608ADB}">
              <a16:predDERef xmlns:a16="http://schemas.microsoft.com/office/drawing/2014/main" pred="{D38911D9-84F6-709C-6688-4CA8A18C6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3880" y="6825615"/>
          <a:ext cx="4709160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361950</xdr:colOff>
      <xdr:row>26</xdr:row>
      <xdr:rowOff>161925</xdr:rowOff>
    </xdr:from>
    <xdr:to>
      <xdr:col>5</xdr:col>
      <xdr:colOff>525780</xdr:colOff>
      <xdr:row>30</xdr:row>
      <xdr:rowOff>28575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7AAA84A-C560-4DD7-B15C-39D8053B719C}"/>
            </a:ext>
            <a:ext uri="{147F2762-F138-4A5C-976F-8EAC2B608ADB}">
              <a16:predDERef xmlns:a16="http://schemas.microsoft.com/office/drawing/2014/main" pred="{CBA7CE26-6C2A-396C-A4FB-1639C9B4C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8710" y="5092065"/>
          <a:ext cx="4674870" cy="628650"/>
        </a:xfrm>
        <a:prstGeom prst="rect">
          <a:avLst/>
        </a:prstGeom>
      </xdr:spPr>
    </xdr:pic>
    <xdr:clientData/>
  </xdr:twoCellAnchor>
  <xdr:twoCellAnchor>
    <xdr:from>
      <xdr:col>2</xdr:col>
      <xdr:colOff>243840</xdr:colOff>
      <xdr:row>77</xdr:row>
      <xdr:rowOff>179070</xdr:rowOff>
    </xdr:from>
    <xdr:to>
      <xdr:col>5</xdr:col>
      <xdr:colOff>1047750</xdr:colOff>
      <xdr:row>92</xdr:row>
      <xdr:rowOff>64770</xdr:rowOff>
    </xdr:to>
    <xdr:graphicFrame macro="">
      <xdr:nvGraphicFramePr>
        <xdr:cNvPr id="178" name="Gráfico 5">
          <a:extLst>
            <a:ext uri="{FF2B5EF4-FFF2-40B4-BE49-F238E27FC236}">
              <a16:creationId xmlns:a16="http://schemas.microsoft.com/office/drawing/2014/main" id="{5226631F-A074-32BF-5CD9-BE5021CF9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1819275</xdr:colOff>
      <xdr:row>78</xdr:row>
      <xdr:rowOff>95250</xdr:rowOff>
    </xdr:from>
    <xdr:to>
      <xdr:col>9</xdr:col>
      <xdr:colOff>1333500</xdr:colOff>
      <xdr:row>89</xdr:row>
      <xdr:rowOff>9525</xdr:rowOff>
    </xdr:to>
    <xdr:sp macro="" textlink="">
      <xdr:nvSpPr>
        <xdr:cNvPr id="262" name="TextBox 12">
          <a:extLst>
            <a:ext uri="{FF2B5EF4-FFF2-40B4-BE49-F238E27FC236}">
              <a16:creationId xmlns:a16="http://schemas.microsoft.com/office/drawing/2014/main" id="{C5DD1496-6A43-1BD4-39CB-73C3B1ACF61C}"/>
            </a:ext>
          </a:extLst>
        </xdr:cNvPr>
        <xdr:cNvSpPr txBox="1"/>
      </xdr:nvSpPr>
      <xdr:spPr>
        <a:xfrm>
          <a:off x="10629900" y="15116175"/>
          <a:ext cx="5124450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Basado</a:t>
          </a:r>
          <a:r>
            <a:rPr lang="en-US" sz="1100" baseline="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 en el gráfico de POI para cada intervalo de financiamiento, se recomienda ejecutar cada uno de los cinco proyectos porque el valor del TIR &gt; TMAR. Además, utilizando el método de VPN, podemos confirmar que todos los proyectos son viables porque VPN &gt; 0.</a:t>
          </a:r>
        </a:p>
        <a:p>
          <a:endParaRPr lang="en-US" sz="1100" baseline="0">
            <a:solidFill>
              <a:schemeClr val="dk1"/>
            </a:solidFill>
            <a:effectLst/>
            <a:latin typeface="Century Gothic" panose="020B0502020202020204" pitchFamily="34" charset="0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Los 3 métodos de valuación fueron los siguientes: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* VPN &gt; 0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* TIR &gt; TMAR</a:t>
          </a:r>
        </a:p>
        <a:p>
          <a:r>
            <a:rPr lang="en-US" sz="1100">
              <a:latin typeface="Century Gothic" panose="020B0502020202020204" pitchFamily="34" charset="0"/>
            </a:rPr>
            <a:t>*Gráfico de</a:t>
          </a:r>
          <a:r>
            <a:rPr lang="en-US" sz="1100" baseline="0">
              <a:latin typeface="Century Gothic" panose="020B0502020202020204" pitchFamily="34" charset="0"/>
            </a:rPr>
            <a:t> POI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2</xdr:col>
      <xdr:colOff>1047750</xdr:colOff>
      <xdr:row>81</xdr:row>
      <xdr:rowOff>0</xdr:rowOff>
    </xdr:from>
    <xdr:to>
      <xdr:col>3</xdr:col>
      <xdr:colOff>514350</xdr:colOff>
      <xdr:row>82</xdr:row>
      <xdr:rowOff>47625</xdr:rowOff>
    </xdr:to>
    <xdr:sp macro="" textlink="">
      <xdr:nvSpPr>
        <xdr:cNvPr id="176" name="TextBox 13">
          <a:extLst>
            <a:ext uri="{FF2B5EF4-FFF2-40B4-BE49-F238E27FC236}">
              <a16:creationId xmlns:a16="http://schemas.microsoft.com/office/drawing/2014/main" id="{5587C7F5-7877-437A-8E3A-3753FB2CD6AD}"/>
            </a:ext>
          </a:extLst>
        </xdr:cNvPr>
        <xdr:cNvSpPr txBox="1"/>
      </xdr:nvSpPr>
      <xdr:spPr>
        <a:xfrm>
          <a:off x="5476875" y="15592425"/>
          <a:ext cx="590550" cy="23812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bg1"/>
              </a:solidFill>
            </a:rPr>
            <a:t>P4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742950</xdr:colOff>
      <xdr:row>82</xdr:row>
      <xdr:rowOff>57150</xdr:rowOff>
    </xdr:from>
    <xdr:to>
      <xdr:col>3</xdr:col>
      <xdr:colOff>1333500</xdr:colOff>
      <xdr:row>83</xdr:row>
      <xdr:rowOff>104775</xdr:rowOff>
    </xdr:to>
    <xdr:sp macro="" textlink="">
      <xdr:nvSpPr>
        <xdr:cNvPr id="177" name="TextBox 14">
          <a:extLst>
            <a:ext uri="{FF2B5EF4-FFF2-40B4-BE49-F238E27FC236}">
              <a16:creationId xmlns:a16="http://schemas.microsoft.com/office/drawing/2014/main" id="{F17A822C-D40F-4DC0-9E0A-3AD2E76823FE}"/>
            </a:ext>
          </a:extLst>
        </xdr:cNvPr>
        <xdr:cNvSpPr txBox="1"/>
      </xdr:nvSpPr>
      <xdr:spPr>
        <a:xfrm>
          <a:off x="6296025" y="15840075"/>
          <a:ext cx="590550" cy="23812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bg1"/>
              </a:solidFill>
            </a:rPr>
            <a:t>P2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962025</xdr:colOff>
      <xdr:row>83</xdr:row>
      <xdr:rowOff>95250</xdr:rowOff>
    </xdr:from>
    <xdr:to>
      <xdr:col>4</xdr:col>
      <xdr:colOff>1552575</xdr:colOff>
      <xdr:row>84</xdr:row>
      <xdr:rowOff>142875</xdr:rowOff>
    </xdr:to>
    <xdr:sp macro="" textlink="">
      <xdr:nvSpPr>
        <xdr:cNvPr id="179" name="TextBox 15">
          <a:extLst>
            <a:ext uri="{FF2B5EF4-FFF2-40B4-BE49-F238E27FC236}">
              <a16:creationId xmlns:a16="http://schemas.microsoft.com/office/drawing/2014/main" id="{8EA6139C-54BA-45C4-96CF-5154870EDA4E}"/>
            </a:ext>
          </a:extLst>
        </xdr:cNvPr>
        <xdr:cNvSpPr txBox="1"/>
      </xdr:nvSpPr>
      <xdr:spPr>
        <a:xfrm>
          <a:off x="7962900" y="16068675"/>
          <a:ext cx="590550" cy="23812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bg1"/>
              </a:solidFill>
            </a:rPr>
            <a:t>P5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1657350</xdr:colOff>
      <xdr:row>85</xdr:row>
      <xdr:rowOff>28575</xdr:rowOff>
    </xdr:from>
    <xdr:to>
      <xdr:col>5</xdr:col>
      <xdr:colOff>438150</xdr:colOff>
      <xdr:row>86</xdr:row>
      <xdr:rowOff>76200</xdr:rowOff>
    </xdr:to>
    <xdr:sp macro="" textlink="">
      <xdr:nvSpPr>
        <xdr:cNvPr id="180" name="TextBox 16">
          <a:extLst>
            <a:ext uri="{FF2B5EF4-FFF2-40B4-BE49-F238E27FC236}">
              <a16:creationId xmlns:a16="http://schemas.microsoft.com/office/drawing/2014/main" id="{631DFA7A-8DFE-4722-9917-18E858730445}"/>
            </a:ext>
          </a:extLst>
        </xdr:cNvPr>
        <xdr:cNvSpPr txBox="1"/>
      </xdr:nvSpPr>
      <xdr:spPr>
        <a:xfrm>
          <a:off x="8658225" y="16383000"/>
          <a:ext cx="590550" cy="23812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bg1"/>
              </a:solidFill>
            </a:rPr>
            <a:t>P3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11</xdr:col>
      <xdr:colOff>98760</xdr:colOff>
      <xdr:row>7</xdr:row>
      <xdr:rowOff>37680</xdr:rowOff>
    </xdr:from>
    <xdr:to>
      <xdr:col>11</xdr:col>
      <xdr:colOff>585480</xdr:colOff>
      <xdr:row>10</xdr:row>
      <xdr:rowOff>158280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932CD5B3-99E0-F52A-3C4D-DF179E39471C}"/>
                </a:ext>
              </a:extLst>
            </xdr14:cNvPr>
            <xdr14:cNvContentPartPr/>
          </xdr14:nvContentPartPr>
          <xdr14:nvPr macro=""/>
          <xdr14:xfrm>
            <a:off x="19674540" y="1333080"/>
            <a:ext cx="486720" cy="66924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932CD5B3-99E0-F52A-3C4D-DF179E39471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9665540" y="1324440"/>
              <a:ext cx="504360" cy="686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678180</xdr:colOff>
      <xdr:row>7</xdr:row>
      <xdr:rowOff>91440</xdr:rowOff>
    </xdr:from>
    <xdr:to>
      <xdr:col>13</xdr:col>
      <xdr:colOff>1813560</xdr:colOff>
      <xdr:row>12</xdr:row>
      <xdr:rowOff>121920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21D9100-37FE-E8F5-2490-574647102F92}"/>
            </a:ext>
          </a:extLst>
        </xdr:cNvPr>
        <xdr:cNvSpPr txBox="1"/>
      </xdr:nvSpPr>
      <xdr:spPr>
        <a:xfrm>
          <a:off x="20253960" y="1386840"/>
          <a:ext cx="270510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>
              <a:solidFill>
                <a:srgbClr val="FF0000"/>
              </a:solidFill>
            </a:rPr>
            <a:t>El Balance general del 2022 siempe muestra el saldo final en la cuenta Utilidades retenidas... por lo que es erróneo este cálculo.</a:t>
          </a:r>
        </a:p>
      </xdr:txBody>
    </xdr:sp>
    <xdr:clientData/>
  </xdr:twoCellAnchor>
  <xdr:twoCellAnchor editAs="oneCell">
    <xdr:from>
      <xdr:col>12</xdr:col>
      <xdr:colOff>375900</xdr:colOff>
      <xdr:row>16</xdr:row>
      <xdr:rowOff>151860</xdr:rowOff>
    </xdr:from>
    <xdr:to>
      <xdr:col>13</xdr:col>
      <xdr:colOff>254880</xdr:colOff>
      <xdr:row>20</xdr:row>
      <xdr:rowOff>46200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84838AED-900A-94B2-FBD7-E8A3A713E620}"/>
                </a:ext>
              </a:extLst>
            </xdr14:cNvPr>
            <xdr14:cNvContentPartPr/>
          </xdr14:nvContentPartPr>
          <xdr14:nvPr macro=""/>
          <xdr14:xfrm>
            <a:off x="20736540" y="3131280"/>
            <a:ext cx="663840" cy="64872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84838AED-900A-94B2-FBD7-E8A3A713E62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0727540" y="3122640"/>
              <a:ext cx="681480" cy="666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411480</xdr:colOff>
      <xdr:row>15</xdr:row>
      <xdr:rowOff>129540</xdr:rowOff>
    </xdr:from>
    <xdr:to>
      <xdr:col>15</xdr:col>
      <xdr:colOff>457200</xdr:colOff>
      <xdr:row>19</xdr:row>
      <xdr:rowOff>83820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49792C37-3C75-404D-AE53-562B3F4837BA}"/>
            </a:ext>
          </a:extLst>
        </xdr:cNvPr>
        <xdr:cNvSpPr txBox="1"/>
      </xdr:nvSpPr>
      <xdr:spPr>
        <a:xfrm>
          <a:off x="21556980" y="2910840"/>
          <a:ext cx="275844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>
              <a:solidFill>
                <a:srgbClr val="FF0000"/>
              </a:solidFill>
            </a:rPr>
            <a:t>Tampoco</a:t>
          </a:r>
          <a:r>
            <a:rPr lang="es-GT" sz="1100" baseline="0">
              <a:solidFill>
                <a:srgbClr val="FF0000"/>
              </a:solidFill>
            </a:rPr>
            <a:t> es correcto el valor colocado para deuda externa.. le faltaron los documentos por pagar de LP</a:t>
          </a:r>
          <a:endParaRPr lang="es-GT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10</xdr:col>
      <xdr:colOff>1019460</xdr:colOff>
      <xdr:row>25</xdr:row>
      <xdr:rowOff>190260</xdr:rowOff>
    </xdr:from>
    <xdr:to>
      <xdr:col>11</xdr:col>
      <xdr:colOff>218040</xdr:colOff>
      <xdr:row>27</xdr:row>
      <xdr:rowOff>105180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6C5F8425-9EAC-94DF-991F-9B80183CCAD9}"/>
                </a:ext>
              </a:extLst>
            </xdr14:cNvPr>
            <xdr14:cNvContentPartPr/>
          </xdr14:nvContentPartPr>
          <xdr14:nvPr macro=""/>
          <xdr14:xfrm>
            <a:off x="19490340" y="4876560"/>
            <a:ext cx="303480" cy="29592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6C5F8425-9EAC-94DF-991F-9B80183CCAD9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9481700" y="4867920"/>
              <a:ext cx="321120" cy="31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190020</xdr:colOff>
      <xdr:row>21</xdr:row>
      <xdr:rowOff>167100</xdr:rowOff>
    </xdr:from>
    <xdr:to>
      <xdr:col>10</xdr:col>
      <xdr:colOff>402420</xdr:colOff>
      <xdr:row>22</xdr:row>
      <xdr:rowOff>183960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FE1C71A7-0B5C-314E-762C-183A50FAABB5}"/>
                </a:ext>
              </a:extLst>
            </xdr14:cNvPr>
            <xdr14:cNvContentPartPr/>
          </xdr14:nvContentPartPr>
          <xdr14:nvPr macro=""/>
          <xdr14:xfrm>
            <a:off x="18660900" y="4091400"/>
            <a:ext cx="212400" cy="20736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FE1C71A7-0B5C-314E-762C-183A50FAABB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8651900" y="4082760"/>
              <a:ext cx="230040" cy="22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190020</xdr:colOff>
      <xdr:row>23</xdr:row>
      <xdr:rowOff>30180</xdr:rowOff>
    </xdr:from>
    <xdr:to>
      <xdr:col>10</xdr:col>
      <xdr:colOff>442020</xdr:colOff>
      <xdr:row>24</xdr:row>
      <xdr:rowOff>31200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5FE5938A-9F81-4A44-D748-7FDDEB1D96C0}"/>
                </a:ext>
              </a:extLst>
            </xdr14:cNvPr>
            <xdr14:cNvContentPartPr/>
          </xdr14:nvContentPartPr>
          <xdr14:nvPr macro=""/>
          <xdr14:xfrm>
            <a:off x="18660900" y="4335480"/>
            <a:ext cx="252000" cy="19152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5FE5938A-9F81-4A44-D748-7FDDEB1D96C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8651900" y="4326840"/>
              <a:ext cx="26964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129840</xdr:colOff>
      <xdr:row>31</xdr:row>
      <xdr:rowOff>182340</xdr:rowOff>
    </xdr:from>
    <xdr:to>
      <xdr:col>11</xdr:col>
      <xdr:colOff>354840</xdr:colOff>
      <xdr:row>33</xdr:row>
      <xdr:rowOff>3300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22F126B2-6573-B5DA-780D-DDF2AEA7F3A2}"/>
                </a:ext>
              </a:extLst>
            </xdr14:cNvPr>
            <xdr14:cNvContentPartPr/>
          </xdr14:nvContentPartPr>
          <xdr14:nvPr macro=""/>
          <xdr14:xfrm>
            <a:off x="19705620" y="6011640"/>
            <a:ext cx="225000" cy="20196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22F126B2-6573-B5DA-780D-DDF2AEA7F3A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9696980" y="6003000"/>
              <a:ext cx="24264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517980</xdr:colOff>
      <xdr:row>24</xdr:row>
      <xdr:rowOff>30120</xdr:rowOff>
    </xdr:from>
    <xdr:to>
      <xdr:col>10</xdr:col>
      <xdr:colOff>625620</xdr:colOff>
      <xdr:row>24</xdr:row>
      <xdr:rowOff>189600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B5A4B2C0-9C07-9DB9-A8D7-0D165C38B3D2}"/>
                </a:ext>
              </a:extLst>
            </xdr14:cNvPr>
            <xdr14:cNvContentPartPr/>
          </xdr14:nvContentPartPr>
          <xdr14:nvPr macro=""/>
          <xdr14:xfrm>
            <a:off x="18988860" y="4525920"/>
            <a:ext cx="107640" cy="159480"/>
          </xdr14:xfrm>
        </xdr:contentPart>
      </mc:Choice>
      <mc:Fallback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B5A4B2C0-9C07-9DB9-A8D7-0D165C38B3D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8979860" y="4516920"/>
              <a:ext cx="12528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342660</xdr:colOff>
      <xdr:row>29</xdr:row>
      <xdr:rowOff>174900</xdr:rowOff>
    </xdr:from>
    <xdr:to>
      <xdr:col>10</xdr:col>
      <xdr:colOff>707700</xdr:colOff>
      <xdr:row>31</xdr:row>
      <xdr:rowOff>143460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651C1733-924A-6B79-AA90-1844791F608F}"/>
                </a:ext>
              </a:extLst>
            </xdr14:cNvPr>
            <xdr14:cNvContentPartPr/>
          </xdr14:nvContentPartPr>
          <xdr14:nvPr macro=""/>
          <xdr14:xfrm>
            <a:off x="18813540" y="5623200"/>
            <a:ext cx="365040" cy="349560"/>
          </xdr14:xfrm>
        </xdr:contentPart>
      </mc:Choice>
      <mc:Fallback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651C1733-924A-6B79-AA90-1844791F608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8804540" y="5614560"/>
              <a:ext cx="382680" cy="36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3390540</xdr:colOff>
      <xdr:row>16</xdr:row>
      <xdr:rowOff>182460</xdr:rowOff>
    </xdr:from>
    <xdr:to>
      <xdr:col>10</xdr:col>
      <xdr:colOff>47100</xdr:colOff>
      <xdr:row>19</xdr:row>
      <xdr:rowOff>144180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F0A4D3B1-7D53-B9C0-8A37-49AE17C626F1}"/>
                </a:ext>
              </a:extLst>
            </xdr14:cNvPr>
            <xdr14:cNvContentPartPr/>
          </xdr14:nvContentPartPr>
          <xdr14:nvPr macro=""/>
          <xdr14:xfrm>
            <a:off x="18234300" y="3161880"/>
            <a:ext cx="283680" cy="525600"/>
          </xdr14:xfrm>
        </xdr:contentPart>
      </mc:Choice>
      <mc:Fallback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F0A4D3B1-7D53-B9C0-8A37-49AE17C626F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8225300" y="3153240"/>
              <a:ext cx="301320" cy="54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471660</xdr:colOff>
      <xdr:row>39</xdr:row>
      <xdr:rowOff>176640</xdr:rowOff>
    </xdr:from>
    <xdr:to>
      <xdr:col>11</xdr:col>
      <xdr:colOff>718980</xdr:colOff>
      <xdr:row>41</xdr:row>
      <xdr:rowOff>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7D72E3D8-9643-A1A5-1349-BF83F5401391}"/>
                </a:ext>
              </a:extLst>
            </xdr14:cNvPr>
            <xdr14:cNvContentPartPr/>
          </xdr14:nvContentPartPr>
          <xdr14:nvPr macro=""/>
          <xdr14:xfrm>
            <a:off x="20047440" y="7529940"/>
            <a:ext cx="247320" cy="209520"/>
          </xdr14:xfrm>
        </xdr:contentPart>
      </mc:Choice>
      <mc:Fallback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7D72E3D8-9643-A1A5-1349-BF83F540139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0038800" y="7521300"/>
              <a:ext cx="264960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220740</xdr:colOff>
      <xdr:row>44</xdr:row>
      <xdr:rowOff>129540</xdr:rowOff>
    </xdr:from>
    <xdr:to>
      <xdr:col>11</xdr:col>
      <xdr:colOff>524580</xdr:colOff>
      <xdr:row>46</xdr:row>
      <xdr:rowOff>7020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EBD09466-F28D-48F7-2F2E-D3765D069AD3}"/>
                </a:ext>
              </a:extLst>
            </xdr14:cNvPr>
            <xdr14:cNvContentPartPr/>
          </xdr14:nvContentPartPr>
          <xdr14:nvPr macro=""/>
          <xdr14:xfrm>
            <a:off x="19796520" y="8435340"/>
            <a:ext cx="303840" cy="258480"/>
          </xdr14:xfrm>
        </xdr:contentPart>
      </mc:Choice>
      <mc:Fallback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EBD09466-F28D-48F7-2F2E-D3765D069AD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9787520" y="8426700"/>
              <a:ext cx="321480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273660</xdr:colOff>
      <xdr:row>49</xdr:row>
      <xdr:rowOff>52200</xdr:rowOff>
    </xdr:from>
    <xdr:to>
      <xdr:col>11</xdr:col>
      <xdr:colOff>660300</xdr:colOff>
      <xdr:row>50</xdr:row>
      <xdr:rowOff>171660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7F216A22-9A3F-764F-E8B2-9FCC571EB260}"/>
                </a:ext>
              </a:extLst>
            </xdr14:cNvPr>
            <xdr14:cNvContentPartPr/>
          </xdr14:nvContentPartPr>
          <xdr14:nvPr macro=""/>
          <xdr14:xfrm>
            <a:off x="19849440" y="9310500"/>
            <a:ext cx="386640" cy="309960"/>
          </xdr14:xfrm>
        </xdr:contentPart>
      </mc:Choice>
      <mc:Fallback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7F216A22-9A3F-764F-E8B2-9FCC571EB260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9840440" y="9301500"/>
              <a:ext cx="404280" cy="32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548400</xdr:colOff>
      <xdr:row>32</xdr:row>
      <xdr:rowOff>60600</xdr:rowOff>
    </xdr:from>
    <xdr:to>
      <xdr:col>2</xdr:col>
      <xdr:colOff>933960</xdr:colOff>
      <xdr:row>35</xdr:row>
      <xdr:rowOff>28380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E23D3899-860C-3C5A-7423-6543ECEA0F4C}"/>
                </a:ext>
              </a:extLst>
            </xdr14:cNvPr>
            <xdr14:cNvContentPartPr/>
          </xdr14:nvContentPartPr>
          <xdr14:nvPr macro=""/>
          <xdr14:xfrm>
            <a:off x="5105160" y="6080400"/>
            <a:ext cx="385560" cy="539280"/>
          </xdr14:xfrm>
        </xdr:contentPart>
      </mc:Choice>
      <mc:Fallback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E23D3899-860C-3C5A-7423-6543ECEA0F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096160" y="6071760"/>
              <a:ext cx="403200" cy="55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517980</xdr:colOff>
      <xdr:row>32</xdr:row>
      <xdr:rowOff>22440</xdr:rowOff>
    </xdr:from>
    <xdr:to>
      <xdr:col>1</xdr:col>
      <xdr:colOff>955020</xdr:colOff>
      <xdr:row>34</xdr:row>
      <xdr:rowOff>136440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F2869C81-3F4F-4039-3868-AC714400D236}"/>
                </a:ext>
              </a:extLst>
            </xdr14:cNvPr>
            <xdr14:cNvContentPartPr/>
          </xdr14:nvContentPartPr>
          <xdr14:nvPr macro=""/>
          <xdr14:xfrm>
            <a:off x="3314520" y="6042240"/>
            <a:ext cx="437040" cy="495000"/>
          </xdr14:xfrm>
        </xdr:contentPart>
      </mc:Choice>
      <mc:Fallback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F2869C81-3F4F-4039-3868-AC714400D23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305520" y="6033600"/>
              <a:ext cx="454680" cy="512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213360</xdr:colOff>
      <xdr:row>31</xdr:row>
      <xdr:rowOff>152400</xdr:rowOff>
    </xdr:from>
    <xdr:to>
      <xdr:col>5</xdr:col>
      <xdr:colOff>1790700</xdr:colOff>
      <xdr:row>35</xdr:row>
      <xdr:rowOff>45720</xdr:rowOff>
    </xdr:to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19AF8601-A086-E8B9-6249-E5C82438E2FE}"/>
            </a:ext>
          </a:extLst>
        </xdr:cNvPr>
        <xdr:cNvSpPr txBox="1"/>
      </xdr:nvSpPr>
      <xdr:spPr>
        <a:xfrm>
          <a:off x="7421880" y="5981700"/>
          <a:ext cx="343662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>
              <a:solidFill>
                <a:srgbClr val="FF0000"/>
              </a:solidFill>
            </a:rPr>
            <a:t>Son las utilidades retenidas las que se encuentran disponibles para invertir y son las que se acaban...</a:t>
          </a:r>
        </a:p>
      </xdr:txBody>
    </xdr:sp>
    <xdr:clientData/>
  </xdr:twoCellAnchor>
  <xdr:twoCellAnchor editAs="oneCell">
    <xdr:from>
      <xdr:col>0</xdr:col>
      <xdr:colOff>2235600</xdr:colOff>
      <xdr:row>38</xdr:row>
      <xdr:rowOff>83280</xdr:rowOff>
    </xdr:from>
    <xdr:to>
      <xdr:col>0</xdr:col>
      <xdr:colOff>2477880</xdr:colOff>
      <xdr:row>40</xdr:row>
      <xdr:rowOff>37800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DCBEC2B0-4D6B-0218-665C-EA94A70758F6}"/>
                </a:ext>
              </a:extLst>
            </xdr14:cNvPr>
            <xdr14:cNvContentPartPr/>
          </xdr14:nvContentPartPr>
          <xdr14:nvPr macro=""/>
          <xdr14:xfrm>
            <a:off x="2235600" y="7246080"/>
            <a:ext cx="242280" cy="335520"/>
          </xdr14:xfrm>
        </xdr:contentPart>
      </mc:Choice>
      <mc:Fallback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DCBEC2B0-4D6B-0218-665C-EA94A70758F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226613" y="7237440"/>
              <a:ext cx="259894" cy="35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2336040</xdr:colOff>
      <xdr:row>41</xdr:row>
      <xdr:rowOff>151860</xdr:rowOff>
    </xdr:from>
    <xdr:to>
      <xdr:col>0</xdr:col>
      <xdr:colOff>2563560</xdr:colOff>
      <xdr:row>43</xdr:row>
      <xdr:rowOff>52380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06A9C09C-2E6C-0681-2C97-0C9E3F6BC88E}"/>
                </a:ext>
              </a:extLst>
            </xdr14:cNvPr>
            <xdr14:cNvContentPartPr/>
          </xdr14:nvContentPartPr>
          <xdr14:nvPr macro=""/>
          <xdr14:xfrm>
            <a:off x="2336040" y="7886160"/>
            <a:ext cx="227520" cy="281520"/>
          </xdr14:xfrm>
        </xdr:contentPart>
      </mc:Choice>
      <mc:Fallback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06A9C09C-2E6C-0681-2C97-0C9E3F6BC88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327400" y="7877520"/>
              <a:ext cx="245160" cy="29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2369520</xdr:colOff>
      <xdr:row>48</xdr:row>
      <xdr:rowOff>14880</xdr:rowOff>
    </xdr:from>
    <xdr:to>
      <xdr:col>0</xdr:col>
      <xdr:colOff>2594880</xdr:colOff>
      <xdr:row>50</xdr:row>
      <xdr:rowOff>1800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62" name="Entrada de lápiz 61">
              <a:extLst>
                <a:ext uri="{FF2B5EF4-FFF2-40B4-BE49-F238E27FC236}">
                  <a16:creationId xmlns:a16="http://schemas.microsoft.com/office/drawing/2014/main" id="{48F47986-8622-CBB3-8E69-53C326B69E97}"/>
                </a:ext>
              </a:extLst>
            </xdr14:cNvPr>
            <xdr14:cNvContentPartPr/>
          </xdr14:nvContentPartPr>
          <xdr14:nvPr macro=""/>
          <xdr14:xfrm>
            <a:off x="2369520" y="9082680"/>
            <a:ext cx="225360" cy="367920"/>
          </xdr14:xfrm>
        </xdr:contentPart>
      </mc:Choice>
      <mc:Fallback>
        <xdr:pic>
          <xdr:nvPicPr>
            <xdr:cNvPr id="62" name="Entrada de lápiz 61">
              <a:extLst>
                <a:ext uri="{FF2B5EF4-FFF2-40B4-BE49-F238E27FC236}">
                  <a16:creationId xmlns:a16="http://schemas.microsoft.com/office/drawing/2014/main" id="{48F47986-8622-CBB3-8E69-53C326B69E9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360520" y="9074040"/>
              <a:ext cx="243000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2239920</xdr:colOff>
      <xdr:row>44</xdr:row>
      <xdr:rowOff>159480</xdr:rowOff>
    </xdr:from>
    <xdr:to>
      <xdr:col>0</xdr:col>
      <xdr:colOff>2565000</xdr:colOff>
      <xdr:row>47</xdr:row>
      <xdr:rowOff>28620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1C92FB30-5BF1-1BE3-F376-E297B02993EA}"/>
                </a:ext>
              </a:extLst>
            </xdr14:cNvPr>
            <xdr14:cNvContentPartPr/>
          </xdr14:nvContentPartPr>
          <xdr14:nvPr macro=""/>
          <xdr14:xfrm>
            <a:off x="2239920" y="8465280"/>
            <a:ext cx="325080" cy="440640"/>
          </xdr14:xfrm>
        </xdr:contentPart>
      </mc:Choice>
      <mc:Fallback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1C92FB30-5BF1-1BE3-F376-E297B02993EA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2230920" y="8456640"/>
              <a:ext cx="342720" cy="45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53160</xdr:colOff>
      <xdr:row>38</xdr:row>
      <xdr:rowOff>167400</xdr:rowOff>
    </xdr:from>
    <xdr:to>
      <xdr:col>5</xdr:col>
      <xdr:colOff>1187880</xdr:colOff>
      <xdr:row>49</xdr:row>
      <xdr:rowOff>123180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30" name="Entrada de lápiz 129">
              <a:extLst>
                <a:ext uri="{FF2B5EF4-FFF2-40B4-BE49-F238E27FC236}">
                  <a16:creationId xmlns:a16="http://schemas.microsoft.com/office/drawing/2014/main" id="{92A90AC8-9DF7-1FF3-38BC-7D4D1DF45441}"/>
                </a:ext>
              </a:extLst>
            </xdr14:cNvPr>
            <xdr14:cNvContentPartPr/>
          </xdr14:nvContentPartPr>
          <xdr14:nvPr macro=""/>
          <xdr14:xfrm>
            <a:off x="9120960" y="7330200"/>
            <a:ext cx="1134720" cy="2051280"/>
          </xdr14:xfrm>
        </xdr:contentPart>
      </mc:Choice>
      <mc:Fallback>
        <xdr:pic>
          <xdr:nvPicPr>
            <xdr:cNvPr id="130" name="Entrada de lápiz 129">
              <a:extLst>
                <a:ext uri="{FF2B5EF4-FFF2-40B4-BE49-F238E27FC236}">
                  <a16:creationId xmlns:a16="http://schemas.microsoft.com/office/drawing/2014/main" id="{92A90AC8-9DF7-1FF3-38BC-7D4D1DF45441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9111960" y="7321560"/>
              <a:ext cx="1152360" cy="2068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167640</xdr:colOff>
      <xdr:row>89</xdr:row>
      <xdr:rowOff>152400</xdr:rowOff>
    </xdr:from>
    <xdr:to>
      <xdr:col>9</xdr:col>
      <xdr:colOff>922020</xdr:colOff>
      <xdr:row>92</xdr:row>
      <xdr:rowOff>137160</xdr:rowOff>
    </xdr:to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id="{EC403037-13F6-6B1E-27FF-DB9F0B873639}"/>
            </a:ext>
          </a:extLst>
        </xdr:cNvPr>
        <xdr:cNvSpPr txBox="1"/>
      </xdr:nvSpPr>
      <xdr:spPr>
        <a:xfrm>
          <a:off x="12054840" y="17030700"/>
          <a:ext cx="371094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>
              <a:solidFill>
                <a:srgbClr val="FF0000"/>
              </a:solidFill>
            </a:rPr>
            <a:t>TIR VRS</a:t>
          </a:r>
          <a:r>
            <a:rPr lang="es-GT" sz="1100" baseline="0">
              <a:solidFill>
                <a:srgbClr val="FF0000"/>
              </a:solidFill>
            </a:rPr>
            <a:t> TMAR Y Gráfico de POI es lo mismo, por lo que faltó un método...</a:t>
          </a:r>
          <a:endParaRPr lang="es-GT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45720</xdr:colOff>
      <xdr:row>92</xdr:row>
      <xdr:rowOff>152400</xdr:rowOff>
    </xdr:from>
    <xdr:to>
      <xdr:col>5</xdr:col>
      <xdr:colOff>1897380</xdr:colOff>
      <xdr:row>95</xdr:row>
      <xdr:rowOff>137160</xdr:rowOff>
    </xdr:to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B2106365-C123-4728-954F-15B413A7548D}"/>
            </a:ext>
          </a:extLst>
        </xdr:cNvPr>
        <xdr:cNvSpPr txBox="1"/>
      </xdr:nvSpPr>
      <xdr:spPr>
        <a:xfrm>
          <a:off x="7254240" y="17602200"/>
          <a:ext cx="3710940" cy="556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>
              <a:solidFill>
                <a:srgbClr val="FF0000"/>
              </a:solidFill>
            </a:rPr>
            <a:t>Deberían de haber ampliado o quitar decimales para que no queden cantidades montadas ... pues no se entiende así...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0.48922</cdr:x>
      <cdr:y>0.35185</cdr:y>
    </cdr:from>
    <cdr:to>
      <cdr:x>0.60311</cdr:x>
      <cdr:y>0.43866</cdr:y>
    </cdr:to>
    <cdr:sp macro="" textlink="">
      <cdr:nvSpPr>
        <cdr:cNvPr id="2" name="TextBox 13">
          <a:extLst xmlns:a="http://schemas.openxmlformats.org/drawingml/2006/main">
            <a:ext uri="{FF2B5EF4-FFF2-40B4-BE49-F238E27FC236}">
              <a16:creationId xmlns:a16="http://schemas.microsoft.com/office/drawing/2014/main" id="{5587C7F5-7877-437A-8E3A-3753FB2CD6AD}"/>
            </a:ext>
          </a:extLst>
        </cdr:cNvPr>
        <cdr:cNvSpPr txBox="1"/>
      </cdr:nvSpPr>
      <cdr:spPr>
        <a:xfrm xmlns:a="http://schemas.openxmlformats.org/drawingml/2006/main">
          <a:off x="2536825" y="965200"/>
          <a:ext cx="590550" cy="238125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>
              <a:solidFill>
                <a:schemeClr val="bg1"/>
              </a:solidFill>
            </a:rPr>
            <a:t>P1</a:t>
          </a:r>
          <a:endParaRPr lang="en-US" sz="110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0</xdr:row>
      <xdr:rowOff>160020</xdr:rowOff>
    </xdr:from>
    <xdr:to>
      <xdr:col>8</xdr:col>
      <xdr:colOff>335280</xdr:colOff>
      <xdr:row>3</xdr:row>
      <xdr:rowOff>99060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9727133-F15E-0FBA-3FC6-69B19B851AD1}"/>
            </a:ext>
          </a:extLst>
        </xdr:cNvPr>
        <xdr:cNvSpPr txBox="1"/>
      </xdr:nvSpPr>
      <xdr:spPr>
        <a:xfrm>
          <a:off x="4442460" y="160020"/>
          <a:ext cx="223266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800">
              <a:solidFill>
                <a:srgbClr val="FF0000"/>
              </a:solidFill>
            </a:rPr>
            <a:t>NOTA:  85/100</a:t>
          </a:r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10:01.8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24575,'21'11'0,"-1"2"0,0 0 0,35 31 0,47 56 0,-83-79 0,360 432 0,-239-275 0,437 592-1365,-559-745-5461</inkml:trace>
  <inkml:trace contextRef="#ctx0" brushRef="#br0" timeOffset="740.77">911 22 24575,'-1'11'0,"-1"1"0,1 0 0,-2-1 0,0 1 0,-5 13 0,-1 5 0,-211 637 0,-143 165 0,320-741 0,-12 14-1365,36-76-5461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22:12.8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2 165 24575,'0'395'0,"-1"-394"0,1 0 0,0 0 0,0 0 0,0 0 0,0 1 0,0-1 0,0 0 0,0 0 0,0 0 0,1 0 0,-1 0 0,0 1 0,1-1 0,-1 0 0,1 0 0,-1 0 0,1 0 0,1 1 0,-1-2 0,0 0 0,0 0 0,0-1 0,0 1 0,0 0 0,0-1 0,0 1 0,1-1 0,-1 1 0,0-1 0,0 0 0,-1 1 0,1-1 0,0 0 0,0 1 0,0-1 0,0 0 0,-1 0 0,2-2 0,108-113 0,58-55 0,-63 84-682,149-93-1,-231 166-6143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22:14.3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1 571 24575,'-1'2'0,"1"15"0,1 1 0,4 27 0,-4-42 0,-1 1 0,1-1 0,0 1 0,0-1 0,0 0 0,0 1 0,1-1 0,-1 0 0,1 0 0,0 0 0,0 0 0,0 0 0,0 0 0,1-1 0,-1 1 0,1-1 0,0 1 0,-1-1 0,6 3 0,-5-4 0,-1 0 0,1-1 0,-1 0 0,1 1 0,-1-1 0,1 0 0,0 0 0,-1 0 0,1-1 0,-1 1 0,1-1 0,-1 1 0,1-1 0,-1 0 0,0 0 0,1 0 0,-1 0 0,0 0 0,0-1 0,0 1 0,3-3 0,8-6 0,-1 0 0,14-16 0,-16 16 0,165-177 0,-96 98 0,159-136 0,-77 101-1365,-134 103-5461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22:15.7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2 680 24575,'-1'9'0,"1"4"0,-1 0 0,2 1 0,-1-1 0,2 0 0,0 0 0,0 0 0,2 0 0,-1-1 0,10 21 0,-13-31 0,1-1 0,0 0 0,0 0 0,-1 1 0,1-1 0,0 0 0,0 0 0,0 0 0,0 0 0,1 0 0,-1 0 0,0 0 0,0 0 0,0 0 0,1-1 0,-1 1 0,1 0 0,-1-1 0,0 1 0,1-1 0,-1 0 0,1 1 0,-1-1 0,1 0 0,-1 0 0,1 0 0,-1 0 0,1 0 0,-1 0 0,1 0 0,-1-1 0,1 1 0,-1 0 0,1-1 0,-1 1 0,0-1 0,1 0 0,-1 0 0,2 0 0,6-5 0,0-1 0,0 1 0,-1-1 0,12-12 0,-9 8 0,669-576 0,-460 398-1365,-191 167-5461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22:33.9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24575,'4'0'0,"1"1"0,-1-1 0,0 1 0,1 1 0,-1-1 0,0 1 0,1-1 0,-1 1 0,0 0 0,4 3 0,39 30 0,-38-28 0,30 26 0,-1 2 0,-2 1 0,36 48 0,86 131 0,-119-158 0,342 495 0,-227-352 0,-139-181 0,9 25-1365,-18-33-5461</inkml:trace>
  <inkml:trace contextRef="#ctx0" brushRef="#br0" timeOffset="938.07">826 86 24575,'-17'41'0,"-1"-1"0,-2 0 0,-34 50 0,-2 2 0,-290 545 0,236-420 106,-12 23-1577,113-225-5355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22:37.7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1 340 24575,'7'0'0,"9"0"0,14-4 0,8-1 0,8-6 0,5-3 0,3-5 0,0-3 0,2-2 0,-2 0 0,-2 1 0,-4 0 0,-5 4 0,-8 2 0,-5 3 0,-4 5 0,-7 0 0,-7 2-8191</inkml:trace>
  <inkml:trace contextRef="#ctx0" brushRef="#br0" timeOffset="825.91">128 1 24575,'7'3'0,"9"9"0,10 10 0,4 0 0,3 4 0,1 5 0,-3 1 0,1-5 0,-4-4 0,-1-2 0,-1-1 0,-1 0 0,-2-1 0,0-2 0,-5-1 0,-2-4 0,-3 1 0,-4-3-8191</inkml:trace>
  <inkml:trace contextRef="#ctx0" brushRef="#br0" timeOffset="2868.93">572 742 24575,'0'102'0,"0"-101"0,0-1 0,0 1 0,0 0 0,0-1 0,0 1 0,0-1 0,1 1 0,-1 0 0,0-1 0,0 1 0,1 0 0,-1-1 0,0 1 0,0-1 0,1 1 0,-1-1 0,1 1 0,-1-1 0,1 1 0,-1-1 0,1 1 0,-1-1 0,1 1 0,-1-1 0,1 0 0,-1 1 0,1-1 0,-1 0 0,1 0 0,0 1 0,-1-1 0,1 0 0,0 0 0,-1 0 0,1 0 0,0 0 0,-1 0 0,1 0 0,0 0 0,-1 0 0,1 0 0,-1 0 0,1 0 0,0-1 0,-1 1 0,1 0 0,0 0 0,-1-1 0,1 1 0,-1 0 0,1-1 0,-1 1 0,1 0 0,-1-1 0,2 0 0,36-28 0,-32 23 0,82-70 0,3 5 0,112-68 0,-162 114-55,-11 7-600,44-21 0,-53 31-6171</inkml:trace>
  <inkml:trace contextRef="#ctx0" brushRef="#br0" timeOffset="4430.8">572 1208 24575,'2'0'0,"1"1"0,-1 0 0,1-1 0,-1 1 0,1 0 0,-1 1 0,1-1 0,-1 0 0,0 1 0,0-1 0,1 1 0,-1 0 0,0 0 0,-1 0 0,1 0 0,0 0 0,1 3 0,26 40 0,-17-10 0,-11-29 0,0-1 0,0 0 0,1 0 0,0 0 0,0 0 0,0 0 0,5 6 0,-6-10 0,0 0 0,0 0 0,1 0 0,-1 0 0,0 0 0,1 0 0,-1 0 0,1-1 0,-1 1 0,1 0 0,-1-1 0,1 1 0,-1-1 0,1 0 0,0 1 0,-1-1 0,1 0 0,0 0 0,-1 0 0,1 0 0,-1 0 0,1 0 0,0-1 0,-1 1 0,1-1 0,-1 1 0,1-1 0,2-1 0,11-4 0,-2-2 0,1 0 0,-1 0 0,0-1 0,12-12 0,5-2 0,27-18 0,2 2 0,98-49 0,-75 44-1365,-65 35-5461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23:30.0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182 150 24575,'0'3'0,"7"9"0,10 9 0,9 12 0,3 12 0,9 8 0,4 6 0,2 7 0,5 4 0,-3-3 0,-1-6 0,-6-6 0,-8-8 0,-7-10 0,-4-6 0,-1-10 0,-4-7-8191</inkml:trace>
  <inkml:trace contextRef="#ctx0" brushRef="#br0" timeOffset="605.47">669 1 24575,'-4'0'0,"-8"14"0,-9 16 0,-12 17 0,-8 12 0,-7 9 0,-7 9 0,-1 8 0,-1 1 0,4-11 0,2-3 0,1-4 0,-1-2 0,4-5 0,7-10 0,10-9 0,10-13-8191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23:31.3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 65 24575,'46'24'0,"0"2"0,-1 3 0,57 46 0,-28-12 0,99 110 0,-94-74 109,-34-41-1583,-32-42-5352</inkml:trace>
  <inkml:trace contextRef="#ctx0" brushRef="#br0" timeOffset="539.57">581 1 24575,'-4'0'0,"-1"3"0,-7 10 0,-8 11 0,-9 14 0,-6 15 0,-8 9 0,-4 8 0,-4 6 0,-2 2 0,-1-2 0,3-7 0,5-11 0,5-8 0,11-10 0,6-7 0,4-10 0,5-8-8191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23:36.2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1 170 24575,'3'0'0,"13"0"0,10 7 0,8 10 0,9 9 0,5 11 0,11 13 0,4 6 0,1 0 0,-6 2 0,-6-6 0,-4-7 0,-8-9 0,-9-7 0,-8-7 0,-6-9-8191</inkml:trace>
  <inkml:trace contextRef="#ctx0" brushRef="#br0" timeOffset="581.55">615 1 24575,'-3'0'0,"1"1"0,0-1 0,0 1 0,1-1 0,-1 1 0,0 0 0,0 0 0,0 0 0,0 0 0,1 1 0,-1-1 0,1 0 0,-1 1 0,1-1 0,-1 1 0,1-1 0,-2 4 0,-23 36 0,19-29 0,-152 266 0,65-111 0,12-26 0,-90 166 0,158-277-1365,6-7-5461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23:34.9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24575,'54'31'0,"0"2"0,58 49 0,87 92 0,-21 10 0,57 53 0,-182-195-1365,-37-29-5461</inkml:trace>
  <inkml:trace contextRef="#ctx0" brushRef="#br0" timeOffset="719">721 128 24575,'-6'6'0,"2"0"0,-1 1 0,1-1 0,0 1 0,1 0 0,-1 1 0,-1 7 0,-7 12 0,-177 316 0,-23-15 0,126-196 0,38-52 72,-16 22-1509,47-80-5389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25:28.3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24575,'108'143'0,"-46"-65"0,365 536-676,-35 28-1633,480 916-142,-62 33 532,-764-1498 2024,150 300 1860,21-17 177,-202-358-2609,-9-19-4114</inkml:trace>
  <inkml:trace contextRef="#ctx0" brushRef="#br0" timeOffset="895.06">2435 424 24575,'-1'0'0,"1"0"0,-1 0 0,1 0 0,-1 0 0,1 1 0,0-1 0,-1 0 0,1 0 0,-1 1 0,1-1 0,0 0 0,-1 1 0,1-1 0,0 0 0,0 1 0,-1-1 0,1 0 0,0 1 0,0-1 0,-1 1 0,1-1 0,0 1 0,0-1 0,0 0 0,0 1 0,0-1 0,0 1 0,0 0 0,-2 4 0,-175 569 9,94-288-183,-309 880-1461,-56-23 248,139-418 1145,-195 493-282,473-1132-183,12-25-2824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11:05.33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 1 24575,'5'1'0,"0"1"0,0-1 0,-1 2 0,1-1 0,0 0 0,-1 1 0,1 0 0,-1 0 0,0 0 0,0 0 0,0 1 0,4 4 0,8 6 0,698 602 0,-679-584 0,205 188 0,-9 11 0,269 350 0,-481-553 0,-7-12 0,-21-37 0,-9-15-1365,-3-1-5461</inkml:trace>
  <inkml:trace contextRef="#ctx0" brushRef="#br0" timeOffset="820.19">1369 44 24575,'-61'112'0,"-99"140"0,-96 88 0,-182 177 123,15-20-1611,392-457-5338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17:38.30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 43 24575,'10'2'0,"1"0"0,0 1 0,0 0 0,-1 1 0,1 0 0,-1 1 0,-1 0 0,1 0 0,10 8 0,1 0 0,27 16 0,-2 3 0,46 40 0,80 83 0,-27-22 0,28 7 0,-173-139-47,1-1 0,-1 0 0,0 0 0,1 1 0,-1-1 0,0 0 0,1 0 0,-1 1 0,0-1-1,1 0 1,-1 1 0,0-1 0,1 0 0,-1 1 0,0-1 0,0 0 0,0 1 0,1-1 0,-1 1 0,0-1 0,0 1 0,0-1-1,0 0 1,0 1 0,0-1 0,0 1 0,0-1 0,0 1 0</inkml:trace>
  <inkml:trace contextRef="#ctx0" brushRef="#br0" timeOffset="721.44">618 1 24575,'-2'0'0,"1"1"0,-1 0 0,1-1 0,-1 1 0,1 0 0,0 0 0,0 0 0,-1 0 0,1 0 0,0 0 0,0 1 0,0-1 0,0 0 0,0 0 0,0 1 0,1-1 0,-2 3 0,-2 3 0,-291 430 0,241-359 0,-3-2 0,-89 92 0,124-148-1365,5-6-5461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17:40.37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23 24575,'9'0'0,"0"2"0,0-1 0,0 1 0,-1 0 0,1 1 0,0 0 0,-1 1 0,0-1 0,0 2 0,0-1 0,12 10 0,10 9 0,40 38 0,-47-39 0,171 167 0,-61-58 0,-119-116-1365,-4-3-5461</inkml:trace>
  <inkml:trace contextRef="#ctx0" brushRef="#br0" timeOffset="892.94">552 1 24575,'-4'0'0,"-12"18"0,-6 9 0,-8 8 0,-5 9 0,-7 10 0,-5 8 0,3 4 0,5-10 0,2-6 0,0-6 0,3-5 0,3-7 0,8-5 0,7-6-8191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18:04.02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85 24575,'11'0'0,"1"1"0,0 1 0,-1 0 0,1 1 0,-1 0 0,1 0 0,15 8 0,74 44 0,-51-26 0,248 135 0,-269-147-682,43 32-1,-62-41-6143</inkml:trace>
  <inkml:trace contextRef="#ctx0" brushRef="#br0" timeOffset="648.76">700 1 24575,'-13'7'0,"1"2"0,0-1 0,0 2 0,1-1 0,-13 17 0,-11 8 0,-83 67 0,-177 118 0,247-192 0,37-22 0,-1 1 0,1 1 0,0 0 0,0 0 0,1 1 0,-10 9 0,12-5-1365,3 0-5461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18:34.4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84 65 24575,'30'18'0,"-1"2"0,0 1 0,-2 1 0,0 2 0,32 37 0,-29-32 0,66 65 0,60 61 0,-109-114-1365,-37-30-5461</inkml:trace>
  <inkml:trace contextRef="#ctx0" brushRef="#br0" timeOffset="781.88">444 1 24575,'-4'0'0,"1"0"0,-1 1 0,1 0 0,0 0 0,0 0 0,-1 0 0,1 0 0,0 1 0,0-1 0,0 1 0,0 0 0,-3 2 0,-34 32 0,20-17 0,-192 191 0,171-157 35,36-44-190,-1 0-1,0 0 0,-1-1 1,0 0-1,0 0 1,0-1-1,-1 0 1,-10 7-1,4-7-6670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18:37.06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1 191 24575,'3'5'0,"0"1"0,1 0 0,-2 1 0,1-1 0,-1 0 0,0 1 0,0-1 0,-1 1 0,0 0 0,1 10 0,1 6 0,5 22 0,-4-21 0,0 0 0,11 31 0,-11-55 0,1-8 0,3-11 0,10-30 0,2 1 0,2 0 0,2 2 0,2 1 0,57-74 0,-80 115-151,1 0-1,-2 0 0,1-1 0,0 1 1,-1-1-1,0 1 0,0-1 1,2-6-1,-1-3-6674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18:20.84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22 24575,'10'2'0,"1"0"0,-1 1 0,1 0 0,-1 0 0,0 2 0,0-1 0,-1 1 0,1 0 0,16 14 0,3-1 0,87 55 0,155 129 0,-215-165-1365,-43-28-5461</inkml:trace>
  <inkml:trace contextRef="#ctx0" brushRef="#br0" timeOffset="1014.58">615 1 24575,'-6'1'0,"1"0"0,0 1 0,0 0 0,0 0 0,0 0 0,1 1 0,-1 0 0,0 0 0,1 0 0,0 0 0,-7 7 0,0 0 0,-36 24 0,22-16 0,-27 24 0,-123 110 117,-4 3-1599,161-138-5344</inkml:trace>
  <inkml:trace contextRef="#ctx0" brushRef="#br0" timeOffset="17499.13">636 805 24575,'-2'40'0,"0"-29"0,1-1 0,1 1 0,0 0 0,0 0 0,1-1 0,0 1 0,1 0 0,1-1 0,3 14 0,-5-24 0,-1 0 0,1 1 0,-1-1 0,1 1 0,-1-1 0,1 1 0,-1-1 0,1 0 0,-1 1 0,1-1 0,-1 0 0,1 0 0,-1 1 0,1-1 0,0 0 0,-1 0 0,1 0 0,-1 0 0,1 0 0,0 0 0,-1 0 0,1 0 0,0 0 0,-1 0 0,1 0 0,-1 0 0,1 0 0,0-1 0,-1 1 0,1 0 0,-1 0 0,1-1 0,0 1 0,-1 0 0,1-1 0,-1 1 0,1 0 0,-1-1 0,1 0 0,22-19 0,-21 19 0,32-36 0,55-79 0,9-10 0,-19 40-1365,-57 64-5461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19T00:18:43.6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255 1229 24575,'0'211'0,"-1"-210"0,1 0 0,0-1 0,0 1 0,0 0 0,0 0 0,0-1 0,0 1 0,0 0 0,1 0 0,-1 0 0,0-1 0,0 1 0,1 0 0,-1 0 0,0-1 0,1 1 0,-1 0 0,1-1 0,-1 1 0,0 0 0,1-1 0,0 1 0,-1-1 0,1 1 0,-1-1 0,2 1 0,-1 0 0,0-1 0,1 0 0,-1 0 0,0 0 0,0 0 0,0 0 0,1 0 0,-1-1 0,0 1 0,0 0 0,0-1 0,1 1 0,-1 0 0,0-1 0,2-1 0,8-4 0,0-1 0,18-16 0,-15 11 0,38-21 0,2 2 0,1 2 0,116-43 0,-78 43-1365,-80 26-5461</inkml:trace>
  <inkml:trace contextRef="#ctx0" brushRef="#br0" timeOffset="2354.71">255 763 24575,'0'7'0,"1"-1"0,0 1 0,1 0 0,3 10 0,4 21 0,-8-5 0,-2-27 0,0 1 0,1-1 0,0 0 0,1 0 0,0 1 0,-1-1 0,2 0 0,3 11 0,-5-16 0,1-1 0,-1 1 0,1-1 0,0 0 0,-1 1 0,1-1 0,-1 0 0,1 0 0,0 1 0,-1-1 0,1 0 0,0 0 0,0 0 0,-1 0 0,1 0 0,0 0 0,-1 0 0,1 0 0,0 0 0,0 0 0,-1 0 0,1 0 0,0 0 0,-1-1 0,1 1 0,0 0 0,-1-1 0,1 1 0,-1 0 0,1-1 0,0 1 0,0-1 0,23-16 0,-22 15 0,78-59 0,96-55 0,-63 45-1365,-100 61-5461</inkml:trace>
  <inkml:trace contextRef="#ctx0" brushRef="#br0" timeOffset="3324.9">1 340 24575,'3'0'0,"5"0"0,9 0 0,4-4 0,7-4 0,5-5 0,8-4 0,0 1 0,-2 0 0,2-1 0,1-1 0,2-2 0,-4 3 0,-5 5 0,-5 0 0,-7 2-8191</inkml:trace>
  <inkml:trace contextRef="#ctx0" brushRef="#br0" timeOffset="4162.63">107 1 24575,'246'239'0,"-189"-182"0,-34-36 0,0 1 0,-2 2 0,0 0 0,22 35 0,-37-47-1365,-2 0-5461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BBC6-7784-42AF-9337-CA9CD0AA8BD4}">
  <dimension ref="A1:O101"/>
  <sheetViews>
    <sheetView topLeftCell="A16" workbookViewId="0">
      <selection activeCell="F91" sqref="F91"/>
    </sheetView>
  </sheetViews>
  <sheetFormatPr baseColWidth="10" defaultColWidth="11.44140625" defaultRowHeight="15" customHeight="1" x14ac:dyDescent="0.3"/>
  <cols>
    <col min="1" max="1" width="40.77734375" bestFit="1" customWidth="1"/>
    <col min="2" max="2" width="25.6640625" bestFit="1" customWidth="1"/>
    <col min="3" max="3" width="16.88671875" bestFit="1" customWidth="1"/>
    <col min="4" max="4" width="21.77734375" bestFit="1" customWidth="1"/>
    <col min="5" max="5" width="27.109375" bestFit="1" customWidth="1"/>
    <col min="6" max="6" width="41.109375" bestFit="1" customWidth="1"/>
    <col min="7" max="7" width="15.33203125" bestFit="1" customWidth="1"/>
    <col min="8" max="8" width="16.33203125" bestFit="1" customWidth="1"/>
    <col min="10" max="10" width="52.88671875" bestFit="1" customWidth="1"/>
    <col min="11" max="11" width="16.109375" bestFit="1" customWidth="1"/>
    <col min="14" max="14" width="28.109375" bestFit="1" customWidth="1"/>
  </cols>
  <sheetData>
    <row r="1" spans="1:15" ht="15" customHeight="1" x14ac:dyDescent="0.3">
      <c r="N1" t="s">
        <v>86</v>
      </c>
    </row>
    <row r="2" spans="1:15" ht="14.4" x14ac:dyDescent="0.3">
      <c r="A2" s="8" t="s">
        <v>0</v>
      </c>
      <c r="F2" s="8" t="s">
        <v>1</v>
      </c>
      <c r="J2" s="8" t="s">
        <v>2</v>
      </c>
      <c r="N2" t="s">
        <v>87</v>
      </c>
      <c r="O2" s="62">
        <v>22</v>
      </c>
    </row>
    <row r="3" spans="1:15" ht="14.4" x14ac:dyDescent="0.3">
      <c r="A3" s="8" t="s">
        <v>3</v>
      </c>
      <c r="F3" s="8" t="s">
        <v>3</v>
      </c>
      <c r="J3" s="8" t="s">
        <v>3</v>
      </c>
      <c r="N3" t="s">
        <v>88</v>
      </c>
      <c r="O3" s="33">
        <v>0.1</v>
      </c>
    </row>
    <row r="4" spans="1:15" ht="14.4" x14ac:dyDescent="0.3">
      <c r="A4" s="8" t="s">
        <v>4</v>
      </c>
      <c r="F4" s="8" t="s">
        <v>5</v>
      </c>
      <c r="J4" s="8" t="s">
        <v>4</v>
      </c>
    </row>
    <row r="5" spans="1:15" ht="14.4" x14ac:dyDescent="0.3">
      <c r="A5" s="8" t="s">
        <v>6</v>
      </c>
      <c r="F5" s="8" t="s">
        <v>6</v>
      </c>
      <c r="J5" s="8" t="s">
        <v>6</v>
      </c>
    </row>
    <row r="7" spans="1:15" ht="14.4" x14ac:dyDescent="0.3">
      <c r="A7" t="s">
        <v>7</v>
      </c>
      <c r="C7" s="16">
        <v>38500000</v>
      </c>
      <c r="F7" s="4" t="s">
        <v>8</v>
      </c>
    </row>
    <row r="8" spans="1:15" ht="14.4" x14ac:dyDescent="0.3">
      <c r="A8" t="s">
        <v>9</v>
      </c>
      <c r="B8" s="16">
        <v>32500000</v>
      </c>
      <c r="F8" t="s">
        <v>10</v>
      </c>
      <c r="G8" s="16">
        <v>520000</v>
      </c>
      <c r="H8" s="16"/>
      <c r="J8" s="24" t="s">
        <v>11</v>
      </c>
      <c r="K8" s="25">
        <f>G24</f>
        <v>2740000</v>
      </c>
    </row>
    <row r="9" spans="1:15" ht="14.4" x14ac:dyDescent="0.3">
      <c r="A9" t="s">
        <v>12</v>
      </c>
      <c r="B9" s="16">
        <v>4303000</v>
      </c>
      <c r="F9" t="s">
        <v>13</v>
      </c>
      <c r="G9" s="16">
        <v>4020000</v>
      </c>
      <c r="H9" s="16"/>
      <c r="J9" s="28" t="s">
        <v>14</v>
      </c>
      <c r="K9" s="25">
        <f>C16</f>
        <v>552750</v>
      </c>
    </row>
    <row r="10" spans="1:15" ht="14.4" x14ac:dyDescent="0.3">
      <c r="A10" t="s">
        <v>15</v>
      </c>
      <c r="B10" s="16">
        <v>200000</v>
      </c>
      <c r="F10" t="s">
        <v>16</v>
      </c>
      <c r="G10" s="16">
        <v>8360000</v>
      </c>
      <c r="H10" s="16"/>
      <c r="J10" s="27" t="s">
        <v>17</v>
      </c>
      <c r="K10" s="29">
        <f>K8+K9</f>
        <v>3292750</v>
      </c>
    </row>
    <row r="11" spans="1:15" ht="14.4" x14ac:dyDescent="0.3">
      <c r="A11" s="4" t="s">
        <v>18</v>
      </c>
      <c r="C11" s="17">
        <f>SUM(B8:B10)</f>
        <v>37003000</v>
      </c>
      <c r="F11" s="3" t="s">
        <v>19</v>
      </c>
      <c r="G11" s="18"/>
      <c r="H11" s="18">
        <f>SUM(G8:G10)</f>
        <v>12900000</v>
      </c>
      <c r="J11" s="28" t="s">
        <v>20</v>
      </c>
      <c r="K11" s="25">
        <v>0</v>
      </c>
    </row>
    <row r="12" spans="1:15" ht="14.4" x14ac:dyDescent="0.3">
      <c r="A12" s="1" t="s">
        <v>21</v>
      </c>
      <c r="B12" s="2"/>
      <c r="C12" s="18">
        <f>C7-C11</f>
        <v>1497000</v>
      </c>
      <c r="F12" t="s">
        <v>22</v>
      </c>
      <c r="G12" s="16">
        <v>5270000</v>
      </c>
      <c r="H12" s="16"/>
      <c r="J12" s="27" t="s">
        <v>23</v>
      </c>
      <c r="K12" s="29">
        <f>K10-K11</f>
        <v>3292750</v>
      </c>
    </row>
    <row r="13" spans="1:15" ht="14.4" x14ac:dyDescent="0.3">
      <c r="A13" t="s">
        <v>24</v>
      </c>
      <c r="C13" s="16">
        <v>760000</v>
      </c>
      <c r="F13" t="s">
        <v>25</v>
      </c>
      <c r="G13" s="16">
        <v>-1662000</v>
      </c>
      <c r="H13" s="16"/>
      <c r="J13" s="28" t="s">
        <v>26</v>
      </c>
      <c r="K13" s="25">
        <f>C16*0.6</f>
        <v>331650</v>
      </c>
    </row>
    <row r="14" spans="1:15" thickBot="1" x14ac:dyDescent="0.35">
      <c r="A14" s="1" t="s">
        <v>27</v>
      </c>
      <c r="B14" s="5"/>
      <c r="C14" s="19">
        <f>C12-C13</f>
        <v>737000</v>
      </c>
      <c r="F14" s="3" t="s">
        <v>28</v>
      </c>
      <c r="G14" s="18"/>
      <c r="H14" s="18">
        <f>SUM(G12:G13)</f>
        <v>3608000</v>
      </c>
      <c r="J14" s="26" t="s">
        <v>29</v>
      </c>
      <c r="K14" s="30">
        <f>K12-K13</f>
        <v>2961100</v>
      </c>
    </row>
    <row r="15" spans="1:15" ht="15.6" thickTop="1" thickBot="1" x14ac:dyDescent="0.35">
      <c r="A15" t="s">
        <v>30</v>
      </c>
      <c r="C15" s="16">
        <f>C14*0.25</f>
        <v>184250</v>
      </c>
      <c r="F15" s="9" t="s">
        <v>31</v>
      </c>
      <c r="G15" s="21"/>
      <c r="H15" s="21">
        <f>SUM(H8:H14)</f>
        <v>16508000</v>
      </c>
    </row>
    <row r="16" spans="1:15" ht="15.6" thickTop="1" thickBot="1" x14ac:dyDescent="0.35">
      <c r="A16" s="7" t="s">
        <v>32</v>
      </c>
      <c r="B16" s="6"/>
      <c r="C16" s="20">
        <f>C14-C15</f>
        <v>552750</v>
      </c>
    </row>
    <row r="17" spans="1:12" thickTop="1" x14ac:dyDescent="0.3">
      <c r="F17" s="10" t="s">
        <v>33</v>
      </c>
      <c r="J17" s="24" t="s">
        <v>34</v>
      </c>
    </row>
    <row r="18" spans="1:12" ht="14.4" x14ac:dyDescent="0.3">
      <c r="F18" t="s">
        <v>35</v>
      </c>
      <c r="G18" s="22">
        <v>1768000</v>
      </c>
      <c r="H18" s="22"/>
      <c r="J18" s="41" t="s">
        <v>36</v>
      </c>
      <c r="K18" s="44">
        <f>K14</f>
        <v>2961100</v>
      </c>
      <c r="L18" s="46">
        <f>K18/$K$21</f>
        <v>0.26178709409341266</v>
      </c>
    </row>
    <row r="19" spans="1:12" ht="15" customHeight="1" thickBot="1" x14ac:dyDescent="0.35">
      <c r="F19" t="s">
        <v>37</v>
      </c>
      <c r="G19" s="22">
        <v>1400000</v>
      </c>
      <c r="H19" s="22"/>
      <c r="J19" s="41" t="s">
        <v>38</v>
      </c>
      <c r="K19" s="44">
        <f>G23</f>
        <v>4600000</v>
      </c>
      <c r="L19" s="46">
        <f>K19/$K$21</f>
        <v>0.40668016373297028</v>
      </c>
    </row>
    <row r="20" spans="1:12" thickBot="1" x14ac:dyDescent="0.35">
      <c r="A20" s="11" t="s">
        <v>39</v>
      </c>
      <c r="B20" s="12" t="s">
        <v>40</v>
      </c>
      <c r="C20" s="12" t="s">
        <v>41</v>
      </c>
      <c r="D20" s="12" t="s">
        <v>42</v>
      </c>
      <c r="F20" s="3" t="s">
        <v>43</v>
      </c>
      <c r="G20" s="23"/>
      <c r="H20" s="23">
        <f>SUM(G18:G19)</f>
        <v>3168000</v>
      </c>
      <c r="J20" s="42" t="s">
        <v>44</v>
      </c>
      <c r="K20" s="43">
        <f>G21</f>
        <v>3750000</v>
      </c>
      <c r="L20" s="46">
        <f>K20/$K$21</f>
        <v>0.33153274217361706</v>
      </c>
    </row>
    <row r="21" spans="1:12" ht="15" customHeight="1" thickBot="1" x14ac:dyDescent="0.35">
      <c r="A21" s="13">
        <v>1</v>
      </c>
      <c r="B21" s="14">
        <v>675000</v>
      </c>
      <c r="C21" s="14">
        <v>205401</v>
      </c>
      <c r="D21" s="15">
        <v>8</v>
      </c>
      <c r="F21" t="s">
        <v>45</v>
      </c>
      <c r="G21" s="22">
        <v>3750000</v>
      </c>
      <c r="H21" s="22"/>
      <c r="K21" s="45">
        <f>SUM(K18:K20)</f>
        <v>11311100</v>
      </c>
      <c r="L21" s="47">
        <f>SUM(L18:L20)</f>
        <v>1</v>
      </c>
    </row>
    <row r="22" spans="1:12" ht="15" customHeight="1" thickBot="1" x14ac:dyDescent="0.35">
      <c r="A22" s="13">
        <v>2</v>
      </c>
      <c r="B22" s="14">
        <v>900000</v>
      </c>
      <c r="C22" s="14">
        <v>368484</v>
      </c>
      <c r="D22" s="15">
        <v>5</v>
      </c>
      <c r="F22" t="s">
        <v>46</v>
      </c>
      <c r="G22" s="22">
        <v>2250000</v>
      </c>
      <c r="H22" s="22"/>
      <c r="J22" s="8" t="s">
        <v>47</v>
      </c>
    </row>
    <row r="23" spans="1:12" ht="15" customHeight="1" thickBot="1" x14ac:dyDescent="0.35">
      <c r="A23" s="13">
        <v>3</v>
      </c>
      <c r="B23" s="14">
        <v>375000</v>
      </c>
      <c r="C23" s="14">
        <v>161524</v>
      </c>
      <c r="D23" s="15">
        <v>3</v>
      </c>
      <c r="F23" t="s">
        <v>48</v>
      </c>
      <c r="G23" s="22">
        <v>4600000</v>
      </c>
      <c r="H23" s="22"/>
      <c r="J23" t="s">
        <v>49</v>
      </c>
      <c r="K23" s="31">
        <f>K13/200000</f>
        <v>1.65825</v>
      </c>
    </row>
    <row r="24" spans="1:12" ht="15" customHeight="1" thickBot="1" x14ac:dyDescent="0.35">
      <c r="A24" s="13">
        <v>4</v>
      </c>
      <c r="B24" s="14">
        <v>562500</v>
      </c>
      <c r="C24" s="14">
        <v>285194</v>
      </c>
      <c r="D24" s="15">
        <v>4</v>
      </c>
      <c r="F24" t="s">
        <v>50</v>
      </c>
      <c r="G24" s="22">
        <v>2740000</v>
      </c>
      <c r="H24" s="22"/>
      <c r="J24" t="s">
        <v>51</v>
      </c>
      <c r="K24" s="31">
        <f>G27</f>
        <v>23</v>
      </c>
    </row>
    <row r="25" spans="1:12" ht="15" customHeight="1" thickBot="1" x14ac:dyDescent="0.35">
      <c r="A25" s="13">
        <v>5</v>
      </c>
      <c r="B25" s="14">
        <v>700000</v>
      </c>
      <c r="C25" s="14">
        <v>187351</v>
      </c>
      <c r="D25" s="15">
        <v>10</v>
      </c>
      <c r="F25" s="9" t="s">
        <v>52</v>
      </c>
      <c r="G25" s="21"/>
      <c r="H25" s="21">
        <f>SUM(H18:H24)+SUM(G21:G24)</f>
        <v>16508000</v>
      </c>
      <c r="J25" t="s">
        <v>53</v>
      </c>
      <c r="K25" s="37">
        <v>0.05</v>
      </c>
    </row>
    <row r="27" spans="1:12" ht="15" customHeight="1" x14ac:dyDescent="0.3">
      <c r="F27" t="s">
        <v>90</v>
      </c>
      <c r="G27" s="25">
        <f>G23/200000</f>
        <v>23</v>
      </c>
      <c r="J27" s="32" t="s">
        <v>54</v>
      </c>
      <c r="K27" s="35">
        <f>(K23/K24)+K25</f>
        <v>0.12209782608695652</v>
      </c>
    </row>
    <row r="30" spans="1:12" ht="15" customHeight="1" x14ac:dyDescent="0.3">
      <c r="J30" s="8" t="s">
        <v>55</v>
      </c>
    </row>
    <row r="31" spans="1:12" ht="15" customHeight="1" x14ac:dyDescent="0.3">
      <c r="J31" t="s">
        <v>49</v>
      </c>
      <c r="K31" s="36">
        <f>K23</f>
        <v>1.65825</v>
      </c>
    </row>
    <row r="32" spans="1:12" ht="15" customHeight="1" x14ac:dyDescent="0.3">
      <c r="A32" s="8" t="s">
        <v>56</v>
      </c>
      <c r="C32" s="4" t="s">
        <v>57</v>
      </c>
      <c r="J32" t="s">
        <v>58</v>
      </c>
      <c r="K32" s="36">
        <f>O2-O3*O2</f>
        <v>19.8</v>
      </c>
    </row>
    <row r="33" spans="1:11" ht="15" customHeight="1" x14ac:dyDescent="0.3">
      <c r="A33" t="s">
        <v>59</v>
      </c>
      <c r="B33" s="25">
        <f>K19</f>
        <v>4600000</v>
      </c>
      <c r="C33" s="36">
        <f>L19</f>
        <v>0.40668016373297028</v>
      </c>
      <c r="D33" s="25">
        <f>B33/C33</f>
        <v>11311100</v>
      </c>
      <c r="J33" t="s">
        <v>60</v>
      </c>
      <c r="K33" s="34">
        <v>0.05</v>
      </c>
    </row>
    <row r="34" spans="1:11" ht="15" customHeight="1" x14ac:dyDescent="0.3">
      <c r="A34" t="s">
        <v>61</v>
      </c>
      <c r="B34" s="25">
        <f>540000</f>
        <v>540000</v>
      </c>
      <c r="C34" s="36">
        <f>L20</f>
        <v>0.33153274217361706</v>
      </c>
      <c r="D34" s="25">
        <f t="shared" ref="D34:D35" si="0">B34/C34</f>
        <v>1628798.4000000001</v>
      </c>
    </row>
    <row r="35" spans="1:11" ht="15" customHeight="1" x14ac:dyDescent="0.3">
      <c r="B35" s="25">
        <v>900000</v>
      </c>
      <c r="C35" s="36">
        <f>C34</f>
        <v>0.33153274217361706</v>
      </c>
      <c r="D35" s="25">
        <f t="shared" si="0"/>
        <v>2714664</v>
      </c>
      <c r="J35" s="32" t="s">
        <v>62</v>
      </c>
      <c r="K35" s="35">
        <f>(K31/K32)+K33</f>
        <v>0.13374999999999998</v>
      </c>
    </row>
    <row r="36" spans="1:11" ht="15" customHeight="1" x14ac:dyDescent="0.3">
      <c r="B36" s="25"/>
      <c r="C36" s="36"/>
    </row>
    <row r="38" spans="1:11" ht="15" customHeight="1" x14ac:dyDescent="0.3">
      <c r="A38" s="38" t="s">
        <v>63</v>
      </c>
      <c r="B38" s="38" t="s">
        <v>34</v>
      </c>
      <c r="C38" s="38" t="s">
        <v>64</v>
      </c>
      <c r="D38" s="38" t="s">
        <v>65</v>
      </c>
      <c r="E38" s="38" t="s">
        <v>66</v>
      </c>
      <c r="J38" s="8" t="s">
        <v>67</v>
      </c>
    </row>
    <row r="39" spans="1:11" ht="15" customHeight="1" x14ac:dyDescent="0.3">
      <c r="A39" s="39" t="s">
        <v>91</v>
      </c>
      <c r="B39" s="39" t="s">
        <v>68</v>
      </c>
      <c r="C39" s="48">
        <f>L20</f>
        <v>0.33153274217361706</v>
      </c>
      <c r="D39" s="49">
        <f>K41</f>
        <v>9.1499999999999998E-2</v>
      </c>
      <c r="E39" s="68">
        <f>SUMPRODUCT(C39:C41,D39:D41)</f>
        <v>0.1119536448997964</v>
      </c>
      <c r="J39" t="s">
        <v>69</v>
      </c>
      <c r="K39" s="34">
        <v>0.122</v>
      </c>
    </row>
    <row r="40" spans="1:11" ht="15" customHeight="1" x14ac:dyDescent="0.3">
      <c r="A40" s="39"/>
      <c r="B40" s="39" t="s">
        <v>38</v>
      </c>
      <c r="C40" s="48">
        <f>L19+L18</f>
        <v>0.66846725782638294</v>
      </c>
      <c r="D40" s="49">
        <f>K27</f>
        <v>0.12209782608695652</v>
      </c>
      <c r="E40" s="68"/>
      <c r="J40" t="s">
        <v>70</v>
      </c>
      <c r="K40" s="33">
        <v>0.25</v>
      </c>
    </row>
    <row r="41" spans="1:11" ht="15" customHeight="1" x14ac:dyDescent="0.3">
      <c r="A41" s="40" t="s">
        <v>71</v>
      </c>
      <c r="B41" s="40"/>
      <c r="C41" s="40"/>
      <c r="D41" s="50"/>
      <c r="E41" s="69"/>
      <c r="J41" s="32" t="s">
        <v>72</v>
      </c>
      <c r="K41" s="35">
        <f>K39*(1-K40)</f>
        <v>9.1499999999999998E-2</v>
      </c>
    </row>
    <row r="42" spans="1:11" ht="15" customHeight="1" x14ac:dyDescent="0.3">
      <c r="A42" s="39" t="s">
        <v>92</v>
      </c>
      <c r="B42" s="39" t="s">
        <v>68</v>
      </c>
      <c r="C42" s="48">
        <f>C39</f>
        <v>0.33153274217361706</v>
      </c>
      <c r="D42" s="49">
        <f>K46</f>
        <v>8.9249999999999996E-2</v>
      </c>
      <c r="E42" s="68">
        <f>SUMPRODUCT(C42:C44,D42:D44)</f>
        <v>0.11120769622990576</v>
      </c>
    </row>
    <row r="43" spans="1:11" ht="15" customHeight="1" x14ac:dyDescent="0.3">
      <c r="A43" s="39"/>
      <c r="B43" s="39" t="s">
        <v>38</v>
      </c>
      <c r="C43" s="48">
        <f>C40</f>
        <v>0.66846725782638294</v>
      </c>
      <c r="D43" s="49">
        <f>D40</f>
        <v>0.12209782608695652</v>
      </c>
      <c r="E43" s="68"/>
      <c r="J43" s="8" t="s">
        <v>73</v>
      </c>
    </row>
    <row r="44" spans="1:11" ht="15" customHeight="1" x14ac:dyDescent="0.3">
      <c r="A44" s="40" t="s">
        <v>71</v>
      </c>
      <c r="B44" s="40"/>
      <c r="C44" s="40"/>
      <c r="D44" s="50"/>
      <c r="E44" s="69"/>
      <c r="J44" t="s">
        <v>69</v>
      </c>
      <c r="K44" s="34">
        <v>0.11899999999999999</v>
      </c>
    </row>
    <row r="45" spans="1:11" ht="15" customHeight="1" x14ac:dyDescent="0.3">
      <c r="A45" s="39" t="s">
        <v>93</v>
      </c>
      <c r="B45" s="39" t="s">
        <v>68</v>
      </c>
      <c r="C45" s="48">
        <f>C42</f>
        <v>0.33153274217361706</v>
      </c>
      <c r="D45" s="49">
        <f>K51</f>
        <v>0.10350000000000001</v>
      </c>
      <c r="E45" s="68">
        <f>SUMPRODUCT(C45:C47,D45:D47)</f>
        <v>0.1159320378058798</v>
      </c>
      <c r="J45" t="s">
        <v>70</v>
      </c>
      <c r="K45" s="33">
        <v>0.25</v>
      </c>
    </row>
    <row r="46" spans="1:11" ht="15" customHeight="1" x14ac:dyDescent="0.3">
      <c r="A46" s="39"/>
      <c r="B46" s="39" t="s">
        <v>38</v>
      </c>
      <c r="C46" s="48">
        <f>C43</f>
        <v>0.66846725782638294</v>
      </c>
      <c r="D46" s="49">
        <f>D40</f>
        <v>0.12209782608695652</v>
      </c>
      <c r="E46" s="68"/>
      <c r="J46" s="32" t="s">
        <v>72</v>
      </c>
      <c r="K46" s="35">
        <f>K44*(1-K45)</f>
        <v>8.9249999999999996E-2</v>
      </c>
    </row>
    <row r="47" spans="1:11" ht="15" customHeight="1" x14ac:dyDescent="0.3">
      <c r="A47" s="40" t="s">
        <v>71</v>
      </c>
      <c r="B47" s="40"/>
      <c r="C47" s="40"/>
      <c r="D47" s="50"/>
      <c r="E47" s="69"/>
    </row>
    <row r="48" spans="1:11" ht="15" customHeight="1" x14ac:dyDescent="0.3">
      <c r="A48" s="39" t="s">
        <v>74</v>
      </c>
      <c r="B48" s="39" t="s">
        <v>68</v>
      </c>
      <c r="C48" s="48">
        <f>C45</f>
        <v>0.33153274217361706</v>
      </c>
      <c r="D48" s="49">
        <f>K51</f>
        <v>0.10350000000000001</v>
      </c>
      <c r="E48" s="68">
        <f>SUMPRODUCT(C48:C50,D48:D50)</f>
        <v>0.12372113454924807</v>
      </c>
      <c r="J48" s="8" t="s">
        <v>75</v>
      </c>
    </row>
    <row r="49" spans="1:11" ht="15" customHeight="1" x14ac:dyDescent="0.3">
      <c r="A49" s="39"/>
      <c r="B49" s="39" t="s">
        <v>38</v>
      </c>
      <c r="C49" s="48">
        <f>C46</f>
        <v>0.66846725782638294</v>
      </c>
      <c r="D49" s="49">
        <f>K35</f>
        <v>0.13374999999999998</v>
      </c>
      <c r="E49" s="68"/>
      <c r="J49" t="s">
        <v>69</v>
      </c>
      <c r="K49" s="34">
        <v>0.13800000000000001</v>
      </c>
    </row>
    <row r="50" spans="1:11" ht="15" customHeight="1" x14ac:dyDescent="0.3">
      <c r="A50" s="40" t="s">
        <v>71</v>
      </c>
      <c r="B50" s="40"/>
      <c r="C50" s="40"/>
      <c r="D50" s="40"/>
      <c r="E50" s="69"/>
      <c r="J50" t="s">
        <v>70</v>
      </c>
      <c r="K50" s="33">
        <v>0.25</v>
      </c>
    </row>
    <row r="51" spans="1:11" ht="15" customHeight="1" x14ac:dyDescent="0.3">
      <c r="J51" s="32" t="s">
        <v>72</v>
      </c>
      <c r="K51" s="35">
        <f>K49*(1-K50)</f>
        <v>0.10350000000000001</v>
      </c>
    </row>
    <row r="54" spans="1:11" ht="15" customHeight="1" x14ac:dyDescent="0.3">
      <c r="A54" s="52" t="s">
        <v>76</v>
      </c>
      <c r="B54" s="70" t="s">
        <v>77</v>
      </c>
      <c r="C54" s="70"/>
      <c r="D54" s="70"/>
      <c r="E54" s="70"/>
      <c r="F54" s="70"/>
    </row>
    <row r="55" spans="1:11" ht="15" customHeight="1" x14ac:dyDescent="0.3">
      <c r="B55" s="52">
        <v>1</v>
      </c>
      <c r="C55" s="52">
        <v>2</v>
      </c>
      <c r="D55" s="52">
        <v>3</v>
      </c>
      <c r="E55" s="52">
        <v>4</v>
      </c>
      <c r="F55" s="52">
        <v>5</v>
      </c>
    </row>
    <row r="56" spans="1:11" ht="15" customHeight="1" x14ac:dyDescent="0.3">
      <c r="A56" s="52">
        <v>0</v>
      </c>
      <c r="B56" s="53">
        <v>-675000</v>
      </c>
      <c r="C56" s="53">
        <v>-900000</v>
      </c>
      <c r="D56" s="53">
        <v>-375000</v>
      </c>
      <c r="E56" s="53">
        <v>-562500</v>
      </c>
      <c r="F56" s="53">
        <f>-700000</f>
        <v>-700000</v>
      </c>
    </row>
    <row r="57" spans="1:11" ht="15" customHeight="1" x14ac:dyDescent="0.3">
      <c r="A57" s="52">
        <v>1</v>
      </c>
      <c r="B57" s="53">
        <v>205401</v>
      </c>
      <c r="C57" s="53">
        <v>368484</v>
      </c>
      <c r="D57" s="53">
        <v>161524</v>
      </c>
      <c r="E57" s="53">
        <v>285194</v>
      </c>
      <c r="F57" s="53">
        <v>187351</v>
      </c>
    </row>
    <row r="58" spans="1:11" ht="15" customHeight="1" x14ac:dyDescent="0.3">
      <c r="A58" s="52">
        <v>2</v>
      </c>
      <c r="B58" s="53">
        <v>205401</v>
      </c>
      <c r="C58" s="53">
        <v>368484</v>
      </c>
      <c r="D58" s="53">
        <v>161524</v>
      </c>
      <c r="E58" s="53">
        <v>285194</v>
      </c>
      <c r="F58" s="53">
        <v>187351</v>
      </c>
    </row>
    <row r="59" spans="1:11" ht="15" customHeight="1" x14ac:dyDescent="0.3">
      <c r="A59" s="52">
        <v>3</v>
      </c>
      <c r="B59" s="53">
        <v>205401</v>
      </c>
      <c r="C59" s="53">
        <v>368484</v>
      </c>
      <c r="D59" s="53">
        <v>161524</v>
      </c>
      <c r="E59" s="53">
        <v>285194</v>
      </c>
      <c r="F59" s="53">
        <v>187351</v>
      </c>
    </row>
    <row r="60" spans="1:11" ht="15" customHeight="1" x14ac:dyDescent="0.3">
      <c r="A60" s="52">
        <v>4</v>
      </c>
      <c r="B60" s="53">
        <v>205401</v>
      </c>
      <c r="C60" s="53">
        <v>368484</v>
      </c>
      <c r="D60" s="53"/>
      <c r="E60" s="53">
        <v>285194</v>
      </c>
      <c r="F60" s="53">
        <v>187351</v>
      </c>
    </row>
    <row r="61" spans="1:11" ht="15" customHeight="1" x14ac:dyDescent="0.3">
      <c r="A61" s="52">
        <v>5</v>
      </c>
      <c r="B61" s="53">
        <v>205401</v>
      </c>
      <c r="C61" s="53">
        <v>368484</v>
      </c>
      <c r="D61" s="53"/>
      <c r="E61" s="53"/>
      <c r="F61" s="53">
        <v>187351</v>
      </c>
    </row>
    <row r="62" spans="1:11" ht="15" customHeight="1" x14ac:dyDescent="0.3">
      <c r="A62" s="52">
        <v>6</v>
      </c>
      <c r="B62" s="53">
        <v>205401</v>
      </c>
      <c r="C62" s="53"/>
      <c r="D62" s="53"/>
      <c r="E62" s="53"/>
      <c r="F62" s="53">
        <v>187351</v>
      </c>
    </row>
    <row r="63" spans="1:11" ht="15" customHeight="1" x14ac:dyDescent="0.3">
      <c r="A63" s="52">
        <v>7</v>
      </c>
      <c r="B63" s="53">
        <v>205401</v>
      </c>
      <c r="C63" s="53"/>
      <c r="D63" s="53"/>
      <c r="E63" s="53"/>
      <c r="F63" s="53">
        <v>187351</v>
      </c>
    </row>
    <row r="64" spans="1:11" ht="15" customHeight="1" x14ac:dyDescent="0.3">
      <c r="A64" s="52">
        <v>8</v>
      </c>
      <c r="B64" s="53">
        <v>205401</v>
      </c>
      <c r="C64" s="53"/>
      <c r="D64" s="53"/>
      <c r="E64" s="53"/>
      <c r="F64" s="53">
        <v>187351</v>
      </c>
    </row>
    <row r="65" spans="1:6" ht="15" customHeight="1" x14ac:dyDescent="0.3">
      <c r="A65" s="52">
        <v>9</v>
      </c>
      <c r="B65" s="53"/>
      <c r="C65" s="53"/>
      <c r="D65" s="53"/>
      <c r="E65" s="53"/>
      <c r="F65" s="53">
        <v>187351</v>
      </c>
    </row>
    <row r="66" spans="1:6" ht="15" customHeight="1" x14ac:dyDescent="0.3">
      <c r="A66" s="52">
        <v>10</v>
      </c>
      <c r="B66" s="53"/>
      <c r="C66" s="53"/>
      <c r="D66" s="53"/>
      <c r="E66" s="53"/>
      <c r="F66" s="53">
        <v>187351</v>
      </c>
    </row>
    <row r="67" spans="1:6" ht="15" customHeight="1" x14ac:dyDescent="0.3">
      <c r="A67" s="4" t="s">
        <v>78</v>
      </c>
      <c r="B67" s="54">
        <f>IRR(B56:B66)</f>
        <v>0.25478051126350865</v>
      </c>
      <c r="C67" s="54">
        <f>IRR(C56:C66)</f>
        <v>0.29853102708644608</v>
      </c>
      <c r="D67" s="54">
        <f>IRR(D56:D66)</f>
        <v>0.13999887412162848</v>
      </c>
      <c r="E67" s="54">
        <f>IRR(E56:E66)</f>
        <v>0.3578783201212179</v>
      </c>
      <c r="F67" s="54">
        <f>IRR(F56:F66)</f>
        <v>0.23529636793408693</v>
      </c>
    </row>
    <row r="68" spans="1:6" ht="15" customHeight="1" x14ac:dyDescent="0.3">
      <c r="A68" s="4" t="s">
        <v>89</v>
      </c>
      <c r="B68" s="64">
        <f>NPV(B95,B57:B66)+B56</f>
        <v>374694.68918036786</v>
      </c>
      <c r="C68" s="64">
        <f>NPV(B96,C57:C66)+C56</f>
        <v>455212.38363129925</v>
      </c>
      <c r="D68" s="64">
        <f>NPV(B97,D57:D66)+D56</f>
        <v>18890.955670188938</v>
      </c>
      <c r="E68" s="64">
        <f>NPV(B98,E57:E66)+E56</f>
        <v>320022.22778949968</v>
      </c>
      <c r="F68" s="64">
        <f>NPV(B99,F57:F66)+F56</f>
        <v>376437.72988293855</v>
      </c>
    </row>
    <row r="70" spans="1:6" ht="15" customHeight="1" x14ac:dyDescent="0.3">
      <c r="A70" s="8" t="s">
        <v>79</v>
      </c>
    </row>
    <row r="71" spans="1:6" ht="15" customHeight="1" x14ac:dyDescent="0.3">
      <c r="A71" s="52" t="s">
        <v>39</v>
      </c>
      <c r="B71" s="52" t="s">
        <v>78</v>
      </c>
      <c r="C71" s="52" t="s">
        <v>80</v>
      </c>
      <c r="D71" s="52" t="s">
        <v>81</v>
      </c>
    </row>
    <row r="72" spans="1:6" ht="15" customHeight="1" x14ac:dyDescent="0.3">
      <c r="A72" s="57">
        <v>4</v>
      </c>
      <c r="B72" s="58">
        <f>E67</f>
        <v>0.3578783201212179</v>
      </c>
      <c r="C72" s="59">
        <v>562500</v>
      </c>
      <c r="D72" s="59">
        <f>C72</f>
        <v>562500</v>
      </c>
    </row>
    <row r="73" spans="1:6" ht="15" customHeight="1" x14ac:dyDescent="0.3">
      <c r="A73" s="55">
        <v>2</v>
      </c>
      <c r="B73" s="56">
        <f>C67</f>
        <v>0.29853102708644608</v>
      </c>
      <c r="C73" s="53">
        <v>900000</v>
      </c>
      <c r="D73" s="53">
        <f>D72+C73</f>
        <v>1462500</v>
      </c>
    </row>
    <row r="74" spans="1:6" ht="15" customHeight="1" x14ac:dyDescent="0.3">
      <c r="A74" s="55">
        <v>1</v>
      </c>
      <c r="B74" s="56">
        <f>B67</f>
        <v>0.25478051126350865</v>
      </c>
      <c r="C74" s="53">
        <v>675000</v>
      </c>
      <c r="D74" s="53">
        <f>D73+C74</f>
        <v>2137500</v>
      </c>
    </row>
    <row r="75" spans="1:6" ht="15" customHeight="1" x14ac:dyDescent="0.3">
      <c r="A75" s="55">
        <v>5</v>
      </c>
      <c r="B75" s="56">
        <f>F67</f>
        <v>0.23529636793408693</v>
      </c>
      <c r="C75" s="53">
        <v>700000</v>
      </c>
      <c r="D75" s="53">
        <f>D74+C75</f>
        <v>2837500</v>
      </c>
    </row>
    <row r="76" spans="1:6" ht="15" customHeight="1" x14ac:dyDescent="0.3">
      <c r="A76" s="55">
        <v>3</v>
      </c>
      <c r="B76" s="56">
        <f>D67</f>
        <v>0.13999887412162848</v>
      </c>
      <c r="C76" s="53">
        <v>375000</v>
      </c>
      <c r="D76" s="53">
        <f>D75+C76</f>
        <v>3212500</v>
      </c>
    </row>
    <row r="79" spans="1:6" ht="15" customHeight="1" x14ac:dyDescent="0.3">
      <c r="A79" s="67" t="s">
        <v>82</v>
      </c>
      <c r="B79" s="67"/>
    </row>
    <row r="80" spans="1:6" ht="15" customHeight="1" x14ac:dyDescent="0.3">
      <c r="A80" s="60" t="s">
        <v>83</v>
      </c>
      <c r="B80" s="60" t="s">
        <v>84</v>
      </c>
    </row>
    <row r="81" spans="1:2" ht="15" customHeight="1" x14ac:dyDescent="0.3">
      <c r="A81" s="44">
        <v>0</v>
      </c>
      <c r="B81" s="54">
        <f>B72</f>
        <v>0.3578783201212179</v>
      </c>
    </row>
    <row r="82" spans="1:2" ht="15" customHeight="1" x14ac:dyDescent="0.3">
      <c r="A82" s="44">
        <f>D72</f>
        <v>562500</v>
      </c>
      <c r="B82" s="54">
        <f>B81</f>
        <v>0.3578783201212179</v>
      </c>
    </row>
    <row r="83" spans="1:2" ht="15" customHeight="1" x14ac:dyDescent="0.3">
      <c r="A83" s="44">
        <f>A82</f>
        <v>562500</v>
      </c>
      <c r="B83" s="54">
        <f>B73</f>
        <v>0.29853102708644608</v>
      </c>
    </row>
    <row r="84" spans="1:2" ht="15" customHeight="1" x14ac:dyDescent="0.3">
      <c r="A84" s="44">
        <f>D73</f>
        <v>1462500</v>
      </c>
      <c r="B84" s="54">
        <f>B83</f>
        <v>0.29853102708644608</v>
      </c>
    </row>
    <row r="85" spans="1:2" ht="15" customHeight="1" x14ac:dyDescent="0.3">
      <c r="A85" s="44">
        <f>A84</f>
        <v>1462500</v>
      </c>
      <c r="B85" s="54">
        <f>B74</f>
        <v>0.25478051126350865</v>
      </c>
    </row>
    <row r="86" spans="1:2" ht="15" customHeight="1" x14ac:dyDescent="0.3">
      <c r="A86" s="44">
        <f>D74</f>
        <v>2137500</v>
      </c>
      <c r="B86" s="54">
        <f>B85</f>
        <v>0.25478051126350865</v>
      </c>
    </row>
    <row r="87" spans="1:2" ht="15" customHeight="1" x14ac:dyDescent="0.3">
      <c r="A87" s="44">
        <f>A86</f>
        <v>2137500</v>
      </c>
      <c r="B87" s="54">
        <f>B75</f>
        <v>0.23529636793408693</v>
      </c>
    </row>
    <row r="88" spans="1:2" ht="15" customHeight="1" x14ac:dyDescent="0.3">
      <c r="A88" s="44">
        <f>D75</f>
        <v>2837500</v>
      </c>
      <c r="B88" s="54">
        <f>B75</f>
        <v>0.23529636793408693</v>
      </c>
    </row>
    <row r="89" spans="1:2" ht="15" customHeight="1" x14ac:dyDescent="0.3">
      <c r="A89" s="44">
        <f>A88</f>
        <v>2837500</v>
      </c>
      <c r="B89" s="54">
        <f>B76</f>
        <v>0.13999887412162848</v>
      </c>
    </row>
    <row r="90" spans="1:2" ht="15" customHeight="1" x14ac:dyDescent="0.3">
      <c r="A90" s="25">
        <f>D76</f>
        <v>3212500</v>
      </c>
      <c r="B90" s="54">
        <f>B76</f>
        <v>0.13999887412162848</v>
      </c>
    </row>
    <row r="92" spans="1:2" ht="15" customHeight="1" x14ac:dyDescent="0.3">
      <c r="A92" s="51"/>
      <c r="B92" s="51"/>
    </row>
    <row r="93" spans="1:2" ht="15" customHeight="1" x14ac:dyDescent="0.3">
      <c r="A93" s="67" t="s">
        <v>85</v>
      </c>
      <c r="B93" s="67"/>
    </row>
    <row r="94" spans="1:2" ht="15" customHeight="1" x14ac:dyDescent="0.3">
      <c r="A94" s="60" t="s">
        <v>83</v>
      </c>
      <c r="B94" s="60" t="s">
        <v>84</v>
      </c>
    </row>
    <row r="95" spans="1:2" ht="15" customHeight="1" x14ac:dyDescent="0.3">
      <c r="A95" s="63">
        <v>0</v>
      </c>
      <c r="B95" s="61">
        <f>E39</f>
        <v>0.1119536448997964</v>
      </c>
    </row>
    <row r="96" spans="1:2" ht="15" customHeight="1" x14ac:dyDescent="0.3">
      <c r="A96" s="44">
        <f>D34</f>
        <v>1628798.4000000001</v>
      </c>
      <c r="B96" s="61">
        <f>B95</f>
        <v>0.1119536448997964</v>
      </c>
    </row>
    <row r="97" spans="1:2" ht="15" customHeight="1" x14ac:dyDescent="0.3">
      <c r="A97" s="44">
        <f>A96</f>
        <v>1628798.4000000001</v>
      </c>
      <c r="B97" s="61">
        <f>E42</f>
        <v>0.11120769622990576</v>
      </c>
    </row>
    <row r="98" spans="1:2" ht="15" customHeight="1" x14ac:dyDescent="0.3">
      <c r="A98" s="44">
        <v>2714664</v>
      </c>
      <c r="B98" s="61">
        <f>B97</f>
        <v>0.11120769622990576</v>
      </c>
    </row>
    <row r="99" spans="1:2" ht="15" customHeight="1" x14ac:dyDescent="0.3">
      <c r="A99" s="44">
        <f>A98</f>
        <v>2714664</v>
      </c>
      <c r="B99" s="54">
        <f>E45</f>
        <v>0.1159320378058798</v>
      </c>
    </row>
    <row r="100" spans="1:2" ht="15" customHeight="1" x14ac:dyDescent="0.3">
      <c r="A100" s="44">
        <f>D76</f>
        <v>3212500</v>
      </c>
      <c r="B100" s="54">
        <f>B99</f>
        <v>0.1159320378058798</v>
      </c>
    </row>
    <row r="101" spans="1:2" ht="15" customHeight="1" x14ac:dyDescent="0.3">
      <c r="B101" s="34"/>
    </row>
  </sheetData>
  <mergeCells count="7">
    <mergeCell ref="A93:B93"/>
    <mergeCell ref="E39:E41"/>
    <mergeCell ref="E42:E44"/>
    <mergeCell ref="E45:E47"/>
    <mergeCell ref="E48:E50"/>
    <mergeCell ref="B54:F54"/>
    <mergeCell ref="A79:B7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766C-F635-4D5A-A51A-EFA6952CDCEB}">
  <dimension ref="A1:E4"/>
  <sheetViews>
    <sheetView tabSelected="1" workbookViewId="0">
      <selection activeCell="H8" sqref="H8"/>
    </sheetView>
  </sheetViews>
  <sheetFormatPr baseColWidth="10" defaultRowHeight="14.4" x14ac:dyDescent="0.3"/>
  <sheetData>
    <row r="1" spans="1:5" x14ac:dyDescent="0.3">
      <c r="A1" s="72" t="s">
        <v>95</v>
      </c>
      <c r="B1" s="72"/>
      <c r="C1" s="72"/>
      <c r="D1" s="72"/>
      <c r="E1" s="65" t="s">
        <v>96</v>
      </c>
    </row>
    <row r="2" spans="1:5" x14ac:dyDescent="0.3">
      <c r="A2" s="71" t="s">
        <v>94</v>
      </c>
      <c r="B2" s="71"/>
      <c r="C2" s="71"/>
      <c r="D2" s="71"/>
      <c r="E2" s="66">
        <v>1229918</v>
      </c>
    </row>
    <row r="3" spans="1:5" x14ac:dyDescent="0.3">
      <c r="A3" s="71" t="s">
        <v>97</v>
      </c>
      <c r="B3" s="71"/>
      <c r="C3" s="71"/>
      <c r="D3" s="71"/>
      <c r="E3" s="66">
        <v>1069619</v>
      </c>
    </row>
    <row r="4" spans="1:5" x14ac:dyDescent="0.3">
      <c r="A4" s="71" t="s">
        <v>98</v>
      </c>
      <c r="B4" s="71"/>
      <c r="C4" s="71"/>
      <c r="D4" s="71"/>
      <c r="E4" s="66">
        <v>1305619</v>
      </c>
    </row>
  </sheetData>
  <mergeCells count="4">
    <mergeCell ref="A2:D2"/>
    <mergeCell ref="A1:D1"/>
    <mergeCell ref="A3:D3"/>
    <mergeCell ref="A4:D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93935198D52634E9C300D10EA1CF16E" ma:contentTypeVersion="13" ma:contentTypeDescription="Crear nuevo documento." ma:contentTypeScope="" ma:versionID="53bff2d9136628b2a3adf25eb1b1f8b3">
  <xsd:schema xmlns:xsd="http://www.w3.org/2001/XMLSchema" xmlns:xs="http://www.w3.org/2001/XMLSchema" xmlns:p="http://schemas.microsoft.com/office/2006/metadata/properties" xmlns:ns3="46b7723a-2485-4ab3-a666-cd4cb4ed5119" xmlns:ns4="5a669b68-4047-4cb8-b8f5-4ab69e7bfaf6" targetNamespace="http://schemas.microsoft.com/office/2006/metadata/properties" ma:root="true" ma:fieldsID="bbd14849bb7f5c21f0a60ad0c770fc68" ns3:_="" ns4:_="">
    <xsd:import namespace="46b7723a-2485-4ab3-a666-cd4cb4ed5119"/>
    <xsd:import namespace="5a669b68-4047-4cb8-b8f5-4ab69e7bfa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7723a-2485-4ab3-a666-cd4cb4ed51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669b68-4047-4cb8-b8f5-4ab69e7bfaf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b7723a-2485-4ab3-a666-cd4cb4ed5119" xsi:nil="true"/>
  </documentManagement>
</p:properties>
</file>

<file path=customXml/itemProps1.xml><?xml version="1.0" encoding="utf-8"?>
<ds:datastoreItem xmlns:ds="http://schemas.openxmlformats.org/officeDocument/2006/customXml" ds:itemID="{E5C34284-9621-444C-9DF4-B2AE19440F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7723a-2485-4ab3-a666-cd4cb4ed5119"/>
    <ds:schemaRef ds:uri="5a669b68-4047-4cb8-b8f5-4ab69e7bfa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7B20B8-A619-4491-A433-878E529AC5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754E8E-D795-40A8-9C31-ACE0D5E1FDFD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5a669b68-4047-4cb8-b8f5-4ab69e7bfaf6"/>
    <ds:schemaRef ds:uri="46b7723a-2485-4ab3-a666-cd4cb4ed511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Concentrados Nacionales</vt:lpstr>
      <vt:lpstr>Integrantes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Brazil Batres</dc:creator>
  <cp:keywords/>
  <dc:description/>
  <cp:lastModifiedBy>Vanessa Paz</cp:lastModifiedBy>
  <cp:revision/>
  <dcterms:created xsi:type="dcterms:W3CDTF">2023-04-14T01:34:01Z</dcterms:created>
  <dcterms:modified xsi:type="dcterms:W3CDTF">2023-04-19T00:29:20Z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0x010100893935198D52634E9C300D10EA1CF16E</vt:lpwstr>
  </property>
</Properties>
</file>