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NIVERSIDAD\2023 CICLO 1\FUNDAMENTOS DE ADMINISTRACIÓN Y ANÁLISIS FINANCIERO\Semana 10\"/>
    </mc:Choice>
  </mc:AlternateContent>
  <xr:revisionPtr revIDLastSave="0" documentId="13_ncr:1_{69B93562-F1BE-42D1-9376-6CD3DF51098F}" xr6:coauthVersionLast="47" xr6:coauthVersionMax="47" xr10:uidLastSave="{00000000-0000-0000-0000-000000000000}"/>
  <bookViews>
    <workbookView xWindow="-108" yWindow="-108" windowWidth="23256" windowHeight="12456" xr2:uid="{F80B7C83-C51D-4214-8178-51B34B3AD22A}"/>
  </bookViews>
  <sheets>
    <sheet name="ENCABEZADO" sheetId="1" r:id="rId1"/>
    <sheet name="FORMULARI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16" i="1" l="1"/>
  <c r="E119" i="1"/>
  <c r="M15" i="1"/>
  <c r="L15" i="1"/>
  <c r="D119" i="1"/>
  <c r="F122" i="1"/>
  <c r="C124" i="1"/>
  <c r="C121" i="1"/>
  <c r="C123" i="1"/>
  <c r="C120" i="1"/>
  <c r="C122" i="1"/>
  <c r="C119" i="1"/>
  <c r="D121" i="1"/>
  <c r="D124" i="1"/>
  <c r="D120" i="1"/>
  <c r="D123" i="1"/>
  <c r="D122" i="1"/>
  <c r="I46" i="1"/>
  <c r="I45" i="1"/>
  <c r="I47" i="1"/>
  <c r="J32" i="1"/>
  <c r="J31" i="1"/>
  <c r="J30" i="1"/>
  <c r="J29" i="1"/>
  <c r="J28" i="1"/>
  <c r="I32" i="1"/>
  <c r="I31" i="1"/>
  <c r="L20" i="1"/>
  <c r="L21" i="1" s="1"/>
  <c r="L19" i="1"/>
  <c r="I29" i="1" s="1"/>
  <c r="I30" i="1"/>
  <c r="I28" i="1"/>
  <c r="J27" i="1"/>
  <c r="I27" i="1"/>
  <c r="J26" i="1"/>
  <c r="I26" i="1"/>
  <c r="J25" i="1"/>
  <c r="L18" i="1"/>
  <c r="K19" i="1"/>
  <c r="K20" i="1"/>
  <c r="K21" i="1"/>
  <c r="K18" i="1"/>
  <c r="J18" i="1" a="1"/>
  <c r="J18" i="1" s="1"/>
  <c r="I18" i="1" a="1"/>
  <c r="I18" i="1" s="1"/>
  <c r="K14" i="1"/>
  <c r="L14" i="1"/>
  <c r="M14" i="1"/>
  <c r="J8" i="1" a="1"/>
  <c r="J8" i="1" s="1"/>
  <c r="J14" i="1" s="1"/>
  <c r="J10" i="1" a="1"/>
  <c r="J10" i="1" s="1"/>
  <c r="J11" i="1" a="1"/>
  <c r="J11" i="1" s="1"/>
  <c r="J12" i="1" a="1"/>
  <c r="J12" i="1" s="1"/>
  <c r="J13" i="1" a="1"/>
  <c r="J13" i="1" s="1"/>
  <c r="J9" i="1" a="1"/>
  <c r="J9" i="1" s="1"/>
  <c r="C67" i="1"/>
  <c r="C106" i="1"/>
  <c r="B103" i="1"/>
  <c r="B100" i="1"/>
  <c r="B93" i="1"/>
  <c r="B91" i="1"/>
  <c r="C83" i="1"/>
  <c r="B79" i="1"/>
  <c r="C71" i="1"/>
  <c r="C68" i="1"/>
  <c r="C69" i="1"/>
  <c r="C70" i="1"/>
  <c r="B71" i="1"/>
  <c r="B69" i="1"/>
  <c r="B68" i="1"/>
  <c r="B67" i="1"/>
  <c r="B64" i="1"/>
  <c r="B63" i="1"/>
  <c r="B52" i="1"/>
  <c r="B51" i="1"/>
  <c r="B61" i="1"/>
  <c r="B58" i="1"/>
  <c r="B47" i="1"/>
  <c r="B45" i="1"/>
  <c r="B42" i="1"/>
  <c r="B43" i="1" s="1"/>
  <c r="B46" i="1" s="1"/>
  <c r="B48" i="1" s="1"/>
  <c r="B41" i="1"/>
  <c r="B40" i="1"/>
  <c r="E122" i="1" l="1"/>
  <c r="F119" i="1"/>
  <c r="J46" i="1"/>
  <c r="J47" i="1"/>
  <c r="B49" i="1"/>
  <c r="B50" i="1" s="1"/>
  <c r="B59" i="1" s="1"/>
  <c r="B60" i="1" s="1"/>
  <c r="B62" i="1" s="1"/>
  <c r="J45" i="1" l="1"/>
  <c r="K15" i="1"/>
  <c r="J15" i="1"/>
  <c r="J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Brazil Batres</author>
  </authors>
  <commentList>
    <comment ref="B39" authorId="0" shapeId="0" xr:uid="{07712705-BF39-4E25-81A8-BD1287C0E446}">
      <text>
        <r>
          <rPr>
            <b/>
            <sz val="9"/>
            <color indexed="81"/>
            <rFont val="Tahoma"/>
            <family val="2"/>
          </rPr>
          <t xml:space="preserve">Como no hay inventario, el costo de ventas es igual al costo de producción
</t>
        </r>
      </text>
    </comment>
    <comment ref="C105" authorId="0" shapeId="0" xr:uid="{3E14E22D-9080-4045-84B9-A3F62B7124B2}">
      <text>
        <r>
          <rPr>
            <b/>
            <sz val="9"/>
            <color indexed="81"/>
            <rFont val="Tahoma"/>
            <family val="2"/>
          </rPr>
          <t>El 10% es un dato proporcionado</t>
        </r>
      </text>
    </comment>
    <comment ref="C106" authorId="0" shapeId="0" xr:uid="{DBB0B15B-75C3-4BDC-A2EF-BB977AE1AC56}">
      <text>
        <r>
          <rPr>
            <b/>
            <sz val="9"/>
            <color indexed="81"/>
            <rFont val="Tahoma"/>
            <family val="2"/>
          </rPr>
          <t xml:space="preserve">El 0.25 es por el ISR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<sst xmlns="http://schemas.openxmlformats.org/spreadsheetml/2006/main" count="128" uniqueCount="119">
  <si>
    <t>Precio de venta por unidad</t>
  </si>
  <si>
    <t>Opción</t>
  </si>
  <si>
    <t>Tienda</t>
  </si>
  <si>
    <t>Inversión Inicial</t>
  </si>
  <si>
    <t>FNE anual proyectado</t>
  </si>
  <si>
    <t>Unidades vendidas en el año</t>
  </si>
  <si>
    <t>Escuintla</t>
  </si>
  <si>
    <t>Costo de materias primas</t>
  </si>
  <si>
    <t>Q 75.00 / unidad</t>
  </si>
  <si>
    <t>Antigua</t>
  </si>
  <si>
    <t>Costo de mano de obra</t>
  </si>
  <si>
    <t>Q 50.00 / unidad</t>
  </si>
  <si>
    <t>Quetzaltenango</t>
  </si>
  <si>
    <t>Gastos Indirectos de fábrica  (Costos Fijos)</t>
  </si>
  <si>
    <t>Zacapa</t>
  </si>
  <si>
    <t>Gastos de Administración y Ventas</t>
  </si>
  <si>
    <t>Valor adeudado de un Préstamo Bancario</t>
  </si>
  <si>
    <t>Q 120,000  (Saldo al final del año)</t>
  </si>
  <si>
    <t>Tasa interés sobre préstamo bancario actual</t>
  </si>
  <si>
    <t>10% anual</t>
  </si>
  <si>
    <t>Número de acciones preferentes</t>
  </si>
  <si>
    <t>1,300 en circulación</t>
  </si>
  <si>
    <t>Precio actual/ acción preferente</t>
  </si>
  <si>
    <t>Número de acciones comunes</t>
  </si>
  <si>
    <t>2,500 en circulación</t>
  </si>
  <si>
    <t>ISR</t>
  </si>
  <si>
    <t>Precio actual/ acción común</t>
  </si>
  <si>
    <t>Política de Dividendos comunes</t>
  </si>
  <si>
    <t>35% sobre utilidades</t>
  </si>
  <si>
    <t>Utilidades Retenidas acumuladas (inicio de año)</t>
  </si>
  <si>
    <t>Tasa de rendimiento de acciones preferentes</t>
  </si>
  <si>
    <t>20% sobre el precio de la acción</t>
  </si>
  <si>
    <t>Punto de Ruptura = es aquél que existe cuando a una empresa se le acaba una de sus fuentes de financiamiento actuales y debe</t>
  </si>
  <si>
    <t>pagar un costo más elevado para obtener más fondos de ese tipo</t>
  </si>
  <si>
    <t>Cálculo del costo de las utilidades retenidas (acciones comunes actuales)</t>
  </si>
  <si>
    <t>ESTADO DE RESULTADOS</t>
  </si>
  <si>
    <t>Empresa Fashion</t>
  </si>
  <si>
    <t>Del 01 de enero al 31 de diciembre de 2022</t>
  </si>
  <si>
    <t>Expresado en quetzales</t>
  </si>
  <si>
    <t>Ingresos por Ventas (Q300*600 pares)</t>
  </si>
  <si>
    <t>(-) Costo de ventas</t>
  </si>
  <si>
    <t>Costo de materia prima (Q75*600 pares)</t>
  </si>
  <si>
    <t>Costo de mano de obra (Q50*600 pares)</t>
  </si>
  <si>
    <t>Gastos indirectos de fabricación</t>
  </si>
  <si>
    <t>Utilidad Bruta</t>
  </si>
  <si>
    <t>(-) Gastos de Operación</t>
  </si>
  <si>
    <t>Utilidad Operativa</t>
  </si>
  <si>
    <t>(-) Intereses gasto (10% sobre Q120,000)</t>
  </si>
  <si>
    <t>Utilidad antes de impuestos</t>
  </si>
  <si>
    <t>(-) ISR (25%)</t>
  </si>
  <si>
    <t>Utilidad Neta</t>
  </si>
  <si>
    <t>Saldo de Utilidades retenidas al inicio del período</t>
  </si>
  <si>
    <t>Del 01 de enero al 31 de diciembre del 2022</t>
  </si>
  <si>
    <t>Estado de Utilidades Retenidas</t>
  </si>
  <si>
    <t>(+) Utilidad del período</t>
  </si>
  <si>
    <t>Utilidad disponible para acciones comunes y preferentes</t>
  </si>
  <si>
    <t>VALOR NOMINAL</t>
  </si>
  <si>
    <t>Es el valor al que se vendió la acción</t>
  </si>
  <si>
    <t>VALOR ACTUAL</t>
  </si>
  <si>
    <t>Es el valor al que se podría vender actualmente la acción</t>
  </si>
  <si>
    <t>(-) Dividendos Preferentes</t>
  </si>
  <si>
    <t>**En este caso se asume que son iguales porque no nos indican que sean diferentes</t>
  </si>
  <si>
    <t>Utilidad disponible para acciones comunes</t>
  </si>
  <si>
    <t>(-) Dividendos preferentes</t>
  </si>
  <si>
    <t>Utilidad Disponible para el accionista común</t>
  </si>
  <si>
    <t>(-) Dividendos Comunes</t>
  </si>
  <si>
    <t>Saldo de Utilidades Retenidas al final del período</t>
  </si>
  <si>
    <t>Fuentes de Financiamiento disponibles al 2022</t>
  </si>
  <si>
    <t>Capital Común (Q28*2500 acciones)</t>
  </si>
  <si>
    <t>Utilidad Retenida (del Estado de UR)</t>
  </si>
  <si>
    <t>Capital Preferente (Q45 * 1,300 acciones)</t>
  </si>
  <si>
    <t>Préstamo (Proporcionado)</t>
  </si>
  <si>
    <t>Monto</t>
  </si>
  <si>
    <t>Wi</t>
  </si>
  <si>
    <t>Costo de las utilidades retenidas</t>
  </si>
  <si>
    <t>D1 = dividendo esperado al final del año 1</t>
  </si>
  <si>
    <t>Po = Precio de la acción común al inicio del año 0</t>
  </si>
  <si>
    <t>g   = Tasa de crecimiento de las acciones comunes</t>
  </si>
  <si>
    <t>por acción</t>
  </si>
  <si>
    <t>ks = kr =</t>
  </si>
  <si>
    <t>Costo de las acciones comunes nuevas</t>
  </si>
  <si>
    <t>Lo mínimo que los accionistas comunes quiere ganar en el período actual</t>
  </si>
  <si>
    <t>Nn = Beneficio neto de las acciones comunes</t>
  </si>
  <si>
    <t>Nn = Precio de venta de acción común - costos flotantes (costos incurridos para la venta)</t>
  </si>
  <si>
    <t>kn =</t>
  </si>
  <si>
    <t>Costo de las acciones preferentes</t>
  </si>
  <si>
    <t>Dp = Dividendo por acción preferente</t>
  </si>
  <si>
    <t>kp =</t>
  </si>
  <si>
    <t>Np = Beneficio neto de las acciones preferentes = Precio de acción pref - costos flotantes</t>
  </si>
  <si>
    <t>Costo del préstamo bancario</t>
  </si>
  <si>
    <t>kd =</t>
  </si>
  <si>
    <t>ki =</t>
  </si>
  <si>
    <t>Tasa fiscal = ISR = 25%</t>
  </si>
  <si>
    <t>**Solo este costo se ajusta al ISR porque en el estado de resultados va antes del ISR, en cambio los otros costos que calculamos van después del ISR</t>
  </si>
  <si>
    <t>Cálculo del único punto de ruptura que presenta esta empresa: para las utilidades retenidas</t>
  </si>
  <si>
    <t>PR = monto disponible de esa fuente de financiamiento/wi</t>
  </si>
  <si>
    <t>(límite del costo de capital más barato)</t>
  </si>
  <si>
    <t>Intervalos del nuevo financiamiento</t>
  </si>
  <si>
    <t>Hasta Q403,920</t>
  </si>
  <si>
    <t>Fuentes de financiamiento</t>
  </si>
  <si>
    <t>wi</t>
  </si>
  <si>
    <t>ki</t>
  </si>
  <si>
    <t>CPP(WACC)</t>
  </si>
  <si>
    <t>Capital Común</t>
  </si>
  <si>
    <t>Capital Preferente</t>
  </si>
  <si>
    <t>Préstamo Bancario</t>
  </si>
  <si>
    <t>Mayor a Q403,920</t>
  </si>
  <si>
    <t>Programa de Oportunidades de Inversión (POI)</t>
  </si>
  <si>
    <t>TIR</t>
  </si>
  <si>
    <t>Año</t>
  </si>
  <si>
    <t>OPCIÓN</t>
  </si>
  <si>
    <t>Inversión inicial</t>
  </si>
  <si>
    <t>Inversión Acumulada</t>
  </si>
  <si>
    <t>Tabla con coordenadas</t>
  </si>
  <si>
    <t>X</t>
  </si>
  <si>
    <t>Y</t>
  </si>
  <si>
    <t>TMAR</t>
  </si>
  <si>
    <t>Tabla con la TMAR</t>
  </si>
  <si>
    <t>VPN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</si>
</sst>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quot;#,##0;[Red]\-&quot;Q&quot;#,##0"/>
    <numFmt numFmtId="8" formatCode="&quot;Q&quot;#,##0.00;[Red]\-&quot;Q&quot;#,##0.00"/>
    <numFmt numFmtId="44" formatCode="_-&quot;Q&quot;* #,##0.00_-;\-&quot;Q&quot;* #,##0.00_-;_-&quot;Q&quot;* &quot;-&quot;??_-;_-@_-"/>
    <numFmt numFmtId="164" formatCode="_-[$Q-100A]* #,##0.00_-;\-[$Q-100A]* #,##0.00_-;_-[$Q-100A]* &quot;-&quot;??_-;_-@_-"/>
    <numFmt numFmtId="165"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b/>
      <sz val="9"/>
      <color indexed="81"/>
      <name val="Tahoma"/>
      <family val="2"/>
    </font>
    <font>
      <i/>
      <sz val="11"/>
      <color theme="1"/>
      <name val="Calibri"/>
      <family val="2"/>
      <scheme val="minor"/>
    </font>
    <font>
      <b/>
      <sz val="11"/>
      <color theme="4" tint="-0.249977111117893"/>
      <name val="Calibri"/>
      <family val="2"/>
      <scheme val="minor"/>
    </font>
    <font>
      <b/>
      <sz val="11"/>
      <color rgb="FF0070C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double">
        <color indexed="64"/>
      </bottom>
      <diagonal/>
    </border>
    <border>
      <left/>
      <right/>
      <top style="thin">
        <color indexed="64"/>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75">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0" fillId="2" borderId="3" xfId="0" applyFill="1" applyBorder="1" applyAlignment="1">
      <alignment horizontal="center" vertical="center" wrapText="1"/>
    </xf>
    <xf numFmtId="0" fontId="0" fillId="2" borderId="4" xfId="0" applyFill="1" applyBorder="1" applyAlignment="1">
      <alignment horizontal="justify" vertical="center" wrapText="1"/>
    </xf>
    <xf numFmtId="6" fontId="0" fillId="2" borderId="4" xfId="0" applyNumberFormat="1" applyFill="1" applyBorder="1" applyAlignment="1">
      <alignment horizontal="justify" vertical="center" wrapText="1"/>
    </xf>
    <xf numFmtId="0" fontId="0" fillId="0" borderId="0" xfId="0" applyAlignment="1">
      <alignment horizontal="center" vertical="center" wrapText="1"/>
    </xf>
    <xf numFmtId="0" fontId="0" fillId="0" borderId="0" xfId="0" applyAlignment="1">
      <alignment horizontal="justify" vertical="center" wrapText="1"/>
    </xf>
    <xf numFmtId="6" fontId="0" fillId="0" borderId="0" xfId="0" applyNumberFormat="1" applyAlignment="1">
      <alignment horizontal="justify" vertical="center"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xf>
    <xf numFmtId="6" fontId="0" fillId="0" borderId="0" xfId="0" applyNumberFormat="1" applyAlignment="1">
      <alignment horizontal="center" vertical="center" wrapText="1"/>
    </xf>
    <xf numFmtId="2" fontId="0" fillId="0" borderId="0" xfId="1" applyNumberFormat="1" applyFont="1" applyFill="1" applyBorder="1" applyAlignment="1">
      <alignment horizontal="center"/>
    </xf>
    <xf numFmtId="6" fontId="2" fillId="0" borderId="0" xfId="0" applyNumberFormat="1" applyFont="1" applyAlignment="1">
      <alignment horizontal="center" vertical="center" wrapText="1"/>
    </xf>
    <xf numFmtId="2" fontId="2" fillId="0" borderId="0" xfId="1" applyNumberFormat="1" applyFont="1" applyFill="1" applyBorder="1" applyAlignment="1">
      <alignment horizontal="center"/>
    </xf>
    <xf numFmtId="0" fontId="3" fillId="0" borderId="0" xfId="0" applyFont="1"/>
    <xf numFmtId="0" fontId="0" fillId="0" borderId="0" xfId="0" applyAlignment="1">
      <alignment horizontal="right"/>
    </xf>
    <xf numFmtId="165" fontId="2" fillId="0" borderId="0" xfId="1" applyNumberFormat="1" applyFont="1" applyFill="1" applyBorder="1" applyAlignment="1">
      <alignment horizontal="center"/>
    </xf>
    <xf numFmtId="164" fontId="0" fillId="0" borderId="0" xfId="0" applyNumberFormat="1"/>
    <xf numFmtId="9" fontId="0" fillId="0" borderId="0" xfId="0" applyNumberFormat="1"/>
    <xf numFmtId="0" fontId="0" fillId="3" borderId="1" xfId="0" applyFill="1" applyBorder="1" applyAlignment="1">
      <alignment vertical="center" wrapText="1"/>
    </xf>
    <xf numFmtId="8" fontId="0" fillId="3" borderId="2" xfId="0" applyNumberFormat="1" applyFill="1" applyBorder="1" applyAlignment="1">
      <alignment horizontal="left" vertical="center" wrapText="1"/>
    </xf>
    <xf numFmtId="0" fontId="0" fillId="3" borderId="3" xfId="0" applyFill="1" applyBorder="1" applyAlignment="1">
      <alignment vertical="center" wrapText="1"/>
    </xf>
    <xf numFmtId="0" fontId="0" fillId="3" borderId="4" xfId="0" applyFill="1" applyBorder="1" applyAlignment="1">
      <alignment horizontal="left" vertical="center" wrapText="1"/>
    </xf>
    <xf numFmtId="6" fontId="0" fillId="3" borderId="4" xfId="0" applyNumberFormat="1" applyFill="1" applyBorder="1" applyAlignment="1">
      <alignment horizontal="left" vertical="center" wrapText="1"/>
    </xf>
    <xf numFmtId="0" fontId="0" fillId="4" borderId="3" xfId="0" applyFill="1" applyBorder="1" applyAlignment="1">
      <alignment vertical="center" wrapText="1"/>
    </xf>
    <xf numFmtId="0" fontId="0" fillId="4" borderId="4" xfId="0" applyFill="1" applyBorder="1" applyAlignment="1">
      <alignment horizontal="left" vertical="center" wrapText="1"/>
    </xf>
    <xf numFmtId="0" fontId="0" fillId="5" borderId="3" xfId="0" applyFill="1" applyBorder="1" applyAlignment="1">
      <alignment vertical="center" wrapText="1"/>
    </xf>
    <xf numFmtId="0" fontId="0" fillId="5" borderId="4" xfId="0" applyFill="1" applyBorder="1" applyAlignment="1">
      <alignment horizontal="left" vertical="center" wrapText="1"/>
    </xf>
    <xf numFmtId="6" fontId="0" fillId="5" borderId="4" xfId="0" applyNumberFormat="1" applyFill="1" applyBorder="1" applyAlignment="1">
      <alignment horizontal="left" vertical="center" wrapText="1"/>
    </xf>
    <xf numFmtId="9" fontId="0" fillId="5" borderId="4" xfId="0" applyNumberFormat="1" applyFill="1" applyBorder="1" applyAlignment="1">
      <alignment horizontal="left" vertical="center" wrapText="1"/>
    </xf>
    <xf numFmtId="0" fontId="0" fillId="6" borderId="3" xfId="0" applyFill="1" applyBorder="1" applyAlignment="1">
      <alignment vertical="center" wrapText="1"/>
    </xf>
    <xf numFmtId="0" fontId="0" fillId="6" borderId="4" xfId="0" applyFill="1" applyBorder="1" applyAlignment="1">
      <alignment horizontal="left" vertical="center" wrapText="1"/>
    </xf>
    <xf numFmtId="6" fontId="0" fillId="6" borderId="4" xfId="0" applyNumberFormat="1" applyFill="1" applyBorder="1" applyAlignment="1">
      <alignment horizontal="left" vertical="center" wrapText="1"/>
    </xf>
    <xf numFmtId="0" fontId="4" fillId="0" borderId="0" xfId="0" applyFont="1"/>
    <xf numFmtId="44" fontId="0" fillId="0" borderId="0" xfId="2" applyFont="1"/>
    <xf numFmtId="44" fontId="0" fillId="0" borderId="0" xfId="0" applyNumberFormat="1"/>
    <xf numFmtId="0" fontId="6" fillId="0" borderId="0" xfId="0" applyFont="1"/>
    <xf numFmtId="44" fontId="6" fillId="0" borderId="0" xfId="2" applyFont="1"/>
    <xf numFmtId="44" fontId="6" fillId="0" borderId="5" xfId="2" applyFont="1" applyBorder="1"/>
    <xf numFmtId="0" fontId="2" fillId="0" borderId="0" xfId="0" applyFont="1" applyAlignment="1">
      <alignment horizontal="right"/>
    </xf>
    <xf numFmtId="44" fontId="0" fillId="0" borderId="5" xfId="2" applyFont="1" applyBorder="1"/>
    <xf numFmtId="44" fontId="2" fillId="0" borderId="0" xfId="0" applyNumberFormat="1" applyFont="1"/>
    <xf numFmtId="164" fontId="0" fillId="0" borderId="5" xfId="0" applyNumberFormat="1" applyBorder="1"/>
    <xf numFmtId="164" fontId="0" fillId="0" borderId="6" xfId="0" applyNumberFormat="1" applyBorder="1"/>
    <xf numFmtId="0" fontId="0" fillId="0" borderId="5" xfId="0" applyBorder="1" applyAlignment="1">
      <alignment horizontal="right"/>
    </xf>
    <xf numFmtId="10" fontId="0" fillId="0" borderId="0" xfId="0" applyNumberFormat="1"/>
    <xf numFmtId="0" fontId="7" fillId="0" borderId="0" xfId="0" applyFont="1"/>
    <xf numFmtId="0" fontId="0" fillId="0" borderId="0" xfId="0" applyAlignment="1">
      <alignment wrapText="1"/>
    </xf>
    <xf numFmtId="44" fontId="0" fillId="0" borderId="0" xfId="2" applyFont="1" applyAlignment="1">
      <alignment horizontal="center" vertical="center"/>
    </xf>
    <xf numFmtId="0" fontId="0" fillId="0" borderId="0" xfId="0" applyAlignment="1">
      <alignment horizontal="center" vertical="center"/>
    </xf>
    <xf numFmtId="9" fontId="0" fillId="0" borderId="0" xfId="1" applyFont="1"/>
    <xf numFmtId="10" fontId="0" fillId="0" borderId="0" xfId="1" applyNumberFormat="1" applyFont="1"/>
    <xf numFmtId="0" fontId="8" fillId="0" borderId="0" xfId="0" applyFont="1"/>
    <xf numFmtId="0" fontId="0" fillId="0" borderId="7" xfId="0" applyBorder="1"/>
    <xf numFmtId="0" fontId="0" fillId="0" borderId="5" xfId="0" applyBorder="1"/>
    <xf numFmtId="10" fontId="0" fillId="0" borderId="5" xfId="0" applyNumberFormat="1" applyBorder="1"/>
    <xf numFmtId="10" fontId="0" fillId="0" borderId="7" xfId="0" applyNumberFormat="1" applyBorder="1"/>
    <xf numFmtId="0" fontId="0" fillId="0" borderId="0" xfId="0" applyAlignment="1">
      <alignment horizontal="center"/>
    </xf>
    <xf numFmtId="0" fontId="2" fillId="2" borderId="5" xfId="0" applyFont="1" applyFill="1" applyBorder="1" applyAlignment="1">
      <alignment horizontal="center" vertical="center" wrapText="1"/>
    </xf>
    <xf numFmtId="0" fontId="0" fillId="0" borderId="5" xfId="0" applyBorder="1" applyAlignment="1">
      <alignment horizontal="center"/>
    </xf>
    <xf numFmtId="44" fontId="0" fillId="0" borderId="0" xfId="2" applyFont="1" applyAlignment="1">
      <alignment horizontal="center"/>
    </xf>
    <xf numFmtId="165" fontId="0" fillId="0" borderId="0" xfId="0" applyNumberFormat="1"/>
    <xf numFmtId="165" fontId="2" fillId="0" borderId="0" xfId="0" applyNumberFormat="1" applyFont="1" applyAlignment="1">
      <alignment horizontal="center"/>
    </xf>
    <xf numFmtId="44" fontId="0" fillId="0" borderId="5" xfId="2"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165" fontId="0" fillId="0" borderId="0" xfId="1" applyNumberFormat="1" applyFont="1" applyAlignment="1">
      <alignment horizontal="center"/>
    </xf>
    <xf numFmtId="6" fontId="0" fillId="0" borderId="0" xfId="0" applyNumberFormat="1" applyAlignment="1">
      <alignment horizontal="center"/>
    </xf>
    <xf numFmtId="0" fontId="2" fillId="0" borderId="5" xfId="0" applyFont="1" applyFill="1" applyBorder="1" applyAlignment="1">
      <alignment horizontal="center"/>
    </xf>
    <xf numFmtId="3" fontId="0" fillId="0" borderId="0" xfId="0" applyNumberFormat="1"/>
    <xf numFmtId="44" fontId="2" fillId="0" borderId="0" xfId="2" applyFont="1" applyAlignment="1">
      <alignment horizontal="center"/>
    </xf>
    <xf numFmtId="10" fontId="0" fillId="0" borderId="7" xfId="1" applyNumberFormat="1" applyFont="1" applyBorder="1"/>
    <xf numFmtId="2" fontId="0" fillId="0" borderId="7" xfId="0" applyNumberFormat="1" applyBorder="1"/>
  </cellXfs>
  <cellStyles count="3">
    <cellStyle name="Moneda" xfId="2" builtinId="4"/>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a:t>PROGRAMA DE OPORTUNIDADES DE INVERSIÓN</a:t>
            </a:r>
            <a:r>
              <a:rPr lang="es-GT" baseline="0"/>
              <a:t> (POI)</a:t>
            </a:r>
            <a:endParaRPr lang="es-G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scatterChart>
        <c:scatterStyle val="lineMarker"/>
        <c:varyColors val="0"/>
        <c:ser>
          <c:idx val="0"/>
          <c:order val="0"/>
          <c:tx>
            <c:v>POI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ENCABEZADO!$I$25:$I$32</c:f>
              <c:numCache>
                <c:formatCode>#,##0</c:formatCode>
                <c:ptCount val="8"/>
                <c:pt idx="0">
                  <c:v>0</c:v>
                </c:pt>
                <c:pt idx="1">
                  <c:v>150000</c:v>
                </c:pt>
                <c:pt idx="2">
                  <c:v>150000</c:v>
                </c:pt>
                <c:pt idx="3">
                  <c:v>325000</c:v>
                </c:pt>
                <c:pt idx="4">
                  <c:v>325000</c:v>
                </c:pt>
                <c:pt idx="5">
                  <c:v>525000</c:v>
                </c:pt>
                <c:pt idx="6">
                  <c:v>525000</c:v>
                </c:pt>
                <c:pt idx="7">
                  <c:v>825000</c:v>
                </c:pt>
              </c:numCache>
            </c:numRef>
          </c:xVal>
          <c:yVal>
            <c:numRef>
              <c:f>ENCABEZADO!$J$25:$J$32</c:f>
              <c:numCache>
                <c:formatCode>0.0%</c:formatCode>
                <c:ptCount val="8"/>
                <c:pt idx="0">
                  <c:v>0.38825524639108</c:v>
                </c:pt>
                <c:pt idx="1">
                  <c:v>0.38825524639108</c:v>
                </c:pt>
                <c:pt idx="2">
                  <c:v>0.32272532658880682</c:v>
                </c:pt>
                <c:pt idx="3">
                  <c:v>0.32272532658880682</c:v>
                </c:pt>
                <c:pt idx="4">
                  <c:v>0.28167984493873965</c:v>
                </c:pt>
                <c:pt idx="5">
                  <c:v>0.28167984493873965</c:v>
                </c:pt>
                <c:pt idx="6">
                  <c:v>0.10916174523423483</c:v>
                </c:pt>
                <c:pt idx="7">
                  <c:v>0.10916174523423483</c:v>
                </c:pt>
              </c:numCache>
            </c:numRef>
          </c:yVal>
          <c:smooth val="0"/>
          <c:extLst>
            <c:ext xmlns:c16="http://schemas.microsoft.com/office/drawing/2014/chart" uri="{C3380CC4-5D6E-409C-BE32-E72D297353CC}">
              <c16:uniqueId val="{00000000-1DD4-4F5B-BBA0-5E9CC3DA9B65}"/>
            </c:ext>
          </c:extLst>
        </c:ser>
        <c:ser>
          <c:idx val="1"/>
          <c:order val="1"/>
          <c:tx>
            <c:v>TMAR</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ENCABEZADO!$I$44:$I$47</c:f>
              <c:numCache>
                <c:formatCode>#,##0</c:formatCode>
                <c:ptCount val="4"/>
                <c:pt idx="0">
                  <c:v>0</c:v>
                </c:pt>
                <c:pt idx="1">
                  <c:v>403920</c:v>
                </c:pt>
                <c:pt idx="2">
                  <c:v>403920</c:v>
                </c:pt>
                <c:pt idx="3">
                  <c:v>825000</c:v>
                </c:pt>
              </c:numCache>
            </c:numRef>
          </c:xVal>
          <c:yVal>
            <c:numRef>
              <c:f>ENCABEZADO!$J$44:$J$47</c:f>
              <c:numCache>
                <c:formatCode>0.0%</c:formatCode>
                <c:ptCount val="4"/>
                <c:pt idx="0">
                  <c:v>0.24532352941176469</c:v>
                </c:pt>
                <c:pt idx="1">
                  <c:v>0.24532352941176469</c:v>
                </c:pt>
                <c:pt idx="2">
                  <c:v>0.25667926063706115</c:v>
                </c:pt>
                <c:pt idx="3">
                  <c:v>0.25667926063706115</c:v>
                </c:pt>
              </c:numCache>
            </c:numRef>
          </c:yVal>
          <c:smooth val="0"/>
          <c:extLst>
            <c:ext xmlns:c16="http://schemas.microsoft.com/office/drawing/2014/chart" uri="{C3380CC4-5D6E-409C-BE32-E72D297353CC}">
              <c16:uniqueId val="{00000003-1DD4-4F5B-BBA0-5E9CC3DA9B65}"/>
            </c:ext>
          </c:extLst>
        </c:ser>
        <c:dLbls>
          <c:showLegendKey val="0"/>
          <c:showVal val="0"/>
          <c:showCatName val="0"/>
          <c:showSerName val="0"/>
          <c:showPercent val="0"/>
          <c:showBubbleSize val="0"/>
        </c:dLbls>
        <c:axId val="1201763120"/>
        <c:axId val="1016030656"/>
      </c:scatterChart>
      <c:valAx>
        <c:axId val="1201763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s-GT"/>
                  <a:t>INVERSIÓN ACUMULADA (EXPRESADA EN QUETZALES)</a:t>
                </a:r>
              </a:p>
            </c:rich>
          </c:tx>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s-GT"/>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016030656"/>
        <c:crosses val="autoZero"/>
        <c:crossBetween val="midCat"/>
      </c:valAx>
      <c:valAx>
        <c:axId val="1016030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GT"/>
                  <a:t>TIR/TMAR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GT"/>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20176312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microsoft.com/office/2007/relationships/hdphoto" Target="../media/hdphoto1.wdp"/><Relationship Id="rId1" Type="http://schemas.openxmlformats.org/officeDocument/2006/relationships/image" Target="../media/image6.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0</xdr:col>
      <xdr:colOff>86360</xdr:colOff>
      <xdr:row>0</xdr:row>
      <xdr:rowOff>104776</xdr:rowOff>
    </xdr:from>
    <xdr:to>
      <xdr:col>6</xdr:col>
      <xdr:colOff>1367118</xdr:colOff>
      <xdr:row>5</xdr:row>
      <xdr:rowOff>0</xdr:rowOff>
    </xdr:to>
    <xdr:sp macro="" textlink="">
      <xdr:nvSpPr>
        <xdr:cNvPr id="2" name="CuadroTexto 1">
          <a:extLst>
            <a:ext uri="{FF2B5EF4-FFF2-40B4-BE49-F238E27FC236}">
              <a16:creationId xmlns:a16="http://schemas.microsoft.com/office/drawing/2014/main" id="{F8185789-ECF1-414B-9AD9-261CE1110C11}"/>
            </a:ext>
          </a:extLst>
        </xdr:cNvPr>
        <xdr:cNvSpPr txBox="1"/>
      </xdr:nvSpPr>
      <xdr:spPr>
        <a:xfrm>
          <a:off x="86360" y="104776"/>
          <a:ext cx="11022405" cy="791695"/>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GT" sz="1100" b="1">
              <a:solidFill>
                <a:schemeClr val="dk1"/>
              </a:solidFill>
              <a:effectLst/>
              <a:latin typeface="+mn-lt"/>
              <a:ea typeface="+mn-ea"/>
              <a:cs typeface="+mn-cs"/>
            </a:rPr>
            <a:t>Fábrica</a:t>
          </a:r>
          <a:r>
            <a:rPr lang="es-GT" sz="1100" b="1" baseline="0">
              <a:solidFill>
                <a:schemeClr val="dk1"/>
              </a:solidFill>
              <a:effectLst/>
              <a:latin typeface="+mn-lt"/>
              <a:ea typeface="+mn-ea"/>
              <a:cs typeface="+mn-cs"/>
            </a:rPr>
            <a:t> Fashion </a:t>
          </a:r>
          <a:r>
            <a:rPr lang="es-GT" sz="1100">
              <a:solidFill>
                <a:schemeClr val="dk1"/>
              </a:solidFill>
              <a:effectLst/>
              <a:latin typeface="+mn-lt"/>
              <a:ea typeface="+mn-ea"/>
              <a:cs typeface="+mn-cs"/>
            </a:rPr>
            <a:t>es una empresa en Guatemala que ofrece diseños especiales de ropa basados en las tendencias actuales y a un precio accesible.  Actualmente sólo opera con una tienda en la ciudad capital, pero desea abrir otras tiendas el próximo año.  La misión de la empresa es convertirse en la primera opción de</a:t>
          </a:r>
          <a:r>
            <a:rPr lang="es-GT" sz="1100" baseline="0">
              <a:solidFill>
                <a:schemeClr val="dk1"/>
              </a:solidFill>
              <a:effectLst/>
              <a:latin typeface="+mn-lt"/>
              <a:ea typeface="+mn-ea"/>
              <a:cs typeface="+mn-cs"/>
            </a:rPr>
            <a:t> ropa casual </a:t>
          </a:r>
          <a:r>
            <a:rPr lang="es-GT" sz="1100">
              <a:solidFill>
                <a:schemeClr val="dk1"/>
              </a:solidFill>
              <a:effectLst/>
              <a:latin typeface="+mn-lt"/>
              <a:ea typeface="+mn-ea"/>
              <a:cs typeface="+mn-cs"/>
            </a:rPr>
            <a:t>para sus clientes, por su estilo y valor.   Usted, como analista financiero de la empresa, ha sido designado para analizar diferentes oportunidades de inversión que se tienen para el año 2023.  Usted cuenta con la siguiente información correspondiente al año 2022. </a:t>
          </a:r>
        </a:p>
        <a:p>
          <a:endParaRPr lang="es-GT" sz="1100"/>
        </a:p>
      </xdr:txBody>
    </xdr:sp>
    <xdr:clientData/>
  </xdr:twoCellAnchor>
  <xdr:twoCellAnchor>
    <xdr:from>
      <xdr:col>0</xdr:col>
      <xdr:colOff>45197</xdr:colOff>
      <xdr:row>22</xdr:row>
      <xdr:rowOff>66115</xdr:rowOff>
    </xdr:from>
    <xdr:to>
      <xdr:col>6</xdr:col>
      <xdr:colOff>1054847</xdr:colOff>
      <xdr:row>29</xdr:row>
      <xdr:rowOff>47065</xdr:rowOff>
    </xdr:to>
    <xdr:sp macro="" textlink="">
      <xdr:nvSpPr>
        <xdr:cNvPr id="3" name="CuadroTexto 2">
          <a:extLst>
            <a:ext uri="{FF2B5EF4-FFF2-40B4-BE49-F238E27FC236}">
              <a16:creationId xmlns:a16="http://schemas.microsoft.com/office/drawing/2014/main" id="{79DFC2FE-59B5-49C6-B812-17C40265B42B}"/>
            </a:ext>
          </a:extLst>
        </xdr:cNvPr>
        <xdr:cNvSpPr txBox="1"/>
      </xdr:nvSpPr>
      <xdr:spPr>
        <a:xfrm>
          <a:off x="45197" y="4324350"/>
          <a:ext cx="10579474" cy="123600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Para poder captar fondos, si se emiten acciones comunes estas tendrán el mismo precio que tienen al día de hoy más un costo de flotación del 8%.  Se considera que los dividendos comunes pueden crecer a una </a:t>
          </a:r>
          <a:r>
            <a:rPr lang="es-GT" sz="1100" b="0">
              <a:solidFill>
                <a:schemeClr val="dk1"/>
              </a:solidFill>
              <a:effectLst/>
              <a:latin typeface="+mn-lt"/>
              <a:ea typeface="+mn-ea"/>
              <a:cs typeface="+mn-cs"/>
            </a:rPr>
            <a:t>tasa del 6% anual.  </a:t>
          </a:r>
        </a:p>
        <a:p>
          <a:pPr marL="0" marR="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Las opciones de inversión que se han logrado identificar al momento son 4 diferentes tiendas ubicadas en distintos puntos del país: Escuintla, Antigua Guatemala, Quetzaltenango y Zacapa.  A continuación se detalla la inversión inicial requerida, así como el Flujo Neto de efectivo proyectado </a:t>
          </a:r>
          <a:r>
            <a:rPr lang="es-GT" sz="1100">
              <a:solidFill>
                <a:srgbClr val="FF0000"/>
              </a:solidFill>
              <a:effectLst/>
              <a:latin typeface="+mn-lt"/>
              <a:ea typeface="+mn-ea"/>
              <a:cs typeface="+mn-cs"/>
            </a:rPr>
            <a:t>para los 5 años </a:t>
          </a:r>
          <a:r>
            <a:rPr lang="es-GT" sz="1100">
              <a:solidFill>
                <a:schemeClr val="dk1"/>
              </a:solidFill>
              <a:effectLst/>
              <a:latin typeface="+mn-lt"/>
              <a:ea typeface="+mn-ea"/>
              <a:cs typeface="+mn-cs"/>
            </a:rPr>
            <a:t>a utilizarse como período de análisis de la inversión.</a:t>
          </a:r>
        </a:p>
        <a:p>
          <a:pPr marL="0" marR="0" indent="0" defTabSz="914400" eaLnBrk="1" fontAlgn="auto" latinLnBrk="0" hangingPunct="1">
            <a:lnSpc>
              <a:spcPct val="100000"/>
            </a:lnSpc>
            <a:spcBef>
              <a:spcPts val="0"/>
            </a:spcBef>
            <a:spcAft>
              <a:spcPts val="0"/>
            </a:spcAft>
            <a:buClrTx/>
            <a:buSzTx/>
            <a:buFontTx/>
            <a:buNone/>
            <a:tabLst/>
            <a:defRPr/>
          </a:pPr>
          <a:r>
            <a:rPr lang="es-GT" sz="1100">
              <a:solidFill>
                <a:schemeClr val="dk1"/>
              </a:solidFill>
              <a:effectLst/>
              <a:latin typeface="+mn-lt"/>
              <a:ea typeface="+mn-ea"/>
              <a:cs typeface="+mn-cs"/>
            </a:rPr>
            <a:t>Si la empresa desea evaluar las diferentes opciones de apertura de tienda, utilizando como </a:t>
          </a:r>
          <a:r>
            <a:rPr lang="es-GT" sz="1100" b="1">
              <a:solidFill>
                <a:schemeClr val="dk1"/>
              </a:solidFill>
              <a:effectLst/>
              <a:latin typeface="+mn-lt"/>
              <a:ea typeface="+mn-ea"/>
              <a:cs typeface="+mn-cs"/>
            </a:rPr>
            <a:t>TMAR 3% arriba de su WACC actual</a:t>
          </a:r>
          <a:r>
            <a:rPr lang="es-GT" sz="1100">
              <a:solidFill>
                <a:schemeClr val="dk1"/>
              </a:solidFill>
              <a:effectLst/>
              <a:latin typeface="+mn-lt"/>
              <a:ea typeface="+mn-ea"/>
              <a:cs typeface="+mn-cs"/>
            </a:rPr>
            <a:t>, y si se considera que la elección de cada alternativa es independiente de la otra, utilizando como </a:t>
          </a:r>
          <a:r>
            <a:rPr lang="es-GT" sz="1100" b="1">
              <a:solidFill>
                <a:schemeClr val="dk1"/>
              </a:solidFill>
              <a:effectLst/>
              <a:latin typeface="+mn-lt"/>
              <a:ea typeface="+mn-ea"/>
              <a:cs typeface="+mn-cs"/>
            </a:rPr>
            <a:t>método de evaluación de la TIR, indique en cuál o cuáles tiendas recomienda invertir para el año 2023</a:t>
          </a:r>
          <a:r>
            <a:rPr lang="es-GT" sz="1100" b="1" baseline="0">
              <a:solidFill>
                <a:schemeClr val="dk1"/>
              </a:solidFill>
              <a:effectLst/>
              <a:latin typeface="+mn-lt"/>
              <a:ea typeface="+mn-ea"/>
              <a:cs typeface="+mn-cs"/>
            </a:rPr>
            <a:t> </a:t>
          </a:r>
          <a:r>
            <a:rPr lang="es-GT" sz="1100">
              <a:solidFill>
                <a:schemeClr val="dk1"/>
              </a:solidFill>
              <a:effectLst/>
              <a:latin typeface="+mn-lt"/>
              <a:ea typeface="+mn-ea"/>
              <a:cs typeface="+mn-cs"/>
            </a:rPr>
            <a:t>a la Fábrica Fashion.</a:t>
          </a:r>
        </a:p>
        <a:p>
          <a:endParaRPr lang="es-GT" sz="1100"/>
        </a:p>
      </xdr:txBody>
    </xdr:sp>
    <xdr:clientData/>
  </xdr:twoCellAnchor>
  <xdr:twoCellAnchor editAs="oneCell">
    <xdr:from>
      <xdr:col>0</xdr:col>
      <xdr:colOff>0</xdr:colOff>
      <xdr:row>73</xdr:row>
      <xdr:rowOff>0</xdr:rowOff>
    </xdr:from>
    <xdr:to>
      <xdr:col>1</xdr:col>
      <xdr:colOff>2126176</xdr:colOff>
      <xdr:row>76</xdr:row>
      <xdr:rowOff>166880</xdr:rowOff>
    </xdr:to>
    <xdr:pic>
      <xdr:nvPicPr>
        <xdr:cNvPr id="4" name="Imagen 3">
          <a:extLst>
            <a:ext uri="{FF2B5EF4-FFF2-40B4-BE49-F238E27FC236}">
              <a16:creationId xmlns:a16="http://schemas.microsoft.com/office/drawing/2014/main" id="{9BFB1FDC-0CCA-B125-76D0-25614B32B76D}"/>
            </a:ext>
          </a:extLst>
        </xdr:cNvPr>
        <xdr:cNvPicPr>
          <a:picLocks noChangeAspect="1"/>
        </xdr:cNvPicPr>
      </xdr:nvPicPr>
      <xdr:blipFill>
        <a:blip xmlns:r="http://schemas.openxmlformats.org/officeDocument/2006/relationships" r:embed="rId1"/>
        <a:stretch>
          <a:fillRect/>
        </a:stretch>
      </xdr:blipFill>
      <xdr:spPr>
        <a:xfrm>
          <a:off x="0" y="13432118"/>
          <a:ext cx="5600000" cy="704762"/>
        </a:xfrm>
        <a:prstGeom prst="rect">
          <a:avLst/>
        </a:prstGeom>
      </xdr:spPr>
    </xdr:pic>
    <xdr:clientData/>
  </xdr:twoCellAnchor>
  <xdr:twoCellAnchor editAs="oneCell">
    <xdr:from>
      <xdr:col>0</xdr:col>
      <xdr:colOff>0</xdr:colOff>
      <xdr:row>85</xdr:row>
      <xdr:rowOff>0</xdr:rowOff>
    </xdr:from>
    <xdr:to>
      <xdr:col>2</xdr:col>
      <xdr:colOff>88364</xdr:colOff>
      <xdr:row>88</xdr:row>
      <xdr:rowOff>100213</xdr:rowOff>
    </xdr:to>
    <xdr:pic>
      <xdr:nvPicPr>
        <xdr:cNvPr id="5" name="Imagen 4">
          <a:extLst>
            <a:ext uri="{FF2B5EF4-FFF2-40B4-BE49-F238E27FC236}">
              <a16:creationId xmlns:a16="http://schemas.microsoft.com/office/drawing/2014/main" id="{A6BF7582-BFAC-54B0-EF4A-7551E8756B5E}"/>
            </a:ext>
          </a:extLst>
        </xdr:cNvPr>
        <xdr:cNvPicPr>
          <a:picLocks noChangeAspect="1"/>
        </xdr:cNvPicPr>
      </xdr:nvPicPr>
      <xdr:blipFill>
        <a:blip xmlns:r="http://schemas.openxmlformats.org/officeDocument/2006/relationships" r:embed="rId2"/>
        <a:stretch>
          <a:fillRect/>
        </a:stretch>
      </xdr:blipFill>
      <xdr:spPr>
        <a:xfrm>
          <a:off x="0" y="15583647"/>
          <a:ext cx="5780952" cy="638095"/>
        </a:xfrm>
        <a:prstGeom prst="rect">
          <a:avLst/>
        </a:prstGeom>
      </xdr:spPr>
    </xdr:pic>
    <xdr:clientData/>
  </xdr:twoCellAnchor>
  <xdr:twoCellAnchor editAs="oneCell">
    <xdr:from>
      <xdr:col>0</xdr:col>
      <xdr:colOff>0</xdr:colOff>
      <xdr:row>95</xdr:row>
      <xdr:rowOff>0</xdr:rowOff>
    </xdr:from>
    <xdr:to>
      <xdr:col>1</xdr:col>
      <xdr:colOff>2192843</xdr:colOff>
      <xdr:row>98</xdr:row>
      <xdr:rowOff>138308</xdr:rowOff>
    </xdr:to>
    <xdr:pic>
      <xdr:nvPicPr>
        <xdr:cNvPr id="6" name="Imagen 5">
          <a:extLst>
            <a:ext uri="{FF2B5EF4-FFF2-40B4-BE49-F238E27FC236}">
              <a16:creationId xmlns:a16="http://schemas.microsoft.com/office/drawing/2014/main" id="{C58BFAE5-16B3-94F4-7D9F-C127D2CDDB9E}"/>
            </a:ext>
          </a:extLst>
        </xdr:cNvPr>
        <xdr:cNvPicPr>
          <a:picLocks noChangeAspect="1"/>
        </xdr:cNvPicPr>
      </xdr:nvPicPr>
      <xdr:blipFill>
        <a:blip xmlns:r="http://schemas.openxmlformats.org/officeDocument/2006/relationships" r:embed="rId3"/>
        <a:stretch>
          <a:fillRect/>
        </a:stretch>
      </xdr:blipFill>
      <xdr:spPr>
        <a:xfrm>
          <a:off x="0" y="17563353"/>
          <a:ext cx="5666667" cy="676190"/>
        </a:xfrm>
        <a:prstGeom prst="rect">
          <a:avLst/>
        </a:prstGeom>
      </xdr:spPr>
    </xdr:pic>
    <xdr:clientData/>
  </xdr:twoCellAnchor>
  <xdr:twoCellAnchor editAs="oneCell">
    <xdr:from>
      <xdr:col>0</xdr:col>
      <xdr:colOff>0</xdr:colOff>
      <xdr:row>106</xdr:row>
      <xdr:rowOff>0</xdr:rowOff>
    </xdr:from>
    <xdr:to>
      <xdr:col>2</xdr:col>
      <xdr:colOff>174079</xdr:colOff>
      <xdr:row>107</xdr:row>
      <xdr:rowOff>144516</xdr:rowOff>
    </xdr:to>
    <xdr:pic>
      <xdr:nvPicPr>
        <xdr:cNvPr id="7" name="Imagen 6">
          <a:extLst>
            <a:ext uri="{FF2B5EF4-FFF2-40B4-BE49-F238E27FC236}">
              <a16:creationId xmlns:a16="http://schemas.microsoft.com/office/drawing/2014/main" id="{5A4B89F5-B4A7-C79B-9BE1-E012341C9A3B}"/>
            </a:ext>
          </a:extLst>
        </xdr:cNvPr>
        <xdr:cNvPicPr>
          <a:picLocks noChangeAspect="1"/>
        </xdr:cNvPicPr>
      </xdr:nvPicPr>
      <xdr:blipFill>
        <a:blip xmlns:r="http://schemas.openxmlformats.org/officeDocument/2006/relationships" r:embed="rId4"/>
        <a:stretch>
          <a:fillRect/>
        </a:stretch>
      </xdr:blipFill>
      <xdr:spPr>
        <a:xfrm>
          <a:off x="0" y="19722353"/>
          <a:ext cx="5866667" cy="323810"/>
        </a:xfrm>
        <a:prstGeom prst="rect">
          <a:avLst/>
        </a:prstGeom>
      </xdr:spPr>
    </xdr:pic>
    <xdr:clientData/>
  </xdr:twoCellAnchor>
  <xdr:twoCellAnchor editAs="oneCell">
    <xdr:from>
      <xdr:col>0</xdr:col>
      <xdr:colOff>0</xdr:colOff>
      <xdr:row>111</xdr:row>
      <xdr:rowOff>0</xdr:rowOff>
    </xdr:from>
    <xdr:to>
      <xdr:col>2</xdr:col>
      <xdr:colOff>335983</xdr:colOff>
      <xdr:row>114</xdr:row>
      <xdr:rowOff>166880</xdr:rowOff>
    </xdr:to>
    <xdr:pic>
      <xdr:nvPicPr>
        <xdr:cNvPr id="8" name="Imagen 7">
          <a:extLst>
            <a:ext uri="{FF2B5EF4-FFF2-40B4-BE49-F238E27FC236}">
              <a16:creationId xmlns:a16="http://schemas.microsoft.com/office/drawing/2014/main" id="{25796E32-E911-FCAD-7804-BEE72C7BFC5C}"/>
            </a:ext>
          </a:extLst>
        </xdr:cNvPr>
        <xdr:cNvPicPr>
          <a:picLocks noChangeAspect="1"/>
        </xdr:cNvPicPr>
      </xdr:nvPicPr>
      <xdr:blipFill>
        <a:blip xmlns:r="http://schemas.openxmlformats.org/officeDocument/2006/relationships" r:embed="rId5"/>
        <a:stretch>
          <a:fillRect/>
        </a:stretch>
      </xdr:blipFill>
      <xdr:spPr>
        <a:xfrm>
          <a:off x="0" y="20618824"/>
          <a:ext cx="6028571" cy="704762"/>
        </a:xfrm>
        <a:prstGeom prst="rect">
          <a:avLst/>
        </a:prstGeom>
      </xdr:spPr>
    </xdr:pic>
    <xdr:clientData/>
  </xdr:twoCellAnchor>
  <xdr:twoCellAnchor>
    <xdr:from>
      <xdr:col>3</xdr:col>
      <xdr:colOff>201706</xdr:colOff>
      <xdr:row>124</xdr:row>
      <xdr:rowOff>89647</xdr:rowOff>
    </xdr:from>
    <xdr:to>
      <xdr:col>5</xdr:col>
      <xdr:colOff>433294</xdr:colOff>
      <xdr:row>127</xdr:row>
      <xdr:rowOff>29883</xdr:rowOff>
    </xdr:to>
    <xdr:sp macro="" textlink="">
      <xdr:nvSpPr>
        <xdr:cNvPr id="9" name="CuadroTexto 8">
          <a:extLst>
            <a:ext uri="{FF2B5EF4-FFF2-40B4-BE49-F238E27FC236}">
              <a16:creationId xmlns:a16="http://schemas.microsoft.com/office/drawing/2014/main" id="{589C4DFA-0D7E-0A35-AC7E-2332532A6C70}"/>
            </a:ext>
          </a:extLst>
        </xdr:cNvPr>
        <xdr:cNvSpPr txBox="1"/>
      </xdr:nvSpPr>
      <xdr:spPr>
        <a:xfrm>
          <a:off x="6783294" y="23039294"/>
          <a:ext cx="2764118" cy="478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Son dos WACC porque</a:t>
          </a:r>
          <a:r>
            <a:rPr lang="es-GT" sz="1100" baseline="0"/>
            <a:t> tengo un punto de ruptura</a:t>
          </a:r>
        </a:p>
        <a:p>
          <a:endParaRPr lang="es-GT" sz="1100"/>
        </a:p>
      </xdr:txBody>
    </xdr:sp>
    <xdr:clientData/>
  </xdr:twoCellAnchor>
  <xdr:twoCellAnchor>
    <xdr:from>
      <xdr:col>10</xdr:col>
      <xdr:colOff>205439</xdr:colOff>
      <xdr:row>22</xdr:row>
      <xdr:rowOff>122518</xdr:rowOff>
    </xdr:from>
    <xdr:to>
      <xdr:col>16</xdr:col>
      <xdr:colOff>448235</xdr:colOff>
      <xdr:row>47</xdr:row>
      <xdr:rowOff>7471</xdr:rowOff>
    </xdr:to>
    <xdr:graphicFrame macro="">
      <xdr:nvGraphicFramePr>
        <xdr:cNvPr id="10" name="Gráfico 9">
          <a:extLst>
            <a:ext uri="{FF2B5EF4-FFF2-40B4-BE49-F238E27FC236}">
              <a16:creationId xmlns:a16="http://schemas.microsoft.com/office/drawing/2014/main" id="{B3CF7CF5-7A1D-03C6-ECFA-1388119604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590176</xdr:colOff>
      <xdr:row>26</xdr:row>
      <xdr:rowOff>14940</xdr:rowOff>
    </xdr:from>
    <xdr:to>
      <xdr:col>19</xdr:col>
      <xdr:colOff>67235</xdr:colOff>
      <xdr:row>35</xdr:row>
      <xdr:rowOff>59764</xdr:rowOff>
    </xdr:to>
    <xdr:sp macro="" textlink="">
      <xdr:nvSpPr>
        <xdr:cNvPr id="11" name="CuadroTexto 10">
          <a:extLst>
            <a:ext uri="{FF2B5EF4-FFF2-40B4-BE49-F238E27FC236}">
              <a16:creationId xmlns:a16="http://schemas.microsoft.com/office/drawing/2014/main" id="{56AA1535-F10A-0EFE-3CF9-A2669C27A341}"/>
            </a:ext>
          </a:extLst>
        </xdr:cNvPr>
        <xdr:cNvSpPr txBox="1"/>
      </xdr:nvSpPr>
      <xdr:spPr>
        <a:xfrm>
          <a:off x="19685000" y="4990352"/>
          <a:ext cx="2644588" cy="1658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a:t>Basado en el POI y la TMAR vigente de la empresa para intervalo de financiamiento</a:t>
          </a:r>
          <a:r>
            <a:rPr lang="es-GT" sz="1100" baseline="0"/>
            <a:t>, se recomienda abrir las tiendas en los siguientes departamentos: Escuintla, Antigua y Quetzaltenango (porque TIR&gt; TMAR). </a:t>
          </a:r>
        </a:p>
        <a:p>
          <a:r>
            <a:rPr lang="es-GT" sz="1100" baseline="0"/>
            <a:t>No se recomienda la opción de Zacapa (porque TIR &lt; TMAR)</a:t>
          </a:r>
          <a:endParaRPr lang="es-GT"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0.13066</cdr:x>
      <cdr:y>0.19603</cdr:y>
    </cdr:from>
    <cdr:to>
      <cdr:x>0.2645</cdr:x>
      <cdr:y>0.2559</cdr:y>
    </cdr:to>
    <cdr:sp macro="" textlink="">
      <cdr:nvSpPr>
        <cdr:cNvPr id="2" name="CuadroTexto 1">
          <a:extLst xmlns:a="http://schemas.openxmlformats.org/drawingml/2006/main">
            <a:ext uri="{FF2B5EF4-FFF2-40B4-BE49-F238E27FC236}">
              <a16:creationId xmlns:a16="http://schemas.microsoft.com/office/drawing/2014/main" id="{006FAC9C-C471-F87E-CAB2-3EFD6BF09173}"/>
            </a:ext>
          </a:extLst>
        </cdr:cNvPr>
        <cdr:cNvSpPr txBox="1"/>
      </cdr:nvSpPr>
      <cdr:spPr>
        <a:xfrm xmlns:a="http://schemas.openxmlformats.org/drawingml/2006/main">
          <a:off x="765737" y="856128"/>
          <a:ext cx="784412" cy="261471"/>
        </a:xfrm>
        <a:prstGeom xmlns:a="http://schemas.openxmlformats.org/drawingml/2006/main" prst="rect">
          <a:avLst/>
        </a:prstGeom>
        <a:solidFill xmlns:a="http://schemas.openxmlformats.org/drawingml/2006/main">
          <a:srgbClr val="0070C0"/>
        </a:solidFill>
      </cdr:spPr>
      <cdr:txBody>
        <a:bodyPr xmlns:a="http://schemas.openxmlformats.org/drawingml/2006/main" vertOverflow="clip" wrap="square" rtlCol="0"/>
        <a:lstStyle xmlns:a="http://schemas.openxmlformats.org/drawingml/2006/main"/>
        <a:p xmlns:a="http://schemas.openxmlformats.org/drawingml/2006/main">
          <a:r>
            <a:rPr lang="es-GT" sz="1100" b="1">
              <a:solidFill>
                <a:schemeClr val="bg1"/>
              </a:solidFill>
            </a:rPr>
            <a:t>OPCIÓN 1</a:t>
          </a:r>
        </a:p>
      </cdr:txBody>
    </cdr:sp>
  </cdr:relSizeAnchor>
  <cdr:relSizeAnchor xmlns:cdr="http://schemas.openxmlformats.org/drawingml/2006/chartDrawing">
    <cdr:from>
      <cdr:x>0.28145</cdr:x>
      <cdr:y>0.30072</cdr:y>
    </cdr:from>
    <cdr:to>
      <cdr:x>0.4153</cdr:x>
      <cdr:y>0.36059</cdr:y>
    </cdr:to>
    <cdr:sp macro="" textlink="">
      <cdr:nvSpPr>
        <cdr:cNvPr id="3" name="CuadroTexto 1">
          <a:extLst xmlns:a="http://schemas.openxmlformats.org/drawingml/2006/main">
            <a:ext uri="{FF2B5EF4-FFF2-40B4-BE49-F238E27FC236}">
              <a16:creationId xmlns:a16="http://schemas.microsoft.com/office/drawing/2014/main" id="{B94543C1-6310-CE15-858F-EE65B0BF982D}"/>
            </a:ext>
          </a:extLst>
        </cdr:cNvPr>
        <cdr:cNvSpPr txBox="1"/>
      </cdr:nvSpPr>
      <cdr:spPr>
        <a:xfrm xmlns:a="http://schemas.openxmlformats.org/drawingml/2006/main">
          <a:off x="1649505" y="1313329"/>
          <a:ext cx="784412" cy="261471"/>
        </a:xfrm>
        <a:prstGeom xmlns:a="http://schemas.openxmlformats.org/drawingml/2006/main" prst="rect">
          <a:avLst/>
        </a:prstGeom>
        <a:solidFill xmlns:a="http://schemas.openxmlformats.org/drawingml/2006/main">
          <a:srgbClr val="0070C0"/>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GT" sz="1100" b="1">
              <a:solidFill>
                <a:schemeClr val="bg1"/>
              </a:solidFill>
            </a:rPr>
            <a:t>OPCIÓN 2</a:t>
          </a:r>
        </a:p>
      </cdr:txBody>
    </cdr:sp>
  </cdr:relSizeAnchor>
  <cdr:relSizeAnchor xmlns:cdr="http://schemas.openxmlformats.org/drawingml/2006/chartDrawing">
    <cdr:from>
      <cdr:x>0.45864</cdr:x>
      <cdr:y>0.35717</cdr:y>
    </cdr:from>
    <cdr:to>
      <cdr:x>0.59248</cdr:x>
      <cdr:y>0.41704</cdr:y>
    </cdr:to>
    <cdr:sp macro="" textlink="">
      <cdr:nvSpPr>
        <cdr:cNvPr id="4" name="CuadroTexto 1">
          <a:extLst xmlns:a="http://schemas.openxmlformats.org/drawingml/2006/main">
            <a:ext uri="{FF2B5EF4-FFF2-40B4-BE49-F238E27FC236}">
              <a16:creationId xmlns:a16="http://schemas.microsoft.com/office/drawing/2014/main" id="{7503D266-71A1-ABC3-A6E3-A66A3149D3DF}"/>
            </a:ext>
          </a:extLst>
        </cdr:cNvPr>
        <cdr:cNvSpPr txBox="1"/>
      </cdr:nvSpPr>
      <cdr:spPr>
        <a:xfrm xmlns:a="http://schemas.openxmlformats.org/drawingml/2006/main">
          <a:off x="2687918" y="1559858"/>
          <a:ext cx="784412" cy="261471"/>
        </a:xfrm>
        <a:prstGeom xmlns:a="http://schemas.openxmlformats.org/drawingml/2006/main" prst="rect">
          <a:avLst/>
        </a:prstGeom>
        <a:solidFill xmlns:a="http://schemas.openxmlformats.org/drawingml/2006/main">
          <a:srgbClr val="0070C0"/>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GT" sz="1100" b="1">
              <a:solidFill>
                <a:schemeClr val="bg1"/>
              </a:solidFill>
            </a:rPr>
            <a:t>OPCIÓN 3</a:t>
          </a:r>
        </a:p>
      </cdr:txBody>
    </cdr:sp>
  </cdr:relSizeAnchor>
  <cdr:relSizeAnchor xmlns:cdr="http://schemas.openxmlformats.org/drawingml/2006/chartDrawing">
    <cdr:from>
      <cdr:x>0.69573</cdr:x>
      <cdr:y>0.63599</cdr:y>
    </cdr:from>
    <cdr:to>
      <cdr:x>0.82957</cdr:x>
      <cdr:y>0.69586</cdr:y>
    </cdr:to>
    <cdr:sp macro="" textlink="">
      <cdr:nvSpPr>
        <cdr:cNvPr id="5" name="CuadroTexto 1">
          <a:extLst xmlns:a="http://schemas.openxmlformats.org/drawingml/2006/main">
            <a:ext uri="{FF2B5EF4-FFF2-40B4-BE49-F238E27FC236}">
              <a16:creationId xmlns:a16="http://schemas.microsoft.com/office/drawing/2014/main" id="{D94FE5D1-1B7F-9CF6-8649-48DF05E4D833}"/>
            </a:ext>
          </a:extLst>
        </cdr:cNvPr>
        <cdr:cNvSpPr txBox="1"/>
      </cdr:nvSpPr>
      <cdr:spPr>
        <a:xfrm xmlns:a="http://schemas.openxmlformats.org/drawingml/2006/main">
          <a:off x="4077447" y="2777565"/>
          <a:ext cx="784412" cy="261471"/>
        </a:xfrm>
        <a:prstGeom xmlns:a="http://schemas.openxmlformats.org/drawingml/2006/main" prst="rect">
          <a:avLst/>
        </a:prstGeom>
        <a:solidFill xmlns:a="http://schemas.openxmlformats.org/drawingml/2006/main">
          <a:srgbClr val="FF0000"/>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GT" sz="1100" b="1">
              <a:solidFill>
                <a:schemeClr val="bg1"/>
              </a:solidFill>
            </a:rPr>
            <a:t>OPCIÓN 4</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45720</xdr:colOff>
      <xdr:row>27</xdr:row>
      <xdr:rowOff>128913</xdr:rowOff>
    </xdr:to>
    <xdr:pic>
      <xdr:nvPicPr>
        <xdr:cNvPr id="2" name="Imagen 1">
          <a:extLst>
            <a:ext uri="{FF2B5EF4-FFF2-40B4-BE49-F238E27FC236}">
              <a16:creationId xmlns:a16="http://schemas.microsoft.com/office/drawing/2014/main" id="{0501AF82-6832-AF96-0D10-BA6C3522839C}"/>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colorTemperature colorTemp="4700"/>
                  </a14:imgEffect>
                </a14:imgLayer>
              </a14:imgProps>
            </a:ext>
          </a:extLst>
        </a:blip>
        <a:stretch>
          <a:fillRect/>
        </a:stretch>
      </xdr:blipFill>
      <xdr:spPr>
        <a:xfrm>
          <a:off x="0" y="0"/>
          <a:ext cx="5593080" cy="5066673"/>
        </a:xfrm>
        <a:prstGeom prst="rect">
          <a:avLst/>
        </a:prstGeom>
      </xdr:spPr>
    </xdr:pic>
    <xdr:clientData/>
  </xdr:twoCellAnchor>
  <xdr:twoCellAnchor editAs="oneCell">
    <xdr:from>
      <xdr:col>7</xdr:col>
      <xdr:colOff>106680</xdr:colOff>
      <xdr:row>0</xdr:row>
      <xdr:rowOff>83820</xdr:rowOff>
    </xdr:from>
    <xdr:to>
      <xdr:col>17</xdr:col>
      <xdr:colOff>23142</xdr:colOff>
      <xdr:row>27</xdr:row>
      <xdr:rowOff>53340</xdr:rowOff>
    </xdr:to>
    <xdr:pic>
      <xdr:nvPicPr>
        <xdr:cNvPr id="3" name="Imagen 2">
          <a:extLst>
            <a:ext uri="{FF2B5EF4-FFF2-40B4-BE49-F238E27FC236}">
              <a16:creationId xmlns:a16="http://schemas.microsoft.com/office/drawing/2014/main" id="{C0659813-D6B9-AD2C-E3B3-D316309C5346}"/>
            </a:ext>
          </a:extLst>
        </xdr:cNvPr>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colorTemperature colorTemp="4700"/>
                  </a14:imgEffect>
                </a14:imgLayer>
              </a14:imgProps>
            </a:ext>
          </a:extLst>
        </a:blip>
        <a:stretch>
          <a:fillRect/>
        </a:stretch>
      </xdr:blipFill>
      <xdr:spPr>
        <a:xfrm>
          <a:off x="5654040" y="83820"/>
          <a:ext cx="7841262" cy="490728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658F-178F-458F-B962-C5EE2A43F8F9}">
  <sheetPr>
    <pageSetUpPr fitToPage="1"/>
  </sheetPr>
  <dimension ref="A6:M124"/>
  <sheetViews>
    <sheetView tabSelected="1" topLeftCell="A92" zoomScale="102" zoomScaleNormal="102" workbookViewId="0">
      <selection activeCell="B117" sqref="B117"/>
    </sheetView>
  </sheetViews>
  <sheetFormatPr baseColWidth="10" defaultRowHeight="14.4" x14ac:dyDescent="0.3"/>
  <cols>
    <col min="1" max="1" width="50.6640625" customWidth="1"/>
    <col min="2" max="2" width="32.33203125" customWidth="1"/>
    <col min="3" max="3" width="13" bestFit="1" customWidth="1"/>
    <col min="4" max="4" width="16.21875" bestFit="1" customWidth="1"/>
    <col min="5" max="5" width="20.6640625" customWidth="1"/>
    <col min="6" max="6" width="14.77734375" customWidth="1"/>
    <col min="7" max="7" width="20.6640625" customWidth="1"/>
    <col min="9" max="9" width="14.5546875" customWidth="1"/>
    <col min="10" max="10" width="13.5546875" bestFit="1" customWidth="1"/>
    <col min="11" max="11" width="14.5546875" bestFit="1" customWidth="1"/>
    <col min="12" max="12" width="19.21875" bestFit="1" customWidth="1"/>
    <col min="13" max="13" width="13.5546875" bestFit="1" customWidth="1"/>
  </cols>
  <sheetData>
    <row r="6" spans="1:13" ht="15" thickBot="1" x14ac:dyDescent="0.35"/>
    <row r="7" spans="1:13" ht="18.75" customHeight="1" thickBot="1" x14ac:dyDescent="0.35">
      <c r="A7" s="21" t="s">
        <v>0</v>
      </c>
      <c r="B7" s="22">
        <v>300</v>
      </c>
      <c r="D7" s="1" t="s">
        <v>1</v>
      </c>
      <c r="E7" s="2" t="s">
        <v>2</v>
      </c>
      <c r="F7" s="2" t="s">
        <v>3</v>
      </c>
      <c r="G7" s="2" t="s">
        <v>4</v>
      </c>
      <c r="I7" s="60" t="s">
        <v>109</v>
      </c>
      <c r="J7" s="61">
        <v>1</v>
      </c>
      <c r="K7" s="61">
        <v>2</v>
      </c>
      <c r="L7" s="61">
        <v>3</v>
      </c>
      <c r="M7" s="61">
        <v>4</v>
      </c>
    </row>
    <row r="8" spans="1:13" ht="15" thickBot="1" x14ac:dyDescent="0.35">
      <c r="A8" s="23" t="s">
        <v>5</v>
      </c>
      <c r="B8" s="24">
        <v>600</v>
      </c>
      <c r="D8" s="3">
        <v>1</v>
      </c>
      <c r="E8" s="4" t="s">
        <v>6</v>
      </c>
      <c r="F8" s="5">
        <v>150000</v>
      </c>
      <c r="G8" s="5">
        <v>72250</v>
      </c>
      <c r="I8" s="59">
        <v>0</v>
      </c>
      <c r="J8" s="62" cm="1">
        <f t="array" ref="J8:M8">TRANSPOSE(-F8:F11)</f>
        <v>-150000</v>
      </c>
      <c r="K8" s="62">
        <v>-175000</v>
      </c>
      <c r="L8" s="62">
        <v>-200000</v>
      </c>
      <c r="M8" s="62">
        <v>-300000</v>
      </c>
    </row>
    <row r="9" spans="1:13" ht="15" thickBot="1" x14ac:dyDescent="0.35">
      <c r="A9" s="23" t="s">
        <v>7</v>
      </c>
      <c r="B9" s="24" t="s">
        <v>8</v>
      </c>
      <c r="D9" s="3">
        <v>2</v>
      </c>
      <c r="E9" s="4" t="s">
        <v>9</v>
      </c>
      <c r="F9" s="5">
        <v>175000</v>
      </c>
      <c r="G9" s="5">
        <v>75000</v>
      </c>
      <c r="I9" s="59">
        <v>1</v>
      </c>
      <c r="J9" s="62" cm="1">
        <f t="array" ref="J9:M9">TRANSPOSE($G$8:$G$11)</f>
        <v>72250</v>
      </c>
      <c r="K9" s="62">
        <v>75000</v>
      </c>
      <c r="L9" s="62">
        <v>79250</v>
      </c>
      <c r="M9" s="62">
        <v>81000</v>
      </c>
    </row>
    <row r="10" spans="1:13" ht="16.5" customHeight="1" thickBot="1" x14ac:dyDescent="0.35">
      <c r="A10" s="23" t="s">
        <v>10</v>
      </c>
      <c r="B10" s="24" t="s">
        <v>11</v>
      </c>
      <c r="D10" s="3">
        <v>3</v>
      </c>
      <c r="E10" s="4" t="s">
        <v>12</v>
      </c>
      <c r="F10" s="5">
        <v>200000</v>
      </c>
      <c r="G10" s="5">
        <v>79250</v>
      </c>
      <c r="I10" s="59">
        <v>2</v>
      </c>
      <c r="J10" s="62" cm="1">
        <f t="array" ref="J10:M10">TRANSPOSE($G$8:$G$11)</f>
        <v>72250</v>
      </c>
      <c r="K10" s="62">
        <v>75000</v>
      </c>
      <c r="L10" s="62">
        <v>79250</v>
      </c>
      <c r="M10" s="62">
        <v>81000</v>
      </c>
    </row>
    <row r="11" spans="1:13" ht="15" thickBot="1" x14ac:dyDescent="0.35">
      <c r="A11" s="23" t="s">
        <v>13</v>
      </c>
      <c r="B11" s="25">
        <v>10000</v>
      </c>
      <c r="D11" s="3">
        <v>4</v>
      </c>
      <c r="E11" s="4" t="s">
        <v>14</v>
      </c>
      <c r="F11" s="5">
        <v>300000</v>
      </c>
      <c r="G11" s="5">
        <v>81000</v>
      </c>
      <c r="I11" s="59">
        <v>3</v>
      </c>
      <c r="J11" s="62" cm="1">
        <f t="array" ref="J11:M11">TRANSPOSE($G$8:$G$11)</f>
        <v>72250</v>
      </c>
      <c r="K11" s="62">
        <v>75000</v>
      </c>
      <c r="L11" s="62">
        <v>79250</v>
      </c>
      <c r="M11" s="62">
        <v>81000</v>
      </c>
    </row>
    <row r="12" spans="1:13" ht="15" thickBot="1" x14ac:dyDescent="0.35">
      <c r="A12" s="23" t="s">
        <v>15</v>
      </c>
      <c r="B12" s="25">
        <v>5000</v>
      </c>
      <c r="D12" s="6"/>
      <c r="E12" s="7"/>
      <c r="F12" s="8"/>
      <c r="G12" s="8"/>
      <c r="I12" s="59">
        <v>4</v>
      </c>
      <c r="J12" s="62" cm="1">
        <f t="array" ref="J12:M12">TRANSPOSE($G$8:$G$11)</f>
        <v>72250</v>
      </c>
      <c r="K12" s="62">
        <v>75000</v>
      </c>
      <c r="L12" s="62">
        <v>79250</v>
      </c>
      <c r="M12" s="62">
        <v>81000</v>
      </c>
    </row>
    <row r="13" spans="1:13" ht="15" thickBot="1" x14ac:dyDescent="0.35">
      <c r="A13" s="26" t="s">
        <v>16</v>
      </c>
      <c r="B13" s="27" t="s">
        <v>17</v>
      </c>
      <c r="E13" s="10"/>
      <c r="F13" s="11"/>
      <c r="G13" s="11"/>
      <c r="I13" s="59">
        <v>5</v>
      </c>
      <c r="J13" s="65" cm="1">
        <f t="array" ref="J13:M13">TRANSPOSE($G$8:$G$11)</f>
        <v>72250</v>
      </c>
      <c r="K13" s="65">
        <v>75000</v>
      </c>
      <c r="L13" s="65">
        <v>79250</v>
      </c>
      <c r="M13" s="65">
        <v>81000</v>
      </c>
    </row>
    <row r="14" spans="1:13" ht="15" thickBot="1" x14ac:dyDescent="0.35">
      <c r="A14" s="26" t="s">
        <v>18</v>
      </c>
      <c r="B14" s="27" t="s">
        <v>19</v>
      </c>
      <c r="E14" s="7"/>
      <c r="F14" s="12"/>
      <c r="G14" s="13"/>
      <c r="I14" s="11" t="s">
        <v>108</v>
      </c>
      <c r="J14" s="64">
        <f>IRR(J8:J13)</f>
        <v>0.38825524639108</v>
      </c>
      <c r="K14" s="64">
        <f t="shared" ref="K14:M14" si="0">IRR(K8:K13)</f>
        <v>0.32272532658880682</v>
      </c>
      <c r="L14" s="64">
        <f t="shared" si="0"/>
        <v>0.28167984493873965</v>
      </c>
      <c r="M14" s="64">
        <f t="shared" si="0"/>
        <v>0.10916174523423483</v>
      </c>
    </row>
    <row r="15" spans="1:13" ht="15" thickBot="1" x14ac:dyDescent="0.35">
      <c r="A15" s="32" t="s">
        <v>20</v>
      </c>
      <c r="B15" s="33" t="s">
        <v>21</v>
      </c>
      <c r="F15" s="12"/>
      <c r="G15" s="13"/>
      <c r="I15" s="11" t="s">
        <v>118</v>
      </c>
      <c r="J15" s="72">
        <f>NPV($F$119,J9:J13)+J8</f>
        <v>46178.68058812659</v>
      </c>
      <c r="K15" s="72">
        <f>NPV(F119,K9:K13)+K8</f>
        <v>28645.689191826939</v>
      </c>
      <c r="L15" s="72">
        <f>NPV($F$122,L9:L13)+L8</f>
        <v>10239.738380352763</v>
      </c>
      <c r="M15" s="72">
        <f>NPV($F$122,M9:M13)+M8</f>
        <v>-85117.743737431301</v>
      </c>
    </row>
    <row r="16" spans="1:13" ht="15" thickBot="1" x14ac:dyDescent="0.35">
      <c r="A16" s="32" t="s">
        <v>22</v>
      </c>
      <c r="B16" s="34">
        <v>45</v>
      </c>
      <c r="F16" s="12"/>
      <c r="G16" s="13"/>
      <c r="I16" s="67" t="s">
        <v>107</v>
      </c>
      <c r="J16" s="67"/>
      <c r="K16" s="67"/>
      <c r="L16" s="67"/>
    </row>
    <row r="17" spans="1:12" ht="15" thickBot="1" x14ac:dyDescent="0.35">
      <c r="A17" s="28" t="s">
        <v>23</v>
      </c>
      <c r="B17" s="29" t="s">
        <v>24</v>
      </c>
      <c r="E17" s="9"/>
      <c r="F17" s="14"/>
      <c r="G17" s="15"/>
      <c r="I17" s="66" t="s">
        <v>110</v>
      </c>
      <c r="J17" s="66" t="s">
        <v>108</v>
      </c>
      <c r="K17" s="66" t="s">
        <v>111</v>
      </c>
      <c r="L17" s="70" t="s">
        <v>112</v>
      </c>
    </row>
    <row r="18" spans="1:12" ht="15" thickBot="1" x14ac:dyDescent="0.35">
      <c r="A18" s="28" t="s">
        <v>25</v>
      </c>
      <c r="B18" s="31">
        <v>0.25</v>
      </c>
      <c r="I18" s="59" cm="1">
        <f t="array" ref="I18:I21">TRANSPOSE(J7:M7)</f>
        <v>1</v>
      </c>
      <c r="J18" s="68" cm="1">
        <f t="array" ref="J18:J21">TRANSPOSE(J14:M14)</f>
        <v>0.38825524639108</v>
      </c>
      <c r="K18" s="69">
        <f>F8</f>
        <v>150000</v>
      </c>
      <c r="L18" s="69">
        <f>K18</f>
        <v>150000</v>
      </c>
    </row>
    <row r="19" spans="1:12" ht="15" thickBot="1" x14ac:dyDescent="0.35">
      <c r="A19" s="28" t="s">
        <v>26</v>
      </c>
      <c r="B19" s="30">
        <v>28</v>
      </c>
      <c r="I19" s="59">
        <v>2</v>
      </c>
      <c r="J19" s="68">
        <v>0.32272532658880682</v>
      </c>
      <c r="K19" s="69">
        <f t="shared" ref="K19:K21" si="1">F9</f>
        <v>175000</v>
      </c>
      <c r="L19" s="69">
        <f>K19+L18</f>
        <v>325000</v>
      </c>
    </row>
    <row r="20" spans="1:12" ht="15" thickBot="1" x14ac:dyDescent="0.35">
      <c r="A20" s="28" t="s">
        <v>27</v>
      </c>
      <c r="B20" s="29" t="s">
        <v>28</v>
      </c>
      <c r="I20" s="59">
        <v>3</v>
      </c>
      <c r="J20" s="68">
        <v>0.28167984493873965</v>
      </c>
      <c r="K20" s="69">
        <f t="shared" si="1"/>
        <v>200000</v>
      </c>
      <c r="L20" s="69">
        <f t="shared" ref="L20:L21" si="2">K20+L19</f>
        <v>525000</v>
      </c>
    </row>
    <row r="21" spans="1:12" ht="15" thickBot="1" x14ac:dyDescent="0.35">
      <c r="A21" s="32" t="s">
        <v>29</v>
      </c>
      <c r="B21" s="34">
        <v>125000</v>
      </c>
      <c r="I21" s="59">
        <v>4</v>
      </c>
      <c r="J21" s="68">
        <v>0.10916174523423483</v>
      </c>
      <c r="K21" s="69">
        <f t="shared" si="1"/>
        <v>300000</v>
      </c>
      <c r="L21" s="69">
        <f t="shared" si="2"/>
        <v>825000</v>
      </c>
    </row>
    <row r="22" spans="1:12" ht="15" thickBot="1" x14ac:dyDescent="0.35">
      <c r="A22" s="32" t="s">
        <v>30</v>
      </c>
      <c r="B22" s="33" t="s">
        <v>31</v>
      </c>
    </row>
    <row r="23" spans="1:12" x14ac:dyDescent="0.3">
      <c r="I23" t="s">
        <v>113</v>
      </c>
    </row>
    <row r="24" spans="1:12" x14ac:dyDescent="0.3">
      <c r="I24" s="66" t="s">
        <v>114</v>
      </c>
      <c r="J24" s="66" t="s">
        <v>115</v>
      </c>
    </row>
    <row r="25" spans="1:12" x14ac:dyDescent="0.3">
      <c r="I25" s="71">
        <v>0</v>
      </c>
      <c r="J25" s="63">
        <f>J18</f>
        <v>0.38825524639108</v>
      </c>
    </row>
    <row r="26" spans="1:12" x14ac:dyDescent="0.3">
      <c r="I26" s="71">
        <f>L18</f>
        <v>150000</v>
      </c>
      <c r="J26" s="63">
        <f>J18</f>
        <v>0.38825524639108</v>
      </c>
    </row>
    <row r="27" spans="1:12" x14ac:dyDescent="0.3">
      <c r="I27" s="71">
        <f>K18</f>
        <v>150000</v>
      </c>
      <c r="J27" s="63">
        <f>J19</f>
        <v>0.32272532658880682</v>
      </c>
    </row>
    <row r="28" spans="1:12" x14ac:dyDescent="0.3">
      <c r="I28" s="71">
        <f>L19</f>
        <v>325000</v>
      </c>
      <c r="J28" s="63">
        <f>J19</f>
        <v>0.32272532658880682</v>
      </c>
    </row>
    <row r="29" spans="1:12" x14ac:dyDescent="0.3">
      <c r="I29" s="71">
        <f>L19</f>
        <v>325000</v>
      </c>
      <c r="J29" s="63">
        <f>J20</f>
        <v>0.28167984493873965</v>
      </c>
    </row>
    <row r="30" spans="1:12" x14ac:dyDescent="0.3">
      <c r="I30" s="71">
        <f>L20</f>
        <v>525000</v>
      </c>
      <c r="J30" s="63">
        <f>J20</f>
        <v>0.28167984493873965</v>
      </c>
    </row>
    <row r="31" spans="1:12" x14ac:dyDescent="0.3">
      <c r="A31" s="35" t="s">
        <v>34</v>
      </c>
      <c r="I31" s="71">
        <f>L20</f>
        <v>525000</v>
      </c>
      <c r="J31" s="63">
        <f>J21</f>
        <v>0.10916174523423483</v>
      </c>
    </row>
    <row r="32" spans="1:12" x14ac:dyDescent="0.3">
      <c r="A32" s="9"/>
      <c r="I32" s="71">
        <f>L21</f>
        <v>825000</v>
      </c>
      <c r="J32" s="63">
        <f>J21</f>
        <v>0.10916174523423483</v>
      </c>
    </row>
    <row r="33" spans="1:10" x14ac:dyDescent="0.3">
      <c r="A33" s="9" t="s">
        <v>35</v>
      </c>
    </row>
    <row r="34" spans="1:10" x14ac:dyDescent="0.3">
      <c r="A34" t="s">
        <v>36</v>
      </c>
    </row>
    <row r="35" spans="1:10" x14ac:dyDescent="0.3">
      <c r="A35" t="s">
        <v>37</v>
      </c>
    </row>
    <row r="36" spans="1:10" x14ac:dyDescent="0.3">
      <c r="A36" t="s">
        <v>38</v>
      </c>
    </row>
    <row r="38" spans="1:10" x14ac:dyDescent="0.3">
      <c r="A38" t="s">
        <v>39</v>
      </c>
      <c r="B38" s="36">
        <v>180000</v>
      </c>
    </row>
    <row r="39" spans="1:10" x14ac:dyDescent="0.3">
      <c r="A39" t="s">
        <v>40</v>
      </c>
    </row>
    <row r="40" spans="1:10" x14ac:dyDescent="0.3">
      <c r="A40" s="38" t="s">
        <v>41</v>
      </c>
      <c r="B40" s="39">
        <f>75*B8</f>
        <v>45000</v>
      </c>
    </row>
    <row r="41" spans="1:10" x14ac:dyDescent="0.3">
      <c r="A41" s="38" t="s">
        <v>42</v>
      </c>
      <c r="B41" s="39">
        <f>50*B8</f>
        <v>30000</v>
      </c>
    </row>
    <row r="42" spans="1:10" x14ac:dyDescent="0.3">
      <c r="A42" s="38" t="s">
        <v>43</v>
      </c>
      <c r="B42" s="40">
        <f>B11</f>
        <v>10000</v>
      </c>
      <c r="I42" t="s">
        <v>117</v>
      </c>
    </row>
    <row r="43" spans="1:10" x14ac:dyDescent="0.3">
      <c r="A43" s="17" t="s">
        <v>44</v>
      </c>
      <c r="B43" s="37">
        <f>B38-SUM(B40:B42)</f>
        <v>95000</v>
      </c>
      <c r="I43" t="s">
        <v>114</v>
      </c>
      <c r="J43" t="s">
        <v>115</v>
      </c>
    </row>
    <row r="44" spans="1:10" x14ac:dyDescent="0.3">
      <c r="A44" t="s">
        <v>45</v>
      </c>
      <c r="I44" s="71">
        <v>0</v>
      </c>
      <c r="J44" s="63">
        <f>$F$119</f>
        <v>0.24532352941176469</v>
      </c>
    </row>
    <row r="45" spans="1:10" x14ac:dyDescent="0.3">
      <c r="A45" s="38" t="s">
        <v>15</v>
      </c>
      <c r="B45" s="42">
        <f>B12</f>
        <v>5000</v>
      </c>
      <c r="I45" s="71">
        <f>$B$116</f>
        <v>403920</v>
      </c>
      <c r="J45" s="63">
        <f>$F$119</f>
        <v>0.24532352941176469</v>
      </c>
    </row>
    <row r="46" spans="1:10" x14ac:dyDescent="0.3">
      <c r="A46" s="17" t="s">
        <v>46</v>
      </c>
      <c r="B46" s="37">
        <f>B43-B45</f>
        <v>90000</v>
      </c>
      <c r="I46" s="71">
        <f>$B$116</f>
        <v>403920</v>
      </c>
      <c r="J46" s="63">
        <f>$F$122</f>
        <v>0.25667926063706115</v>
      </c>
    </row>
    <row r="47" spans="1:10" x14ac:dyDescent="0.3">
      <c r="A47" t="s">
        <v>47</v>
      </c>
      <c r="B47" s="42">
        <f>0.1*120000</f>
        <v>12000</v>
      </c>
      <c r="I47" s="71">
        <f>I32</f>
        <v>825000</v>
      </c>
      <c r="J47" s="63">
        <f>$F$122</f>
        <v>0.25667926063706115</v>
      </c>
    </row>
    <row r="48" spans="1:10" x14ac:dyDescent="0.3">
      <c r="A48" s="17" t="s">
        <v>48</v>
      </c>
      <c r="B48" s="37">
        <f>B46-B47</f>
        <v>78000</v>
      </c>
    </row>
    <row r="49" spans="1:5" x14ac:dyDescent="0.3">
      <c r="A49" s="9" t="s">
        <v>49</v>
      </c>
      <c r="B49" s="37">
        <f>B48*0.25</f>
        <v>19500</v>
      </c>
    </row>
    <row r="50" spans="1:5" x14ac:dyDescent="0.3">
      <c r="A50" s="41" t="s">
        <v>50</v>
      </c>
      <c r="B50" s="43">
        <f>B48-B49</f>
        <v>58500</v>
      </c>
    </row>
    <row r="51" spans="1:5" x14ac:dyDescent="0.3">
      <c r="A51" t="s">
        <v>63</v>
      </c>
      <c r="B51" s="37">
        <f>B61</f>
        <v>11700</v>
      </c>
      <c r="C51" s="17"/>
      <c r="D51" s="18" t="s">
        <v>56</v>
      </c>
      <c r="E51" t="s">
        <v>57</v>
      </c>
    </row>
    <row r="52" spans="1:5" x14ac:dyDescent="0.3">
      <c r="A52" s="17" t="s">
        <v>64</v>
      </c>
      <c r="B52" s="37">
        <f>B50-B51</f>
        <v>46800</v>
      </c>
      <c r="D52" t="s">
        <v>58</v>
      </c>
      <c r="E52" t="s">
        <v>59</v>
      </c>
    </row>
    <row r="53" spans="1:5" x14ac:dyDescent="0.3">
      <c r="D53" t="s">
        <v>61</v>
      </c>
    </row>
    <row r="54" spans="1:5" x14ac:dyDescent="0.3">
      <c r="A54" s="16" t="s">
        <v>53</v>
      </c>
    </row>
    <row r="55" spans="1:5" x14ac:dyDescent="0.3">
      <c r="A55" t="s">
        <v>52</v>
      </c>
      <c r="C55" s="17"/>
      <c r="D55" s="18"/>
    </row>
    <row r="56" spans="1:5" x14ac:dyDescent="0.3">
      <c r="A56" t="s">
        <v>38</v>
      </c>
    </row>
    <row r="57" spans="1:5" x14ac:dyDescent="0.3">
      <c r="A57" s="16"/>
    </row>
    <row r="58" spans="1:5" x14ac:dyDescent="0.3">
      <c r="A58" t="s">
        <v>51</v>
      </c>
      <c r="B58" s="36">
        <f>B21</f>
        <v>125000</v>
      </c>
    </row>
    <row r="59" spans="1:5" x14ac:dyDescent="0.3">
      <c r="A59" t="s">
        <v>54</v>
      </c>
      <c r="B59" s="44">
        <f>B50</f>
        <v>58500</v>
      </c>
    </row>
    <row r="60" spans="1:5" x14ac:dyDescent="0.3">
      <c r="A60" t="s">
        <v>55</v>
      </c>
      <c r="B60" s="19">
        <f>B58+B59</f>
        <v>183500</v>
      </c>
    </row>
    <row r="61" spans="1:5" x14ac:dyDescent="0.3">
      <c r="A61" t="s">
        <v>60</v>
      </c>
      <c r="B61" s="42">
        <f>45*20%*1300</f>
        <v>11700</v>
      </c>
    </row>
    <row r="62" spans="1:5" x14ac:dyDescent="0.3">
      <c r="A62" t="s">
        <v>62</v>
      </c>
      <c r="B62" s="19">
        <f>B60-B61</f>
        <v>171800</v>
      </c>
    </row>
    <row r="63" spans="1:5" x14ac:dyDescent="0.3">
      <c r="A63" t="s">
        <v>65</v>
      </c>
      <c r="B63" s="44">
        <f>B52*0.35</f>
        <v>16379.999999999998</v>
      </c>
    </row>
    <row r="64" spans="1:5" ht="15" thickBot="1" x14ac:dyDescent="0.35">
      <c r="A64" t="s">
        <v>66</v>
      </c>
      <c r="B64" s="45">
        <f>B62-B63</f>
        <v>155420</v>
      </c>
    </row>
    <row r="65" spans="1:4" ht="15" thickTop="1" x14ac:dyDescent="0.3"/>
    <row r="66" spans="1:4" x14ac:dyDescent="0.3">
      <c r="A66" s="16" t="s">
        <v>67</v>
      </c>
      <c r="B66" t="s">
        <v>72</v>
      </c>
      <c r="C66" t="s">
        <v>73</v>
      </c>
    </row>
    <row r="67" spans="1:4" x14ac:dyDescent="0.3">
      <c r="A67" t="s">
        <v>69</v>
      </c>
      <c r="B67" s="19">
        <f>B64</f>
        <v>155420</v>
      </c>
      <c r="C67" s="17">
        <f>B67/$B$71</f>
        <v>0.38477916419092889</v>
      </c>
      <c r="D67" s="18"/>
    </row>
    <row r="68" spans="1:4" x14ac:dyDescent="0.3">
      <c r="A68" t="s">
        <v>68</v>
      </c>
      <c r="B68" s="36">
        <f>B19*2500</f>
        <v>70000</v>
      </c>
      <c r="C68" s="17">
        <f t="shared" ref="C68:C70" si="3">B68/$B$71</f>
        <v>0.17330164388987918</v>
      </c>
    </row>
    <row r="69" spans="1:4" x14ac:dyDescent="0.3">
      <c r="A69" t="s">
        <v>70</v>
      </c>
      <c r="B69" s="19">
        <f>B16*1300</f>
        <v>58500</v>
      </c>
      <c r="C69" s="17">
        <f t="shared" si="3"/>
        <v>0.14483065953654189</v>
      </c>
    </row>
    <row r="70" spans="1:4" x14ac:dyDescent="0.3">
      <c r="A70" t="s">
        <v>71</v>
      </c>
      <c r="B70" s="44">
        <v>120000</v>
      </c>
      <c r="C70" s="46">
        <f t="shared" si="3"/>
        <v>0.29708853238265004</v>
      </c>
    </row>
    <row r="71" spans="1:4" x14ac:dyDescent="0.3">
      <c r="B71" s="19">
        <f>SUM(B67:B70)</f>
        <v>403920</v>
      </c>
      <c r="C71" s="17">
        <f>SUM(C67:C70)</f>
        <v>1</v>
      </c>
    </row>
    <row r="73" spans="1:4" x14ac:dyDescent="0.3">
      <c r="A73" s="48" t="s">
        <v>74</v>
      </c>
    </row>
    <row r="76" spans="1:4" x14ac:dyDescent="0.3">
      <c r="C76" s="17"/>
      <c r="D76" s="18"/>
    </row>
    <row r="79" spans="1:4" x14ac:dyDescent="0.3">
      <c r="A79" t="s">
        <v>75</v>
      </c>
      <c r="B79" s="19">
        <f>B63/2500</f>
        <v>6.5519999999999996</v>
      </c>
      <c r="C79" t="s">
        <v>78</v>
      </c>
    </row>
    <row r="80" spans="1:4" x14ac:dyDescent="0.3">
      <c r="A80" t="s">
        <v>76</v>
      </c>
      <c r="B80" s="36">
        <v>28</v>
      </c>
      <c r="C80" t="s">
        <v>78</v>
      </c>
    </row>
    <row r="81" spans="1:3" x14ac:dyDescent="0.3">
      <c r="A81" t="s">
        <v>77</v>
      </c>
      <c r="B81" s="20">
        <v>0.06</v>
      </c>
    </row>
    <row r="83" spans="1:3" x14ac:dyDescent="0.3">
      <c r="B83" t="s">
        <v>79</v>
      </c>
      <c r="C83" s="47">
        <f>B79/B80+B81</f>
        <v>0.29399999999999998</v>
      </c>
    </row>
    <row r="84" spans="1:3" x14ac:dyDescent="0.3">
      <c r="C84" t="s">
        <v>81</v>
      </c>
    </row>
    <row r="85" spans="1:3" x14ac:dyDescent="0.3">
      <c r="A85" s="48" t="s">
        <v>80</v>
      </c>
    </row>
    <row r="90" spans="1:3" x14ac:dyDescent="0.3">
      <c r="A90" t="s">
        <v>82</v>
      </c>
    </row>
    <row r="91" spans="1:3" ht="28.8" x14ac:dyDescent="0.3">
      <c r="A91" s="6" t="s">
        <v>83</v>
      </c>
      <c r="B91" s="50">
        <f>28-8%*28</f>
        <v>25.759999999999998</v>
      </c>
    </row>
    <row r="92" spans="1:3" x14ac:dyDescent="0.3">
      <c r="A92" s="51"/>
      <c r="B92" s="51"/>
    </row>
    <row r="93" spans="1:3" x14ac:dyDescent="0.3">
      <c r="A93" s="17" t="s">
        <v>84</v>
      </c>
      <c r="B93" s="47">
        <f>B79/B91+B81</f>
        <v>0.31434782608695655</v>
      </c>
    </row>
    <row r="95" spans="1:3" x14ac:dyDescent="0.3">
      <c r="A95" s="48" t="s">
        <v>85</v>
      </c>
    </row>
    <row r="100" spans="1:3" x14ac:dyDescent="0.3">
      <c r="A100" t="s">
        <v>86</v>
      </c>
      <c r="B100" s="37">
        <f>B51/1300</f>
        <v>9</v>
      </c>
    </row>
    <row r="101" spans="1:3" ht="28.8" x14ac:dyDescent="0.3">
      <c r="A101" s="49" t="s">
        <v>88</v>
      </c>
      <c r="B101" s="36">
        <v>45</v>
      </c>
    </row>
    <row r="103" spans="1:3" x14ac:dyDescent="0.3">
      <c r="A103" s="17" t="s">
        <v>87</v>
      </c>
      <c r="B103" s="52">
        <f>B100/B101</f>
        <v>0.2</v>
      </c>
    </row>
    <row r="105" spans="1:3" x14ac:dyDescent="0.3">
      <c r="A105" s="48" t="s">
        <v>89</v>
      </c>
      <c r="B105" s="17" t="s">
        <v>90</v>
      </c>
      <c r="C105" s="20">
        <v>0.1</v>
      </c>
    </row>
    <row r="106" spans="1:3" x14ac:dyDescent="0.3">
      <c r="A106" t="s">
        <v>92</v>
      </c>
      <c r="B106" s="17" t="s">
        <v>91</v>
      </c>
      <c r="C106" s="53">
        <f>C105*(1-0.25)</f>
        <v>7.5000000000000011E-2</v>
      </c>
    </row>
    <row r="109" spans="1:3" x14ac:dyDescent="0.3">
      <c r="A109" t="s">
        <v>93</v>
      </c>
    </row>
    <row r="111" spans="1:3" x14ac:dyDescent="0.3">
      <c r="A111" s="54" t="s">
        <v>94</v>
      </c>
    </row>
    <row r="116" spans="1:6" x14ac:dyDescent="0.3">
      <c r="A116" t="s">
        <v>95</v>
      </c>
      <c r="B116" s="19">
        <f>B67/C67</f>
        <v>403920</v>
      </c>
      <c r="C116" t="s">
        <v>96</v>
      </c>
    </row>
    <row r="118" spans="1:6" x14ac:dyDescent="0.3">
      <c r="A118" t="s">
        <v>97</v>
      </c>
      <c r="B118" t="s">
        <v>99</v>
      </c>
      <c r="C118" t="s">
        <v>100</v>
      </c>
      <c r="D118" t="s">
        <v>101</v>
      </c>
      <c r="E118" t="s">
        <v>102</v>
      </c>
      <c r="F118" s="56" t="s">
        <v>116</v>
      </c>
    </row>
    <row r="119" spans="1:6" x14ac:dyDescent="0.3">
      <c r="A119" s="55" t="s">
        <v>98</v>
      </c>
      <c r="B119" s="55" t="s">
        <v>103</v>
      </c>
      <c r="C119" s="74">
        <f>$C$67+$C$68</f>
        <v>0.55808080808080807</v>
      </c>
      <c r="D119" s="58">
        <f>C83</f>
        <v>0.29399999999999998</v>
      </c>
      <c r="E119" s="73">
        <f>SUMPRODUCT(C119:C121,D119:D121)</f>
        <v>0.21532352941176469</v>
      </c>
      <c r="F119" s="47">
        <f>E119+3%</f>
        <v>0.24532352941176469</v>
      </c>
    </row>
    <row r="120" spans="1:6" x14ac:dyDescent="0.3">
      <c r="B120" t="s">
        <v>104</v>
      </c>
      <c r="C120">
        <f>$C$69</f>
        <v>0.14483065953654189</v>
      </c>
      <c r="D120" s="20">
        <f>B103</f>
        <v>0.2</v>
      </c>
    </row>
    <row r="121" spans="1:6" x14ac:dyDescent="0.3">
      <c r="A121" s="56"/>
      <c r="B121" s="56" t="s">
        <v>105</v>
      </c>
      <c r="C121" s="56">
        <f>$C$70</f>
        <v>0.29708853238265004</v>
      </c>
      <c r="D121" s="57">
        <f>C106</f>
        <v>7.5000000000000011E-2</v>
      </c>
      <c r="E121" s="56"/>
      <c r="F121" s="56"/>
    </row>
    <row r="122" spans="1:6" x14ac:dyDescent="0.3">
      <c r="A122" t="s">
        <v>106</v>
      </c>
      <c r="B122" t="s">
        <v>103</v>
      </c>
      <c r="C122" s="74">
        <f>$C$67+$C$68</f>
        <v>0.55808080808080807</v>
      </c>
      <c r="D122" s="47">
        <f>B93</f>
        <v>0.31434782608695655</v>
      </c>
      <c r="E122" s="73">
        <f>SUMPRODUCT(C122:C124,D122:D124)</f>
        <v>0.22667926063706115</v>
      </c>
      <c r="F122" s="63">
        <f>E122+3%</f>
        <v>0.25667926063706115</v>
      </c>
    </row>
    <row r="123" spans="1:6" x14ac:dyDescent="0.3">
      <c r="B123" t="s">
        <v>104</v>
      </c>
      <c r="C123">
        <f>$C$69</f>
        <v>0.14483065953654189</v>
      </c>
      <c r="D123" s="20">
        <f>B103</f>
        <v>0.2</v>
      </c>
    </row>
    <row r="124" spans="1:6" x14ac:dyDescent="0.3">
      <c r="A124" s="56"/>
      <c r="B124" s="56" t="s">
        <v>105</v>
      </c>
      <c r="C124" s="56">
        <f>$C$70</f>
        <v>0.29708853238265004</v>
      </c>
      <c r="D124" s="57">
        <f>C106</f>
        <v>7.5000000000000011E-2</v>
      </c>
      <c r="E124" s="56"/>
      <c r="F124" s="56"/>
    </row>
  </sheetData>
  <mergeCells count="1">
    <mergeCell ref="I16:L16"/>
  </mergeCells>
  <pageMargins left="0.25" right="0.25" top="0.75" bottom="0.75" header="0.3" footer="0.3"/>
  <pageSetup scale="79"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77D3E-59A0-41D4-A342-1ABF1D0BD400}">
  <dimension ref="A29:A30"/>
  <sheetViews>
    <sheetView workbookViewId="0">
      <selection activeCell="H30" sqref="H30"/>
    </sheetView>
  </sheetViews>
  <sheetFormatPr baseColWidth="10" defaultRowHeight="14.4" x14ac:dyDescent="0.3"/>
  <sheetData>
    <row r="29" spans="1:1" x14ac:dyDescent="0.3">
      <c r="A29" s="9" t="s">
        <v>32</v>
      </c>
    </row>
    <row r="30" spans="1:1" x14ac:dyDescent="0.3">
      <c r="A30" s="9"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ENCABEZADO</vt:lpstr>
      <vt:lpstr>FORMULARIO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Brazil Batres</cp:lastModifiedBy>
  <dcterms:created xsi:type="dcterms:W3CDTF">2022-04-02T01:27:58Z</dcterms:created>
  <dcterms:modified xsi:type="dcterms:W3CDTF">2023-03-24T01:17:40Z</dcterms:modified>
</cp:coreProperties>
</file>