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2\"/>
    </mc:Choice>
  </mc:AlternateContent>
  <xr:revisionPtr revIDLastSave="0" documentId="8_{77CA9547-7D55-4D43-A52D-3F497DA7FC31}" xr6:coauthVersionLast="47" xr6:coauthVersionMax="47" xr10:uidLastSave="{00000000-0000-0000-0000-000000000000}"/>
  <bookViews>
    <workbookView xWindow="-108" yWindow="-108" windowWidth="23256" windowHeight="12456" activeTab="1" xr2:uid="{02BBF4BC-1CBB-4A4D-AA6B-5F33D95EE43E}"/>
  </bookViews>
  <sheets>
    <sheet name="Concentrados Nacionales" sheetId="2" r:id="rId1"/>
    <sheet name="Integrantes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2" l="1"/>
  <c r="D68" i="2"/>
  <c r="C68" i="2"/>
  <c r="E68" i="2" l="1"/>
  <c r="B68" i="2"/>
  <c r="F67" i="2" l="1"/>
  <c r="A100" i="2"/>
  <c r="B99" i="2"/>
  <c r="B100" i="2"/>
  <c r="A96" i="2"/>
  <c r="B67" i="2"/>
  <c r="K32" i="2"/>
  <c r="K24" i="2"/>
  <c r="G27" i="2"/>
  <c r="A99" i="2" l="1"/>
  <c r="A97" i="2"/>
  <c r="D73" i="2"/>
  <c r="D74" i="2" s="1"/>
  <c r="D72" i="2"/>
  <c r="A82" i="2" s="1"/>
  <c r="A83" i="2" s="1"/>
  <c r="E67" i="2"/>
  <c r="B72" i="2" s="1"/>
  <c r="B81" i="2" s="1"/>
  <c r="B82" i="2" s="1"/>
  <c r="D67" i="2"/>
  <c r="B76" i="2" s="1"/>
  <c r="C67" i="2"/>
  <c r="B73" i="2" s="1"/>
  <c r="B83" i="2" s="1"/>
  <c r="B84" i="2" s="1"/>
  <c r="B74" i="2"/>
  <c r="B85" i="2" s="1"/>
  <c r="B86" i="2" s="1"/>
  <c r="F56" i="2"/>
  <c r="B75" i="2" s="1"/>
  <c r="K51" i="2"/>
  <c r="D45" i="2" s="1"/>
  <c r="D48" i="2"/>
  <c r="K46" i="2"/>
  <c r="D42" i="2"/>
  <c r="K41" i="2"/>
  <c r="D39" i="2"/>
  <c r="B34" i="2"/>
  <c r="K20" i="2"/>
  <c r="H20" i="2"/>
  <c r="H25" i="2" s="1"/>
  <c r="K19" i="2"/>
  <c r="H14" i="2"/>
  <c r="H15" i="2" s="1"/>
  <c r="H11" i="2"/>
  <c r="C11" i="2"/>
  <c r="C12" i="2" s="1"/>
  <c r="C14" i="2" s="1"/>
  <c r="K8" i="2"/>
  <c r="B88" i="2" l="1"/>
  <c r="B87" i="2"/>
  <c r="B89" i="2"/>
  <c r="B90" i="2"/>
  <c r="A86" i="2"/>
  <c r="A87" i="2" s="1"/>
  <c r="D75" i="2"/>
  <c r="C15" i="2"/>
  <c r="C16" i="2" s="1"/>
  <c r="A84" i="2"/>
  <c r="A85" i="2" s="1"/>
  <c r="B33" i="2"/>
  <c r="K9" i="2" l="1"/>
  <c r="K10" i="2" s="1"/>
  <c r="K12" i="2" s="1"/>
  <c r="K13" i="2"/>
  <c r="K23" i="2" s="1"/>
  <c r="A88" i="2"/>
  <c r="A89" i="2" s="1"/>
  <c r="D76" i="2"/>
  <c r="A90" i="2" s="1"/>
  <c r="K31" i="2" l="1"/>
  <c r="K35" i="2" s="1"/>
  <c r="D49" i="2" s="1"/>
  <c r="K27" i="2"/>
  <c r="D40" i="2" s="1"/>
  <c r="K14" i="2"/>
  <c r="K18" i="2" s="1"/>
  <c r="K21" i="2" l="1"/>
  <c r="L18" i="2"/>
  <c r="D46" i="2"/>
  <c r="D43" i="2"/>
  <c r="L20" i="2" l="1"/>
  <c r="L19" i="2"/>
  <c r="C33" i="2" l="1"/>
  <c r="D33" i="2" s="1"/>
  <c r="C40" i="2"/>
  <c r="C43" i="2" s="1"/>
  <c r="C46" i="2" s="1"/>
  <c r="C49" i="2" s="1"/>
  <c r="C34" i="2"/>
  <c r="C39" i="2"/>
  <c r="L21" i="2"/>
  <c r="C42" i="2" l="1"/>
  <c r="E39" i="2"/>
  <c r="B95" i="2" s="1"/>
  <c r="B96" i="2" s="1"/>
  <c r="D34" i="2"/>
  <c r="C35" i="2"/>
  <c r="D35" i="2" s="1"/>
  <c r="C45" i="2" l="1"/>
  <c r="E42" i="2"/>
  <c r="B97" i="2" s="1"/>
  <c r="B98" i="2" s="1"/>
  <c r="C48" i="2" l="1"/>
  <c r="E48" i="2" s="1"/>
  <c r="E45" i="2"/>
</calcChain>
</file>

<file path=xl/sharedStrings.xml><?xml version="1.0" encoding="utf-8"?>
<sst xmlns="http://schemas.openxmlformats.org/spreadsheetml/2006/main" count="126" uniqueCount="99">
  <si>
    <t>Estado de Resultados</t>
  </si>
  <si>
    <t>Balance General</t>
  </si>
  <si>
    <t>Estado de Utilidades Retenidas</t>
  </si>
  <si>
    <t>Compañía de Concentrados Nacionales</t>
  </si>
  <si>
    <t>Del 01 de enero al 31 de diciembre del 2022</t>
  </si>
  <si>
    <t>Al 31 de diciembre del 2022</t>
  </si>
  <si>
    <t>Expresados en Quetzales</t>
  </si>
  <si>
    <t>Ventas</t>
  </si>
  <si>
    <t>ACTIVOS</t>
  </si>
  <si>
    <t>Costo de bienes vendidos</t>
  </si>
  <si>
    <t>Efectivo</t>
  </si>
  <si>
    <t>Saldo de utilidades retenidas al inicio del período</t>
  </si>
  <si>
    <t>(+) Otros Gastos</t>
  </si>
  <si>
    <t>Cuentas por cobrar</t>
  </si>
  <si>
    <t>(+) Utilidad del Período</t>
  </si>
  <si>
    <t>(+) Depreciación</t>
  </si>
  <si>
    <t>Inventarios</t>
  </si>
  <si>
    <t>Utilidad disponible para acciones comunes y preferentes</t>
  </si>
  <si>
    <t>Total de Costos Operativos</t>
  </si>
  <si>
    <t>Total de Activo Circulante</t>
  </si>
  <si>
    <t>(-) Dividiendos Preferentes</t>
  </si>
  <si>
    <t>UAII</t>
  </si>
  <si>
    <t>Activos Fijos Brutos</t>
  </si>
  <si>
    <t>Utilidad disponible para acciones comunes</t>
  </si>
  <si>
    <t>Gastos por intereses</t>
  </si>
  <si>
    <t>Depreciación Acumulada</t>
  </si>
  <si>
    <t>(-) Dividendos comunes</t>
  </si>
  <si>
    <t>UAI</t>
  </si>
  <si>
    <t>Activos Fijos Netos</t>
  </si>
  <si>
    <t>Saldo de utilidades retenidas al final del Período</t>
  </si>
  <si>
    <t>Impuestos</t>
  </si>
  <si>
    <t xml:space="preserve">Total de Activos </t>
  </si>
  <si>
    <t>Utilidad Neta</t>
  </si>
  <si>
    <t>PASIVOS Y CAPITAL CONTABLE</t>
  </si>
  <si>
    <t>Fuentes de Financiamiento</t>
  </si>
  <si>
    <t>Proveedores</t>
  </si>
  <si>
    <t>Utilidades Retenidas al final del período</t>
  </si>
  <si>
    <t>Pasivos acumulados</t>
  </si>
  <si>
    <t>Capital Común</t>
  </si>
  <si>
    <t>Proyecto</t>
  </si>
  <si>
    <t>Costo</t>
  </si>
  <si>
    <t>FNE anuales</t>
  </si>
  <si>
    <t>Vida de Proyecto (años)</t>
  </si>
  <si>
    <t>Total Pasivo Circulante</t>
  </si>
  <si>
    <t>Prestamos Bancarios</t>
  </si>
  <si>
    <t>Deuda a Largo Plazo</t>
  </si>
  <si>
    <t>Documentos por Pagar a Largo Plazo</t>
  </si>
  <si>
    <t>Costo de las acciones comunes actuales</t>
  </si>
  <si>
    <t>Capital Común (200000 Acciones)</t>
  </si>
  <si>
    <t>D1</t>
  </si>
  <si>
    <t>Utilidades Retenidas</t>
  </si>
  <si>
    <t>P0</t>
  </si>
  <si>
    <t>Total de Pasivos + Capital C.</t>
  </si>
  <si>
    <t>g</t>
  </si>
  <si>
    <t xml:space="preserve">Ks = Kr = </t>
  </si>
  <si>
    <t>Costo de las acciones comunes nuevas</t>
  </si>
  <si>
    <t>Puntos de Ruptura</t>
  </si>
  <si>
    <t>Peso</t>
  </si>
  <si>
    <t>Nn</t>
  </si>
  <si>
    <t>Acciones comunes</t>
  </si>
  <si>
    <t>G</t>
  </si>
  <si>
    <t>Presetamos a largo plazo</t>
  </si>
  <si>
    <t>Kn</t>
  </si>
  <si>
    <t>intervalos del nuevo financiamiento</t>
  </si>
  <si>
    <t>wi</t>
  </si>
  <si>
    <t>ki</t>
  </si>
  <si>
    <t>WACC (CCPP -&gt; EN ESPAÑOL)</t>
  </si>
  <si>
    <t>Costo de Prestamo bancario (0-540000)</t>
  </si>
  <si>
    <t>Préstamo Bancario</t>
  </si>
  <si>
    <t>kd</t>
  </si>
  <si>
    <t>Tasa de impuestos</t>
  </si>
  <si>
    <t> </t>
  </si>
  <si>
    <t>Ki (costo de la deuda después de impuestos)</t>
  </si>
  <si>
    <t>Costo de Prestamo bancario (540000,01-900000,00)</t>
  </si>
  <si>
    <t>11311100,00 en adelante</t>
  </si>
  <si>
    <t>Costo de Prestamo bancario (900000,01 en adelante)</t>
  </si>
  <si>
    <t>Años</t>
  </si>
  <si>
    <t>Proyectos</t>
  </si>
  <si>
    <t>TIR</t>
  </si>
  <si>
    <t>Programa de Oportunidades de inversión (POI)</t>
  </si>
  <si>
    <t>INVERSIÓN INICIAL</t>
  </si>
  <si>
    <t>INVERSIÓN ACUMULADA</t>
  </si>
  <si>
    <t>Tabla con coordenadas</t>
  </si>
  <si>
    <t>X</t>
  </si>
  <si>
    <t>Y</t>
  </si>
  <si>
    <t>Tabla con la TMAR</t>
  </si>
  <si>
    <t>Datos Generales</t>
  </si>
  <si>
    <t>Precio Actual de la acción común</t>
  </si>
  <si>
    <t>Costo de flotación</t>
  </si>
  <si>
    <t>VPN</t>
  </si>
  <si>
    <t>Valor nominal de la acción común</t>
  </si>
  <si>
    <t>0  - 1,268,798.40</t>
  </si>
  <si>
    <t>1,268,798.40 - 2,714,664.00</t>
  </si>
  <si>
    <t>2,714,664.00 - 11,311,100.00</t>
  </si>
  <si>
    <t>JOSÉ ALEJANDRO MONTENEGRO MONZÓN</t>
  </si>
  <si>
    <t>NOMBRE</t>
  </si>
  <si>
    <t>CARNET</t>
  </si>
  <si>
    <t>BRAZIL ABRAHAM BATRES CRUZ</t>
  </si>
  <si>
    <t>JOCELYN ABIGAIL DE LEÓN ARDÓN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</si>
</sst>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Q&quot;#,##0;[Red]\-&quot;Q&quot;#,##0"/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6" formatCode="_-[$Q-100A]* #,##0.00_-;\-[$Q-100A]* #,##0.00_-;_-[$Q-10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</font>
    <font>
      <sz val="9"/>
      <color theme="1"/>
      <name val="Verdana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70C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4" fontId="0" fillId="0" borderId="0" xfId="1" applyNumberFormat="1" applyFont="1"/>
    <xf numFmtId="44" fontId="0" fillId="0" borderId="0" xfId="1" applyNumberFormat="1" applyFont="1" applyBorder="1"/>
    <xf numFmtId="44" fontId="0" fillId="0" borderId="1" xfId="1" applyNumberFormat="1" applyFont="1" applyBorder="1"/>
    <xf numFmtId="44" fontId="0" fillId="0" borderId="1" xfId="1" applyNumberFormat="1" applyFont="1" applyBorder="1" applyAlignment="1">
      <alignment horizontal="right"/>
    </xf>
    <xf numFmtId="44" fontId="0" fillId="0" borderId="2" xfId="1" applyNumberFormat="1" applyFont="1" applyBorder="1" applyAlignment="1">
      <alignment horizontal="center"/>
    </xf>
    <xf numFmtId="44" fontId="2" fillId="0" borderId="2" xfId="1" applyNumberFormat="1" applyFont="1" applyBorder="1" applyAlignment="1">
      <alignment horizontal="center"/>
    </xf>
    <xf numFmtId="44" fontId="0" fillId="0" borderId="0" xfId="1" applyNumberFormat="1" applyFont="1" applyAlignment="1">
      <alignment horizontal="center"/>
    </xf>
    <xf numFmtId="44" fontId="0" fillId="0" borderId="1" xfId="1" applyNumberFormat="1" applyFont="1" applyBorder="1" applyAlignment="1">
      <alignment horizontal="center"/>
    </xf>
    <xf numFmtId="0" fontId="5" fillId="0" borderId="0" xfId="0" applyFont="1"/>
    <xf numFmtId="44" fontId="0" fillId="0" borderId="0" xfId="0" applyNumberFormat="1"/>
    <xf numFmtId="0" fontId="6" fillId="0" borderId="8" xfId="0" applyFont="1" applyBorder="1"/>
    <xf numFmtId="0" fontId="6" fillId="0" borderId="7" xfId="0" applyFont="1" applyBorder="1"/>
    <xf numFmtId="0" fontId="6" fillId="0" borderId="0" xfId="0" applyFont="1"/>
    <xf numFmtId="44" fontId="0" fillId="0" borderId="1" xfId="0" applyNumberFormat="1" applyBorder="1"/>
    <xf numFmtId="44" fontId="0" fillId="0" borderId="2" xfId="0" applyNumberFormat="1" applyBorder="1"/>
    <xf numFmtId="4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 applyAlignment="1">
      <alignment horizontal="center"/>
    </xf>
    <xf numFmtId="43" fontId="0" fillId="0" borderId="0" xfId="0" applyNumberFormat="1"/>
    <xf numFmtId="10" fontId="0" fillId="0" borderId="0" xfId="0" applyNumberFormat="1" applyAlignment="1">
      <alignment horizontal="right"/>
    </xf>
    <xf numFmtId="0" fontId="5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43" fontId="0" fillId="0" borderId="0" xfId="0" applyNumberFormat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3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7" fillId="0" borderId="9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 vertical="center"/>
    </xf>
    <xf numFmtId="10" fontId="7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4" fontId="0" fillId="0" borderId="11" xfId="0" applyNumberFormat="1" applyBorder="1"/>
    <xf numFmtId="10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44" fontId="0" fillId="0" borderId="12" xfId="0" applyNumberFormat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6" fontId="0" fillId="0" borderId="0" xfId="1" applyNumberFormat="1" applyFont="1"/>
    <xf numFmtId="166" fontId="9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PROGRAMA</a:t>
            </a:r>
            <a:r>
              <a:rPr lang="en-US" baseline="0"/>
              <a:t> DE OPORTUNIDADES DE INVERSIÓN (POI)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'Concentrados Nacionales'!$A$81:$A$90</c:f>
              <c:numCache>
                <c:formatCode>_("Q"* #,##0.00_);_("Q"* \(#,##0.00\);_("Q"* "-"??_);_(@_)</c:formatCode>
                <c:ptCount val="10"/>
                <c:pt idx="0">
                  <c:v>0</c:v>
                </c:pt>
                <c:pt idx="1">
                  <c:v>562500</c:v>
                </c:pt>
                <c:pt idx="2">
                  <c:v>562500</c:v>
                </c:pt>
                <c:pt idx="3">
                  <c:v>1462500</c:v>
                </c:pt>
                <c:pt idx="4">
                  <c:v>1462500</c:v>
                </c:pt>
                <c:pt idx="5">
                  <c:v>2137500</c:v>
                </c:pt>
                <c:pt idx="6">
                  <c:v>2137500</c:v>
                </c:pt>
                <c:pt idx="7">
                  <c:v>2837500</c:v>
                </c:pt>
                <c:pt idx="8">
                  <c:v>2837500</c:v>
                </c:pt>
                <c:pt idx="9">
                  <c:v>3212500</c:v>
                </c:pt>
              </c:numCache>
            </c:numRef>
          </c:xVal>
          <c:yVal>
            <c:numRef>
              <c:f>'Concentrados Nacionales'!$B$81:$B$90</c:f>
              <c:numCache>
                <c:formatCode>0.00%</c:formatCode>
                <c:ptCount val="10"/>
                <c:pt idx="0">
                  <c:v>0.3578783201212179</c:v>
                </c:pt>
                <c:pt idx="1">
                  <c:v>0.3578783201212179</c:v>
                </c:pt>
                <c:pt idx="2">
                  <c:v>0.29853102708644608</c:v>
                </c:pt>
                <c:pt idx="3">
                  <c:v>0.29853102708644608</c:v>
                </c:pt>
                <c:pt idx="4">
                  <c:v>0.25478051126350865</c:v>
                </c:pt>
                <c:pt idx="5">
                  <c:v>0.25478051126350865</c:v>
                </c:pt>
                <c:pt idx="6">
                  <c:v>0.23529636793408693</c:v>
                </c:pt>
                <c:pt idx="7">
                  <c:v>0.23529636793408693</c:v>
                </c:pt>
                <c:pt idx="8">
                  <c:v>0.13999887412162848</c:v>
                </c:pt>
                <c:pt idx="9">
                  <c:v>0.13999887412162848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B-4AE8-BE81-63498384355D}"/>
            </c:ext>
          </c:extLst>
        </c:ser>
        <c:ser>
          <c:idx val="1"/>
          <c:order val="1"/>
          <c:tx>
            <c:v>TMAR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'Concentrados Nacionales'!$A$95:$A$102</c:f>
              <c:numCache>
                <c:formatCode>_("Q"* #,##0.00_);_("Q"* \(#,##0.00\);_("Q"* "-"??_);_(@_)</c:formatCode>
                <c:ptCount val="8"/>
                <c:pt idx="0" formatCode="_-[$Q-100A]* #,##0.00_-;\-[$Q-100A]* #,##0.00_-;_-[$Q-100A]* &quot;-&quot;??_-;_-@_-">
                  <c:v>0</c:v>
                </c:pt>
                <c:pt idx="1">
                  <c:v>1628798.4000000001</c:v>
                </c:pt>
                <c:pt idx="2">
                  <c:v>1628798.4000000001</c:v>
                </c:pt>
                <c:pt idx="3">
                  <c:v>2714664</c:v>
                </c:pt>
                <c:pt idx="4">
                  <c:v>2714664</c:v>
                </c:pt>
                <c:pt idx="5">
                  <c:v>3212500</c:v>
                </c:pt>
              </c:numCache>
            </c:numRef>
          </c:xVal>
          <c:yVal>
            <c:numRef>
              <c:f>'Concentrados Nacionales'!$B$95:$B$102</c:f>
              <c:numCache>
                <c:formatCode>0.00%</c:formatCode>
                <c:ptCount val="8"/>
                <c:pt idx="0">
                  <c:v>0.1119536448997964</c:v>
                </c:pt>
                <c:pt idx="1">
                  <c:v>0.1119536448997964</c:v>
                </c:pt>
                <c:pt idx="2">
                  <c:v>0.11120769622990576</c:v>
                </c:pt>
                <c:pt idx="3">
                  <c:v>0.11120769622990576</c:v>
                </c:pt>
                <c:pt idx="4">
                  <c:v>0.1159320378058798</c:v>
                </c:pt>
                <c:pt idx="5">
                  <c:v>0.1159320378058798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B-4AE8-BE81-63498384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65839"/>
        <c:axId val="1273045071"/>
      </c:scatterChart>
      <c:valAx>
        <c:axId val="163386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INVERSIÓN</a:t>
                </a:r>
                <a:r>
                  <a:rPr lang="en-US" baseline="0"/>
                  <a:t> ACUMULADA (EXPRESADA EN QUETZALES)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3045071"/>
        <c:crosses val="autoZero"/>
        <c:crossBetween val="midCat"/>
      </c:valAx>
      <c:valAx>
        <c:axId val="1273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TIR/TMAR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38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2</xdr:col>
      <xdr:colOff>137160</xdr:colOff>
      <xdr:row>30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A8B29E-F3C9-4398-A8F5-733FE1701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01590"/>
          <a:ext cx="4693920" cy="63817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21</xdr:row>
      <xdr:rowOff>28575</xdr:rowOff>
    </xdr:from>
    <xdr:to>
      <xdr:col>15</xdr:col>
      <xdr:colOff>464820</xdr:colOff>
      <xdr:row>24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ACA264-CA38-421B-8B45-D7B0DAC328CC}"/>
            </a:ext>
            <a:ext uri="{147F2762-F138-4A5C-976F-8EAC2B608ADB}">
              <a16:predDERef xmlns:a16="http://schemas.microsoft.com/office/drawing/2014/main" pred="{6D722934-6268-061E-0772-4049F49C9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3405" y="4006215"/>
          <a:ext cx="4699635" cy="56197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35</xdr:row>
      <xdr:rowOff>180975</xdr:rowOff>
    </xdr:from>
    <xdr:to>
      <xdr:col>15</xdr:col>
      <xdr:colOff>464820</xdr:colOff>
      <xdr:row>38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EEEC7F-7DD5-43B4-B156-525671753957}"/>
            </a:ext>
            <a:ext uri="{147F2762-F138-4A5C-976F-8EAC2B608ADB}">
              <a16:predDERef xmlns:a16="http://schemas.microsoft.com/office/drawing/2014/main" pred="{D38911D9-84F6-709C-6688-4CA8A18C6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3880" y="6825615"/>
          <a:ext cx="4709160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26</xdr:row>
      <xdr:rowOff>161925</xdr:rowOff>
    </xdr:from>
    <xdr:to>
      <xdr:col>5</xdr:col>
      <xdr:colOff>525780</xdr:colOff>
      <xdr:row>30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AAA84A-C560-4DD7-B15C-39D8053B719C}"/>
            </a:ext>
            <a:ext uri="{147F2762-F138-4A5C-976F-8EAC2B608ADB}">
              <a16:predDERef xmlns:a16="http://schemas.microsoft.com/office/drawing/2014/main" pred="{CBA7CE26-6C2A-396C-A4FB-1639C9B4C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8710" y="5092065"/>
          <a:ext cx="4674870" cy="628650"/>
        </a:xfrm>
        <a:prstGeom prst="rect">
          <a:avLst/>
        </a:prstGeom>
      </xdr:spPr>
    </xdr:pic>
    <xdr:clientData/>
  </xdr:twoCellAnchor>
  <xdr:twoCellAnchor>
    <xdr:from>
      <xdr:col>2</xdr:col>
      <xdr:colOff>243840</xdr:colOff>
      <xdr:row>77</xdr:row>
      <xdr:rowOff>179070</xdr:rowOff>
    </xdr:from>
    <xdr:to>
      <xdr:col>5</xdr:col>
      <xdr:colOff>1047750</xdr:colOff>
      <xdr:row>92</xdr:row>
      <xdr:rowOff>64770</xdr:rowOff>
    </xdr:to>
    <xdr:graphicFrame macro="">
      <xdr:nvGraphicFramePr>
        <xdr:cNvPr id="178" name="Gráfico 5">
          <a:extLst>
            <a:ext uri="{FF2B5EF4-FFF2-40B4-BE49-F238E27FC236}">
              <a16:creationId xmlns:a16="http://schemas.microsoft.com/office/drawing/2014/main" id="{5226631F-A074-32BF-5CD9-BE5021CF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1819275</xdr:colOff>
      <xdr:row>78</xdr:row>
      <xdr:rowOff>95250</xdr:rowOff>
    </xdr:from>
    <xdr:to>
      <xdr:col>9</xdr:col>
      <xdr:colOff>1333500</xdr:colOff>
      <xdr:row>89</xdr:row>
      <xdr:rowOff>9525</xdr:rowOff>
    </xdr:to>
    <xdr:sp macro="" textlink="">
      <xdr:nvSpPr>
        <xdr:cNvPr id="262" name="TextBox 12">
          <a:extLst>
            <a:ext uri="{FF2B5EF4-FFF2-40B4-BE49-F238E27FC236}">
              <a16:creationId xmlns:a16="http://schemas.microsoft.com/office/drawing/2014/main" id="{C5DD1496-6A43-1BD4-39CB-73C3B1ACF61C}"/>
            </a:ext>
          </a:extLst>
        </xdr:cNvPr>
        <xdr:cNvSpPr txBox="1"/>
      </xdr:nvSpPr>
      <xdr:spPr>
        <a:xfrm>
          <a:off x="10629900" y="15116175"/>
          <a:ext cx="512445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Basado</a:t>
          </a:r>
          <a:r>
            <a:rPr lang="en-US" sz="11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en el gráfico de POI para cada intervalo de financiamiento, se recomienda ejecutar cada uno de los cinco proyectos porque el valor del TIR &gt; TMAR. Además, utilizando el método de VPN, podemos confirmar que todos los proyectos son viables porque VPN &gt; 0.</a:t>
          </a:r>
        </a:p>
        <a:p>
          <a:endParaRPr lang="en-US" sz="1100" baseline="0">
            <a:solidFill>
              <a:schemeClr val="dk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Los 3 métodos de valuación fueron los siguientes: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* VPN &gt; 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* TIR &gt; TMAR</a:t>
          </a:r>
        </a:p>
        <a:p>
          <a:r>
            <a:rPr lang="en-US" sz="1100">
              <a:latin typeface="Century Gothic" panose="020B0502020202020204" pitchFamily="34" charset="0"/>
            </a:rPr>
            <a:t>*Gráfico de</a:t>
          </a:r>
          <a:r>
            <a:rPr lang="en-US" sz="1100" baseline="0">
              <a:latin typeface="Century Gothic" panose="020B0502020202020204" pitchFamily="34" charset="0"/>
            </a:rPr>
            <a:t> POI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1047750</xdr:colOff>
      <xdr:row>81</xdr:row>
      <xdr:rowOff>0</xdr:rowOff>
    </xdr:from>
    <xdr:to>
      <xdr:col>3</xdr:col>
      <xdr:colOff>514350</xdr:colOff>
      <xdr:row>82</xdr:row>
      <xdr:rowOff>47625</xdr:rowOff>
    </xdr:to>
    <xdr:sp macro="" textlink="">
      <xdr:nvSpPr>
        <xdr:cNvPr id="176" name="TextBox 13">
          <a:extLst>
            <a:ext uri="{FF2B5EF4-FFF2-40B4-BE49-F238E27FC236}">
              <a16:creationId xmlns:a16="http://schemas.microsoft.com/office/drawing/2014/main" id="{5587C7F5-7877-437A-8E3A-3753FB2CD6AD}"/>
            </a:ext>
          </a:extLst>
        </xdr:cNvPr>
        <xdr:cNvSpPr txBox="1"/>
      </xdr:nvSpPr>
      <xdr:spPr>
        <a:xfrm>
          <a:off x="5476875" y="15592425"/>
          <a:ext cx="590550" cy="2381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/>
              </a:solidFill>
            </a:rPr>
            <a:t>P4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742950</xdr:colOff>
      <xdr:row>82</xdr:row>
      <xdr:rowOff>57150</xdr:rowOff>
    </xdr:from>
    <xdr:to>
      <xdr:col>3</xdr:col>
      <xdr:colOff>1333500</xdr:colOff>
      <xdr:row>83</xdr:row>
      <xdr:rowOff>104775</xdr:rowOff>
    </xdr:to>
    <xdr:sp macro="" textlink="">
      <xdr:nvSpPr>
        <xdr:cNvPr id="177" name="TextBox 14">
          <a:extLst>
            <a:ext uri="{FF2B5EF4-FFF2-40B4-BE49-F238E27FC236}">
              <a16:creationId xmlns:a16="http://schemas.microsoft.com/office/drawing/2014/main" id="{F17A822C-D40F-4DC0-9E0A-3AD2E76823FE}"/>
            </a:ext>
          </a:extLst>
        </xdr:cNvPr>
        <xdr:cNvSpPr txBox="1"/>
      </xdr:nvSpPr>
      <xdr:spPr>
        <a:xfrm>
          <a:off x="6296025" y="15840075"/>
          <a:ext cx="590550" cy="2381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/>
              </a:solidFill>
            </a:rPr>
            <a:t>P2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962025</xdr:colOff>
      <xdr:row>83</xdr:row>
      <xdr:rowOff>95250</xdr:rowOff>
    </xdr:from>
    <xdr:to>
      <xdr:col>4</xdr:col>
      <xdr:colOff>1552575</xdr:colOff>
      <xdr:row>84</xdr:row>
      <xdr:rowOff>142875</xdr:rowOff>
    </xdr:to>
    <xdr:sp macro="" textlink="">
      <xdr:nvSpPr>
        <xdr:cNvPr id="179" name="TextBox 15">
          <a:extLst>
            <a:ext uri="{FF2B5EF4-FFF2-40B4-BE49-F238E27FC236}">
              <a16:creationId xmlns:a16="http://schemas.microsoft.com/office/drawing/2014/main" id="{8EA6139C-54BA-45C4-96CF-5154870EDA4E}"/>
            </a:ext>
          </a:extLst>
        </xdr:cNvPr>
        <xdr:cNvSpPr txBox="1"/>
      </xdr:nvSpPr>
      <xdr:spPr>
        <a:xfrm>
          <a:off x="7962900" y="16068675"/>
          <a:ext cx="590550" cy="2381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/>
              </a:solidFill>
            </a:rPr>
            <a:t>P5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1657350</xdr:colOff>
      <xdr:row>85</xdr:row>
      <xdr:rowOff>28575</xdr:rowOff>
    </xdr:from>
    <xdr:to>
      <xdr:col>5</xdr:col>
      <xdr:colOff>438150</xdr:colOff>
      <xdr:row>86</xdr:row>
      <xdr:rowOff>76200</xdr:rowOff>
    </xdr:to>
    <xdr:sp macro="" textlink="">
      <xdr:nvSpPr>
        <xdr:cNvPr id="180" name="TextBox 16">
          <a:extLst>
            <a:ext uri="{FF2B5EF4-FFF2-40B4-BE49-F238E27FC236}">
              <a16:creationId xmlns:a16="http://schemas.microsoft.com/office/drawing/2014/main" id="{631DFA7A-8DFE-4722-9917-18E858730445}"/>
            </a:ext>
          </a:extLst>
        </xdr:cNvPr>
        <xdr:cNvSpPr txBox="1"/>
      </xdr:nvSpPr>
      <xdr:spPr>
        <a:xfrm>
          <a:off x="8658225" y="16383000"/>
          <a:ext cx="590550" cy="2381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/>
              </a:solidFill>
            </a:rPr>
            <a:t>P3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0.48922</cdr:x>
      <cdr:y>0.35185</cdr:y>
    </cdr:from>
    <cdr:to>
      <cdr:x>0.60311</cdr:x>
      <cdr:y>0.43866</cdr:y>
    </cdr:to>
    <cdr:sp macro="" textlink="">
      <cdr:nvSpPr>
        <cdr:cNvPr id="2" name="TextBox 13">
          <a:extLst xmlns:a="http://schemas.openxmlformats.org/drawingml/2006/main">
            <a:ext uri="{FF2B5EF4-FFF2-40B4-BE49-F238E27FC236}">
              <a16:creationId xmlns:a16="http://schemas.microsoft.com/office/drawing/2014/main" id="{5587C7F5-7877-437A-8E3A-3753FB2CD6AD}"/>
            </a:ext>
          </a:extLst>
        </cdr:cNvPr>
        <cdr:cNvSpPr txBox="1"/>
      </cdr:nvSpPr>
      <cdr:spPr>
        <a:xfrm xmlns:a="http://schemas.openxmlformats.org/drawingml/2006/main">
          <a:off x="2536825" y="965200"/>
          <a:ext cx="590550" cy="23812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>
              <a:solidFill>
                <a:schemeClr val="bg1"/>
              </a:solidFill>
            </a:rPr>
            <a:t>P1</a:t>
          </a:r>
          <a:endParaRPr lang="en-US" sz="1100">
            <a:solidFill>
              <a:schemeClr val="bg1"/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BBC6-7784-42AF-9337-CA9CD0AA8BD4}">
  <dimension ref="A1:O101"/>
  <sheetViews>
    <sheetView workbookViewId="0">
      <selection activeCell="D7" sqref="D7"/>
    </sheetView>
  </sheetViews>
  <sheetFormatPr baseColWidth="10" defaultColWidth="11.44140625" defaultRowHeight="15" customHeight="1" x14ac:dyDescent="0.3"/>
  <cols>
    <col min="1" max="1" width="40.77734375" bestFit="1" customWidth="1"/>
    <col min="2" max="2" width="25.6640625" bestFit="1" customWidth="1"/>
    <col min="3" max="3" width="16.88671875" bestFit="1" customWidth="1"/>
    <col min="4" max="4" width="21.77734375" bestFit="1" customWidth="1"/>
    <col min="5" max="5" width="27.109375" bestFit="1" customWidth="1"/>
    <col min="6" max="6" width="41.109375" bestFit="1" customWidth="1"/>
    <col min="7" max="7" width="15.33203125" bestFit="1" customWidth="1"/>
    <col min="8" max="8" width="16.33203125" bestFit="1" customWidth="1"/>
    <col min="10" max="10" width="52.88671875" bestFit="1" customWidth="1"/>
    <col min="11" max="11" width="16.109375" bestFit="1" customWidth="1"/>
    <col min="14" max="14" width="28.109375" bestFit="1" customWidth="1"/>
  </cols>
  <sheetData>
    <row r="1" spans="1:15" ht="15" customHeight="1" x14ac:dyDescent="0.3">
      <c r="N1" t="s">
        <v>86</v>
      </c>
    </row>
    <row r="2" spans="1:15" ht="14.4" x14ac:dyDescent="0.3">
      <c r="A2" s="8" t="s">
        <v>0</v>
      </c>
      <c r="F2" s="8" t="s">
        <v>1</v>
      </c>
      <c r="J2" s="8" t="s">
        <v>2</v>
      </c>
      <c r="N2" t="s">
        <v>87</v>
      </c>
      <c r="O2" s="66">
        <v>22</v>
      </c>
    </row>
    <row r="3" spans="1:15" ht="14.4" x14ac:dyDescent="0.3">
      <c r="A3" s="8" t="s">
        <v>3</v>
      </c>
      <c r="F3" s="8" t="s">
        <v>3</v>
      </c>
      <c r="J3" s="8" t="s">
        <v>3</v>
      </c>
      <c r="N3" t="s">
        <v>88</v>
      </c>
      <c r="O3" s="33">
        <v>0.1</v>
      </c>
    </row>
    <row r="4" spans="1:15" ht="14.4" x14ac:dyDescent="0.3">
      <c r="A4" s="8" t="s">
        <v>4</v>
      </c>
      <c r="F4" s="8" t="s">
        <v>5</v>
      </c>
      <c r="J4" s="8" t="s">
        <v>4</v>
      </c>
    </row>
    <row r="5" spans="1:15" ht="14.4" x14ac:dyDescent="0.3">
      <c r="A5" s="8" t="s">
        <v>6</v>
      </c>
      <c r="F5" s="8" t="s">
        <v>6</v>
      </c>
      <c r="J5" s="8" t="s">
        <v>6</v>
      </c>
    </row>
    <row r="7" spans="1:15" ht="14.4" x14ac:dyDescent="0.3">
      <c r="A7" t="s">
        <v>7</v>
      </c>
      <c r="C7" s="16">
        <v>38500000</v>
      </c>
      <c r="F7" s="4" t="s">
        <v>8</v>
      </c>
    </row>
    <row r="8" spans="1:15" ht="14.4" x14ac:dyDescent="0.3">
      <c r="A8" t="s">
        <v>9</v>
      </c>
      <c r="B8" s="16">
        <v>32500000</v>
      </c>
      <c r="F8" t="s">
        <v>10</v>
      </c>
      <c r="G8" s="16">
        <v>520000</v>
      </c>
      <c r="H8" s="16"/>
      <c r="J8" s="24" t="s">
        <v>11</v>
      </c>
      <c r="K8" s="25">
        <f>G24</f>
        <v>2740000</v>
      </c>
    </row>
    <row r="9" spans="1:15" ht="14.4" x14ac:dyDescent="0.3">
      <c r="A9" t="s">
        <v>12</v>
      </c>
      <c r="B9" s="16">
        <v>4303000</v>
      </c>
      <c r="F9" t="s">
        <v>13</v>
      </c>
      <c r="G9" s="16">
        <v>4020000</v>
      </c>
      <c r="H9" s="16"/>
      <c r="J9" s="28" t="s">
        <v>14</v>
      </c>
      <c r="K9" s="25">
        <f>C16</f>
        <v>552750</v>
      </c>
    </row>
    <row r="10" spans="1:15" ht="14.4" x14ac:dyDescent="0.3">
      <c r="A10" t="s">
        <v>15</v>
      </c>
      <c r="B10" s="16">
        <v>200000</v>
      </c>
      <c r="F10" t="s">
        <v>16</v>
      </c>
      <c r="G10" s="16">
        <v>8360000</v>
      </c>
      <c r="H10" s="16"/>
      <c r="J10" s="27" t="s">
        <v>17</v>
      </c>
      <c r="K10" s="29">
        <f>K8+K9</f>
        <v>3292750</v>
      </c>
    </row>
    <row r="11" spans="1:15" ht="14.4" x14ac:dyDescent="0.3">
      <c r="A11" s="4" t="s">
        <v>18</v>
      </c>
      <c r="C11" s="17">
        <f>SUM(B8:B10)</f>
        <v>37003000</v>
      </c>
      <c r="F11" s="3" t="s">
        <v>19</v>
      </c>
      <c r="G11" s="18"/>
      <c r="H11" s="18">
        <f>SUM(G8:G10)</f>
        <v>12900000</v>
      </c>
      <c r="J11" s="28" t="s">
        <v>20</v>
      </c>
      <c r="K11" s="25">
        <v>0</v>
      </c>
    </row>
    <row r="12" spans="1:15" ht="14.4" x14ac:dyDescent="0.3">
      <c r="A12" s="1" t="s">
        <v>21</v>
      </c>
      <c r="B12" s="2"/>
      <c r="C12" s="18">
        <f>C7-C11</f>
        <v>1497000</v>
      </c>
      <c r="F12" t="s">
        <v>22</v>
      </c>
      <c r="G12" s="16">
        <v>5270000</v>
      </c>
      <c r="H12" s="16"/>
      <c r="J12" s="27" t="s">
        <v>23</v>
      </c>
      <c r="K12" s="29">
        <f>K10-K11</f>
        <v>3292750</v>
      </c>
    </row>
    <row r="13" spans="1:15" ht="14.4" x14ac:dyDescent="0.3">
      <c r="A13" t="s">
        <v>24</v>
      </c>
      <c r="C13" s="16">
        <v>760000</v>
      </c>
      <c r="F13" t="s">
        <v>25</v>
      </c>
      <c r="G13" s="16">
        <v>-1662000</v>
      </c>
      <c r="H13" s="16"/>
      <c r="J13" s="28" t="s">
        <v>26</v>
      </c>
      <c r="K13" s="25">
        <f>C16*0.6</f>
        <v>331650</v>
      </c>
    </row>
    <row r="14" spans="1:15" thickBot="1" x14ac:dyDescent="0.35">
      <c r="A14" s="1" t="s">
        <v>27</v>
      </c>
      <c r="B14" s="5"/>
      <c r="C14" s="19">
        <f>C12-C13</f>
        <v>737000</v>
      </c>
      <c r="F14" s="3" t="s">
        <v>28</v>
      </c>
      <c r="G14" s="18"/>
      <c r="H14" s="18">
        <f>SUM(G12:G13)</f>
        <v>3608000</v>
      </c>
      <c r="J14" s="26" t="s">
        <v>29</v>
      </c>
      <c r="K14" s="30">
        <f>K12-K13</f>
        <v>2961100</v>
      </c>
    </row>
    <row r="15" spans="1:15" ht="15.6" thickTop="1" thickBot="1" x14ac:dyDescent="0.35">
      <c r="A15" t="s">
        <v>30</v>
      </c>
      <c r="C15" s="16">
        <f>C14*0.25</f>
        <v>184250</v>
      </c>
      <c r="F15" s="9" t="s">
        <v>31</v>
      </c>
      <c r="G15" s="21"/>
      <c r="H15" s="21">
        <f>SUM(H8:H14)</f>
        <v>16508000</v>
      </c>
    </row>
    <row r="16" spans="1:15" ht="15.6" thickTop="1" thickBot="1" x14ac:dyDescent="0.35">
      <c r="A16" s="7" t="s">
        <v>32</v>
      </c>
      <c r="B16" s="6"/>
      <c r="C16" s="20">
        <f>C14-C15</f>
        <v>552750</v>
      </c>
    </row>
    <row r="17" spans="1:12" thickTop="1" x14ac:dyDescent="0.3">
      <c r="F17" s="10" t="s">
        <v>33</v>
      </c>
      <c r="J17" s="24" t="s">
        <v>34</v>
      </c>
    </row>
    <row r="18" spans="1:12" ht="14.4" x14ac:dyDescent="0.3">
      <c r="F18" t="s">
        <v>35</v>
      </c>
      <c r="G18" s="22">
        <v>1768000</v>
      </c>
      <c r="H18" s="22"/>
      <c r="J18" s="41" t="s">
        <v>36</v>
      </c>
      <c r="K18" s="44">
        <f>K14</f>
        <v>2961100</v>
      </c>
      <c r="L18" s="46">
        <f>K18/$K$21</f>
        <v>0.26178709409341266</v>
      </c>
    </row>
    <row r="19" spans="1:12" ht="15" customHeight="1" thickBot="1" x14ac:dyDescent="0.35">
      <c r="F19" t="s">
        <v>37</v>
      </c>
      <c r="G19" s="22">
        <v>1400000</v>
      </c>
      <c r="H19" s="22"/>
      <c r="J19" s="41" t="s">
        <v>38</v>
      </c>
      <c r="K19" s="44">
        <f>G23</f>
        <v>4600000</v>
      </c>
      <c r="L19" s="46">
        <f>K19/$K$21</f>
        <v>0.40668016373297028</v>
      </c>
    </row>
    <row r="20" spans="1:12" thickBot="1" x14ac:dyDescent="0.35">
      <c r="A20" s="11" t="s">
        <v>39</v>
      </c>
      <c r="B20" s="12" t="s">
        <v>40</v>
      </c>
      <c r="C20" s="12" t="s">
        <v>41</v>
      </c>
      <c r="D20" s="12" t="s">
        <v>42</v>
      </c>
      <c r="F20" s="3" t="s">
        <v>43</v>
      </c>
      <c r="G20" s="23"/>
      <c r="H20" s="23">
        <f>SUM(G18:G19)</f>
        <v>3168000</v>
      </c>
      <c r="J20" s="42" t="s">
        <v>44</v>
      </c>
      <c r="K20" s="43">
        <f>G21</f>
        <v>3750000</v>
      </c>
      <c r="L20" s="46">
        <f>K20/$K$21</f>
        <v>0.33153274217361706</v>
      </c>
    </row>
    <row r="21" spans="1:12" ht="15" customHeight="1" thickBot="1" x14ac:dyDescent="0.35">
      <c r="A21" s="13">
        <v>1</v>
      </c>
      <c r="B21" s="14">
        <v>675000</v>
      </c>
      <c r="C21" s="14">
        <v>205401</v>
      </c>
      <c r="D21" s="15">
        <v>8</v>
      </c>
      <c r="F21" t="s">
        <v>45</v>
      </c>
      <c r="G21" s="22">
        <v>3750000</v>
      </c>
      <c r="H21" s="22"/>
      <c r="K21" s="45">
        <f>SUM(K18:K20)</f>
        <v>11311100</v>
      </c>
      <c r="L21" s="47">
        <f>SUM(L18:L20)</f>
        <v>1</v>
      </c>
    </row>
    <row r="22" spans="1:12" ht="15" customHeight="1" thickBot="1" x14ac:dyDescent="0.35">
      <c r="A22" s="13">
        <v>2</v>
      </c>
      <c r="B22" s="14">
        <v>900000</v>
      </c>
      <c r="C22" s="14">
        <v>368484</v>
      </c>
      <c r="D22" s="15">
        <v>5</v>
      </c>
      <c r="F22" t="s">
        <v>46</v>
      </c>
      <c r="G22" s="22">
        <v>2250000</v>
      </c>
      <c r="H22" s="22"/>
      <c r="J22" s="8" t="s">
        <v>47</v>
      </c>
    </row>
    <row r="23" spans="1:12" ht="15" customHeight="1" thickBot="1" x14ac:dyDescent="0.35">
      <c r="A23" s="13">
        <v>3</v>
      </c>
      <c r="B23" s="14">
        <v>375000</v>
      </c>
      <c r="C23" s="14">
        <v>161524</v>
      </c>
      <c r="D23" s="15">
        <v>3</v>
      </c>
      <c r="F23" t="s">
        <v>48</v>
      </c>
      <c r="G23" s="22">
        <v>4600000</v>
      </c>
      <c r="H23" s="22"/>
      <c r="J23" t="s">
        <v>49</v>
      </c>
      <c r="K23" s="31">
        <f>K13/200000</f>
        <v>1.65825</v>
      </c>
    </row>
    <row r="24" spans="1:12" ht="15" customHeight="1" thickBot="1" x14ac:dyDescent="0.35">
      <c r="A24" s="13">
        <v>4</v>
      </c>
      <c r="B24" s="14">
        <v>562500</v>
      </c>
      <c r="C24" s="14">
        <v>285194</v>
      </c>
      <c r="D24" s="15">
        <v>4</v>
      </c>
      <c r="F24" t="s">
        <v>50</v>
      </c>
      <c r="G24" s="22">
        <v>2740000</v>
      </c>
      <c r="H24" s="22"/>
      <c r="J24" t="s">
        <v>51</v>
      </c>
      <c r="K24" s="31">
        <f>G27</f>
        <v>23</v>
      </c>
    </row>
    <row r="25" spans="1:12" ht="15" customHeight="1" thickBot="1" x14ac:dyDescent="0.35">
      <c r="A25" s="13">
        <v>5</v>
      </c>
      <c r="B25" s="14">
        <v>700000</v>
      </c>
      <c r="C25" s="14">
        <v>187351</v>
      </c>
      <c r="D25" s="15">
        <v>10</v>
      </c>
      <c r="F25" s="9" t="s">
        <v>52</v>
      </c>
      <c r="G25" s="21"/>
      <c r="H25" s="21">
        <f>SUM(H18:H24)+SUM(G21:G24)</f>
        <v>16508000</v>
      </c>
      <c r="J25" t="s">
        <v>53</v>
      </c>
      <c r="K25" s="37">
        <v>0.05</v>
      </c>
    </row>
    <row r="27" spans="1:12" ht="15" customHeight="1" x14ac:dyDescent="0.3">
      <c r="F27" t="s">
        <v>90</v>
      </c>
      <c r="G27" s="25">
        <f>G23/200000</f>
        <v>23</v>
      </c>
      <c r="J27" s="32" t="s">
        <v>54</v>
      </c>
      <c r="K27" s="35">
        <f>(K23/K24)+K25</f>
        <v>0.12209782608695652</v>
      </c>
    </row>
    <row r="30" spans="1:12" ht="15" customHeight="1" x14ac:dyDescent="0.3">
      <c r="J30" s="8" t="s">
        <v>55</v>
      </c>
    </row>
    <row r="31" spans="1:12" ht="15" customHeight="1" x14ac:dyDescent="0.3">
      <c r="J31" t="s">
        <v>49</v>
      </c>
      <c r="K31" s="36">
        <f>K23</f>
        <v>1.65825</v>
      </c>
    </row>
    <row r="32" spans="1:12" ht="15" customHeight="1" x14ac:dyDescent="0.3">
      <c r="A32" s="8" t="s">
        <v>56</v>
      </c>
      <c r="C32" s="4" t="s">
        <v>57</v>
      </c>
      <c r="J32" t="s">
        <v>58</v>
      </c>
      <c r="K32" s="36">
        <f>O2-O3*O2</f>
        <v>19.8</v>
      </c>
    </row>
    <row r="33" spans="1:11" ht="15" customHeight="1" x14ac:dyDescent="0.3">
      <c r="A33" t="s">
        <v>59</v>
      </c>
      <c r="B33" s="25">
        <f>K19</f>
        <v>4600000</v>
      </c>
      <c r="C33" s="36">
        <f>L19</f>
        <v>0.40668016373297028</v>
      </c>
      <c r="D33" s="25">
        <f>B33/C33</f>
        <v>11311100</v>
      </c>
      <c r="J33" t="s">
        <v>60</v>
      </c>
      <c r="K33" s="34">
        <v>0.05</v>
      </c>
    </row>
    <row r="34" spans="1:11" ht="15" customHeight="1" x14ac:dyDescent="0.3">
      <c r="A34" t="s">
        <v>61</v>
      </c>
      <c r="B34" s="25">
        <f>540000</f>
        <v>540000</v>
      </c>
      <c r="C34" s="36">
        <f>L20</f>
        <v>0.33153274217361706</v>
      </c>
      <c r="D34" s="25">
        <f t="shared" ref="D34:D35" si="0">B34/C34</f>
        <v>1628798.4000000001</v>
      </c>
    </row>
    <row r="35" spans="1:11" ht="15" customHeight="1" x14ac:dyDescent="0.3">
      <c r="B35" s="25">
        <v>900000</v>
      </c>
      <c r="C35" s="36">
        <f>C34</f>
        <v>0.33153274217361706</v>
      </c>
      <c r="D35" s="25">
        <f t="shared" si="0"/>
        <v>2714664</v>
      </c>
      <c r="J35" s="32" t="s">
        <v>62</v>
      </c>
      <c r="K35" s="35">
        <f>(K31/K32)+K33</f>
        <v>0.13374999999999998</v>
      </c>
    </row>
    <row r="36" spans="1:11" ht="15" customHeight="1" x14ac:dyDescent="0.3">
      <c r="B36" s="25"/>
      <c r="C36" s="36"/>
    </row>
    <row r="38" spans="1:11" ht="15" customHeight="1" x14ac:dyDescent="0.3">
      <c r="A38" s="38" t="s">
        <v>63</v>
      </c>
      <c r="B38" s="38" t="s">
        <v>34</v>
      </c>
      <c r="C38" s="38" t="s">
        <v>64</v>
      </c>
      <c r="D38" s="38" t="s">
        <v>65</v>
      </c>
      <c r="E38" s="38" t="s">
        <v>66</v>
      </c>
      <c r="J38" s="8" t="s">
        <v>67</v>
      </c>
    </row>
    <row r="39" spans="1:11" ht="15" customHeight="1" x14ac:dyDescent="0.3">
      <c r="A39" s="39" t="s">
        <v>91</v>
      </c>
      <c r="B39" s="39" t="s">
        <v>68</v>
      </c>
      <c r="C39" s="48">
        <f>L20</f>
        <v>0.33153274217361706</v>
      </c>
      <c r="D39" s="49">
        <f>K41</f>
        <v>9.1499999999999998E-2</v>
      </c>
      <c r="E39" s="51">
        <f>SUMPRODUCT(C39:C41,D39:D41)</f>
        <v>0.1119536448997964</v>
      </c>
      <c r="J39" t="s">
        <v>69</v>
      </c>
      <c r="K39" s="34">
        <v>0.122</v>
      </c>
    </row>
    <row r="40" spans="1:11" ht="15" customHeight="1" x14ac:dyDescent="0.3">
      <c r="A40" s="39"/>
      <c r="B40" s="39" t="s">
        <v>38</v>
      </c>
      <c r="C40" s="48">
        <f>L19+L18</f>
        <v>0.66846725782638294</v>
      </c>
      <c r="D40" s="49">
        <f>K27</f>
        <v>0.12209782608695652</v>
      </c>
      <c r="E40" s="51"/>
      <c r="J40" t="s">
        <v>70</v>
      </c>
      <c r="K40" s="33">
        <v>0.25</v>
      </c>
    </row>
    <row r="41" spans="1:11" ht="15" customHeight="1" x14ac:dyDescent="0.3">
      <c r="A41" s="40" t="s">
        <v>71</v>
      </c>
      <c r="B41" s="40"/>
      <c r="C41" s="40"/>
      <c r="D41" s="50"/>
      <c r="E41" s="52"/>
      <c r="J41" s="32" t="s">
        <v>72</v>
      </c>
      <c r="K41" s="35">
        <f>K39*(1-K40)</f>
        <v>9.1499999999999998E-2</v>
      </c>
    </row>
    <row r="42" spans="1:11" ht="15" customHeight="1" x14ac:dyDescent="0.3">
      <c r="A42" s="39" t="s">
        <v>92</v>
      </c>
      <c r="B42" s="39" t="s">
        <v>68</v>
      </c>
      <c r="C42" s="48">
        <f>C39</f>
        <v>0.33153274217361706</v>
      </c>
      <c r="D42" s="49">
        <f>K46</f>
        <v>8.9249999999999996E-2</v>
      </c>
      <c r="E42" s="51">
        <f>SUMPRODUCT(C42:C44,D42:D44)</f>
        <v>0.11120769622990576</v>
      </c>
    </row>
    <row r="43" spans="1:11" ht="15" customHeight="1" x14ac:dyDescent="0.3">
      <c r="A43" s="39"/>
      <c r="B43" s="39" t="s">
        <v>38</v>
      </c>
      <c r="C43" s="48">
        <f>C40</f>
        <v>0.66846725782638294</v>
      </c>
      <c r="D43" s="49">
        <f>D40</f>
        <v>0.12209782608695652</v>
      </c>
      <c r="E43" s="51"/>
      <c r="J43" s="8" t="s">
        <v>73</v>
      </c>
    </row>
    <row r="44" spans="1:11" ht="15" customHeight="1" x14ac:dyDescent="0.3">
      <c r="A44" s="40" t="s">
        <v>71</v>
      </c>
      <c r="B44" s="40"/>
      <c r="C44" s="40"/>
      <c r="D44" s="50"/>
      <c r="E44" s="52"/>
      <c r="J44" t="s">
        <v>69</v>
      </c>
      <c r="K44" s="34">
        <v>0.11899999999999999</v>
      </c>
    </row>
    <row r="45" spans="1:11" ht="15" customHeight="1" x14ac:dyDescent="0.3">
      <c r="A45" s="39" t="s">
        <v>93</v>
      </c>
      <c r="B45" s="39" t="s">
        <v>68</v>
      </c>
      <c r="C45" s="48">
        <f>C42</f>
        <v>0.33153274217361706</v>
      </c>
      <c r="D45" s="49">
        <f>K51</f>
        <v>0.10350000000000001</v>
      </c>
      <c r="E45" s="51">
        <f>SUMPRODUCT(C45:C47,D45:D47)</f>
        <v>0.1159320378058798</v>
      </c>
      <c r="J45" t="s">
        <v>70</v>
      </c>
      <c r="K45" s="33">
        <v>0.25</v>
      </c>
    </row>
    <row r="46" spans="1:11" ht="15" customHeight="1" x14ac:dyDescent="0.3">
      <c r="A46" s="39"/>
      <c r="B46" s="39" t="s">
        <v>38</v>
      </c>
      <c r="C46" s="48">
        <f>C43</f>
        <v>0.66846725782638294</v>
      </c>
      <c r="D46" s="49">
        <f>D40</f>
        <v>0.12209782608695652</v>
      </c>
      <c r="E46" s="51"/>
      <c r="J46" s="32" t="s">
        <v>72</v>
      </c>
      <c r="K46" s="35">
        <f>K44*(1-K45)</f>
        <v>8.9249999999999996E-2</v>
      </c>
    </row>
    <row r="47" spans="1:11" ht="15" customHeight="1" x14ac:dyDescent="0.3">
      <c r="A47" s="40" t="s">
        <v>71</v>
      </c>
      <c r="B47" s="40"/>
      <c r="C47" s="40"/>
      <c r="D47" s="50"/>
      <c r="E47" s="52"/>
    </row>
    <row r="48" spans="1:11" ht="15" customHeight="1" x14ac:dyDescent="0.3">
      <c r="A48" s="39" t="s">
        <v>74</v>
      </c>
      <c r="B48" s="39" t="s">
        <v>68</v>
      </c>
      <c r="C48" s="48">
        <f>C45</f>
        <v>0.33153274217361706</v>
      </c>
      <c r="D48" s="49">
        <f>K51</f>
        <v>0.10350000000000001</v>
      </c>
      <c r="E48" s="51">
        <f>SUMPRODUCT(C48:C50,D48:D50)</f>
        <v>0.12372113454924807</v>
      </c>
      <c r="J48" s="8" t="s">
        <v>75</v>
      </c>
    </row>
    <row r="49" spans="1:11" ht="15" customHeight="1" x14ac:dyDescent="0.3">
      <c r="A49" s="39"/>
      <c r="B49" s="39" t="s">
        <v>38</v>
      </c>
      <c r="C49" s="48">
        <f>C46</f>
        <v>0.66846725782638294</v>
      </c>
      <c r="D49" s="49">
        <f>K35</f>
        <v>0.13374999999999998</v>
      </c>
      <c r="E49" s="51"/>
      <c r="J49" t="s">
        <v>69</v>
      </c>
      <c r="K49" s="34">
        <v>0.13800000000000001</v>
      </c>
    </row>
    <row r="50" spans="1:11" ht="15" customHeight="1" x14ac:dyDescent="0.3">
      <c r="A50" s="40" t="s">
        <v>71</v>
      </c>
      <c r="B50" s="40"/>
      <c r="C50" s="40"/>
      <c r="D50" s="40"/>
      <c r="E50" s="52"/>
      <c r="J50" t="s">
        <v>70</v>
      </c>
      <c r="K50" s="33">
        <v>0.25</v>
      </c>
    </row>
    <row r="51" spans="1:11" ht="15" customHeight="1" x14ac:dyDescent="0.3">
      <c r="J51" s="32" t="s">
        <v>72</v>
      </c>
      <c r="K51" s="35">
        <f>K49*(1-K50)</f>
        <v>0.10350000000000001</v>
      </c>
    </row>
    <row r="54" spans="1:11" ht="15" customHeight="1" x14ac:dyDescent="0.3">
      <c r="A54" s="55" t="s">
        <v>76</v>
      </c>
      <c r="B54" s="54" t="s">
        <v>77</v>
      </c>
      <c r="C54" s="54"/>
      <c r="D54" s="54"/>
      <c r="E54" s="54"/>
      <c r="F54" s="54"/>
    </row>
    <row r="55" spans="1:11" ht="15" customHeight="1" x14ac:dyDescent="0.3">
      <c r="B55" s="55">
        <v>1</v>
      </c>
      <c r="C55" s="55">
        <v>2</v>
      </c>
      <c r="D55" s="55">
        <v>3</v>
      </c>
      <c r="E55" s="55">
        <v>4</v>
      </c>
      <c r="F55" s="55">
        <v>5</v>
      </c>
    </row>
    <row r="56" spans="1:11" ht="15" customHeight="1" x14ac:dyDescent="0.3">
      <c r="A56" s="55">
        <v>0</v>
      </c>
      <c r="B56" s="56">
        <v>-675000</v>
      </c>
      <c r="C56" s="56">
        <v>-900000</v>
      </c>
      <c r="D56" s="56">
        <v>-375000</v>
      </c>
      <c r="E56" s="56">
        <v>-562500</v>
      </c>
      <c r="F56" s="56">
        <f>-700000</f>
        <v>-700000</v>
      </c>
    </row>
    <row r="57" spans="1:11" ht="15" customHeight="1" x14ac:dyDescent="0.3">
      <c r="A57" s="55">
        <v>1</v>
      </c>
      <c r="B57" s="56">
        <v>205401</v>
      </c>
      <c r="C57" s="56">
        <v>368484</v>
      </c>
      <c r="D57" s="56">
        <v>161524</v>
      </c>
      <c r="E57" s="56">
        <v>285194</v>
      </c>
      <c r="F57" s="56">
        <v>187351</v>
      </c>
    </row>
    <row r="58" spans="1:11" ht="15" customHeight="1" x14ac:dyDescent="0.3">
      <c r="A58" s="55">
        <v>2</v>
      </c>
      <c r="B58" s="56">
        <v>205401</v>
      </c>
      <c r="C58" s="56">
        <v>368484</v>
      </c>
      <c r="D58" s="56">
        <v>161524</v>
      </c>
      <c r="E58" s="56">
        <v>285194</v>
      </c>
      <c r="F58" s="56">
        <v>187351</v>
      </c>
    </row>
    <row r="59" spans="1:11" ht="15" customHeight="1" x14ac:dyDescent="0.3">
      <c r="A59" s="55">
        <v>3</v>
      </c>
      <c r="B59" s="56">
        <v>205401</v>
      </c>
      <c r="C59" s="56">
        <v>368484</v>
      </c>
      <c r="D59" s="56">
        <v>161524</v>
      </c>
      <c r="E59" s="56">
        <v>285194</v>
      </c>
      <c r="F59" s="56">
        <v>187351</v>
      </c>
    </row>
    <row r="60" spans="1:11" ht="15" customHeight="1" x14ac:dyDescent="0.3">
      <c r="A60" s="55">
        <v>4</v>
      </c>
      <c r="B60" s="56">
        <v>205401</v>
      </c>
      <c r="C60" s="56">
        <v>368484</v>
      </c>
      <c r="D60" s="56"/>
      <c r="E60" s="56">
        <v>285194</v>
      </c>
      <c r="F60" s="56">
        <v>187351</v>
      </c>
    </row>
    <row r="61" spans="1:11" ht="15" customHeight="1" x14ac:dyDescent="0.3">
      <c r="A61" s="55">
        <v>5</v>
      </c>
      <c r="B61" s="56">
        <v>205401</v>
      </c>
      <c r="C61" s="56">
        <v>368484</v>
      </c>
      <c r="D61" s="56"/>
      <c r="E61" s="56"/>
      <c r="F61" s="56">
        <v>187351</v>
      </c>
    </row>
    <row r="62" spans="1:11" ht="15" customHeight="1" x14ac:dyDescent="0.3">
      <c r="A62" s="55">
        <v>6</v>
      </c>
      <c r="B62" s="56">
        <v>205401</v>
      </c>
      <c r="C62" s="56"/>
      <c r="D62" s="56"/>
      <c r="E62" s="56"/>
      <c r="F62" s="56">
        <v>187351</v>
      </c>
    </row>
    <row r="63" spans="1:11" ht="15" customHeight="1" x14ac:dyDescent="0.3">
      <c r="A63" s="55">
        <v>7</v>
      </c>
      <c r="B63" s="56">
        <v>205401</v>
      </c>
      <c r="C63" s="56"/>
      <c r="D63" s="56"/>
      <c r="E63" s="56"/>
      <c r="F63" s="56">
        <v>187351</v>
      </c>
    </row>
    <row r="64" spans="1:11" ht="15" customHeight="1" x14ac:dyDescent="0.3">
      <c r="A64" s="55">
        <v>8</v>
      </c>
      <c r="B64" s="56">
        <v>205401</v>
      </c>
      <c r="C64" s="56"/>
      <c r="D64" s="56"/>
      <c r="E64" s="56"/>
      <c r="F64" s="56">
        <v>187351</v>
      </c>
    </row>
    <row r="65" spans="1:6" ht="15" customHeight="1" x14ac:dyDescent="0.3">
      <c r="A65" s="55">
        <v>9</v>
      </c>
      <c r="B65" s="56"/>
      <c r="C65" s="56"/>
      <c r="D65" s="56"/>
      <c r="E65" s="56"/>
      <c r="F65" s="56">
        <v>187351</v>
      </c>
    </row>
    <row r="66" spans="1:6" ht="15" customHeight="1" x14ac:dyDescent="0.3">
      <c r="A66" s="55">
        <v>10</v>
      </c>
      <c r="B66" s="56"/>
      <c r="C66" s="56"/>
      <c r="D66" s="56"/>
      <c r="E66" s="56"/>
      <c r="F66" s="56">
        <v>187351</v>
      </c>
    </row>
    <row r="67" spans="1:6" ht="15" customHeight="1" x14ac:dyDescent="0.3">
      <c r="A67" s="4" t="s">
        <v>78</v>
      </c>
      <c r="B67" s="57">
        <f>IRR(B56:B66)</f>
        <v>0.25478051126350865</v>
      </c>
      <c r="C67" s="57">
        <f>IRR(C56:C66)</f>
        <v>0.29853102708644608</v>
      </c>
      <c r="D67" s="57">
        <f>IRR(D56:D66)</f>
        <v>0.13999887412162848</v>
      </c>
      <c r="E67" s="57">
        <f>IRR(E56:E66)</f>
        <v>0.3578783201212179</v>
      </c>
      <c r="F67" s="57">
        <f>IRR(F56:F66)</f>
        <v>0.23529636793408693</v>
      </c>
    </row>
    <row r="68" spans="1:6" ht="15" customHeight="1" x14ac:dyDescent="0.3">
      <c r="A68" s="4" t="s">
        <v>89</v>
      </c>
      <c r="B68" s="68">
        <f>NPV(B95,B57:B66)+B56</f>
        <v>374694.68918036786</v>
      </c>
      <c r="C68" s="68">
        <f>NPV(B96,C57:C66)+C56</f>
        <v>455212.38363129925</v>
      </c>
      <c r="D68" s="68">
        <f>NPV(B97,D57:D66)+D56</f>
        <v>18890.955670188938</v>
      </c>
      <c r="E68" s="68">
        <f>NPV(B98,E57:E66)+E56</f>
        <v>320022.22778949968</v>
      </c>
      <c r="F68" s="68">
        <f>NPV(B99,F57:F66)+F56</f>
        <v>376437.72988293855</v>
      </c>
    </row>
    <row r="70" spans="1:6" ht="15" customHeight="1" x14ac:dyDescent="0.3">
      <c r="A70" s="8" t="s">
        <v>79</v>
      </c>
    </row>
    <row r="71" spans="1:6" ht="15" customHeight="1" x14ac:dyDescent="0.3">
      <c r="A71" s="55" t="s">
        <v>39</v>
      </c>
      <c r="B71" s="55" t="s">
        <v>78</v>
      </c>
      <c r="C71" s="55" t="s">
        <v>80</v>
      </c>
      <c r="D71" s="55" t="s">
        <v>81</v>
      </c>
    </row>
    <row r="72" spans="1:6" ht="15" customHeight="1" x14ac:dyDescent="0.3">
      <c r="A72" s="60">
        <v>4</v>
      </c>
      <c r="B72" s="61">
        <f>E67</f>
        <v>0.3578783201212179</v>
      </c>
      <c r="C72" s="62">
        <v>562500</v>
      </c>
      <c r="D72" s="62">
        <f>C72</f>
        <v>562500</v>
      </c>
    </row>
    <row r="73" spans="1:6" ht="15" customHeight="1" x14ac:dyDescent="0.3">
      <c r="A73" s="58">
        <v>2</v>
      </c>
      <c r="B73" s="59">
        <f>C67</f>
        <v>0.29853102708644608</v>
      </c>
      <c r="C73" s="56">
        <v>900000</v>
      </c>
      <c r="D73" s="56">
        <f>D72+C73</f>
        <v>1462500</v>
      </c>
    </row>
    <row r="74" spans="1:6" ht="15" customHeight="1" x14ac:dyDescent="0.3">
      <c r="A74" s="58">
        <v>1</v>
      </c>
      <c r="B74" s="59">
        <f>B67</f>
        <v>0.25478051126350865</v>
      </c>
      <c r="C74" s="56">
        <v>675000</v>
      </c>
      <c r="D74" s="56">
        <f>D73+C74</f>
        <v>2137500</v>
      </c>
    </row>
    <row r="75" spans="1:6" ht="15" customHeight="1" x14ac:dyDescent="0.3">
      <c r="A75" s="58">
        <v>5</v>
      </c>
      <c r="B75" s="59">
        <f>F67</f>
        <v>0.23529636793408693</v>
      </c>
      <c r="C75" s="56">
        <v>700000</v>
      </c>
      <c r="D75" s="56">
        <f>D74+C75</f>
        <v>2837500</v>
      </c>
    </row>
    <row r="76" spans="1:6" ht="15" customHeight="1" x14ac:dyDescent="0.3">
      <c r="A76" s="58">
        <v>3</v>
      </c>
      <c r="B76" s="59">
        <f>D67</f>
        <v>0.13999887412162848</v>
      </c>
      <c r="C76" s="56">
        <v>375000</v>
      </c>
      <c r="D76" s="56">
        <f>D75+C76</f>
        <v>3212500</v>
      </c>
    </row>
    <row r="79" spans="1:6" ht="15" customHeight="1" x14ac:dyDescent="0.3">
      <c r="A79" s="64" t="s">
        <v>82</v>
      </c>
      <c r="B79" s="64"/>
    </row>
    <row r="80" spans="1:6" ht="15" customHeight="1" x14ac:dyDescent="0.3">
      <c r="A80" s="63" t="s">
        <v>83</v>
      </c>
      <c r="B80" s="63" t="s">
        <v>84</v>
      </c>
    </row>
    <row r="81" spans="1:2" ht="15" customHeight="1" x14ac:dyDescent="0.3">
      <c r="A81" s="44">
        <v>0</v>
      </c>
      <c r="B81" s="57">
        <f>B72</f>
        <v>0.3578783201212179</v>
      </c>
    </row>
    <row r="82" spans="1:2" ht="15" customHeight="1" x14ac:dyDescent="0.3">
      <c r="A82" s="44">
        <f>D72</f>
        <v>562500</v>
      </c>
      <c r="B82" s="57">
        <f>B81</f>
        <v>0.3578783201212179</v>
      </c>
    </row>
    <row r="83" spans="1:2" ht="15" customHeight="1" x14ac:dyDescent="0.3">
      <c r="A83" s="44">
        <f>A82</f>
        <v>562500</v>
      </c>
      <c r="B83" s="57">
        <f>B73</f>
        <v>0.29853102708644608</v>
      </c>
    </row>
    <row r="84" spans="1:2" ht="15" customHeight="1" x14ac:dyDescent="0.3">
      <c r="A84" s="44">
        <f>D73</f>
        <v>1462500</v>
      </c>
      <c r="B84" s="57">
        <f>B83</f>
        <v>0.29853102708644608</v>
      </c>
    </row>
    <row r="85" spans="1:2" ht="15" customHeight="1" x14ac:dyDescent="0.3">
      <c r="A85" s="44">
        <f>A84</f>
        <v>1462500</v>
      </c>
      <c r="B85" s="57">
        <f>B74</f>
        <v>0.25478051126350865</v>
      </c>
    </row>
    <row r="86" spans="1:2" ht="15" customHeight="1" x14ac:dyDescent="0.3">
      <c r="A86" s="44">
        <f>D74</f>
        <v>2137500</v>
      </c>
      <c r="B86" s="57">
        <f>B85</f>
        <v>0.25478051126350865</v>
      </c>
    </row>
    <row r="87" spans="1:2" ht="15" customHeight="1" x14ac:dyDescent="0.3">
      <c r="A87" s="44">
        <f>A86</f>
        <v>2137500</v>
      </c>
      <c r="B87" s="57">
        <f>B75</f>
        <v>0.23529636793408693</v>
      </c>
    </row>
    <row r="88" spans="1:2" ht="15" customHeight="1" x14ac:dyDescent="0.3">
      <c r="A88" s="44">
        <f>D75</f>
        <v>2837500</v>
      </c>
      <c r="B88" s="57">
        <f>B75</f>
        <v>0.23529636793408693</v>
      </c>
    </row>
    <row r="89" spans="1:2" ht="15" customHeight="1" x14ac:dyDescent="0.3">
      <c r="A89" s="44">
        <f>A88</f>
        <v>2837500</v>
      </c>
      <c r="B89" s="57">
        <f>B76</f>
        <v>0.13999887412162848</v>
      </c>
    </row>
    <row r="90" spans="1:2" ht="15" customHeight="1" x14ac:dyDescent="0.3">
      <c r="A90" s="25">
        <f>D76</f>
        <v>3212500</v>
      </c>
      <c r="B90" s="57">
        <f>B76</f>
        <v>0.13999887412162848</v>
      </c>
    </row>
    <row r="92" spans="1:2" ht="15" customHeight="1" x14ac:dyDescent="0.3">
      <c r="A92" s="53"/>
      <c r="B92" s="53"/>
    </row>
    <row r="93" spans="1:2" ht="15" customHeight="1" x14ac:dyDescent="0.3">
      <c r="A93" s="64" t="s">
        <v>85</v>
      </c>
      <c r="B93" s="64"/>
    </row>
    <row r="94" spans="1:2" ht="15" customHeight="1" x14ac:dyDescent="0.3">
      <c r="A94" s="63" t="s">
        <v>83</v>
      </c>
      <c r="B94" s="63" t="s">
        <v>84</v>
      </c>
    </row>
    <row r="95" spans="1:2" ht="15" customHeight="1" x14ac:dyDescent="0.3">
      <c r="A95" s="67">
        <v>0</v>
      </c>
      <c r="B95" s="65">
        <f>E39</f>
        <v>0.1119536448997964</v>
      </c>
    </row>
    <row r="96" spans="1:2" ht="15" customHeight="1" x14ac:dyDescent="0.3">
      <c r="A96" s="44">
        <f>D34</f>
        <v>1628798.4000000001</v>
      </c>
      <c r="B96" s="65">
        <f>B95</f>
        <v>0.1119536448997964</v>
      </c>
    </row>
    <row r="97" spans="1:2" ht="15" customHeight="1" x14ac:dyDescent="0.3">
      <c r="A97" s="44">
        <f>A96</f>
        <v>1628798.4000000001</v>
      </c>
      <c r="B97" s="65">
        <f>E42</f>
        <v>0.11120769622990576</v>
      </c>
    </row>
    <row r="98" spans="1:2" ht="15" customHeight="1" x14ac:dyDescent="0.3">
      <c r="A98" s="44">
        <v>2714664</v>
      </c>
      <c r="B98" s="65">
        <f>B97</f>
        <v>0.11120769622990576</v>
      </c>
    </row>
    <row r="99" spans="1:2" ht="15" customHeight="1" x14ac:dyDescent="0.3">
      <c r="A99" s="44">
        <f>A98</f>
        <v>2714664</v>
      </c>
      <c r="B99" s="57">
        <f>E45</f>
        <v>0.1159320378058798</v>
      </c>
    </row>
    <row r="100" spans="1:2" ht="15" customHeight="1" x14ac:dyDescent="0.3">
      <c r="A100" s="44">
        <f>D76</f>
        <v>3212500</v>
      </c>
      <c r="B100" s="57">
        <f>B99</f>
        <v>0.1159320378058798</v>
      </c>
    </row>
    <row r="101" spans="1:2" ht="15" customHeight="1" x14ac:dyDescent="0.3">
      <c r="B101" s="34"/>
    </row>
  </sheetData>
  <mergeCells count="7">
    <mergeCell ref="A93:B93"/>
    <mergeCell ref="E39:E41"/>
    <mergeCell ref="E42:E44"/>
    <mergeCell ref="E45:E47"/>
    <mergeCell ref="E48:E50"/>
    <mergeCell ref="B54:F54"/>
    <mergeCell ref="A79:B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766C-F635-4D5A-A51A-EFA6952CDCEB}">
  <dimension ref="A1:E4"/>
  <sheetViews>
    <sheetView tabSelected="1" workbookViewId="0">
      <selection activeCell="G8" sqref="G8"/>
    </sheetView>
  </sheetViews>
  <sheetFormatPr baseColWidth="10" defaultRowHeight="14.4" x14ac:dyDescent="0.3"/>
  <sheetData>
    <row r="1" spans="1:5" x14ac:dyDescent="0.3">
      <c r="A1" s="69" t="s">
        <v>95</v>
      </c>
      <c r="B1" s="69"/>
      <c r="C1" s="69"/>
      <c r="D1" s="69"/>
      <c r="E1" s="70" t="s">
        <v>96</v>
      </c>
    </row>
    <row r="2" spans="1:5" x14ac:dyDescent="0.3">
      <c r="A2" s="71" t="s">
        <v>94</v>
      </c>
      <c r="B2" s="71"/>
      <c r="C2" s="71"/>
      <c r="D2" s="71"/>
      <c r="E2" s="72">
        <v>1229918</v>
      </c>
    </row>
    <row r="3" spans="1:5" x14ac:dyDescent="0.3">
      <c r="A3" s="71" t="s">
        <v>97</v>
      </c>
      <c r="B3" s="71"/>
      <c r="C3" s="71"/>
      <c r="D3" s="71"/>
      <c r="E3" s="72">
        <v>1069619</v>
      </c>
    </row>
    <row r="4" spans="1:5" x14ac:dyDescent="0.3">
      <c r="A4" s="71" t="s">
        <v>98</v>
      </c>
      <c r="B4" s="71"/>
      <c r="C4" s="71"/>
      <c r="D4" s="71"/>
      <c r="E4" s="72">
        <v>1305619</v>
      </c>
    </row>
  </sheetData>
  <mergeCells count="4">
    <mergeCell ref="A2:D2"/>
    <mergeCell ref="A1:D1"/>
    <mergeCell ref="A3:D3"/>
    <mergeCell ref="A4:D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b7723a-2485-4ab3-a666-cd4cb4ed51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3935198D52634E9C300D10EA1CF16E" ma:contentTypeVersion="13" ma:contentTypeDescription="Crear nuevo documento." ma:contentTypeScope="" ma:versionID="53bff2d9136628b2a3adf25eb1b1f8b3">
  <xsd:schema xmlns:xsd="http://www.w3.org/2001/XMLSchema" xmlns:xs="http://www.w3.org/2001/XMLSchema" xmlns:p="http://schemas.microsoft.com/office/2006/metadata/properties" xmlns:ns3="46b7723a-2485-4ab3-a666-cd4cb4ed5119" xmlns:ns4="5a669b68-4047-4cb8-b8f5-4ab69e7bfaf6" targetNamespace="http://schemas.microsoft.com/office/2006/metadata/properties" ma:root="true" ma:fieldsID="bbd14849bb7f5c21f0a60ad0c770fc68" ns3:_="" ns4:_="">
    <xsd:import namespace="46b7723a-2485-4ab3-a666-cd4cb4ed5119"/>
    <xsd:import namespace="5a669b68-4047-4cb8-b8f5-4ab69e7bfa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7723a-2485-4ab3-a666-cd4cb4ed5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69b68-4047-4cb8-b8f5-4ab69e7bf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754E8E-D795-40A8-9C31-ACE0D5E1FDFD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5a669b68-4047-4cb8-b8f5-4ab69e7bfaf6"/>
    <ds:schemaRef ds:uri="46b7723a-2485-4ab3-a666-cd4cb4ed511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7B20B8-A619-4491-A433-878E529AC5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C34284-9621-444C-9DF4-B2AE19440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7723a-2485-4ab3-a666-cd4cb4ed5119"/>
    <ds:schemaRef ds:uri="5a669b68-4047-4cb8-b8f5-4ab69e7bf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Concentrados Nacionales</vt:lpstr>
      <vt:lpstr>Integrantes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Brazil Batres</dc:creator>
  <cp:keywords/>
  <dc:description/>
  <cp:lastModifiedBy>Brazil Batres</cp:lastModifiedBy>
  <cp:revision/>
  <dcterms:created xsi:type="dcterms:W3CDTF">2023-04-14T01:34:01Z</dcterms:created>
  <dcterms:modified xsi:type="dcterms:W3CDTF">2023-04-16T01:38:36Z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0x010100893935198D52634E9C300D10EA1CF16E</vt:lpwstr>
  </property>
</Properties>
</file>