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D:\UNIVERSIDAD Z\QA\PC\FUNDAMENTOS DE ADMINISTRACIÓN Y ANÁLISIS FINANCIERO\TEORÍA\TRABAJOS EN CLASE\"/>
    </mc:Choice>
  </mc:AlternateContent>
  <xr:revisionPtr revIDLastSave="0" documentId="13_ncr:1_{E96AB9C0-3F49-4C42-9B56-3FA6F73C5365}" xr6:coauthVersionLast="47" xr6:coauthVersionMax="47" xr10:uidLastSave="{00000000-0000-0000-0000-000000000000}"/>
  <bookViews>
    <workbookView xWindow="-120" yWindow="-120" windowWidth="29040" windowHeight="15720" activeTab="1" xr2:uid="{00000000-000D-0000-FFFF-FFFF00000000}"/>
  </bookViews>
  <sheets>
    <sheet name="DATOS" sheetId="4" r:id="rId1"/>
    <sheet name="SOLUCIÓ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K53" i="1"/>
  <c r="J53" i="1"/>
  <c r="K47" i="1"/>
  <c r="K46" i="1"/>
  <c r="I47" i="1"/>
  <c r="I46" i="1"/>
  <c r="T45" i="1"/>
  <c r="V54" i="1"/>
  <c r="T54" i="1"/>
  <c r="V51" i="1"/>
  <c r="T51" i="1"/>
  <c r="V48" i="1"/>
  <c r="T48" i="1"/>
  <c r="V45" i="1"/>
  <c r="V40" i="1"/>
  <c r="T40" i="1"/>
  <c r="V37" i="1"/>
  <c r="T37" i="1"/>
  <c r="V28" i="1"/>
  <c r="T28" i="1"/>
  <c r="V25" i="1"/>
  <c r="T25" i="1"/>
  <c r="V22" i="1"/>
  <c r="T22" i="1"/>
  <c r="W18" i="1"/>
  <c r="V18" i="1"/>
  <c r="T18" i="1"/>
  <c r="V15" i="1"/>
  <c r="T15" i="1"/>
  <c r="V9" i="1"/>
  <c r="T9" i="1"/>
  <c r="V6" i="1"/>
  <c r="T6" i="1"/>
  <c r="B33" i="1"/>
  <c r="B31" i="1"/>
  <c r="B30" i="1"/>
  <c r="M24" i="1"/>
  <c r="M25" i="1"/>
  <c r="M26" i="1"/>
  <c r="M28" i="1"/>
  <c r="M29" i="1"/>
  <c r="M31" i="1"/>
  <c r="M32" i="1"/>
  <c r="M33" i="1"/>
  <c r="M34" i="1"/>
  <c r="M35" i="1"/>
  <c r="M36" i="1"/>
  <c r="M23" i="1"/>
  <c r="L24" i="1"/>
  <c r="L25" i="1"/>
  <c r="L26" i="1"/>
  <c r="L28" i="1"/>
  <c r="L29" i="1"/>
  <c r="L31" i="1"/>
  <c r="L32" i="1"/>
  <c r="L33" i="1"/>
  <c r="L34" i="1"/>
  <c r="L35" i="1"/>
  <c r="L23" i="1"/>
  <c r="J24" i="1"/>
  <c r="J25" i="1"/>
  <c r="J26" i="1"/>
  <c r="J28" i="1"/>
  <c r="J29" i="1"/>
  <c r="J31" i="1"/>
  <c r="J32" i="1"/>
  <c r="J33" i="1"/>
  <c r="J34" i="1"/>
  <c r="J35" i="1"/>
  <c r="J23" i="1"/>
  <c r="M8" i="1"/>
  <c r="M9" i="1"/>
  <c r="M10" i="1"/>
  <c r="M11" i="1"/>
  <c r="M13" i="1"/>
  <c r="M14" i="1"/>
  <c r="M15" i="1"/>
  <c r="M16" i="1"/>
  <c r="M17" i="1"/>
  <c r="M18" i="1"/>
  <c r="M19" i="1"/>
  <c r="M7" i="1"/>
  <c r="F7" i="1"/>
  <c r="L8" i="1"/>
  <c r="L9" i="1"/>
  <c r="L10" i="1"/>
  <c r="L11" i="1"/>
  <c r="L13" i="1"/>
  <c r="L14" i="1"/>
  <c r="L15" i="1"/>
  <c r="L16" i="1"/>
  <c r="L17" i="1"/>
  <c r="L18" i="1"/>
  <c r="L7" i="1"/>
  <c r="J8" i="1"/>
  <c r="J9" i="1"/>
  <c r="J10" i="1"/>
  <c r="J11" i="1"/>
  <c r="J13" i="1"/>
  <c r="J14" i="1"/>
  <c r="J15" i="1"/>
  <c r="J16" i="1"/>
  <c r="J17" i="1"/>
  <c r="J18" i="1"/>
  <c r="J7" i="1"/>
  <c r="F6" i="1"/>
  <c r="F9" i="1"/>
  <c r="F10" i="1"/>
  <c r="F11" i="1"/>
  <c r="F12" i="1"/>
  <c r="F13" i="1"/>
  <c r="F14" i="1"/>
  <c r="F15" i="1"/>
  <c r="F16" i="1"/>
  <c r="F17" i="1"/>
  <c r="F18" i="1"/>
  <c r="F19" i="1"/>
  <c r="F20" i="1"/>
  <c r="F5" i="1"/>
  <c r="E7" i="1"/>
  <c r="E9" i="1"/>
  <c r="E10" i="1"/>
  <c r="E11" i="1"/>
  <c r="E12" i="1"/>
  <c r="E13" i="1"/>
  <c r="E14" i="1"/>
  <c r="E15" i="1"/>
  <c r="E16" i="1"/>
  <c r="E17" i="1"/>
  <c r="E18" i="1"/>
  <c r="E19" i="1"/>
  <c r="E20" i="1"/>
  <c r="E6" i="1"/>
  <c r="C9" i="1"/>
  <c r="C10" i="1"/>
  <c r="C11" i="1"/>
  <c r="C12" i="1"/>
  <c r="C13" i="1"/>
  <c r="C14" i="1"/>
  <c r="C15" i="1"/>
  <c r="C16" i="1"/>
  <c r="C17" i="1"/>
  <c r="C18" i="1"/>
  <c r="C19" i="1"/>
  <c r="C20" i="1"/>
  <c r="C7" i="1"/>
  <c r="C6" i="1"/>
  <c r="P28" i="1"/>
  <c r="P33" i="1"/>
  <c r="P25" i="1"/>
  <c r="P24" i="1"/>
  <c r="P13" i="1"/>
  <c r="P12" i="1"/>
  <c r="P10" i="1"/>
  <c r="P9" i="1"/>
  <c r="P8" i="1"/>
  <c r="P27" i="1"/>
  <c r="B27" i="1"/>
  <c r="P29" i="1" l="1"/>
  <c r="K35" i="1"/>
  <c r="K29" i="1"/>
  <c r="K26" i="1"/>
  <c r="K16" i="1"/>
  <c r="K11" i="1"/>
  <c r="D13" i="1"/>
  <c r="I35" i="1"/>
  <c r="I29" i="1"/>
  <c r="I26" i="1"/>
  <c r="I36" i="1" l="1"/>
  <c r="K18" i="1"/>
  <c r="K19" i="1" s="1"/>
  <c r="D7" i="1"/>
  <c r="K36" i="1"/>
  <c r="I16" i="1"/>
  <c r="I11" i="1"/>
  <c r="B13" i="1"/>
  <c r="B7" i="1"/>
  <c r="P19" i="1" l="1"/>
  <c r="P20" i="1" s="1"/>
  <c r="B14" i="1"/>
  <c r="D14" i="1"/>
  <c r="I18" i="1"/>
  <c r="B16" i="1" l="1"/>
  <c r="I19" i="1"/>
  <c r="D16" i="1"/>
  <c r="B17" i="1" l="1"/>
  <c r="D17" i="1"/>
  <c r="B18" i="1" l="1"/>
  <c r="D18" i="1"/>
  <c r="B20" i="1" l="1"/>
  <c r="B28" i="1"/>
  <c r="B29" i="1" s="1"/>
  <c r="P6" i="1"/>
  <c r="P14" i="1" s="1"/>
  <c r="P32" i="1" s="1"/>
  <c r="P34" i="1" s="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Alejandro Montenegro Monzon</author>
  </authors>
  <commentList>
    <comment ref="R13" authorId="0" shapeId="0" xr:uid="{75A0B1BE-4CE2-4AA6-AC01-1BE611426F64}">
      <text>
        <r>
          <rPr>
            <b/>
            <sz val="9"/>
            <color indexed="81"/>
            <rFont val="Tahoma"/>
            <charset val="1"/>
          </rPr>
          <t>Analizan la eficiencia de la empresa desde distintos puntos de vista. Indican que tanto se aprovechan los activos de la empresa.</t>
        </r>
      </text>
    </comment>
    <comment ref="R36" authorId="0" shapeId="0" xr:uid="{FE546FA3-9072-48ED-A855-90F850940FA3}">
      <text>
        <r>
          <rPr>
            <b/>
            <sz val="9"/>
            <color indexed="81"/>
            <rFont val="Tahoma"/>
            <charset val="1"/>
          </rPr>
          <t>Analiza el uso de capital ajeno para financiar activos de la empresa.</t>
        </r>
      </text>
    </comment>
    <comment ref="R44" authorId="0" shapeId="0" xr:uid="{29384EEE-731E-4800-AD80-287F63C135C3}">
      <text>
        <r>
          <rPr>
            <b/>
            <sz val="9"/>
            <color indexed="81"/>
            <rFont val="Tahoma"/>
            <charset val="1"/>
          </rPr>
          <t xml:space="preserve">Analiza si la marcha del negocio es la esperada en cuanto a las ganancias obtenidas a partir del dinero aportado (capital aportado). </t>
        </r>
      </text>
    </comment>
  </commentList>
</comments>
</file>

<file path=xl/sharedStrings.xml><?xml version="1.0" encoding="utf-8"?>
<sst xmlns="http://schemas.openxmlformats.org/spreadsheetml/2006/main" count="227" uniqueCount="189">
  <si>
    <t>Estado de Resultados</t>
  </si>
  <si>
    <t>Richard´s  Company, S.A.</t>
  </si>
  <si>
    <t>Ingresos por ventas</t>
  </si>
  <si>
    <t>(-) Costo de ventas</t>
  </si>
  <si>
    <t>Utilidad Bruta</t>
  </si>
  <si>
    <t>(-) Gastos Operativos</t>
  </si>
  <si>
    <t xml:space="preserve">      Gastos de ventas</t>
  </si>
  <si>
    <t xml:space="preserve">      Gastos generales y administrativos</t>
  </si>
  <si>
    <t xml:space="preserve">      Gastos de arrendamiento</t>
  </si>
  <si>
    <t xml:space="preserve">      Gastos por depreciación</t>
  </si>
  <si>
    <t xml:space="preserve">      Total de gastos operativos</t>
  </si>
  <si>
    <t>Utilidad Operativa</t>
  </si>
  <si>
    <t>(-) Intereses</t>
  </si>
  <si>
    <t>Utilidad neta antes de impuestos</t>
  </si>
  <si>
    <t>(-) Impuestos</t>
  </si>
  <si>
    <t>Utilidad neta después de impuestos</t>
  </si>
  <si>
    <t>(-) Dividendos Preferentes</t>
  </si>
  <si>
    <t>Ganancia disponible para accionistas comunes</t>
  </si>
  <si>
    <t>Balance General</t>
  </si>
  <si>
    <t>ACTIVOS</t>
  </si>
  <si>
    <t>Valores negociables</t>
  </si>
  <si>
    <t>Bancos</t>
  </si>
  <si>
    <t>Cuentas por cobrar</t>
  </si>
  <si>
    <t>Inventarios</t>
  </si>
  <si>
    <t>Total de activos corrientes</t>
  </si>
  <si>
    <t>Activo Corriente</t>
  </si>
  <si>
    <t>Activos No Corrientes</t>
  </si>
  <si>
    <t>Maquinaria y Equipo</t>
  </si>
  <si>
    <t>Mobiliario y Accesorios</t>
  </si>
  <si>
    <t>Terreno y Edificios</t>
  </si>
  <si>
    <t>Total de activos brutos</t>
  </si>
  <si>
    <t>(-) Depreciación Acumulada</t>
  </si>
  <si>
    <t>Total de activos no corrientes</t>
  </si>
  <si>
    <t>SUMA TOTAL DEL ACTIVO</t>
  </si>
  <si>
    <t>PASIVO Y PATRIMONIO</t>
  </si>
  <si>
    <t>Cuentas por Pagar</t>
  </si>
  <si>
    <t>Documentos por Pagar</t>
  </si>
  <si>
    <t>Deudas Acumuladas</t>
  </si>
  <si>
    <t>Pasivos Corrientes</t>
  </si>
  <si>
    <t>Total de pasivos corrientes</t>
  </si>
  <si>
    <t>Pasivos No Corrientes</t>
  </si>
  <si>
    <t>Deuda a largo plazo</t>
  </si>
  <si>
    <t>Total de pasivos No corrientes</t>
  </si>
  <si>
    <t>Capital</t>
  </si>
  <si>
    <t>Acciones Preferentes (25,000)</t>
  </si>
  <si>
    <t>Acciones Comunes (1 millón)</t>
  </si>
  <si>
    <t>Capital pagado en exceso del valor a la par</t>
  </si>
  <si>
    <t>Ganancias retenidas</t>
  </si>
  <si>
    <t>Total de Capital</t>
  </si>
  <si>
    <t>SUMA TOTAL DEL PASIVO + CAPITAL</t>
  </si>
  <si>
    <t>Estado de Utilidades Retenidas</t>
  </si>
  <si>
    <t>Utilidad Disponible para acciones preferentes y comunes</t>
  </si>
  <si>
    <t>(-) Pago de Acciones Preferentes</t>
  </si>
  <si>
    <t>Utilidad Disponible para acciones comunes</t>
  </si>
  <si>
    <t>(-) Pago de Acciones Comunes</t>
  </si>
  <si>
    <t>ACTIVIDADES DE OPERACIÓN</t>
  </si>
  <si>
    <t>Adiciones (Origen de Efectivo):</t>
  </si>
  <si>
    <t>Depreciación</t>
  </si>
  <si>
    <t>Incremento en Cuentas por Pagar</t>
  </si>
  <si>
    <t>Sustracciones (Aplicaciones de Efectivo):</t>
  </si>
  <si>
    <t>Incremento en Cuentas por Cobrar</t>
  </si>
  <si>
    <t>FNE por actividades de Operación</t>
  </si>
  <si>
    <t>ACTIVIDADES DE INVERSIÓN A LARGO PLAZO</t>
  </si>
  <si>
    <t>Aumento de Activos fijos brutos</t>
  </si>
  <si>
    <t>FNE por actividades de inversión</t>
  </si>
  <si>
    <t>ACTIVIDADES DE FINANCIAMIENTO</t>
  </si>
  <si>
    <t>Aumento de la Deuda a Largo plazo</t>
  </si>
  <si>
    <t>Pago dividendos preferentes</t>
  </si>
  <si>
    <t>FNE por actividades de Financiamiento</t>
  </si>
  <si>
    <t>Suma de FNE igual a Cambio de Efectivo</t>
  </si>
  <si>
    <t>Aumento en los inventarios</t>
  </si>
  <si>
    <t>Aumento en las Deudas Acumuladas</t>
  </si>
  <si>
    <t>Aumento de Documentos por Pagar</t>
  </si>
  <si>
    <t>Pago dividendos comunes</t>
  </si>
  <si>
    <t>RAZONES FINANCIERAS</t>
  </si>
  <si>
    <t>PROM. INDUSTRIA</t>
  </si>
  <si>
    <t>COMENTARIO</t>
  </si>
  <si>
    <t>Razón Rápida</t>
  </si>
  <si>
    <t>Ventas</t>
  </si>
  <si>
    <t>Activos Fijos Netos</t>
  </si>
  <si>
    <t>Rotación de los activos Totales</t>
  </si>
  <si>
    <t>Activos Totales</t>
  </si>
  <si>
    <t>ADMINISTRACIÓN DE DEUDAS</t>
  </si>
  <si>
    <t>Rotación de Intereses</t>
  </si>
  <si>
    <t>Cargo por Intereses</t>
  </si>
  <si>
    <t>RENTABILIDAD</t>
  </si>
  <si>
    <t>Margen de Utilidad sobre Ventas</t>
  </si>
  <si>
    <t>Generación Básica de Utilidades</t>
  </si>
  <si>
    <t>Rendimiento sobre Capital Contable</t>
  </si>
  <si>
    <t>(ROE)</t>
  </si>
  <si>
    <t>Capital Contable Común</t>
  </si>
  <si>
    <t>VALOR DE MERCADO</t>
  </si>
  <si>
    <t>Precio/Utilidad   (P/E)</t>
  </si>
  <si>
    <t>Precio por Acción</t>
  </si>
  <si>
    <t>Utilidades por Acción</t>
  </si>
  <si>
    <t>Valor de Mercado/Valor en</t>
  </si>
  <si>
    <t>Libros</t>
  </si>
  <si>
    <t>Ventas Anuales / 365</t>
  </si>
  <si>
    <t>Intereses</t>
  </si>
  <si>
    <t>Dividendos Preferentes</t>
  </si>
  <si>
    <t>Gastos de ventas</t>
  </si>
  <si>
    <t>Gastos generales y administrativos</t>
  </si>
  <si>
    <t>Gastos de arrendamiento</t>
  </si>
  <si>
    <t>Gastos por depreciación</t>
  </si>
  <si>
    <t>Costo de ventas</t>
  </si>
  <si>
    <t>Depreciación Acumulada</t>
  </si>
  <si>
    <t>Costo de Ventas</t>
  </si>
  <si>
    <t>% V</t>
  </si>
  <si>
    <t>%H</t>
  </si>
  <si>
    <t>*Usando como efectivo: Bancos y Valores Negociables</t>
  </si>
  <si>
    <t>Del 01 de enero al 31 de diciembre 2021-2022</t>
  </si>
  <si>
    <t>Al 31 de diciembre 2021-2022</t>
  </si>
  <si>
    <t>Del año 2022, que finaliza el 31 de diciembre</t>
  </si>
  <si>
    <t>Saldo en Utilidades Retenidas Dic 2021</t>
  </si>
  <si>
    <t>(+) Utilidad Neta del Ejercicio del 2022</t>
  </si>
  <si>
    <t>Utilidad Retenida al 2022</t>
  </si>
  <si>
    <t>AÑO 2021-2022</t>
  </si>
  <si>
    <t>AÑO 2022</t>
  </si>
  <si>
    <t>AÑO 2021</t>
  </si>
  <si>
    <t>Pasivo Corriente</t>
  </si>
  <si>
    <t>Activo Corriente - Inventarios</t>
  </si>
  <si>
    <t>(Prueba ácida)</t>
  </si>
  <si>
    <t>Días de Inventario</t>
  </si>
  <si>
    <t>Inventario</t>
  </si>
  <si>
    <t>(PPI)</t>
  </si>
  <si>
    <t>Costo de ventas / 365</t>
  </si>
  <si>
    <t>(PPC)</t>
  </si>
  <si>
    <t>(Activos No Corrientes)</t>
  </si>
  <si>
    <t>Nivel de Endeudamiento Total</t>
  </si>
  <si>
    <t>(Cobertura de Intereses)</t>
  </si>
  <si>
    <t>UAII</t>
  </si>
  <si>
    <t>UDAC</t>
  </si>
  <si>
    <t>Del 01 de enero al 31 de diciembre 2022</t>
  </si>
  <si>
    <t>(+) Efectivo al Final del Año 2021</t>
  </si>
  <si>
    <t>Efectivo al Final del Año 2022</t>
  </si>
  <si>
    <t>Utilidad Neta</t>
  </si>
  <si>
    <t>(PPP)</t>
  </si>
  <si>
    <t>Compras Anuales / 365</t>
  </si>
  <si>
    <t>esto es cálculo del procentaje porcentual.</t>
  </si>
  <si>
    <t>el análisis es un análisis cuenta por cuenta. Es a través del tiempo.</t>
  </si>
  <si>
    <t xml:space="preserve">. Crecimos en ventas por mis unidades o por la inflación?. </t>
  </si>
  <si>
    <t xml:space="preserve">Resultado: Esta empresa disminuyó sus ventas en un 14.3% del 2021 al 2022. El costo de ventas en relación a los ingresos aumentó del 2021 al 2022 Representando ahora un 4% que antes, aunque monetariamente sabemos que gastamos menos. Las utilidades de la empresa que quedan disponibles para cubir gastos de operación, intereeses y dividendos, disminuyeron en relacion al 2021. Antes teníamos 34 centavos y ahora se tienen 30 centavos por cada quetzal vendido. La utilidad opertiva también disminuyó, de 10.9% ahora es de 10%. Luego de pagar todas sus obligaciones, a la emrpesa todavía le está quedando un 4.7% para reinvertir o pagar a sus accionistas comunes, sin embargo en el 2021 había quedando 6.8%, por lo tanto a la empresa, sus ganancias disponibles, disminuyeron un 40.9% </t>
  </si>
  <si>
    <t>Los activos no corrientes dan más ganancias, porque son los activos no corrientes no me generan tantas ganancias.</t>
  </si>
  <si>
    <t>Valores negociables (es una inversión de muy muy corto plazo, que genera muy muy mucha ganancia)(Por ejemplo: los reportos)</t>
  </si>
  <si>
    <t>El inventario creció un 15%. Respecto a los activos no se ve mal en inventarios. Esta empresa tiene un aumento en activos, en este caso, aumentó porque alguien proveyó a la empresa para realizar sus gastos.</t>
  </si>
  <si>
    <t>El aumento de activo se debe al aumento de los pasivos corrientes y no corrientes y a las ganancias retenidas.</t>
  </si>
  <si>
    <t>El resto es de alguien ajeno, osea el 73%.</t>
  </si>
  <si>
    <t>El capital propio indica que a la empresa solo le pertenece el 27% de la empresa.</t>
  </si>
  <si>
    <t>respecto de las deudas, en los documentos por pagar y las cuentas por pagar, aumentaron y son las 2 cuentas con mayor incremento en pasivos.</t>
  </si>
  <si>
    <t>Con los activos que posee, si puede cubrir sus pasivos corrientes. Por cada 1.42 de activos puede pagar cada quetzal de pasivos. Resulta ser que la industria tiene mayor capacidad de pago que en la empresa.</t>
  </si>
  <si>
    <t>Si se cuenta con capacidad de pago de corto plazo a través de lso activos corrientes que posee. En el 2022, por cada quetzal que debe, cuenta con 1.42Q para cubrirlo. La competencia tiene mejor capacidad.</t>
  </si>
  <si>
    <t>Razón Corriente (razón circulante)</t>
  </si>
  <si>
    <t>Si la empresa no vende sus inventarios, entonces no tiene capacidad de pago en el corto plazo, por cada quetzal que debe, en el 2022 le faltan 0.03 centavos para cubrir esa deuda.</t>
  </si>
  <si>
    <t>Antes le faltaban más, pero aún así está mal, pues no logrará pagar sus deudas.</t>
  </si>
  <si>
    <t>La competencia no depende del inventario para cubrir sus deudas a corto plazo, a partir de sus activos corrientes.</t>
  </si>
  <si>
    <t>Razones o índices son los mismo. Y miden la eficiencia con que la empresa está operando.</t>
  </si>
  <si>
    <t>RAZONES DE LIQUIDEZ: se enfoca en ver la capacidad de pago a corto plazo de la empresa. Si puedo o no pagarlo. Analizan la capacidad de pago de la empresa en el corto plazo.</t>
  </si>
  <si>
    <t xml:space="preserve">ADMINISTRACION DE ACTIVOS (Razones de actividad). Esto mide la eficiencia con lo que se aprovechan los activos de la empresa. Si se utilizan de manera óptima el manejo de los recursos. </t>
  </si>
  <si>
    <t>Rotación de Inventarios (No. de veces en que un periodo de tiempo, yo realizo inventario)</t>
  </si>
  <si>
    <t>días almacenados en inventario</t>
  </si>
  <si>
    <t>Se logra vaciar las bodegas de la emrpesa 2.8 veces en el año 2022, por lo que el producto pasa almacenado antes de su venta alrededor de 130 días. En el 2021 pasaba menos tiempo en bodega y la competencia solamente lo mantiene 46 días antes de venderlo. El manejo de los inventarios es deficiente.</t>
  </si>
  <si>
    <t>Días de venta Pendientes de Cobro. Lo que mis clientes se tardan en pagarme</t>
  </si>
  <si>
    <t>Cuentas por Cobrar (en otros casos puede ser la cuenta clientes)</t>
  </si>
  <si>
    <t>días</t>
  </si>
  <si>
    <t>Es inadecuado el manejo de las cuentas por cobrar (del crédito otorgado a los clientes), ya que se tardan casi 5 meses en pagar los productos que adquirieron. La competencia logra cobrar sus ventas en 3 meses.</t>
  </si>
  <si>
    <t>Rotación de los Activos Fijos. Mide que tanto aprovechamos los activos (productivos, fijos) para producir ventas</t>
  </si>
  <si>
    <t>La empresa no aprovecha adecuadamente el uso de sus activos productivos, ni el total de todos los activos.</t>
  </si>
  <si>
    <t>En el 2022, por cada quetzal invertido en propiedad, planta y equipo solo logra obtener Q1.13 en ventas. En el 2021, eestaba mejor incluso que la competencia, pues lograba Q1.49 por cada quetzal.</t>
  </si>
  <si>
    <t>(Esto también afecta a lo de abajo)</t>
  </si>
  <si>
    <t>En una sola palabra, deficiencia de activos.</t>
  </si>
  <si>
    <t>Días pendientes de Pago.</t>
  </si>
  <si>
    <t>Cuentas por Pagar (proveedores, acreedores, y cuentas por pagar)</t>
  </si>
  <si>
    <t>que sea igual o mayor que el … Que mis proveedores me permitan pagarle a un plazo más largos.</t>
  </si>
  <si>
    <t>Deuda Total (pasivo total)</t>
  </si>
  <si>
    <t>UAII (utilidad operativa o utilidad antes de impuestos)</t>
  </si>
  <si>
    <t>Ingreso Neto para Acc. Comunes (UDAC)</t>
  </si>
  <si>
    <t>Rendimiento sobre Activos (ROA) (que tanto estoy teniendo de utilidades, después de haber pagado todo completamente, que tanto aproveché mis activos)</t>
  </si>
  <si>
    <t>Las ganancias para los accionistas comunes han disminuido del 2021 al 2022. Antes se lograba ganar un 6.8% sobre ventas, ahora 4.7%. La capacidad de generar utilidades a partir de los activos que se posee también disminuyó y en los dos años analizados se estuvo por debajo de la industria.
Los accionistas comunes seguramente no están contentos porque su retorno de capital en el 2022 es casi la mitad de lo recibido en el 2021. Se esperaba aumentar rentabilidad con el aumento de deuda, pero el efecto fue al revés.</t>
  </si>
  <si>
    <t>Esta empresa está endeudada mucho. La empresa meneja un nivel de deuda muy alto, lo que la coloca en una posición muy riesgosa. En el 2022, debe el 73% de los activos que posee. La competencia solo debe el 40%. Además la capacidad de pago de los intereses relacionados disminuyó a menos de la mitad de lo que se tenía en el 2021. Sin emgargo, si es suficiente la UAII que posee para pagar los intereses del año.</t>
  </si>
  <si>
    <t>El precio contable de la acción  (precio original). Precio contable de la Acción Común</t>
  </si>
  <si>
    <t>Precio contable de la acción preferente</t>
  </si>
  <si>
    <t>Precio de venta de la acción común</t>
  </si>
  <si>
    <t>Precio de venta de la acción preferente</t>
  </si>
  <si>
    <t>Valor en Libros por Acción (valor original de las acciones, es la que está en el balance general)</t>
  </si>
  <si>
    <t>Precio de Mercado por Acción (es el precio de mercado)</t>
  </si>
  <si>
    <t>Valor original</t>
  </si>
  <si>
    <t>utilidades por acción(solo para las comunes)</t>
  </si>
  <si>
    <t>Utilidad por Acción =UDAC/No Acciones comunes</t>
  </si>
  <si>
    <t>Dividendos por acción común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</si>
</sst>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Q-100A]* #,##0.00_);_([$Q-100A]* \(#,##0.00\);_([$Q-100A]* &quot;-&quot;??_);_(@_)"/>
    <numFmt numFmtId="165" formatCode="0.00000"/>
    <numFmt numFmtId="166" formatCode="0.0%"/>
  </numFmts>
  <fonts count="11"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val="singleAccounting"/>
      <sz val="11"/>
      <color theme="1"/>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sz val="11"/>
      <color theme="1"/>
      <name val="Calibri"/>
      <family val="2"/>
      <scheme val="minor"/>
    </font>
    <font>
      <sz val="11"/>
      <color rgb="FF000000"/>
      <name val="Calibri"/>
      <family val="2"/>
      <scheme val="minor"/>
    </font>
    <font>
      <b/>
      <sz val="9"/>
      <color indexed="81"/>
      <name val="Tahoma"/>
      <charset val="1"/>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164" fontId="0" fillId="0" borderId="0"/>
    <xf numFmtId="9" fontId="8" fillId="0" borderId="0" applyFont="0" applyFill="0" applyBorder="0" applyAlignment="0" applyProtection="0"/>
  </cellStyleXfs>
  <cellXfs count="54">
    <xf numFmtId="164" fontId="0" fillId="0" borderId="0" xfId="0"/>
    <xf numFmtId="164" fontId="1" fillId="0" borderId="0" xfId="0" applyFont="1"/>
    <xf numFmtId="164" fontId="2" fillId="0" borderId="0" xfId="0" applyFont="1"/>
    <xf numFmtId="164" fontId="0" fillId="0" borderId="1" xfId="0" applyBorder="1"/>
    <xf numFmtId="164" fontId="1" fillId="0" borderId="2" xfId="0" applyFont="1" applyBorder="1"/>
    <xf numFmtId="164" fontId="3" fillId="0" borderId="0" xfId="0" applyFont="1"/>
    <xf numFmtId="164" fontId="4" fillId="0" borderId="0" xfId="0" applyFont="1"/>
    <xf numFmtId="164" fontId="5" fillId="0" borderId="0" xfId="0" applyFont="1"/>
    <xf numFmtId="164" fontId="6" fillId="0" borderId="0" xfId="0" applyFont="1"/>
    <xf numFmtId="164" fontId="5" fillId="0" borderId="1" xfId="0" applyFont="1" applyBorder="1"/>
    <xf numFmtId="164" fontId="6" fillId="0" borderId="2" xfId="0" applyFont="1" applyBorder="1"/>
    <xf numFmtId="164" fontId="7" fillId="0" borderId="0" xfId="0" applyFont="1"/>
    <xf numFmtId="37" fontId="1" fillId="0" borderId="0" xfId="0" applyNumberFormat="1" applyFont="1" applyAlignment="1">
      <alignment horizontal="center"/>
    </xf>
    <xf numFmtId="10" fontId="0" fillId="0" borderId="0" xfId="1" applyNumberFormat="1" applyFont="1"/>
    <xf numFmtId="165" fontId="0" fillId="0" borderId="0" xfId="0" applyNumberFormat="1"/>
    <xf numFmtId="164" fontId="1" fillId="3" borderId="0" xfId="0" applyFont="1" applyFill="1"/>
    <xf numFmtId="164" fontId="0" fillId="3" borderId="0" xfId="0" applyFill="1" applyAlignment="1">
      <alignment horizontal="center"/>
    </xf>
    <xf numFmtId="164" fontId="0" fillId="3" borderId="0" xfId="0" applyFill="1"/>
    <xf numFmtId="164" fontId="1" fillId="3" borderId="0" xfId="0" applyFont="1" applyFill="1" applyAlignment="1">
      <alignment horizontal="center"/>
    </xf>
    <xf numFmtId="164" fontId="1" fillId="2" borderId="0" xfId="0" applyFont="1" applyFill="1" applyAlignment="1">
      <alignment horizontal="center" wrapText="1"/>
    </xf>
    <xf numFmtId="164" fontId="0" fillId="3" borderId="1" xfId="0" applyFill="1" applyBorder="1" applyAlignment="1">
      <alignment horizontal="center"/>
    </xf>
    <xf numFmtId="164" fontId="0" fillId="2" borderId="0" xfId="0" applyFill="1" applyAlignment="1">
      <alignment horizontal="center"/>
    </xf>
    <xf numFmtId="4" fontId="0" fillId="2" borderId="0" xfId="0" applyNumberFormat="1" applyFill="1" applyAlignment="1">
      <alignment horizontal="center"/>
    </xf>
    <xf numFmtId="164" fontId="0" fillId="3" borderId="0" xfId="0" applyFill="1" applyAlignment="1">
      <alignment horizontal="center" vertical="top"/>
    </xf>
    <xf numFmtId="10" fontId="0" fillId="2" borderId="0" xfId="0" applyNumberFormat="1" applyFill="1" applyAlignment="1">
      <alignment horizontal="center"/>
    </xf>
    <xf numFmtId="164" fontId="0" fillId="0" borderId="0" xfId="0" applyAlignment="1">
      <alignment horizontal="center"/>
    </xf>
    <xf numFmtId="2" fontId="0" fillId="2" borderId="0" xfId="0" applyNumberFormat="1" applyFill="1" applyAlignment="1">
      <alignment horizontal="center"/>
    </xf>
    <xf numFmtId="164" fontId="0" fillId="0" borderId="3" xfId="0" applyBorder="1"/>
    <xf numFmtId="0" fontId="0" fillId="0" borderId="0" xfId="0" applyNumberFormat="1"/>
    <xf numFmtId="43" fontId="0" fillId="0" borderId="0" xfId="0" applyNumberFormat="1"/>
    <xf numFmtId="9" fontId="5" fillId="0" borderId="0" xfId="1" applyFont="1" applyFill="1" applyBorder="1" applyAlignment="1">
      <alignment horizontal="center"/>
    </xf>
    <xf numFmtId="164" fontId="0" fillId="3" borderId="0" xfId="0" applyFill="1" applyAlignment="1">
      <alignment horizontal="left"/>
    </xf>
    <xf numFmtId="164" fontId="3" fillId="3" borderId="0" xfId="0" applyFont="1" applyFill="1" applyAlignment="1">
      <alignment horizontal="left"/>
    </xf>
    <xf numFmtId="164" fontId="7" fillId="3" borderId="0" xfId="0" applyFont="1" applyFill="1" applyAlignment="1">
      <alignment horizontal="left"/>
    </xf>
    <xf numFmtId="164" fontId="7" fillId="3" borderId="0" xfId="0" applyFont="1" applyFill="1" applyAlignment="1">
      <alignment horizontal="center"/>
    </xf>
    <xf numFmtId="37" fontId="1" fillId="4" borderId="0" xfId="0" applyNumberFormat="1" applyFont="1" applyFill="1" applyAlignment="1">
      <alignment horizontal="center"/>
    </xf>
    <xf numFmtId="37" fontId="1" fillId="4" borderId="3" xfId="0" applyNumberFormat="1" applyFont="1" applyFill="1" applyBorder="1" applyAlignment="1">
      <alignment horizontal="center"/>
    </xf>
    <xf numFmtId="164" fontId="9" fillId="0" borderId="3" xfId="0" applyFont="1" applyBorder="1" applyAlignment="1">
      <alignment vertical="center"/>
    </xf>
    <xf numFmtId="37" fontId="6" fillId="0" borderId="0" xfId="0" applyNumberFormat="1" applyFont="1" applyAlignment="1">
      <alignment horizontal="center"/>
    </xf>
    <xf numFmtId="166" fontId="5" fillId="0" borderId="0" xfId="1" applyNumberFormat="1" applyFont="1" applyFill="1" applyBorder="1" applyAlignment="1">
      <alignment horizontal="center"/>
    </xf>
    <xf numFmtId="166" fontId="5" fillId="0" borderId="0" xfId="0" applyNumberFormat="1" applyFont="1" applyAlignment="1">
      <alignment horizontal="center" vertical="center"/>
    </xf>
    <xf numFmtId="166" fontId="5" fillId="5" borderId="0" xfId="0" applyNumberFormat="1" applyFont="1" applyFill="1" applyAlignment="1">
      <alignment horizontal="center" vertical="center"/>
    </xf>
    <xf numFmtId="166" fontId="5" fillId="6" borderId="0" xfId="0" applyNumberFormat="1" applyFont="1" applyFill="1" applyAlignment="1">
      <alignment horizontal="center" vertical="center"/>
    </xf>
    <xf numFmtId="2" fontId="0" fillId="3" borderId="0" xfId="0" applyNumberFormat="1" applyFill="1" applyAlignment="1">
      <alignment horizontal="center"/>
    </xf>
    <xf numFmtId="1" fontId="0" fillId="3" borderId="0" xfId="0" applyNumberFormat="1" applyFill="1" applyAlignment="1">
      <alignment horizontal="center"/>
    </xf>
    <xf numFmtId="0" fontId="7" fillId="3" borderId="0" xfId="0" applyNumberFormat="1" applyFont="1" applyFill="1" applyAlignment="1">
      <alignment horizontal="left"/>
    </xf>
    <xf numFmtId="1" fontId="0" fillId="2" borderId="0" xfId="0" applyNumberFormat="1" applyFill="1" applyAlignment="1">
      <alignment horizontal="center"/>
    </xf>
    <xf numFmtId="9" fontId="0" fillId="3" borderId="0" xfId="1" applyFont="1" applyFill="1" applyAlignment="1">
      <alignment horizontal="center"/>
    </xf>
    <xf numFmtId="166" fontId="0" fillId="3" borderId="0" xfId="1" applyNumberFormat="1" applyFont="1" applyFill="1" applyAlignment="1">
      <alignment horizontal="center"/>
    </xf>
    <xf numFmtId="0" fontId="3" fillId="3" borderId="0" xfId="0" applyNumberFormat="1" applyFont="1" applyFill="1" applyAlignment="1">
      <alignment horizontal="center" vertical="center" wrapText="1"/>
    </xf>
    <xf numFmtId="0" fontId="0" fillId="3" borderId="0" xfId="0" applyNumberFormat="1" applyFill="1" applyAlignment="1">
      <alignment horizontal="center" vertical="center" wrapText="1"/>
    </xf>
    <xf numFmtId="164" fontId="0" fillId="0" borderId="0" xfId="0" applyAlignment="1">
      <alignment horizontal="center"/>
    </xf>
    <xf numFmtId="0" fontId="0" fillId="0" borderId="0" xfId="0" applyNumberFormat="1" applyAlignment="1">
      <alignment horizontal="center"/>
    </xf>
    <xf numFmtId="2"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A14" sqref="A14"/>
    </sheetView>
  </sheetViews>
  <sheetFormatPr defaultColWidth="11.42578125" defaultRowHeight="15" x14ac:dyDescent="0.25"/>
  <cols>
    <col min="1" max="1" width="52.28515625" customWidth="1"/>
    <col min="2" max="2" width="16.42578125" customWidth="1"/>
    <col min="3" max="3" width="17.28515625" customWidth="1"/>
    <col min="4" max="4" width="6.28515625" customWidth="1"/>
  </cols>
  <sheetData>
    <row r="1" spans="1:4" x14ac:dyDescent="0.25">
      <c r="A1" s="1" t="s">
        <v>1</v>
      </c>
    </row>
    <row r="2" spans="1:4" x14ac:dyDescent="0.25">
      <c r="B2" s="36">
        <v>2022</v>
      </c>
      <c r="C2" s="36">
        <v>2021</v>
      </c>
    </row>
    <row r="3" spans="1:4" x14ac:dyDescent="0.25">
      <c r="A3" s="27" t="s">
        <v>45</v>
      </c>
      <c r="B3" s="27">
        <v>5000000</v>
      </c>
      <c r="C3" s="37">
        <v>5000000</v>
      </c>
    </row>
    <row r="4" spans="1:4" x14ac:dyDescent="0.25">
      <c r="A4" s="27" t="s">
        <v>44</v>
      </c>
      <c r="B4" s="27">
        <v>2500000</v>
      </c>
      <c r="C4" s="37">
        <v>2500000</v>
      </c>
    </row>
    <row r="5" spans="1:4" x14ac:dyDescent="0.25">
      <c r="A5" s="27" t="s">
        <v>21</v>
      </c>
      <c r="B5" s="27">
        <v>1000000</v>
      </c>
      <c r="C5" s="37">
        <v>1375000</v>
      </c>
    </row>
    <row r="6" spans="1:4" x14ac:dyDescent="0.25">
      <c r="A6" s="27" t="s">
        <v>46</v>
      </c>
      <c r="B6" s="27">
        <v>4000000</v>
      </c>
      <c r="C6" s="37">
        <v>4000000</v>
      </c>
    </row>
    <row r="7" spans="1:4" x14ac:dyDescent="0.25">
      <c r="A7" s="27" t="s">
        <v>104</v>
      </c>
      <c r="B7" s="27">
        <v>21000000</v>
      </c>
      <c r="C7" s="37">
        <v>23065000</v>
      </c>
    </row>
    <row r="8" spans="1:4" x14ac:dyDescent="0.25">
      <c r="A8" s="27" t="s">
        <v>22</v>
      </c>
      <c r="B8" s="27">
        <v>12000000</v>
      </c>
      <c r="C8" s="37">
        <v>9000000</v>
      </c>
    </row>
    <row r="9" spans="1:4" x14ac:dyDescent="0.25">
      <c r="A9" s="27" t="s">
        <v>35</v>
      </c>
      <c r="B9" s="27">
        <v>8000000</v>
      </c>
      <c r="C9" s="37">
        <v>5500000</v>
      </c>
    </row>
    <row r="10" spans="1:4" x14ac:dyDescent="0.25">
      <c r="A10" s="27" t="s">
        <v>105</v>
      </c>
      <c r="B10" s="27">
        <v>13000000</v>
      </c>
      <c r="C10" s="37">
        <v>12000000</v>
      </c>
    </row>
    <row r="11" spans="1:4" x14ac:dyDescent="0.25">
      <c r="A11" s="27" t="s">
        <v>41</v>
      </c>
      <c r="B11" s="27">
        <v>20000000</v>
      </c>
      <c r="C11" s="37">
        <v>17000000</v>
      </c>
    </row>
    <row r="12" spans="1:4" x14ac:dyDescent="0.25">
      <c r="A12" s="27" t="s">
        <v>37</v>
      </c>
      <c r="B12" s="27">
        <v>500000</v>
      </c>
      <c r="C12" s="37">
        <v>475000</v>
      </c>
    </row>
    <row r="13" spans="1:4" x14ac:dyDescent="0.25">
      <c r="A13" s="27" t="s">
        <v>99</v>
      </c>
      <c r="B13" s="27">
        <v>100000</v>
      </c>
      <c r="C13" s="37">
        <v>100000</v>
      </c>
    </row>
    <row r="14" spans="1:4" x14ac:dyDescent="0.25">
      <c r="A14" s="27" t="s">
        <v>36</v>
      </c>
      <c r="B14" s="27">
        <v>8000000</v>
      </c>
      <c r="C14" s="37">
        <v>6000000</v>
      </c>
    </row>
    <row r="15" spans="1:4" x14ac:dyDescent="0.25">
      <c r="A15" s="27" t="s">
        <v>47</v>
      </c>
      <c r="B15" s="27">
        <v>2000000</v>
      </c>
      <c r="C15" s="37">
        <v>900000</v>
      </c>
      <c r="D15" s="13"/>
    </row>
    <row r="16" spans="1:4" x14ac:dyDescent="0.25">
      <c r="A16" s="27" t="s">
        <v>102</v>
      </c>
      <c r="B16" s="27">
        <v>200000</v>
      </c>
      <c r="C16" s="37">
        <v>210000</v>
      </c>
      <c r="D16" s="14"/>
    </row>
    <row r="17" spans="1:4" x14ac:dyDescent="0.25">
      <c r="A17" s="27" t="s">
        <v>100</v>
      </c>
      <c r="B17" s="27">
        <v>3000000</v>
      </c>
      <c r="C17" s="37">
        <v>4445000</v>
      </c>
      <c r="D17" s="14"/>
    </row>
    <row r="18" spans="1:4" x14ac:dyDescent="0.25">
      <c r="A18" s="27" t="s">
        <v>101</v>
      </c>
      <c r="B18" s="27">
        <v>1800000</v>
      </c>
      <c r="C18" s="37">
        <v>2205000</v>
      </c>
      <c r="D18" s="13"/>
    </row>
    <row r="19" spans="1:4" x14ac:dyDescent="0.25">
      <c r="A19" s="27" t="s">
        <v>103</v>
      </c>
      <c r="B19" s="27">
        <v>1000000</v>
      </c>
      <c r="C19" s="37">
        <v>1260000</v>
      </c>
      <c r="D19" s="13"/>
    </row>
    <row r="20" spans="1:4" x14ac:dyDescent="0.25">
      <c r="A20" s="27" t="s">
        <v>2</v>
      </c>
      <c r="B20" s="27">
        <v>30000000</v>
      </c>
      <c r="C20" s="37">
        <v>35000000</v>
      </c>
    </row>
    <row r="21" spans="1:4" x14ac:dyDescent="0.25">
      <c r="A21" s="27" t="s">
        <v>98</v>
      </c>
      <c r="B21" s="27">
        <v>1000000</v>
      </c>
      <c r="C21" s="37">
        <v>525000</v>
      </c>
    </row>
    <row r="22" spans="1:4" x14ac:dyDescent="0.25">
      <c r="A22" s="27" t="s">
        <v>23</v>
      </c>
      <c r="B22" s="27">
        <v>7500000</v>
      </c>
      <c r="C22" s="37">
        <v>6500000</v>
      </c>
    </row>
    <row r="23" spans="1:4" x14ac:dyDescent="0.25">
      <c r="A23" s="27" t="s">
        <v>27</v>
      </c>
      <c r="B23" s="27">
        <v>20500000</v>
      </c>
      <c r="C23" s="37">
        <v>17500000</v>
      </c>
    </row>
    <row r="24" spans="1:4" x14ac:dyDescent="0.25">
      <c r="A24" s="27" t="s">
        <v>28</v>
      </c>
      <c r="B24" s="27">
        <v>8000000</v>
      </c>
      <c r="C24" s="37">
        <v>7000000</v>
      </c>
    </row>
    <row r="25" spans="1:4" x14ac:dyDescent="0.25">
      <c r="A25" s="27" t="s">
        <v>29</v>
      </c>
      <c r="B25" s="27">
        <v>11000000</v>
      </c>
      <c r="C25" s="37">
        <v>11000000</v>
      </c>
    </row>
    <row r="26" spans="1:4" x14ac:dyDescent="0.25">
      <c r="A26" s="27" t="s">
        <v>20</v>
      </c>
      <c r="B26" s="27">
        <v>3000000</v>
      </c>
      <c r="C26" s="37">
        <v>1000000</v>
      </c>
    </row>
    <row r="27" spans="1:4" x14ac:dyDescent="0.25">
      <c r="A27" s="7"/>
      <c r="B27" s="7"/>
    </row>
  </sheetData>
  <sortState xmlns:xlrd2="http://schemas.microsoft.com/office/spreadsheetml/2017/richdata2" ref="A5:C28">
    <sortCondition ref="A5:A28"/>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4"/>
  <sheetViews>
    <sheetView tabSelected="1" topLeftCell="A17" zoomScale="90" zoomScaleNormal="90" workbookViewId="0">
      <selection activeCell="C36" sqref="C36"/>
    </sheetView>
  </sheetViews>
  <sheetFormatPr defaultColWidth="11.42578125" defaultRowHeight="15" x14ac:dyDescent="0.25"/>
  <cols>
    <col min="1" max="1" width="52.28515625" customWidth="1"/>
    <col min="2" max="2" width="16.42578125" customWidth="1"/>
    <col min="3" max="3" width="9" customWidth="1"/>
    <col min="4" max="4" width="17.28515625" customWidth="1"/>
    <col min="5" max="5" width="7.5703125" bestFit="1" customWidth="1"/>
    <col min="6" max="6" width="9.5703125" customWidth="1"/>
    <col min="7" max="7" width="6.28515625" customWidth="1"/>
    <col min="8" max="8" width="39.28515625" customWidth="1"/>
    <col min="9" max="9" width="19.42578125" customWidth="1"/>
    <col min="10" max="10" width="12.140625" bestFit="1" customWidth="1"/>
    <col min="11" max="11" width="19.42578125" customWidth="1"/>
    <col min="12" max="12" width="9" customWidth="1"/>
    <col min="13" max="13" width="10.140625" customWidth="1"/>
    <col min="14" max="14" width="7.140625" customWidth="1"/>
    <col min="15" max="15" width="39.28515625" customWidth="1"/>
    <col min="16" max="16" width="16.42578125" customWidth="1"/>
    <col min="17" max="17" width="8.140625" customWidth="1"/>
    <col min="18" max="18" width="32.42578125" customWidth="1"/>
    <col min="19" max="19" width="28.7109375" style="25" customWidth="1"/>
    <col min="20" max="20" width="11.42578125" style="25" customWidth="1"/>
    <col min="21" max="21" width="2.28515625" style="25" customWidth="1"/>
    <col min="22" max="22" width="12.28515625" style="25" customWidth="1"/>
    <col min="23" max="23" width="12.7109375" style="25" customWidth="1"/>
    <col min="24" max="24" width="187.7109375" style="25" bestFit="1" customWidth="1"/>
  </cols>
  <sheetData>
    <row r="1" spans="1:24" x14ac:dyDescent="0.25">
      <c r="A1" s="1" t="s">
        <v>1</v>
      </c>
      <c r="H1" s="1" t="s">
        <v>1</v>
      </c>
      <c r="O1" s="1" t="s">
        <v>1</v>
      </c>
      <c r="P1" s="7"/>
      <c r="R1" s="15" t="s">
        <v>74</v>
      </c>
      <c r="S1" s="16"/>
      <c r="T1" s="16"/>
      <c r="U1" s="16"/>
      <c r="V1" s="16"/>
      <c r="W1" s="16"/>
      <c r="X1" s="16"/>
    </row>
    <row r="2" spans="1:24" x14ac:dyDescent="0.25">
      <c r="A2" s="2" t="s">
        <v>0</v>
      </c>
      <c r="H2" s="2" t="s">
        <v>18</v>
      </c>
      <c r="O2" s="2" t="s">
        <v>18</v>
      </c>
      <c r="P2" s="7"/>
      <c r="R2" s="1" t="s">
        <v>1</v>
      </c>
      <c r="S2" s="16"/>
      <c r="T2" s="16"/>
      <c r="U2" s="16"/>
      <c r="V2" s="16"/>
      <c r="W2" s="16"/>
      <c r="X2" s="16"/>
    </row>
    <row r="3" spans="1:24" x14ac:dyDescent="0.25">
      <c r="A3" s="1" t="s">
        <v>110</v>
      </c>
      <c r="H3" s="1" t="s">
        <v>111</v>
      </c>
      <c r="O3" s="1" t="s">
        <v>132</v>
      </c>
      <c r="P3" s="7"/>
      <c r="R3" s="17" t="s">
        <v>116</v>
      </c>
      <c r="S3" s="16"/>
      <c r="T3" s="16"/>
      <c r="U3" s="16"/>
      <c r="V3" s="16"/>
      <c r="W3" s="16"/>
      <c r="X3" s="16"/>
    </row>
    <row r="4" spans="1:24" ht="30" x14ac:dyDescent="0.25">
      <c r="B4" s="35">
        <v>2022</v>
      </c>
      <c r="C4" s="38" t="s">
        <v>107</v>
      </c>
      <c r="D4" s="35">
        <v>2021</v>
      </c>
      <c r="E4" s="38" t="s">
        <v>107</v>
      </c>
      <c r="F4" s="38" t="s">
        <v>108</v>
      </c>
      <c r="I4" s="12">
        <v>2022</v>
      </c>
      <c r="J4" s="38" t="s">
        <v>107</v>
      </c>
      <c r="K4" s="12">
        <v>2021</v>
      </c>
      <c r="L4" s="38" t="s">
        <v>107</v>
      </c>
      <c r="M4" s="38" t="s">
        <v>108</v>
      </c>
      <c r="O4" s="7"/>
      <c r="P4" s="7"/>
      <c r="R4" s="17"/>
      <c r="S4" s="16"/>
      <c r="T4" s="18" t="s">
        <v>117</v>
      </c>
      <c r="U4" s="18"/>
      <c r="V4" s="18" t="s">
        <v>118</v>
      </c>
      <c r="W4" s="19" t="s">
        <v>75</v>
      </c>
      <c r="X4" s="18" t="s">
        <v>76</v>
      </c>
    </row>
    <row r="5" spans="1:24" x14ac:dyDescent="0.25">
      <c r="A5" t="s">
        <v>2</v>
      </c>
      <c r="B5">
        <v>30000000</v>
      </c>
      <c r="C5" s="39">
        <v>1</v>
      </c>
      <c r="D5">
        <v>35000000</v>
      </c>
      <c r="E5" s="39">
        <v>1</v>
      </c>
      <c r="F5" s="39">
        <f>(B5-D5)/D5</f>
        <v>-0.14285714285714285</v>
      </c>
      <c r="H5" s="1" t="s">
        <v>19</v>
      </c>
      <c r="M5" s="30"/>
      <c r="O5" s="9" t="s">
        <v>55</v>
      </c>
      <c r="P5" s="7"/>
      <c r="R5" s="15" t="s">
        <v>156</v>
      </c>
      <c r="S5" s="16"/>
      <c r="T5" s="18"/>
      <c r="U5" s="18"/>
      <c r="V5" s="18"/>
      <c r="W5" s="19"/>
      <c r="X5" s="18"/>
    </row>
    <row r="6" spans="1:24" x14ac:dyDescent="0.25">
      <c r="A6" t="s">
        <v>3</v>
      </c>
      <c r="B6" s="3">
        <v>21000000</v>
      </c>
      <c r="C6" s="39">
        <f>B6/$B$5</f>
        <v>0.7</v>
      </c>
      <c r="D6" s="3">
        <v>23065000</v>
      </c>
      <c r="E6" s="39">
        <f>D6/$D$5</f>
        <v>0.65900000000000003</v>
      </c>
      <c r="F6" s="39">
        <f t="shared" ref="F6:F20" si="0">(B6-D6)/D6</f>
        <v>-8.9529590288315627E-2</v>
      </c>
      <c r="H6" s="5" t="s">
        <v>25</v>
      </c>
      <c r="O6" s="7" t="s">
        <v>135</v>
      </c>
      <c r="P6" s="7">
        <f>B18</f>
        <v>1500000</v>
      </c>
      <c r="R6" s="17" t="s">
        <v>151</v>
      </c>
      <c r="S6" s="20" t="s">
        <v>25</v>
      </c>
      <c r="T6" s="43">
        <f>I11/I26</f>
        <v>1.4242424242424243</v>
      </c>
      <c r="U6" s="43"/>
      <c r="V6" s="43">
        <f>K11/K26</f>
        <v>1.4926931106471817</v>
      </c>
      <c r="W6" s="26">
        <v>1.8</v>
      </c>
      <c r="X6" s="33" t="s">
        <v>149</v>
      </c>
    </row>
    <row r="7" spans="1:24" x14ac:dyDescent="0.25">
      <c r="A7" t="s">
        <v>4</v>
      </c>
      <c r="B7">
        <f>B5-B6</f>
        <v>9000000</v>
      </c>
      <c r="C7" s="39">
        <f>B7/$B$5</f>
        <v>0.3</v>
      </c>
      <c r="D7">
        <f>D5-D6</f>
        <v>11935000</v>
      </c>
      <c r="E7" s="39">
        <f t="shared" ref="E7:E20" si="1">D7/$D$5</f>
        <v>0.34100000000000003</v>
      </c>
      <c r="F7" s="39">
        <f>(B7-D7)/D7</f>
        <v>-0.24591537494763302</v>
      </c>
      <c r="H7" t="s">
        <v>21</v>
      </c>
      <c r="I7">
        <v>1000000</v>
      </c>
      <c r="J7" s="40">
        <f>I7/$I$19</f>
        <v>0.02</v>
      </c>
      <c r="K7">
        <v>1375000</v>
      </c>
      <c r="L7" s="40">
        <f>K7/$K$19</f>
        <v>3.3232628398791542E-2</v>
      </c>
      <c r="M7" s="40">
        <f>(I7-K7)/K7</f>
        <v>-0.27272727272727271</v>
      </c>
      <c r="O7" s="11" t="s">
        <v>56</v>
      </c>
      <c r="P7" s="7"/>
      <c r="R7" s="17"/>
      <c r="S7" s="16" t="s">
        <v>119</v>
      </c>
      <c r="T7" s="16"/>
      <c r="U7" s="16"/>
      <c r="V7" s="16"/>
      <c r="W7" s="26"/>
      <c r="X7" s="33" t="s">
        <v>150</v>
      </c>
    </row>
    <row r="8" spans="1:24" x14ac:dyDescent="0.25">
      <c r="A8" t="s">
        <v>5</v>
      </c>
      <c r="C8" s="39"/>
      <c r="E8" s="39"/>
      <c r="F8" s="39"/>
      <c r="H8" t="s">
        <v>143</v>
      </c>
      <c r="I8">
        <v>3000000</v>
      </c>
      <c r="J8" s="40">
        <f t="shared" ref="J8:J18" si="2">I8/$I$19</f>
        <v>0.06</v>
      </c>
      <c r="K8">
        <v>1000000</v>
      </c>
      <c r="L8" s="40">
        <f t="shared" ref="L8:L18" si="3">K8/$K$19</f>
        <v>2.4169184290030211E-2</v>
      </c>
      <c r="M8" s="40">
        <f t="shared" ref="M8:M19" si="4">(I8-K8)/K8</f>
        <v>2</v>
      </c>
      <c r="O8" s="7" t="s">
        <v>57</v>
      </c>
      <c r="P8" s="7">
        <f>B12</f>
        <v>1000000</v>
      </c>
      <c r="R8" s="17"/>
      <c r="S8" s="16"/>
      <c r="T8" s="16"/>
      <c r="U8" s="16"/>
      <c r="V8" s="16"/>
      <c r="W8" s="26"/>
      <c r="X8" s="33"/>
    </row>
    <row r="9" spans="1:24" x14ac:dyDescent="0.25">
      <c r="A9" t="s">
        <v>6</v>
      </c>
      <c r="B9">
        <v>3000000</v>
      </c>
      <c r="C9" s="39">
        <f t="shared" ref="C9:C20" si="5">B9/$B$5</f>
        <v>0.1</v>
      </c>
      <c r="D9">
        <v>4445000</v>
      </c>
      <c r="E9" s="39">
        <f t="shared" si="1"/>
        <v>0.127</v>
      </c>
      <c r="F9" s="39">
        <f t="shared" si="0"/>
        <v>-0.32508436445444322</v>
      </c>
      <c r="H9" t="s">
        <v>22</v>
      </c>
      <c r="I9">
        <v>12000000</v>
      </c>
      <c r="J9" s="40">
        <f t="shared" si="2"/>
        <v>0.24</v>
      </c>
      <c r="K9">
        <v>9000000</v>
      </c>
      <c r="L9" s="40">
        <f t="shared" si="3"/>
        <v>0.2175226586102719</v>
      </c>
      <c r="M9" s="40">
        <f t="shared" si="4"/>
        <v>0.33333333333333331</v>
      </c>
      <c r="O9" s="7" t="s">
        <v>58</v>
      </c>
      <c r="P9" s="7">
        <f>I23-K23</f>
        <v>2500000</v>
      </c>
      <c r="R9" s="17" t="s">
        <v>77</v>
      </c>
      <c r="S9" s="20" t="s">
        <v>120</v>
      </c>
      <c r="T9" s="43">
        <f>(I11-I10)/I26</f>
        <v>0.96969696969696972</v>
      </c>
      <c r="U9" s="16"/>
      <c r="V9" s="43">
        <f>(K11-K10)/K26</f>
        <v>0.94989561586638827</v>
      </c>
      <c r="W9" s="26">
        <v>1.5</v>
      </c>
      <c r="X9" s="32" t="s">
        <v>152</v>
      </c>
    </row>
    <row r="10" spans="1:24" x14ac:dyDescent="0.25">
      <c r="A10" t="s">
        <v>7</v>
      </c>
      <c r="B10">
        <v>1800000</v>
      </c>
      <c r="C10" s="39">
        <f t="shared" si="5"/>
        <v>0.06</v>
      </c>
      <c r="D10">
        <v>2205000</v>
      </c>
      <c r="E10" s="39">
        <f t="shared" si="1"/>
        <v>6.3E-2</v>
      </c>
      <c r="F10" s="39">
        <f t="shared" si="0"/>
        <v>-0.18367346938775511</v>
      </c>
      <c r="H10" t="s">
        <v>23</v>
      </c>
      <c r="I10" s="3">
        <v>7500000</v>
      </c>
      <c r="J10" s="40">
        <f t="shared" si="2"/>
        <v>0.15</v>
      </c>
      <c r="K10" s="3">
        <v>6500000</v>
      </c>
      <c r="L10" s="40">
        <f t="shared" si="3"/>
        <v>0.15709969788519637</v>
      </c>
      <c r="M10" s="40">
        <f t="shared" si="4"/>
        <v>0.15384615384615385</v>
      </c>
      <c r="O10" s="7" t="s">
        <v>71</v>
      </c>
      <c r="P10" s="7">
        <f>I25-K25</f>
        <v>25000</v>
      </c>
      <c r="R10" s="17" t="s">
        <v>121</v>
      </c>
      <c r="S10" s="16" t="s">
        <v>119</v>
      </c>
      <c r="T10" s="16"/>
      <c r="U10" s="16"/>
      <c r="V10" s="16"/>
      <c r="W10" s="26"/>
      <c r="X10" s="31" t="s">
        <v>153</v>
      </c>
    </row>
    <row r="11" spans="1:24" x14ac:dyDescent="0.25">
      <c r="A11" t="s">
        <v>8</v>
      </c>
      <c r="B11">
        <v>200000</v>
      </c>
      <c r="C11" s="39">
        <f t="shared" si="5"/>
        <v>6.6666666666666671E-3</v>
      </c>
      <c r="D11">
        <v>210000</v>
      </c>
      <c r="E11" s="39">
        <f t="shared" si="1"/>
        <v>6.0000000000000001E-3</v>
      </c>
      <c r="F11" s="39">
        <f t="shared" si="0"/>
        <v>-4.7619047619047616E-2</v>
      </c>
      <c r="H11" s="5" t="s">
        <v>24</v>
      </c>
      <c r="I11" s="5">
        <f>SUM(I7:I10)</f>
        <v>23500000</v>
      </c>
      <c r="J11" s="40">
        <f t="shared" si="2"/>
        <v>0.47</v>
      </c>
      <c r="K11" s="5">
        <f>SUM(K7:K10)</f>
        <v>17875000</v>
      </c>
      <c r="L11" s="40">
        <f t="shared" si="3"/>
        <v>0.43202416918429004</v>
      </c>
      <c r="M11" s="40">
        <f t="shared" si="4"/>
        <v>0.31468531468531469</v>
      </c>
      <c r="O11" s="11" t="s">
        <v>59</v>
      </c>
      <c r="P11" s="7"/>
      <c r="R11" s="17"/>
      <c r="S11" s="16"/>
      <c r="T11" s="16"/>
      <c r="U11" s="16"/>
      <c r="V11" s="16"/>
      <c r="W11" s="26"/>
      <c r="X11" s="31" t="s">
        <v>154</v>
      </c>
    </row>
    <row r="12" spans="1:24" x14ac:dyDescent="0.25">
      <c r="A12" t="s">
        <v>9</v>
      </c>
      <c r="B12" s="3">
        <v>1000000</v>
      </c>
      <c r="C12" s="39">
        <f t="shared" si="5"/>
        <v>3.3333333333333333E-2</v>
      </c>
      <c r="D12" s="3">
        <v>1260000</v>
      </c>
      <c r="E12" s="39">
        <f t="shared" si="1"/>
        <v>3.5999999999999997E-2</v>
      </c>
      <c r="F12" s="39">
        <f t="shared" si="0"/>
        <v>-0.20634920634920634</v>
      </c>
      <c r="H12" s="5" t="s">
        <v>26</v>
      </c>
      <c r="J12" s="40"/>
      <c r="L12" s="40"/>
      <c r="M12" s="40"/>
      <c r="O12" s="7" t="s">
        <v>60</v>
      </c>
      <c r="P12" s="7">
        <f>(I9-K9)*-1</f>
        <v>-3000000</v>
      </c>
      <c r="R12" s="17"/>
      <c r="S12" s="16"/>
      <c r="T12" s="16"/>
      <c r="U12" s="16"/>
      <c r="V12" s="16"/>
      <c r="W12" s="26"/>
      <c r="X12" s="16"/>
    </row>
    <row r="13" spans="1:24" x14ac:dyDescent="0.25">
      <c r="A13" t="s">
        <v>10</v>
      </c>
      <c r="B13">
        <f>SUM(B9:B12)</f>
        <v>6000000</v>
      </c>
      <c r="C13" s="39">
        <f t="shared" si="5"/>
        <v>0.2</v>
      </c>
      <c r="D13">
        <f>SUM(D9:D12)</f>
        <v>8120000</v>
      </c>
      <c r="E13" s="39">
        <f t="shared" si="1"/>
        <v>0.23200000000000001</v>
      </c>
      <c r="F13" s="39">
        <f t="shared" si="0"/>
        <v>-0.26108374384236455</v>
      </c>
      <c r="H13" t="s">
        <v>29</v>
      </c>
      <c r="I13">
        <v>11000000</v>
      </c>
      <c r="J13" s="40">
        <f t="shared" si="2"/>
        <v>0.22</v>
      </c>
      <c r="K13">
        <v>11000000</v>
      </c>
      <c r="L13" s="40">
        <f t="shared" si="3"/>
        <v>0.26586102719033233</v>
      </c>
      <c r="M13" s="40">
        <f t="shared" si="4"/>
        <v>0</v>
      </c>
      <c r="O13" s="7" t="s">
        <v>70</v>
      </c>
      <c r="P13" s="7">
        <f>(I10-K10)*-1</f>
        <v>-1000000</v>
      </c>
      <c r="R13" s="15" t="s">
        <v>157</v>
      </c>
      <c r="S13" s="16"/>
      <c r="T13" s="16"/>
      <c r="U13" s="16"/>
      <c r="V13" s="16"/>
      <c r="W13" s="26"/>
      <c r="X13" s="16"/>
    </row>
    <row r="14" spans="1:24" x14ac:dyDescent="0.25">
      <c r="A14" t="s">
        <v>11</v>
      </c>
      <c r="B14">
        <f>B7-B13</f>
        <v>3000000</v>
      </c>
      <c r="C14" s="39">
        <f t="shared" si="5"/>
        <v>0.1</v>
      </c>
      <c r="D14">
        <f>D7-D13</f>
        <v>3815000</v>
      </c>
      <c r="E14" s="39">
        <f t="shared" si="1"/>
        <v>0.109</v>
      </c>
      <c r="F14" s="39">
        <f t="shared" si="0"/>
        <v>-0.21363040629095675</v>
      </c>
      <c r="H14" t="s">
        <v>27</v>
      </c>
      <c r="I14">
        <v>20500000</v>
      </c>
      <c r="J14" s="40">
        <f t="shared" si="2"/>
        <v>0.41</v>
      </c>
      <c r="K14">
        <v>17500000</v>
      </c>
      <c r="L14" s="40">
        <f t="shared" si="3"/>
        <v>0.42296072507552868</v>
      </c>
      <c r="M14" s="40">
        <f t="shared" si="4"/>
        <v>0.17142857142857143</v>
      </c>
      <c r="O14" s="7" t="s">
        <v>61</v>
      </c>
      <c r="P14" s="7">
        <f>SUM(P6:P13)</f>
        <v>1025000</v>
      </c>
      <c r="R14" s="17" t="s">
        <v>155</v>
      </c>
      <c r="S14" s="16"/>
      <c r="T14" s="16"/>
      <c r="U14" s="16"/>
      <c r="V14" s="16"/>
      <c r="W14" s="26"/>
      <c r="X14" s="16"/>
    </row>
    <row r="15" spans="1:24" ht="17.25" x14ac:dyDescent="0.4">
      <c r="A15" t="s">
        <v>12</v>
      </c>
      <c r="B15" s="3">
        <v>1000000</v>
      </c>
      <c r="C15" s="39">
        <f t="shared" si="5"/>
        <v>3.3333333333333333E-2</v>
      </c>
      <c r="D15" s="3">
        <v>525000</v>
      </c>
      <c r="E15" s="39">
        <f t="shared" si="1"/>
        <v>1.4999999999999999E-2</v>
      </c>
      <c r="F15" s="39">
        <f t="shared" si="0"/>
        <v>0.90476190476190477</v>
      </c>
      <c r="H15" t="s">
        <v>28</v>
      </c>
      <c r="I15" s="6">
        <v>8000000</v>
      </c>
      <c r="J15" s="40">
        <f t="shared" si="2"/>
        <v>0.16</v>
      </c>
      <c r="K15" s="6">
        <v>7000000</v>
      </c>
      <c r="L15" s="40">
        <f t="shared" si="3"/>
        <v>0.16918429003021149</v>
      </c>
      <c r="M15" s="40">
        <f t="shared" si="4"/>
        <v>0.14285714285714285</v>
      </c>
      <c r="R15" s="17" t="s">
        <v>158</v>
      </c>
      <c r="S15" s="20" t="s">
        <v>106</v>
      </c>
      <c r="T15" s="43">
        <f>B6/I10</f>
        <v>2.8</v>
      </c>
      <c r="U15" s="43"/>
      <c r="V15" s="43">
        <f>D6/K10</f>
        <v>3.5484615384615386</v>
      </c>
      <c r="W15" s="26">
        <v>8</v>
      </c>
      <c r="X15" s="45" t="s">
        <v>160</v>
      </c>
    </row>
    <row r="16" spans="1:24" x14ac:dyDescent="0.25">
      <c r="A16" t="s">
        <v>13</v>
      </c>
      <c r="B16">
        <f>B14-B15</f>
        <v>2000000</v>
      </c>
      <c r="C16" s="39">
        <f t="shared" si="5"/>
        <v>6.6666666666666666E-2</v>
      </c>
      <c r="D16">
        <f>D14-D15</f>
        <v>3290000</v>
      </c>
      <c r="E16" s="39">
        <f t="shared" si="1"/>
        <v>9.4E-2</v>
      </c>
      <c r="F16" s="39">
        <f t="shared" si="0"/>
        <v>-0.39209726443769</v>
      </c>
      <c r="H16" t="s">
        <v>30</v>
      </c>
      <c r="I16" s="5">
        <f>SUM(I13:I15)</f>
        <v>39500000</v>
      </c>
      <c r="J16" s="40">
        <f t="shared" si="2"/>
        <v>0.79</v>
      </c>
      <c r="K16" s="5">
        <f>SUM(K13:K15)</f>
        <v>35500000</v>
      </c>
      <c r="L16" s="40">
        <f t="shared" si="3"/>
        <v>0.85800604229607247</v>
      </c>
      <c r="M16" s="40">
        <f t="shared" si="4"/>
        <v>0.11267605633802817</v>
      </c>
      <c r="O16" s="7"/>
      <c r="P16" s="7"/>
      <c r="R16" s="17"/>
      <c r="S16" s="16" t="s">
        <v>23</v>
      </c>
      <c r="T16" s="16"/>
      <c r="U16" s="16"/>
      <c r="V16" s="16"/>
      <c r="W16" s="26"/>
      <c r="X16" s="33"/>
    </row>
    <row r="17" spans="1:24" x14ac:dyDescent="0.25">
      <c r="A17" t="s">
        <v>14</v>
      </c>
      <c r="B17" s="3">
        <f>B16*0.25</f>
        <v>500000</v>
      </c>
      <c r="C17" s="39">
        <f t="shared" si="5"/>
        <v>1.6666666666666666E-2</v>
      </c>
      <c r="D17" s="3">
        <f>D16*0.25</f>
        <v>822500</v>
      </c>
      <c r="E17" s="39">
        <f t="shared" si="1"/>
        <v>2.35E-2</v>
      </c>
      <c r="F17" s="39">
        <f t="shared" si="0"/>
        <v>-0.39209726443769</v>
      </c>
      <c r="G17" s="13"/>
      <c r="H17" t="s">
        <v>31</v>
      </c>
      <c r="I17" s="3">
        <v>13000000</v>
      </c>
      <c r="J17" s="40">
        <f t="shared" si="2"/>
        <v>0.26</v>
      </c>
      <c r="K17" s="3">
        <v>12000000</v>
      </c>
      <c r="L17" s="40">
        <f t="shared" si="3"/>
        <v>0.29003021148036257</v>
      </c>
      <c r="M17" s="40">
        <f t="shared" si="4"/>
        <v>8.3333333333333329E-2</v>
      </c>
      <c r="O17" s="9" t="s">
        <v>62</v>
      </c>
      <c r="P17" s="7"/>
      <c r="R17" s="17"/>
      <c r="S17" s="16"/>
      <c r="T17" s="16"/>
      <c r="U17" s="16"/>
      <c r="V17" s="16"/>
      <c r="W17" s="26"/>
      <c r="X17" s="33"/>
    </row>
    <row r="18" spans="1:24" x14ac:dyDescent="0.25">
      <c r="A18" t="s">
        <v>15</v>
      </c>
      <c r="B18">
        <f>B16-B17</f>
        <v>1500000</v>
      </c>
      <c r="C18" s="39">
        <f t="shared" si="5"/>
        <v>0.05</v>
      </c>
      <c r="D18">
        <f>D16-D17</f>
        <v>2467500</v>
      </c>
      <c r="E18" s="39">
        <f t="shared" si="1"/>
        <v>7.0499999999999993E-2</v>
      </c>
      <c r="F18" s="39">
        <f t="shared" si="0"/>
        <v>-0.39209726443769</v>
      </c>
      <c r="G18" s="14"/>
      <c r="H18" s="5" t="s">
        <v>32</v>
      </c>
      <c r="I18">
        <f>I16-I17</f>
        <v>26500000</v>
      </c>
      <c r="J18" s="40">
        <f t="shared" si="2"/>
        <v>0.53</v>
      </c>
      <c r="K18">
        <f>K16-K17</f>
        <v>23500000</v>
      </c>
      <c r="L18" s="40">
        <f t="shared" si="3"/>
        <v>0.56797583081571001</v>
      </c>
      <c r="M18" s="40">
        <f t="shared" si="4"/>
        <v>0.1276595744680851</v>
      </c>
      <c r="O18" s="11" t="s">
        <v>59</v>
      </c>
      <c r="P18" s="7"/>
      <c r="R18" s="17" t="s">
        <v>122</v>
      </c>
      <c r="S18" s="20" t="s">
        <v>123</v>
      </c>
      <c r="T18" s="44">
        <f>I10/(B6/365)</f>
        <v>130.35714285714286</v>
      </c>
      <c r="U18" s="44"/>
      <c r="V18" s="44">
        <f>K10/(D6/365)</f>
        <v>102.86147843052242</v>
      </c>
      <c r="W18" s="46">
        <f>365/W15</f>
        <v>45.625</v>
      </c>
      <c r="X18" s="16" t="s">
        <v>159</v>
      </c>
    </row>
    <row r="19" spans="1:24" ht="15.75" thickBot="1" x14ac:dyDescent="0.3">
      <c r="A19" t="s">
        <v>16</v>
      </c>
      <c r="B19" s="3">
        <v>100000</v>
      </c>
      <c r="C19" s="39">
        <f t="shared" si="5"/>
        <v>3.3333333333333335E-3</v>
      </c>
      <c r="D19" s="3">
        <v>100000</v>
      </c>
      <c r="E19" s="39">
        <f t="shared" si="1"/>
        <v>2.8571428571428571E-3</v>
      </c>
      <c r="F19" s="39">
        <f t="shared" si="0"/>
        <v>0</v>
      </c>
      <c r="G19" s="14"/>
      <c r="H19" t="s">
        <v>33</v>
      </c>
      <c r="I19" s="4">
        <f>I18+I11</f>
        <v>50000000</v>
      </c>
      <c r="J19" s="40">
        <v>1</v>
      </c>
      <c r="K19" s="4">
        <f>K18+K11</f>
        <v>41375000</v>
      </c>
      <c r="L19" s="40">
        <v>1</v>
      </c>
      <c r="M19" s="41">
        <f t="shared" si="4"/>
        <v>0.20845921450151059</v>
      </c>
      <c r="O19" s="7" t="s">
        <v>63</v>
      </c>
      <c r="P19" s="7">
        <f>(I16-K16)*-1</f>
        <v>-4000000</v>
      </c>
      <c r="R19" s="17" t="s">
        <v>124</v>
      </c>
      <c r="S19" s="16" t="s">
        <v>125</v>
      </c>
      <c r="T19" s="16"/>
      <c r="U19" s="16"/>
      <c r="V19" s="16"/>
      <c r="W19" s="26"/>
      <c r="X19" s="16"/>
    </row>
    <row r="20" spans="1:24" ht="16.5" thickTop="1" thickBot="1" x14ac:dyDescent="0.3">
      <c r="A20" t="s">
        <v>17</v>
      </c>
      <c r="B20" s="4">
        <f>B18-B19</f>
        <v>1400000</v>
      </c>
      <c r="C20" s="39">
        <f t="shared" si="5"/>
        <v>4.6666666666666669E-2</v>
      </c>
      <c r="D20" s="4">
        <f>D18-D19</f>
        <v>2367500</v>
      </c>
      <c r="E20" s="39">
        <f t="shared" si="1"/>
        <v>6.7642857142857143E-2</v>
      </c>
      <c r="F20" s="39">
        <f t="shared" si="0"/>
        <v>-0.40865892291446676</v>
      </c>
      <c r="G20" s="13"/>
      <c r="O20" s="7" t="s">
        <v>64</v>
      </c>
      <c r="P20" s="7">
        <f>SUM(P18:P19)</f>
        <v>-4000000</v>
      </c>
      <c r="R20" s="17"/>
      <c r="S20" s="16"/>
      <c r="T20" s="16"/>
      <c r="U20" s="16"/>
      <c r="V20" s="16"/>
      <c r="W20" s="26"/>
      <c r="X20" s="16"/>
    </row>
    <row r="21" spans="1:24" ht="15.75" thickTop="1" x14ac:dyDescent="0.25">
      <c r="B21" s="28" t="s">
        <v>141</v>
      </c>
      <c r="E21" s="7"/>
      <c r="F21" s="7"/>
      <c r="G21" s="13"/>
      <c r="H21" s="1" t="s">
        <v>34</v>
      </c>
      <c r="O21" s="7"/>
      <c r="P21" s="7"/>
      <c r="R21" s="17"/>
      <c r="S21" s="16"/>
      <c r="T21" s="16" t="s">
        <v>163</v>
      </c>
      <c r="U21" s="16"/>
      <c r="V21" s="16" t="s">
        <v>163</v>
      </c>
      <c r="W21" s="26"/>
      <c r="X21" s="16"/>
    </row>
    <row r="22" spans="1:24" x14ac:dyDescent="0.25">
      <c r="A22" t="s">
        <v>140</v>
      </c>
      <c r="B22" t="s">
        <v>139</v>
      </c>
      <c r="C22" t="s">
        <v>138</v>
      </c>
      <c r="H22" s="5" t="s">
        <v>38</v>
      </c>
      <c r="O22" s="9" t="s">
        <v>65</v>
      </c>
      <c r="P22" s="7"/>
      <c r="R22" s="17" t="s">
        <v>161</v>
      </c>
      <c r="S22" s="20" t="s">
        <v>162</v>
      </c>
      <c r="T22" s="44">
        <f>I9/(B5/365)</f>
        <v>146</v>
      </c>
      <c r="U22" s="44"/>
      <c r="V22" s="44">
        <f>K9/(D5/365)</f>
        <v>93.857142857142861</v>
      </c>
      <c r="W22" s="26">
        <v>90</v>
      </c>
      <c r="X22" s="32" t="s">
        <v>164</v>
      </c>
    </row>
    <row r="23" spans="1:24" x14ac:dyDescent="0.25">
      <c r="A23" s="8" t="s">
        <v>1</v>
      </c>
      <c r="B23" s="7"/>
      <c r="C23" s="7"/>
      <c r="H23" t="s">
        <v>35</v>
      </c>
      <c r="I23">
        <v>8000000</v>
      </c>
      <c r="J23" s="40">
        <f>I23/$I$36</f>
        <v>0.16</v>
      </c>
      <c r="K23">
        <v>5500000</v>
      </c>
      <c r="L23" s="40">
        <f>K23/$K$36</f>
        <v>0.13293051359516617</v>
      </c>
      <c r="M23" s="40">
        <f>(I23-K23)/K23</f>
        <v>0.45454545454545453</v>
      </c>
      <c r="O23" s="11" t="s">
        <v>56</v>
      </c>
      <c r="P23" s="7"/>
      <c r="R23" s="17" t="s">
        <v>126</v>
      </c>
      <c r="S23" s="16" t="s">
        <v>97</v>
      </c>
      <c r="T23" s="16"/>
      <c r="U23" s="16"/>
      <c r="V23" s="16"/>
      <c r="W23" s="22"/>
      <c r="X23" s="32"/>
    </row>
    <row r="24" spans="1:24" x14ac:dyDescent="0.25">
      <c r="A24" s="8" t="s">
        <v>50</v>
      </c>
      <c r="B24" s="7"/>
      <c r="C24" s="7"/>
      <c r="H24" t="s">
        <v>36</v>
      </c>
      <c r="I24">
        <v>8000000</v>
      </c>
      <c r="J24" s="40">
        <f t="shared" ref="J24:J35" si="6">I24/$I$36</f>
        <v>0.16</v>
      </c>
      <c r="K24">
        <v>6000000</v>
      </c>
      <c r="L24" s="40">
        <f t="shared" ref="L24:L35" si="7">K24/$K$36</f>
        <v>0.14501510574018128</v>
      </c>
      <c r="M24" s="40">
        <f t="shared" ref="M24:M36" si="8">(I24-K24)/K24</f>
        <v>0.33333333333333331</v>
      </c>
      <c r="O24" s="7" t="s">
        <v>66</v>
      </c>
      <c r="P24" s="7">
        <f>I28-K28</f>
        <v>3000000</v>
      </c>
      <c r="R24" s="17"/>
      <c r="S24" s="16"/>
      <c r="T24" s="16"/>
      <c r="U24" s="16"/>
      <c r="V24" s="16"/>
      <c r="W24" s="22"/>
      <c r="X24" s="16"/>
    </row>
    <row r="25" spans="1:24" x14ac:dyDescent="0.25">
      <c r="A25" s="8" t="s">
        <v>112</v>
      </c>
      <c r="B25" s="7"/>
      <c r="C25" s="7"/>
      <c r="H25" t="s">
        <v>37</v>
      </c>
      <c r="I25" s="3">
        <v>500000</v>
      </c>
      <c r="J25" s="40">
        <f t="shared" si="6"/>
        <v>0.01</v>
      </c>
      <c r="K25" s="3">
        <v>475000</v>
      </c>
      <c r="L25" s="40">
        <f t="shared" si="7"/>
        <v>1.1480362537764351E-2</v>
      </c>
      <c r="M25" s="40">
        <f t="shared" si="8"/>
        <v>5.2631578947368418E-2</v>
      </c>
      <c r="O25" s="7" t="s">
        <v>72</v>
      </c>
      <c r="P25" s="7">
        <f>I24-K24</f>
        <v>2000000</v>
      </c>
      <c r="R25" s="17" t="s">
        <v>165</v>
      </c>
      <c r="S25" s="20" t="s">
        <v>78</v>
      </c>
      <c r="T25" s="43">
        <f>B5/I18</f>
        <v>1.1320754716981132</v>
      </c>
      <c r="U25" s="43"/>
      <c r="V25" s="43">
        <f>D5/K18</f>
        <v>1.4893617021276595</v>
      </c>
      <c r="W25" s="22">
        <v>1.2</v>
      </c>
      <c r="X25" s="33" t="s">
        <v>166</v>
      </c>
    </row>
    <row r="26" spans="1:24" x14ac:dyDescent="0.25">
      <c r="A26" s="7"/>
      <c r="B26" s="7"/>
      <c r="C26" s="7"/>
      <c r="H26" s="5" t="s">
        <v>39</v>
      </c>
      <c r="I26" s="5">
        <f>SUM(I23:I25)</f>
        <v>16500000</v>
      </c>
      <c r="J26" s="42">
        <f t="shared" si="6"/>
        <v>0.33</v>
      </c>
      <c r="K26" s="5">
        <f>SUM(K23:K25)</f>
        <v>11975000</v>
      </c>
      <c r="L26" s="40">
        <f t="shared" si="7"/>
        <v>0.2894259818731118</v>
      </c>
      <c r="M26" s="41">
        <f t="shared" si="8"/>
        <v>0.37787056367432148</v>
      </c>
      <c r="O26" s="11" t="s">
        <v>59</v>
      </c>
      <c r="P26" s="7"/>
      <c r="R26" s="17" t="s">
        <v>127</v>
      </c>
      <c r="S26" s="16" t="s">
        <v>79</v>
      </c>
      <c r="T26" s="16"/>
      <c r="U26" s="16"/>
      <c r="V26" s="16"/>
      <c r="W26" s="22"/>
      <c r="X26" s="32" t="s">
        <v>167</v>
      </c>
    </row>
    <row r="27" spans="1:24" x14ac:dyDescent="0.25">
      <c r="A27" s="7" t="s">
        <v>113</v>
      </c>
      <c r="B27" s="7">
        <f>K34</f>
        <v>900000</v>
      </c>
      <c r="C27" s="7"/>
      <c r="H27" s="5" t="s">
        <v>40</v>
      </c>
      <c r="J27" s="40"/>
      <c r="L27" s="40"/>
      <c r="M27" s="40"/>
      <c r="O27" s="7" t="s">
        <v>67</v>
      </c>
      <c r="P27" s="7">
        <f>B30*-1</f>
        <v>-100000</v>
      </c>
      <c r="R27" s="17"/>
      <c r="S27" s="16"/>
      <c r="T27" s="16"/>
      <c r="U27" s="16"/>
      <c r="V27" s="16"/>
      <c r="W27" s="22"/>
      <c r="X27" s="34" t="s">
        <v>168</v>
      </c>
    </row>
    <row r="28" spans="1:24" x14ac:dyDescent="0.25">
      <c r="A28" s="7" t="s">
        <v>114</v>
      </c>
      <c r="B28" s="9">
        <f>B18</f>
        <v>1500000</v>
      </c>
      <c r="C28" s="7"/>
      <c r="H28" t="s">
        <v>41</v>
      </c>
      <c r="I28" s="3">
        <v>20000000</v>
      </c>
      <c r="J28" s="40">
        <f t="shared" si="6"/>
        <v>0.4</v>
      </c>
      <c r="K28" s="3">
        <v>17000000</v>
      </c>
      <c r="L28" s="40">
        <f t="shared" si="7"/>
        <v>0.41087613293051362</v>
      </c>
      <c r="M28" s="40">
        <f t="shared" si="8"/>
        <v>0.17647058823529413</v>
      </c>
      <c r="O28" s="7" t="s">
        <v>73</v>
      </c>
      <c r="P28" s="7">
        <f>B32*-1</f>
        <v>-300000</v>
      </c>
      <c r="R28" s="17" t="s">
        <v>80</v>
      </c>
      <c r="S28" s="20" t="s">
        <v>78</v>
      </c>
      <c r="T28" s="43">
        <f>B5/I19</f>
        <v>0.6</v>
      </c>
      <c r="U28" s="43"/>
      <c r="V28" s="43">
        <f>D5/K19</f>
        <v>0.84592145015105735</v>
      </c>
      <c r="W28" s="22">
        <v>1</v>
      </c>
      <c r="X28" s="25" t="s">
        <v>169</v>
      </c>
    </row>
    <row r="29" spans="1:24" x14ac:dyDescent="0.25">
      <c r="A29" s="7" t="s">
        <v>51</v>
      </c>
      <c r="B29" s="7">
        <f>B27+B28</f>
        <v>2400000</v>
      </c>
      <c r="C29" s="7"/>
      <c r="H29" s="5" t="s">
        <v>42</v>
      </c>
      <c r="I29" s="5">
        <f>I28</f>
        <v>20000000</v>
      </c>
      <c r="J29" s="42">
        <f t="shared" si="6"/>
        <v>0.4</v>
      </c>
      <c r="K29" s="5">
        <f>K28</f>
        <v>17000000</v>
      </c>
      <c r="L29" s="40">
        <f t="shared" si="7"/>
        <v>0.41087613293051362</v>
      </c>
      <c r="M29" s="41">
        <f t="shared" si="8"/>
        <v>0.17647058823529413</v>
      </c>
      <c r="O29" s="7" t="s">
        <v>68</v>
      </c>
      <c r="P29" s="7">
        <f>SUM(P24:P28)</f>
        <v>4600000</v>
      </c>
      <c r="R29" s="17"/>
      <c r="S29" s="23" t="s">
        <v>81</v>
      </c>
      <c r="T29" s="16"/>
      <c r="U29" s="16"/>
      <c r="V29" s="16"/>
      <c r="W29" s="22"/>
      <c r="X29" s="32"/>
    </row>
    <row r="30" spans="1:24" x14ac:dyDescent="0.25">
      <c r="A30" s="7" t="s">
        <v>52</v>
      </c>
      <c r="B30" s="9">
        <f>B19</f>
        <v>100000</v>
      </c>
      <c r="C30" s="7"/>
      <c r="H30" s="5" t="s">
        <v>43</v>
      </c>
      <c r="J30" s="40"/>
      <c r="L30" s="40"/>
      <c r="M30" s="40"/>
      <c r="R30" s="17"/>
      <c r="S30" s="16"/>
      <c r="T30" s="16"/>
      <c r="U30" s="16"/>
      <c r="V30" s="16"/>
      <c r="W30" s="22"/>
      <c r="X30" s="16"/>
    </row>
    <row r="31" spans="1:24" x14ac:dyDescent="0.25">
      <c r="A31" s="7" t="s">
        <v>53</v>
      </c>
      <c r="B31" s="7">
        <f>B29-B30</f>
        <v>2300000</v>
      </c>
      <c r="C31" s="7"/>
      <c r="H31" t="s">
        <v>44</v>
      </c>
      <c r="I31">
        <v>2500000</v>
      </c>
      <c r="J31" s="40">
        <f t="shared" si="6"/>
        <v>0.05</v>
      </c>
      <c r="K31">
        <v>2500000</v>
      </c>
      <c r="L31" s="40">
        <f t="shared" si="7"/>
        <v>6.0422960725075532E-2</v>
      </c>
      <c r="M31" s="40">
        <f t="shared" si="8"/>
        <v>0</v>
      </c>
      <c r="O31" s="7"/>
      <c r="P31" s="7"/>
      <c r="R31" s="17"/>
      <c r="S31" s="16"/>
      <c r="T31" s="16"/>
      <c r="U31" s="16"/>
      <c r="V31" s="16"/>
      <c r="W31" s="22"/>
      <c r="X31" s="16"/>
    </row>
    <row r="32" spans="1:24" x14ac:dyDescent="0.25">
      <c r="A32" s="7" t="s">
        <v>54</v>
      </c>
      <c r="B32" s="7">
        <v>300000</v>
      </c>
      <c r="C32" s="7"/>
      <c r="H32" t="s">
        <v>45</v>
      </c>
      <c r="I32">
        <v>5000000</v>
      </c>
      <c r="J32" s="40">
        <f t="shared" si="6"/>
        <v>0.1</v>
      </c>
      <c r="K32">
        <v>5000000</v>
      </c>
      <c r="L32" s="40">
        <f t="shared" si="7"/>
        <v>0.12084592145015106</v>
      </c>
      <c r="M32" s="40">
        <f t="shared" si="8"/>
        <v>0</v>
      </c>
      <c r="N32" s="13"/>
      <c r="O32" s="7" t="s">
        <v>69</v>
      </c>
      <c r="P32" s="7">
        <f>P14+P20+P29</f>
        <v>1625000</v>
      </c>
      <c r="R32" s="17" t="s">
        <v>170</v>
      </c>
      <c r="S32" s="16" t="s">
        <v>171</v>
      </c>
      <c r="T32" s="16"/>
      <c r="U32" s="16"/>
      <c r="V32" s="16"/>
      <c r="W32" s="22"/>
      <c r="X32" s="33" t="s">
        <v>172</v>
      </c>
    </row>
    <row r="33" spans="1:24" ht="15.75" thickBot="1" x14ac:dyDescent="0.3">
      <c r="A33" s="8" t="s">
        <v>115</v>
      </c>
      <c r="B33" s="10">
        <f>B31-B32</f>
        <v>2000000</v>
      </c>
      <c r="C33" s="8"/>
      <c r="H33" t="s">
        <v>46</v>
      </c>
      <c r="I33">
        <v>4000000</v>
      </c>
      <c r="J33" s="40">
        <f t="shared" si="6"/>
        <v>0.08</v>
      </c>
      <c r="K33">
        <v>4000000</v>
      </c>
      <c r="L33" s="40">
        <f t="shared" si="7"/>
        <v>9.6676737160120846E-2</v>
      </c>
      <c r="M33" s="40">
        <f t="shared" si="8"/>
        <v>0</v>
      </c>
      <c r="O33" s="7" t="s">
        <v>133</v>
      </c>
      <c r="P33" s="7">
        <f>K7+K8</f>
        <v>2375000</v>
      </c>
      <c r="R33" s="17" t="s">
        <v>136</v>
      </c>
      <c r="S33" s="16" t="s">
        <v>137</v>
      </c>
      <c r="T33" s="16"/>
      <c r="U33" s="16"/>
      <c r="V33" s="16"/>
      <c r="W33" s="22"/>
      <c r="X33" s="33"/>
    </row>
    <row r="34" spans="1:24" ht="16.5" thickTop="1" thickBot="1" x14ac:dyDescent="0.3">
      <c r="H34" t="s">
        <v>47</v>
      </c>
      <c r="I34" s="3">
        <v>2000000</v>
      </c>
      <c r="J34" s="40">
        <f t="shared" si="6"/>
        <v>0.04</v>
      </c>
      <c r="K34" s="3">
        <v>900000</v>
      </c>
      <c r="L34" s="40">
        <f t="shared" si="7"/>
        <v>2.175226586102719E-2</v>
      </c>
      <c r="M34" s="41">
        <f t="shared" si="8"/>
        <v>1.2222222222222223</v>
      </c>
      <c r="O34" s="8" t="s">
        <v>134</v>
      </c>
      <c r="P34" s="10">
        <f>P32+P33</f>
        <v>4000000</v>
      </c>
      <c r="R34" s="17"/>
      <c r="S34" s="16"/>
      <c r="T34" s="16"/>
      <c r="U34" s="16"/>
      <c r="V34" s="16"/>
      <c r="W34" s="22"/>
      <c r="X34" s="33"/>
    </row>
    <row r="35" spans="1:24" ht="15.75" thickTop="1" x14ac:dyDescent="0.25">
      <c r="H35" s="5" t="s">
        <v>48</v>
      </c>
      <c r="I35" s="5">
        <f>SUM(I31:I34)</f>
        <v>13500000</v>
      </c>
      <c r="J35" s="42">
        <f t="shared" si="6"/>
        <v>0.27</v>
      </c>
      <c r="K35" s="5">
        <f>SUM(K31:K34)</f>
        <v>12400000</v>
      </c>
      <c r="L35" s="40">
        <f t="shared" si="7"/>
        <v>0.29969788519637464</v>
      </c>
      <c r="M35" s="40">
        <f t="shared" si="8"/>
        <v>8.8709677419354843E-2</v>
      </c>
      <c r="R35" s="17"/>
      <c r="S35" s="16"/>
      <c r="T35" s="16"/>
      <c r="U35" s="16"/>
      <c r="V35" s="16"/>
      <c r="W35" s="22"/>
      <c r="X35" s="32"/>
    </row>
    <row r="36" spans="1:24" ht="15.75" thickBot="1" x14ac:dyDescent="0.3">
      <c r="A36" t="s">
        <v>188</v>
      </c>
      <c r="B36">
        <f>B32/1000000</f>
        <v>0.3</v>
      </c>
      <c r="H36" t="s">
        <v>49</v>
      </c>
      <c r="I36" s="4">
        <f>I35+I29+I26</f>
        <v>50000000</v>
      </c>
      <c r="J36" s="40">
        <v>1</v>
      </c>
      <c r="K36" s="4">
        <f>K35+K29+K26</f>
        <v>41375000</v>
      </c>
      <c r="L36" s="40">
        <v>1</v>
      </c>
      <c r="M36" s="40">
        <f t="shared" si="8"/>
        <v>0.20845921450151059</v>
      </c>
      <c r="O36" s="7" t="s">
        <v>109</v>
      </c>
      <c r="R36" s="15" t="s">
        <v>82</v>
      </c>
      <c r="S36" s="16"/>
      <c r="T36" s="16"/>
      <c r="U36" s="16"/>
      <c r="V36" s="16"/>
      <c r="W36" s="22"/>
      <c r="X36" s="32"/>
    </row>
    <row r="37" spans="1:24" ht="15.75" thickTop="1" x14ac:dyDescent="0.25">
      <c r="R37" s="17" t="s">
        <v>128</v>
      </c>
      <c r="S37" s="20" t="s">
        <v>173</v>
      </c>
      <c r="T37" s="47">
        <f>(I26+I29)/I19</f>
        <v>0.73</v>
      </c>
      <c r="U37" s="47"/>
      <c r="V37" s="47">
        <f>(K26+K29)/K19</f>
        <v>0.70030211480362536</v>
      </c>
      <c r="W37" s="24">
        <v>0.4</v>
      </c>
      <c r="X37" s="50" t="s">
        <v>178</v>
      </c>
    </row>
    <row r="38" spans="1:24" ht="15" customHeight="1" x14ac:dyDescent="0.25">
      <c r="H38" t="s">
        <v>144</v>
      </c>
      <c r="R38" s="17"/>
      <c r="S38" s="16" t="s">
        <v>81</v>
      </c>
      <c r="T38" s="16"/>
      <c r="U38" s="16"/>
      <c r="V38" s="16"/>
      <c r="W38" s="22"/>
      <c r="X38" s="50"/>
    </row>
    <row r="39" spans="1:24" x14ac:dyDescent="0.25">
      <c r="H39" t="s">
        <v>145</v>
      </c>
      <c r="R39" s="17"/>
      <c r="S39" s="16"/>
      <c r="T39" s="16"/>
      <c r="U39" s="16"/>
      <c r="V39" s="16"/>
      <c r="W39" s="22"/>
      <c r="X39" s="50"/>
    </row>
    <row r="40" spans="1:24" x14ac:dyDescent="0.25">
      <c r="H40" s="28" t="s">
        <v>147</v>
      </c>
      <c r="R40" s="17" t="s">
        <v>83</v>
      </c>
      <c r="S40" s="20" t="s">
        <v>174</v>
      </c>
      <c r="T40" s="43">
        <f>B14/B15</f>
        <v>3</v>
      </c>
      <c r="U40" s="43"/>
      <c r="V40" s="43">
        <f>D14/D15</f>
        <v>7.2666666666666666</v>
      </c>
      <c r="W40" s="22">
        <v>6</v>
      </c>
      <c r="X40" s="50"/>
    </row>
    <row r="41" spans="1:24" x14ac:dyDescent="0.25">
      <c r="H41" s="28" t="s">
        <v>146</v>
      </c>
      <c r="I41" s="29"/>
      <c r="K41" s="29"/>
      <c r="R41" s="17" t="s">
        <v>129</v>
      </c>
      <c r="S41" s="16" t="s">
        <v>84</v>
      </c>
      <c r="T41" s="16"/>
      <c r="U41" s="16"/>
      <c r="V41" s="16"/>
      <c r="W41" s="22"/>
      <c r="X41" s="33"/>
    </row>
    <row r="42" spans="1:24" x14ac:dyDescent="0.25">
      <c r="H42" t="s">
        <v>142</v>
      </c>
      <c r="R42" s="17"/>
      <c r="S42" s="16"/>
      <c r="T42" s="16"/>
      <c r="U42" s="16"/>
      <c r="V42" s="16"/>
      <c r="W42" s="22"/>
      <c r="X42" s="33"/>
    </row>
    <row r="43" spans="1:24" x14ac:dyDescent="0.25">
      <c r="H43" t="s">
        <v>148</v>
      </c>
      <c r="R43" s="17"/>
      <c r="S43" s="16"/>
      <c r="T43" s="16"/>
      <c r="U43" s="16"/>
      <c r="V43" s="16"/>
      <c r="W43" s="22"/>
      <c r="X43" s="32"/>
    </row>
    <row r="44" spans="1:24" x14ac:dyDescent="0.25">
      <c r="R44" s="15" t="s">
        <v>85</v>
      </c>
      <c r="S44" s="16"/>
      <c r="T44" s="16"/>
      <c r="U44" s="16"/>
      <c r="V44" s="16"/>
      <c r="W44" s="22"/>
      <c r="X44" s="32"/>
    </row>
    <row r="45" spans="1:24" x14ac:dyDescent="0.25">
      <c r="H45" s="51" t="s">
        <v>185</v>
      </c>
      <c r="I45" s="51"/>
      <c r="J45" s="51"/>
      <c r="K45" s="51"/>
      <c r="R45" s="17" t="s">
        <v>86</v>
      </c>
      <c r="S45" s="20" t="s">
        <v>175</v>
      </c>
      <c r="T45" s="48">
        <f>B20/B5</f>
        <v>4.6666666666666669E-2</v>
      </c>
      <c r="U45" s="48"/>
      <c r="V45" s="48">
        <f t="shared" ref="U45:V45" si="9">D20/D5</f>
        <v>6.7642857142857143E-2</v>
      </c>
      <c r="W45" s="24">
        <v>0.05</v>
      </c>
      <c r="X45" s="49" t="s">
        <v>177</v>
      </c>
    </row>
    <row r="46" spans="1:24" x14ac:dyDescent="0.25">
      <c r="H46" t="s">
        <v>179</v>
      </c>
      <c r="I46">
        <f>I32/1000000</f>
        <v>5</v>
      </c>
      <c r="J46" t="s">
        <v>181</v>
      </c>
      <c r="K46">
        <f>(I32+I33)/1000000</f>
        <v>9</v>
      </c>
      <c r="R46" s="17"/>
      <c r="S46" s="16" t="s">
        <v>78</v>
      </c>
      <c r="T46" s="16"/>
      <c r="U46" s="16"/>
      <c r="V46" s="16"/>
      <c r="W46" s="22"/>
      <c r="X46" s="49"/>
    </row>
    <row r="47" spans="1:24" x14ac:dyDescent="0.25">
      <c r="H47" t="s">
        <v>180</v>
      </c>
      <c r="I47">
        <f>I31/25000</f>
        <v>100</v>
      </c>
      <c r="J47" t="s">
        <v>182</v>
      </c>
      <c r="K47">
        <f>(I31+I33)/25000</f>
        <v>260</v>
      </c>
      <c r="R47" s="17"/>
      <c r="S47" s="16"/>
      <c r="T47" s="16"/>
      <c r="U47" s="16"/>
      <c r="V47" s="16"/>
      <c r="W47" s="21"/>
      <c r="X47" s="49"/>
    </row>
    <row r="48" spans="1:24" x14ac:dyDescent="0.25">
      <c r="R48" s="17" t="s">
        <v>87</v>
      </c>
      <c r="S48" s="20" t="s">
        <v>130</v>
      </c>
      <c r="T48" s="48">
        <f>B14/I19</f>
        <v>0.06</v>
      </c>
      <c r="U48" s="48"/>
      <c r="V48" s="48">
        <f t="shared" ref="U48:V48" si="10">D14/K19</f>
        <v>9.2205438066465251E-2</v>
      </c>
      <c r="W48" s="24">
        <v>0.12</v>
      </c>
      <c r="X48" s="49"/>
    </row>
    <row r="49" spans="8:24" x14ac:dyDescent="0.25">
      <c r="R49" s="17"/>
      <c r="S49" s="16" t="s">
        <v>81</v>
      </c>
      <c r="T49" s="16"/>
      <c r="U49" s="16"/>
      <c r="V49" s="16"/>
      <c r="W49" s="21"/>
      <c r="X49" s="49"/>
    </row>
    <row r="50" spans="8:24" x14ac:dyDescent="0.25">
      <c r="R50" s="17"/>
      <c r="S50" s="16"/>
      <c r="T50" s="16"/>
      <c r="U50" s="16"/>
      <c r="V50" s="16"/>
      <c r="W50" s="21"/>
      <c r="X50" s="49"/>
    </row>
    <row r="51" spans="8:24" x14ac:dyDescent="0.25">
      <c r="R51" s="17" t="s">
        <v>176</v>
      </c>
      <c r="S51" s="20" t="s">
        <v>131</v>
      </c>
      <c r="T51" s="48">
        <f>B20/I19</f>
        <v>2.8000000000000001E-2</v>
      </c>
      <c r="U51" s="48"/>
      <c r="V51" s="48">
        <f t="shared" ref="U51:V51" si="11">D20/K19</f>
        <v>5.7220543806646526E-2</v>
      </c>
      <c r="W51" s="24">
        <v>0.08</v>
      </c>
      <c r="X51" s="49"/>
    </row>
    <row r="52" spans="8:24" x14ac:dyDescent="0.25">
      <c r="J52" s="52">
        <v>2022</v>
      </c>
      <c r="K52" s="52">
        <v>2021</v>
      </c>
      <c r="R52" s="17"/>
      <c r="S52" s="16" t="s">
        <v>81</v>
      </c>
      <c r="T52" s="16"/>
      <c r="U52" s="16"/>
      <c r="V52" s="16"/>
      <c r="W52" s="21"/>
      <c r="X52" s="49"/>
    </row>
    <row r="53" spans="8:24" x14ac:dyDescent="0.25">
      <c r="H53" t="s">
        <v>186</v>
      </c>
      <c r="I53" t="s">
        <v>187</v>
      </c>
      <c r="J53" s="53">
        <f>B20/1000000</f>
        <v>1.4</v>
      </c>
      <c r="K53" s="53">
        <f>D20/1000000</f>
        <v>2.3675000000000002</v>
      </c>
      <c r="R53" s="17"/>
      <c r="S53" s="16"/>
      <c r="T53" s="16"/>
      <c r="U53" s="16"/>
      <c r="V53" s="16"/>
      <c r="W53" s="21"/>
      <c r="X53" s="49"/>
    </row>
    <row r="54" spans="8:24" x14ac:dyDescent="0.25">
      <c r="R54" s="17" t="s">
        <v>88</v>
      </c>
      <c r="S54" s="20" t="s">
        <v>131</v>
      </c>
      <c r="T54" s="48">
        <f>B20/(I35-I31)</f>
        <v>0.12727272727272726</v>
      </c>
      <c r="U54" s="48"/>
      <c r="V54" s="48">
        <f t="shared" ref="U54:V54" si="12">D20/(K35-K31)</f>
        <v>0.23914141414141415</v>
      </c>
      <c r="W54" s="24">
        <v>0.18</v>
      </c>
      <c r="X54" s="49"/>
    </row>
    <row r="55" spans="8:24" x14ac:dyDescent="0.25">
      <c r="R55" s="17" t="s">
        <v>89</v>
      </c>
      <c r="S55" s="16" t="s">
        <v>90</v>
      </c>
      <c r="T55" s="16"/>
      <c r="U55" s="16"/>
      <c r="V55" s="16"/>
      <c r="W55" s="21"/>
      <c r="X55" s="16"/>
    </row>
    <row r="56" spans="8:24" x14ac:dyDescent="0.25">
      <c r="R56" s="17"/>
      <c r="S56" s="16"/>
      <c r="T56" s="16"/>
      <c r="U56" s="16"/>
      <c r="V56" s="16"/>
      <c r="W56" s="21"/>
      <c r="X56" s="16"/>
    </row>
    <row r="57" spans="8:24" x14ac:dyDescent="0.25">
      <c r="R57" s="17"/>
      <c r="S57" s="16"/>
      <c r="T57" s="16"/>
      <c r="U57" s="16"/>
      <c r="V57" s="16"/>
      <c r="W57" s="21"/>
      <c r="X57" s="16"/>
    </row>
    <row r="58" spans="8:24" x14ac:dyDescent="0.25">
      <c r="R58" s="15" t="s">
        <v>91</v>
      </c>
      <c r="S58" s="16"/>
      <c r="T58" s="16"/>
      <c r="U58" s="16"/>
      <c r="V58" s="16"/>
      <c r="W58" s="21"/>
      <c r="X58" s="16"/>
    </row>
    <row r="59" spans="8:24" x14ac:dyDescent="0.25">
      <c r="R59" s="17" t="s">
        <v>92</v>
      </c>
      <c r="S59" s="20" t="s">
        <v>93</v>
      </c>
      <c r="T59" s="16"/>
      <c r="U59" s="16"/>
      <c r="V59" s="16"/>
      <c r="W59" s="22"/>
      <c r="X59" s="16"/>
    </row>
    <row r="60" spans="8:24" x14ac:dyDescent="0.25">
      <c r="R60" s="17"/>
      <c r="S60" s="16" t="s">
        <v>94</v>
      </c>
      <c r="T60" s="16"/>
      <c r="U60" s="16"/>
      <c r="V60" s="16"/>
      <c r="W60" s="22"/>
    </row>
    <row r="61" spans="8:24" x14ac:dyDescent="0.25">
      <c r="R61" s="17"/>
      <c r="S61" s="16"/>
      <c r="T61" s="16"/>
      <c r="U61" s="16"/>
      <c r="V61" s="16"/>
      <c r="W61" s="22"/>
    </row>
    <row r="62" spans="8:24" x14ac:dyDescent="0.25">
      <c r="R62" s="17" t="s">
        <v>95</v>
      </c>
      <c r="S62" s="20" t="s">
        <v>184</v>
      </c>
      <c r="T62" s="16"/>
      <c r="U62" s="16"/>
      <c r="V62" s="16"/>
      <c r="W62" s="22"/>
    </row>
    <row r="63" spans="8:24" x14ac:dyDescent="0.25">
      <c r="R63" s="17" t="s">
        <v>96</v>
      </c>
      <c r="S63" s="16" t="s">
        <v>183</v>
      </c>
      <c r="T63" s="16"/>
      <c r="U63" s="16"/>
      <c r="V63" s="16"/>
      <c r="W63" s="22"/>
    </row>
    <row r="64" spans="8:24" x14ac:dyDescent="0.25">
      <c r="R64" s="17"/>
      <c r="S64" s="16"/>
      <c r="T64" s="16"/>
      <c r="U64" s="16"/>
      <c r="V64" s="16"/>
      <c r="W64" s="16"/>
    </row>
  </sheetData>
  <mergeCells count="3">
    <mergeCell ref="X45:X54"/>
    <mergeCell ref="X37:X40"/>
    <mergeCell ref="H45:K45"/>
  </mergeCells>
  <pageMargins left="0.7" right="0.7" top="0.75" bottom="0.75" header="0.3" footer="0.3"/>
  <pageSetup scale="53" orientation="landscape" horizontalDpi="4294967293" r:id="rId1"/>
  <colBreaks count="1" manualBreakCount="1">
    <brk id="13" max="1048575" man="1"/>
  </colBreaks>
  <ignoredErrors>
    <ignoredError sqref="D17 B17:C17 D7 C16:D16 C18:D18 C20:D20 D13:D14 C13:C14"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DATOS</vt:lpstr>
      <vt:lpstr>SOLUCIÓN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paz</dc:creator>
  <cp:lastModifiedBy>Jose Alejandro Montenegro Monzon</cp:lastModifiedBy>
  <cp:lastPrinted>2020-01-30T17:17:48Z</cp:lastPrinted>
  <dcterms:created xsi:type="dcterms:W3CDTF">2013-02-05T19:54:18Z</dcterms:created>
  <dcterms:modified xsi:type="dcterms:W3CDTF">2023-02-03T00:34:35Z</dcterms:modified>
</cp:coreProperties>
</file>