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defaultThemeVersion="124226"/>
  <mc:AlternateContent xmlns:mc="http://schemas.openxmlformats.org/markup-compatibility/2006">
    <mc:Choice Requires="x15">
      <x15ac:absPath xmlns:x15ac="http://schemas.microsoft.com/office/spreadsheetml/2010/11/ac" url="D:\UNIVERSIDAD\2023 CICLO 1\FUNDAMENTOS DE ADMINISTRACIÓN Y ANÁLISIS FINANCIERO\Semana 3\"/>
    </mc:Choice>
  </mc:AlternateContent>
  <xr:revisionPtr revIDLastSave="0" documentId="13_ncr:1_{25A0A9AA-8BCF-44BB-985E-15388865E262}" xr6:coauthVersionLast="47" xr6:coauthVersionMax="47" xr10:uidLastSave="{00000000-0000-0000-0000-000000000000}"/>
  <bookViews>
    <workbookView xWindow="24" yWindow="744" windowWidth="23016" windowHeight="12216" activeTab="1" xr2:uid="{00000000-000D-0000-FFFF-FFFF00000000}"/>
  </bookViews>
  <sheets>
    <sheet name="DATOS" sheetId="4" r:id="rId1"/>
    <sheet name="SOLUCIÓN"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1" i="1" l="1"/>
  <c r="I40" i="1"/>
  <c r="I39" i="1"/>
  <c r="B35" i="1" l="1"/>
  <c r="B22" i="1"/>
  <c r="T41" i="1"/>
  <c r="T25" i="1"/>
  <c r="T22" i="1"/>
  <c r="T18" i="1"/>
  <c r="T15" i="1"/>
  <c r="T9" i="1"/>
  <c r="T6" i="1"/>
  <c r="P6" i="1" l="1"/>
  <c r="D22" i="1"/>
  <c r="V22" i="1"/>
  <c r="W18" i="1"/>
  <c r="V18" i="1"/>
  <c r="V15" i="1"/>
  <c r="M23" i="1"/>
  <c r="M24" i="1"/>
  <c r="M25" i="1"/>
  <c r="M28" i="1"/>
  <c r="M31" i="1"/>
  <c r="M32" i="1"/>
  <c r="M33" i="1"/>
  <c r="M34" i="1"/>
  <c r="M8" i="1"/>
  <c r="M9" i="1"/>
  <c r="M10" i="1"/>
  <c r="M13" i="1"/>
  <c r="M14" i="1"/>
  <c r="M15" i="1"/>
  <c r="M17" i="1"/>
  <c r="M7" i="1"/>
  <c r="F6" i="1"/>
  <c r="F9" i="1"/>
  <c r="F10" i="1"/>
  <c r="F11" i="1"/>
  <c r="F12" i="1"/>
  <c r="F15" i="1"/>
  <c r="F19" i="1"/>
  <c r="F5" i="1"/>
  <c r="E6" i="1"/>
  <c r="E9" i="1"/>
  <c r="E10" i="1"/>
  <c r="E11" i="1"/>
  <c r="E12" i="1"/>
  <c r="E15" i="1"/>
  <c r="E19" i="1"/>
  <c r="C9" i="1"/>
  <c r="C10" i="1"/>
  <c r="C11" i="1"/>
  <c r="C12" i="1"/>
  <c r="C15" i="1"/>
  <c r="C19" i="1"/>
  <c r="E5" i="1"/>
  <c r="C6" i="1"/>
  <c r="C5" i="1"/>
  <c r="P28" i="1"/>
  <c r="P33" i="1"/>
  <c r="P25" i="1"/>
  <c r="P24" i="1"/>
  <c r="P13" i="1"/>
  <c r="P12" i="1"/>
  <c r="P10" i="1"/>
  <c r="P9" i="1"/>
  <c r="P8" i="1"/>
  <c r="B30" i="1"/>
  <c r="P27" i="1" s="1"/>
  <c r="B27" i="1"/>
  <c r="P29" i="1" l="1"/>
  <c r="K35" i="1"/>
  <c r="K29" i="1"/>
  <c r="K26" i="1"/>
  <c r="K16" i="1"/>
  <c r="K11" i="1"/>
  <c r="D13" i="1"/>
  <c r="E13" i="1" s="1"/>
  <c r="I35" i="1"/>
  <c r="I29" i="1"/>
  <c r="I26" i="1"/>
  <c r="V6" i="1" l="1"/>
  <c r="V9" i="1"/>
  <c r="M29" i="1"/>
  <c r="M35" i="1"/>
  <c r="M26" i="1"/>
  <c r="I36" i="1"/>
  <c r="J26" i="1" s="1"/>
  <c r="K18" i="1"/>
  <c r="V25" i="1" s="1"/>
  <c r="D7" i="1"/>
  <c r="E7" i="1" s="1"/>
  <c r="K36" i="1"/>
  <c r="I16" i="1"/>
  <c r="I11" i="1"/>
  <c r="B13" i="1"/>
  <c r="B7" i="1"/>
  <c r="F7" i="1" l="1"/>
  <c r="C7" i="1"/>
  <c r="J35" i="1"/>
  <c r="C13" i="1"/>
  <c r="F13" i="1"/>
  <c r="J29" i="1"/>
  <c r="M16" i="1"/>
  <c r="J23" i="1"/>
  <c r="J24" i="1"/>
  <c r="J25" i="1"/>
  <c r="M36" i="1"/>
  <c r="J28" i="1"/>
  <c r="J36" i="1"/>
  <c r="J31" i="1"/>
  <c r="J32" i="1"/>
  <c r="J33" i="1"/>
  <c r="J34" i="1"/>
  <c r="M11" i="1"/>
  <c r="K19" i="1"/>
  <c r="P19" i="1"/>
  <c r="P20" i="1" s="1"/>
  <c r="B14" i="1"/>
  <c r="D14" i="1"/>
  <c r="I18" i="1"/>
  <c r="E14" i="1" l="1"/>
  <c r="V41" i="1"/>
  <c r="L18" i="1"/>
  <c r="V28" i="1"/>
  <c r="V37" i="1"/>
  <c r="L23" i="1"/>
  <c r="L7" i="1"/>
  <c r="L8" i="1"/>
  <c r="L9" i="1"/>
  <c r="L24" i="1"/>
  <c r="L25" i="1"/>
  <c r="L10" i="1"/>
  <c r="L28" i="1"/>
  <c r="L13" i="1"/>
  <c r="L14" i="1"/>
  <c r="L15" i="1"/>
  <c r="L17" i="1"/>
  <c r="L19" i="1"/>
  <c r="L31" i="1"/>
  <c r="L32" i="1"/>
  <c r="L33" i="1"/>
  <c r="L34" i="1"/>
  <c r="L11" i="1"/>
  <c r="L16" i="1"/>
  <c r="L26" i="1"/>
  <c r="L29" i="1"/>
  <c r="L35" i="1"/>
  <c r="L36" i="1"/>
  <c r="M18" i="1"/>
  <c r="C14" i="1"/>
  <c r="F14" i="1"/>
  <c r="B16" i="1"/>
  <c r="I19" i="1"/>
  <c r="D16" i="1"/>
  <c r="E16" i="1" s="1"/>
  <c r="T28" i="1" l="1"/>
  <c r="T37" i="1"/>
  <c r="J7" i="1"/>
  <c r="J8" i="1"/>
  <c r="J9" i="1"/>
  <c r="M19" i="1"/>
  <c r="J19" i="1"/>
  <c r="J10" i="1"/>
  <c r="J14" i="1"/>
  <c r="J13" i="1"/>
  <c r="J15" i="1"/>
  <c r="J17" i="1"/>
  <c r="J11" i="1"/>
  <c r="J16" i="1"/>
  <c r="C16" i="1"/>
  <c r="F16" i="1"/>
  <c r="J18" i="1"/>
  <c r="B17" i="1"/>
  <c r="D17" i="1"/>
  <c r="E17" i="1" s="1"/>
  <c r="C17" i="1" l="1"/>
  <c r="F17" i="1"/>
  <c r="B18" i="1"/>
  <c r="D18" i="1"/>
  <c r="E18" i="1" s="1"/>
  <c r="C18" i="1" l="1"/>
  <c r="F18" i="1"/>
  <c r="B20" i="1"/>
  <c r="T46" i="1" s="1"/>
  <c r="B28" i="1"/>
  <c r="B29" i="1" s="1"/>
  <c r="B31" i="1" s="1"/>
  <c r="B33" i="1" s="1"/>
  <c r="P14" i="1"/>
  <c r="P32" i="1" s="1"/>
  <c r="P34" i="1" s="1"/>
  <c r="D20" i="1"/>
  <c r="E20" i="1" s="1"/>
  <c r="F20" i="1" l="1"/>
  <c r="C2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Brazil Batres</author>
  </authors>
  <commentList>
    <comment ref="R5" authorId="0" shapeId="0" xr:uid="{1ECF88D5-16FB-4AB3-BB71-087A156F6441}">
      <text>
        <r>
          <rPr>
            <b/>
            <sz val="9"/>
            <color indexed="81"/>
            <rFont val="Tahoma"/>
            <family val="2"/>
          </rPr>
          <t>Analizan la capacidad de pago de la empresa en el corto plazo.</t>
        </r>
      </text>
    </comment>
    <comment ref="F6" authorId="0" shapeId="0" xr:uid="{FE8A551D-9668-4D77-977F-11DF90203551}">
      <text>
        <r>
          <rPr>
            <b/>
            <sz val="9"/>
            <color indexed="81"/>
            <rFont val="Tahoma"/>
            <family val="2"/>
          </rPr>
          <t>Proporcionalmente el costo de ventas no disminuyó sino que aumentó con respecto a los ingresos. Esto también puede notarse en que el %H no disminuyó en el mismo porcentaje que los ingresos si no que disminuyó menos.</t>
        </r>
      </text>
    </comment>
    <comment ref="F7" authorId="0" shapeId="0" xr:uid="{F4105C52-3130-436B-907A-084D592592AE}">
      <text>
        <r>
          <rPr>
            <b/>
            <sz val="9"/>
            <color indexed="81"/>
            <rFont val="Tahoma"/>
            <family val="2"/>
          </rPr>
          <t>Brazil Batres:</t>
        </r>
        <r>
          <rPr>
            <sz val="9"/>
            <color indexed="81"/>
            <rFont val="Tahoma"/>
            <family val="2"/>
          </rPr>
          <t xml:space="preserve">
Las utilidades que quedan disponibles para cubrir gastos de op, intereses, impuestos y dividendos disminuyeron con relación. De cada quetzal vendido solo quedan 30 centavos mientras que antes quedaban 34 centavos.</t>
        </r>
      </text>
    </comment>
    <comment ref="M9" authorId="0" shapeId="0" xr:uid="{17E8A656-9331-4DA9-9085-EC66DEE54C65}">
      <text>
        <r>
          <rPr>
            <b/>
            <sz val="9"/>
            <color indexed="81"/>
            <rFont val="Tahoma"/>
            <family val="2"/>
          </rPr>
          <t>Brazil Batres:</t>
        </r>
        <r>
          <rPr>
            <sz val="9"/>
            <color indexed="81"/>
            <rFont val="Tahoma"/>
            <family val="2"/>
          </rPr>
          <t xml:space="preserve">
No es bueno que las ctas x cobrar aumenten en porcentaje porque mis clientes no me han pagado.
</t>
        </r>
      </text>
    </comment>
    <comment ref="R13" authorId="0" shapeId="0" xr:uid="{169F4BB3-918B-4232-AF15-2F20971D52AE}">
      <text>
        <r>
          <rPr>
            <b/>
            <sz val="9"/>
            <color indexed="81"/>
            <rFont val="Tahoma"/>
            <family val="2"/>
          </rPr>
          <t>Analiza la eficiencia de la empresa desde distintos puntos de de vista. Indican que tanto se paovechan los activos de la empresa.</t>
        </r>
      </text>
    </comment>
    <comment ref="F20" authorId="0" shapeId="0" xr:uid="{F53B2F21-D006-4013-A751-763DEA9313E2}">
      <text>
        <r>
          <rPr>
            <b/>
            <sz val="9"/>
            <color indexed="81"/>
            <rFont val="Tahoma"/>
            <family val="2"/>
          </rPr>
          <t>Brazil Batres:</t>
        </r>
        <r>
          <rPr>
            <sz val="9"/>
            <color indexed="81"/>
            <rFont val="Tahoma"/>
            <family val="2"/>
          </rPr>
          <t xml:space="preserve">
La utilidad neta no solo disminuyó monetariamente si no que también con respecto a los ingresos.
</t>
        </r>
      </text>
    </comment>
    <comment ref="S22" authorId="0" shapeId="0" xr:uid="{FE56705D-281E-443C-83A0-66DA12E8ECDE}">
      <text>
        <r>
          <rPr>
            <b/>
            <sz val="9"/>
            <color indexed="81"/>
            <rFont val="Tahoma"/>
            <family val="2"/>
          </rPr>
          <t xml:space="preserve">Puede ser cuentas x cobrar o Clientes
</t>
        </r>
      </text>
    </comment>
    <comment ref="R32" authorId="0" shapeId="0" xr:uid="{57926C10-EBCD-4914-9413-1A89C738DDC1}">
      <text>
        <r>
          <rPr>
            <b/>
            <sz val="9"/>
            <color indexed="81"/>
            <rFont val="Tahoma"/>
            <family val="2"/>
          </rPr>
          <t xml:space="preserve">Lo ideal es que esta cantidad sea mayor a PPC
</t>
        </r>
      </text>
    </comment>
    <comment ref="J35" authorId="0" shapeId="0" xr:uid="{9C80C15D-4C34-4D93-B155-5A4FDDED4C5F}">
      <text>
        <r>
          <rPr>
            <b/>
            <sz val="9"/>
            <color indexed="81"/>
            <rFont val="Tahoma"/>
            <family val="2"/>
          </rPr>
          <t>Brazil Batres:</t>
        </r>
        <r>
          <rPr>
            <sz val="9"/>
            <color indexed="81"/>
            <rFont val="Tahoma"/>
            <family val="2"/>
          </rPr>
          <t xml:space="preserve">
Este porcentaje es lo que realmente posee la empresa, el otro porcentaje lo debe porque es financiamiento externo.</t>
        </r>
      </text>
    </comment>
    <comment ref="R36" authorId="0" shapeId="0" xr:uid="{BAA0F28F-123E-4D51-A7EE-DAC3D7D6920B}">
      <text>
        <r>
          <rPr>
            <b/>
            <sz val="9"/>
            <color indexed="81"/>
            <rFont val="Tahoma"/>
            <family val="2"/>
          </rPr>
          <t>Analiza el uso de capital ajeno para financiar activos.</t>
        </r>
      </text>
    </comment>
    <comment ref="R45" authorId="0" shapeId="0" xr:uid="{9EA4F00B-E0B7-46B0-BA83-5234CAB616E7}">
      <text>
        <r>
          <rPr>
            <b/>
            <sz val="9"/>
            <color indexed="81"/>
            <rFont val="Tahoma"/>
            <family val="2"/>
          </rPr>
          <t>Analiza si la marcha del negocio es la esperada en cuanto a las ganancias obtendido</t>
        </r>
      </text>
    </comment>
  </commentList>
</comments>
</file>

<file path=xl/sharedStrings.xml><?xml version="1.0" encoding="utf-8"?>
<sst xmlns="http://schemas.openxmlformats.org/spreadsheetml/2006/main" count="205" uniqueCount="164">
  <si>
    <t>Estado de Resultados</t>
  </si>
  <si>
    <t>Richard´s  Company, S.A.</t>
  </si>
  <si>
    <t>Ingresos por ventas</t>
  </si>
  <si>
    <t>(-) Costo de ventas</t>
  </si>
  <si>
    <t>Utilidad Bruta</t>
  </si>
  <si>
    <t>(-) Gastos Operativos</t>
  </si>
  <si>
    <t xml:space="preserve">      Gastos de ventas</t>
  </si>
  <si>
    <t xml:space="preserve">      Gastos generales y administrativos</t>
  </si>
  <si>
    <t xml:space="preserve">      Gastos de arrendamiento</t>
  </si>
  <si>
    <t xml:space="preserve">      Gastos por depreciación</t>
  </si>
  <si>
    <t xml:space="preserve">      Total de gastos operativos</t>
  </si>
  <si>
    <t>Utilidad Operativa</t>
  </si>
  <si>
    <t>(-) Intereses</t>
  </si>
  <si>
    <t>Utilidad neta antes de impuestos</t>
  </si>
  <si>
    <t>(-) Impuestos</t>
  </si>
  <si>
    <t>Utilidad neta después de impuestos</t>
  </si>
  <si>
    <t>(-) Dividendos Preferentes</t>
  </si>
  <si>
    <t>Ganancia disponible para accionistas comunes</t>
  </si>
  <si>
    <t>Balance General</t>
  </si>
  <si>
    <t>ACTIVOS</t>
  </si>
  <si>
    <t>Valores negociables</t>
  </si>
  <si>
    <t>Bancos</t>
  </si>
  <si>
    <t>Cuentas por cobrar</t>
  </si>
  <si>
    <t>Inventarios</t>
  </si>
  <si>
    <t>Total de activos corrientes</t>
  </si>
  <si>
    <t>Activo Corriente</t>
  </si>
  <si>
    <t>Activos No Corrientes</t>
  </si>
  <si>
    <t>Maquinaria y Equipo</t>
  </si>
  <si>
    <t>Mobiliario y Accesorios</t>
  </si>
  <si>
    <t>Terreno y Edificios</t>
  </si>
  <si>
    <t>Total de activos brutos</t>
  </si>
  <si>
    <t>(-) Depreciación Acumulada</t>
  </si>
  <si>
    <t>Total de activos no corrientes</t>
  </si>
  <si>
    <t>SUMA TOTAL DEL ACTIVO</t>
  </si>
  <si>
    <t>PASIVO Y PATRIMONIO</t>
  </si>
  <si>
    <t>Cuentas por Pagar</t>
  </si>
  <si>
    <t>Documentos por Pagar</t>
  </si>
  <si>
    <t>Deudas Acumuladas</t>
  </si>
  <si>
    <t>Pasivos Corrientes</t>
  </si>
  <si>
    <t>Total de pasivos corrientes</t>
  </si>
  <si>
    <t>Pasivos No Corrientes</t>
  </si>
  <si>
    <t>Deuda a largo plazo</t>
  </si>
  <si>
    <t>Total de pasivos No corrientes</t>
  </si>
  <si>
    <t>Capital</t>
  </si>
  <si>
    <t>Acciones Preferentes (25,000)</t>
  </si>
  <si>
    <t>Acciones Comunes (1 millón)</t>
  </si>
  <si>
    <t>Capital pagado en exceso del valor a la par</t>
  </si>
  <si>
    <t>Ganancias retenidas</t>
  </si>
  <si>
    <t>Total de Capital</t>
  </si>
  <si>
    <t>SUMA TOTAL DEL PASIVO + CAPITAL</t>
  </si>
  <si>
    <t>Estado de Utilidades Retenidas</t>
  </si>
  <si>
    <t>Utilidad Disponible para acciones preferentes y comunes</t>
  </si>
  <si>
    <t>(-) Pago de Acciones Preferentes</t>
  </si>
  <si>
    <t>Utilidad Disponible para acciones comunes</t>
  </si>
  <si>
    <t>(-) Pago de Acciones Comunes</t>
  </si>
  <si>
    <t>ACTIVIDADES DE OPERACIÓN</t>
  </si>
  <si>
    <t>Adiciones (Origen de Efectivo):</t>
  </si>
  <si>
    <t>Depreciación</t>
  </si>
  <si>
    <t>Incremento en Cuentas por Pagar</t>
  </si>
  <si>
    <t>Sustracciones (Aplicaciones de Efectivo):</t>
  </si>
  <si>
    <t>Incremento en Cuentas por Cobrar</t>
  </si>
  <si>
    <t>FNE por actividades de Operación</t>
  </si>
  <si>
    <t>ACTIVIDADES DE INVERSIÓN A LARGO PLAZO</t>
  </si>
  <si>
    <t>Aumento de Activos fijos brutos</t>
  </si>
  <si>
    <t>FNE por actividades de inversión</t>
  </si>
  <si>
    <t>ACTIVIDADES DE FINANCIAMIENTO</t>
  </si>
  <si>
    <t>Aumento de la Deuda a Largo plazo</t>
  </si>
  <si>
    <t>Pago dividendos preferentes</t>
  </si>
  <si>
    <t>FNE por actividades de Financiamiento</t>
  </si>
  <si>
    <t>Suma de FNE igual a Cambio de Efectivo</t>
  </si>
  <si>
    <t>Aumento en los inventarios</t>
  </si>
  <si>
    <t>Aumento en las Deudas Acumuladas</t>
  </si>
  <si>
    <t>Aumento de Documentos por Pagar</t>
  </si>
  <si>
    <t>Pago dividendos comunes</t>
  </si>
  <si>
    <t>RAZONES FINANCIERAS</t>
  </si>
  <si>
    <t>PROM. INDUSTRIA</t>
  </si>
  <si>
    <t>COMENTARIO</t>
  </si>
  <si>
    <t>RAZONES DE LIQUIDEZ</t>
  </si>
  <si>
    <t>Razón Rápida</t>
  </si>
  <si>
    <t>ADMINISTRACION DE ACTIVOS</t>
  </si>
  <si>
    <t>Rotación de Inventarios</t>
  </si>
  <si>
    <t>Ventas</t>
  </si>
  <si>
    <t xml:space="preserve">Días de venta Pendientes de Cobro </t>
  </si>
  <si>
    <t>Cuentas por Cobrar</t>
  </si>
  <si>
    <t>Rotación de los Activos Fijos</t>
  </si>
  <si>
    <t>Activos Fijos Netos</t>
  </si>
  <si>
    <t>Rotación de los activos Totales</t>
  </si>
  <si>
    <t>Activos Totales</t>
  </si>
  <si>
    <t>ADMINISTRACIÓN DE DEUDAS</t>
  </si>
  <si>
    <t>Rotación de Intereses</t>
  </si>
  <si>
    <t>Cargo por Intereses</t>
  </si>
  <si>
    <t>RENTABILIDAD</t>
  </si>
  <si>
    <t>Margen de Utilidad sobre Ventas</t>
  </si>
  <si>
    <t>Generación Básica de Utilidades</t>
  </si>
  <si>
    <t>Rendimiento sobre Activos (ROA)</t>
  </si>
  <si>
    <t>Rendimiento sobre Capital Contable</t>
  </si>
  <si>
    <t>(ROE)</t>
  </si>
  <si>
    <t>Capital Contable Común</t>
  </si>
  <si>
    <t>VALOR DE MERCADO</t>
  </si>
  <si>
    <t>Precio/Utilidad   (P/E)</t>
  </si>
  <si>
    <t>Precio por Acción</t>
  </si>
  <si>
    <t>Utilidades por Acción</t>
  </si>
  <si>
    <t>Valor de Mercado/Valor en</t>
  </si>
  <si>
    <t>Precio de Mercado por Acción</t>
  </si>
  <si>
    <t>Libros</t>
  </si>
  <si>
    <t>Valor en Libros por Acción</t>
  </si>
  <si>
    <t>Ventas Anuales / 365</t>
  </si>
  <si>
    <t>Intereses</t>
  </si>
  <si>
    <t>Dividendos Preferentes</t>
  </si>
  <si>
    <t>Gastos de ventas</t>
  </si>
  <si>
    <t>Gastos generales y administrativos</t>
  </si>
  <si>
    <t>Gastos de arrendamiento</t>
  </si>
  <si>
    <t>Gastos por depreciación</t>
  </si>
  <si>
    <t>Costo de ventas</t>
  </si>
  <si>
    <t>Depreciación Acumulada</t>
  </si>
  <si>
    <t>Costo de Ventas</t>
  </si>
  <si>
    <t>% V</t>
  </si>
  <si>
    <t>%H</t>
  </si>
  <si>
    <t>*Usando como efectivo: Bancos y Valores Negociables</t>
  </si>
  <si>
    <t>Del 01 de enero al 31 de diciembre 2021-2022</t>
  </si>
  <si>
    <t>Al 31 de diciembre 2021-2022</t>
  </si>
  <si>
    <t>Del año 2022, que finaliza el 31 de diciembre</t>
  </si>
  <si>
    <t>Saldo en Utilidades Retenidas Dic 2021</t>
  </si>
  <si>
    <t>(+) Utilidad Neta del Ejercicio del 2022</t>
  </si>
  <si>
    <t>Utilidad Retenida al 2022</t>
  </si>
  <si>
    <t>AÑO 2021-2022</t>
  </si>
  <si>
    <t>AÑO 2022</t>
  </si>
  <si>
    <t>AÑO 2021</t>
  </si>
  <si>
    <t>Razón Corriente</t>
  </si>
  <si>
    <t>Pasivo Corriente</t>
  </si>
  <si>
    <t>Activo Corriente - Inventarios</t>
  </si>
  <si>
    <t>(Prueba ácida)</t>
  </si>
  <si>
    <t>Días de Inventario</t>
  </si>
  <si>
    <t>Inventario</t>
  </si>
  <si>
    <t>(PPI)</t>
  </si>
  <si>
    <t>Costo de ventas / 365</t>
  </si>
  <si>
    <t>(PPC)</t>
  </si>
  <si>
    <t>(Activos No Corrientes)</t>
  </si>
  <si>
    <t>Nivel de Endeudamiento Total</t>
  </si>
  <si>
    <t>(Cobertura de Intereses)</t>
  </si>
  <si>
    <t>UAII</t>
  </si>
  <si>
    <t>UDAC</t>
  </si>
  <si>
    <t>Del 01 de enero al 31 de diciembre 2022</t>
  </si>
  <si>
    <t>(+) Efectivo al Final del Año 2021</t>
  </si>
  <si>
    <t>Efectivo al Final del Año 2022</t>
  </si>
  <si>
    <t>Utilidad Neta</t>
  </si>
  <si>
    <t>Días pendientes de Pago</t>
  </si>
  <si>
    <t>(PPP)</t>
  </si>
  <si>
    <t>Compras Anuales / 365</t>
  </si>
  <si>
    <t>La empresa sí cuenta con capacidad de pago de corto plazo a través de los activos corrientes que posee. En el 2022, por cada quetzal que debe, cuenta con Q1.42 para cubrirlo. La competencia tiene mejor capacidad.</t>
  </si>
  <si>
    <t>Si la empresa no vende sus inventarios, entonces no tiene capacidad de pago en el corto plazo. Por cada quetzal que debe en el 2022, le faltan 0.03 para cubrir esa deuda.</t>
  </si>
  <si>
    <t>(RAZONES DE ACTIVIDAD)</t>
  </si>
  <si>
    <t>Se logra vaciar las bodegas de la empresa 2.8 veces en el año 2022, por lo que el producto pasa almacenado antes de su venta alrededor de 130 días. En el 2021 pasaba menos tiempo en bodega y la competencia solamente lo mantiene 46 días anted de venderlo.</t>
  </si>
  <si>
    <t>Es inadecuado el manejo del crédito otorgado a los clientes, ya que se tardan caso 5 meses en pagar los productos que adquirieron. La competencia logra cobrar sus ventas en 3 meses.</t>
  </si>
  <si>
    <t>La empresa no aprovecha adecuadamente el uso de sus activos productovps, ni le total de todos los activos. En el 2022, por cada quetzal invertido en propiedad, planta y equipo solo logra obtener Q1.13 en ventas. En el 2021, estaba mejor, incluso que la competencia pues lograba Q1.49 por cada quetzal</t>
  </si>
  <si>
    <t>Pasivo Total</t>
  </si>
  <si>
    <t xml:space="preserve">La empresa tiene un nivel muy alto de endeudamiento, lo que la colocaa en una posición muy riesgosa. En el 2022, debe el 7% de los activos que posee, la competencia solo debe el 40%. Además, la capacidad de pago de los intereses relacionados, disminuyó a  menos de la mitad de lo que se tenía en el 2021. Sin embargo, si es suficiente la UAII que posee para pagar </t>
  </si>
  <si>
    <t>Las ganancias para los accionistas comunes han dismimuido del 2021 al 2022, antes se lograba ganar un 6.8% sobre ventas, ahora 4.7%. La capacidad de generar utilidades a partir de los activos que se posee también disminuyó y en los dos años analizadosse estuvo por debajo de la industria. Los accionistas comunes seguramente no están contentos porque su retorno de capital en el 2022 es casi la mitad de lo recibido en el 2021. Se esperaba aumentar rentabilidad con el aumento de deuda, pero el efecto fue al revés.</t>
  </si>
  <si>
    <t>Precio contable de la acción preferente</t>
  </si>
  <si>
    <t>Precio contable de la acción común</t>
  </si>
  <si>
    <t>Precio de Venta de la acción común</t>
  </si>
  <si>
    <t>Valor en Libros (precio original)</t>
  </si>
  <si>
    <t>Utilidad por acción común = UDAC/No. Acciones comunes</t>
  </si>
  <si>
    <t>Dividendos por acción común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</si>
</sst>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Q-100A]* #,##0.00_);_([$Q-100A]* \(#,##0.00\);_([$Q-100A]* &quot;-&quot;??_);_(@_)"/>
    <numFmt numFmtId="166" formatCode="0.00000"/>
    <numFmt numFmtId="167" formatCode="0.0%"/>
  </numFmts>
  <fonts count="12" x14ac:knownFonts="1">
    <font>
      <sz val="11"/>
      <color theme="1"/>
      <name val="Calibri"/>
      <family val="2"/>
      <scheme val="minor"/>
    </font>
    <font>
      <b/>
      <sz val="11"/>
      <color theme="1"/>
      <name val="Calibri"/>
      <family val="2"/>
      <scheme val="minor"/>
    </font>
    <font>
      <b/>
      <i/>
      <sz val="11"/>
      <color theme="1"/>
      <name val="Calibri"/>
      <family val="2"/>
      <scheme val="minor"/>
    </font>
    <font>
      <i/>
      <sz val="11"/>
      <color theme="1"/>
      <name val="Calibri"/>
      <family val="2"/>
      <scheme val="minor"/>
    </font>
    <font>
      <u val="singleAccounting"/>
      <sz val="11"/>
      <color theme="1"/>
      <name val="Calibri"/>
      <family val="2"/>
      <scheme val="minor"/>
    </font>
    <font>
      <sz val="11"/>
      <color rgb="FFFF0000"/>
      <name val="Calibri"/>
      <family val="2"/>
      <scheme val="minor"/>
    </font>
    <font>
      <b/>
      <sz val="11"/>
      <color rgb="FFFF0000"/>
      <name val="Calibri"/>
      <family val="2"/>
      <scheme val="minor"/>
    </font>
    <font>
      <i/>
      <sz val="11"/>
      <color rgb="FFFF0000"/>
      <name val="Calibri"/>
      <family val="2"/>
      <scheme val="minor"/>
    </font>
    <font>
      <sz val="11"/>
      <color theme="1"/>
      <name val="Calibri"/>
      <family val="2"/>
      <scheme val="minor"/>
    </font>
    <font>
      <sz val="11"/>
      <color rgb="FF000000"/>
      <name val="Calibri"/>
      <family val="2"/>
      <scheme val="minor"/>
    </font>
    <font>
      <sz val="9"/>
      <color indexed="81"/>
      <name val="Tahoma"/>
      <family val="2"/>
    </font>
    <font>
      <b/>
      <sz val="9"/>
      <color indexed="81"/>
      <name val="Tahoma"/>
      <family val="2"/>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8" tint="0.59999389629810485"/>
        <bgColor indexed="64"/>
      </patternFill>
    </fill>
  </fills>
  <borders count="5">
    <border>
      <left/>
      <right/>
      <top/>
      <bottom/>
      <diagonal/>
    </border>
    <border>
      <left/>
      <right/>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165" fontId="0" fillId="0" borderId="0"/>
    <xf numFmtId="9" fontId="8" fillId="0" borderId="0" applyFont="0" applyFill="0" applyBorder="0" applyAlignment="0" applyProtection="0"/>
  </cellStyleXfs>
  <cellXfs count="54">
    <xf numFmtId="165" fontId="0" fillId="0" borderId="0" xfId="0"/>
    <xf numFmtId="165" fontId="1" fillId="0" borderId="0" xfId="0" applyFont="1"/>
    <xf numFmtId="165" fontId="2" fillId="0" borderId="0" xfId="0" applyFont="1"/>
    <xf numFmtId="165" fontId="0" fillId="0" borderId="1" xfId="0" applyBorder="1"/>
    <xf numFmtId="165" fontId="1" fillId="0" borderId="2" xfId="0" applyFont="1" applyBorder="1"/>
    <xf numFmtId="165" fontId="3" fillId="0" borderId="0" xfId="0" applyFont="1"/>
    <xf numFmtId="165" fontId="4" fillId="0" borderId="0" xfId="0" applyFont="1"/>
    <xf numFmtId="165" fontId="5" fillId="0" borderId="0" xfId="0" applyFont="1"/>
    <xf numFmtId="165" fontId="6" fillId="0" borderId="0" xfId="0" applyFont="1"/>
    <xf numFmtId="165" fontId="5" fillId="0" borderId="1" xfId="0" applyFont="1" applyBorder="1"/>
    <xf numFmtId="165" fontId="6" fillId="0" borderId="2" xfId="0" applyFont="1" applyBorder="1"/>
    <xf numFmtId="165" fontId="7" fillId="0" borderId="0" xfId="0" applyFont="1"/>
    <xf numFmtId="37" fontId="1" fillId="0" borderId="0" xfId="0" applyNumberFormat="1" applyFont="1" applyAlignment="1">
      <alignment horizontal="center"/>
    </xf>
    <xf numFmtId="10" fontId="0" fillId="0" borderId="0" xfId="1" applyNumberFormat="1" applyFont="1"/>
    <xf numFmtId="166" fontId="0" fillId="0" borderId="0" xfId="0" applyNumberFormat="1"/>
    <xf numFmtId="165" fontId="1" fillId="3" borderId="0" xfId="0" applyFont="1" applyFill="1"/>
    <xf numFmtId="165" fontId="0" fillId="3" borderId="0" xfId="0" applyFill="1" applyAlignment="1">
      <alignment horizontal="center"/>
    </xf>
    <xf numFmtId="165" fontId="0" fillId="3" borderId="0" xfId="0" applyFill="1"/>
    <xf numFmtId="165" fontId="1" fillId="3" borderId="0" xfId="0" applyFont="1" applyFill="1" applyAlignment="1">
      <alignment horizontal="center"/>
    </xf>
    <xf numFmtId="165" fontId="1" fillId="2" borderId="0" xfId="0" applyFont="1" applyFill="1" applyAlignment="1">
      <alignment horizontal="center" wrapText="1"/>
    </xf>
    <xf numFmtId="165" fontId="0" fillId="3" borderId="1" xfId="0" applyFill="1" applyBorder="1" applyAlignment="1">
      <alignment horizontal="center"/>
    </xf>
    <xf numFmtId="165" fontId="0" fillId="2" borderId="0" xfId="0" applyFill="1" applyAlignment="1">
      <alignment horizontal="center"/>
    </xf>
    <xf numFmtId="4" fontId="0" fillId="2" borderId="0" xfId="0" applyNumberFormat="1" applyFill="1" applyAlignment="1">
      <alignment horizontal="center"/>
    </xf>
    <xf numFmtId="165" fontId="0" fillId="3" borderId="0" xfId="0" applyFill="1" applyAlignment="1">
      <alignment horizontal="center" vertical="top"/>
    </xf>
    <xf numFmtId="10" fontId="0" fillId="2" borderId="0" xfId="0" applyNumberFormat="1" applyFill="1" applyAlignment="1">
      <alignment horizontal="center"/>
    </xf>
    <xf numFmtId="165" fontId="0" fillId="0" borderId="0" xfId="0" applyAlignment="1">
      <alignment horizontal="center"/>
    </xf>
    <xf numFmtId="2" fontId="0" fillId="2" borderId="0" xfId="0" applyNumberFormat="1" applyFill="1" applyAlignment="1">
      <alignment horizontal="center"/>
    </xf>
    <xf numFmtId="165" fontId="0" fillId="0" borderId="3" xfId="0" applyBorder="1"/>
    <xf numFmtId="0" fontId="0" fillId="0" borderId="0" xfId="0" applyNumberFormat="1"/>
    <xf numFmtId="164" fontId="0" fillId="0" borderId="0" xfId="0" applyNumberFormat="1"/>
    <xf numFmtId="9" fontId="5" fillId="0" borderId="0" xfId="1" applyFont="1" applyFill="1" applyBorder="1" applyAlignment="1">
      <alignment horizontal="center"/>
    </xf>
    <xf numFmtId="165" fontId="3" fillId="3" borderId="0" xfId="0" applyFont="1" applyFill="1" applyAlignment="1">
      <alignment horizontal="left"/>
    </xf>
    <xf numFmtId="165" fontId="7" fillId="3" borderId="0" xfId="0" applyFont="1" applyFill="1" applyAlignment="1">
      <alignment horizontal="left"/>
    </xf>
    <xf numFmtId="37" fontId="1" fillId="4" borderId="0" xfId="0" applyNumberFormat="1" applyFont="1" applyFill="1" applyAlignment="1">
      <alignment horizontal="center"/>
    </xf>
    <xf numFmtId="37" fontId="1" fillId="4" borderId="3" xfId="0" applyNumberFormat="1" applyFont="1" applyFill="1" applyBorder="1" applyAlignment="1">
      <alignment horizontal="center"/>
    </xf>
    <xf numFmtId="165" fontId="9" fillId="0" borderId="3" xfId="0" applyFont="1" applyBorder="1" applyAlignment="1">
      <alignment vertical="center"/>
    </xf>
    <xf numFmtId="37" fontId="6" fillId="0" borderId="0" xfId="0" applyNumberFormat="1" applyFont="1" applyAlignment="1">
      <alignment horizontal="center"/>
    </xf>
    <xf numFmtId="167" fontId="5" fillId="0" borderId="0" xfId="1" applyNumberFormat="1" applyFont="1" applyFill="1" applyBorder="1" applyAlignment="1">
      <alignment horizontal="center"/>
    </xf>
    <xf numFmtId="167" fontId="5" fillId="0" borderId="0" xfId="1" applyNumberFormat="1" applyFont="1"/>
    <xf numFmtId="9" fontId="0" fillId="3" borderId="0" xfId="1" applyFont="1" applyFill="1" applyAlignment="1">
      <alignment horizontal="center"/>
    </xf>
    <xf numFmtId="2" fontId="0" fillId="3" borderId="0" xfId="1" applyNumberFormat="1" applyFont="1" applyFill="1" applyAlignment="1">
      <alignment horizontal="center"/>
    </xf>
    <xf numFmtId="2" fontId="0" fillId="3" borderId="0" xfId="0" applyNumberFormat="1" applyFill="1" applyAlignment="1">
      <alignment horizontal="center"/>
    </xf>
    <xf numFmtId="1" fontId="0" fillId="3" borderId="0" xfId="0" applyNumberFormat="1" applyFill="1" applyAlignment="1">
      <alignment horizontal="center"/>
    </xf>
    <xf numFmtId="1" fontId="0" fillId="2" borderId="0" xfId="0" applyNumberFormat="1" applyFill="1" applyAlignment="1">
      <alignment horizontal="center"/>
    </xf>
    <xf numFmtId="0" fontId="3" fillId="3" borderId="0" xfId="0" applyNumberFormat="1" applyFont="1" applyFill="1" applyAlignment="1">
      <alignment horizontal="center" vertical="center" wrapText="1"/>
    </xf>
    <xf numFmtId="0" fontId="3" fillId="3" borderId="0" xfId="0" applyNumberFormat="1" applyFont="1" applyFill="1" applyAlignment="1">
      <alignment horizontal="center" wrapText="1"/>
    </xf>
    <xf numFmtId="165" fontId="7" fillId="3" borderId="4" xfId="0" applyFont="1" applyFill="1" applyBorder="1" applyAlignment="1">
      <alignment horizontal="center" wrapText="1"/>
    </xf>
    <xf numFmtId="165" fontId="7" fillId="3" borderId="0" xfId="0" applyFont="1" applyFill="1" applyAlignment="1">
      <alignment horizontal="center" wrapText="1"/>
    </xf>
    <xf numFmtId="165" fontId="7" fillId="3" borderId="1" xfId="0" applyFont="1" applyFill="1" applyBorder="1" applyAlignment="1">
      <alignment horizontal="center" wrapText="1"/>
    </xf>
    <xf numFmtId="165" fontId="3" fillId="3" borderId="4" xfId="0" applyFont="1" applyFill="1" applyBorder="1" applyAlignment="1">
      <alignment horizontal="center" vertical="center" wrapText="1"/>
    </xf>
    <xf numFmtId="165" fontId="3" fillId="3" borderId="0" xfId="0" applyFont="1" applyFill="1" applyAlignment="1">
      <alignment horizontal="center" vertical="center" wrapText="1"/>
    </xf>
    <xf numFmtId="165" fontId="3" fillId="3" borderId="1" xfId="0" applyFont="1" applyFill="1" applyBorder="1" applyAlignment="1">
      <alignment horizontal="center" vertical="center" wrapText="1"/>
    </xf>
    <xf numFmtId="0" fontId="0" fillId="3" borderId="0" xfId="0" applyNumberFormat="1" applyFill="1" applyAlignment="1">
      <alignment horizontal="center" vertical="center" wrapText="1"/>
    </xf>
    <xf numFmtId="0" fontId="7" fillId="3" borderId="0" xfId="0" applyNumberFormat="1" applyFont="1" applyFill="1" applyAlignment="1">
      <alignment horizontal="center" wrapText="1"/>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7"/>
  <sheetViews>
    <sheetView workbookViewId="0">
      <selection activeCell="A14" sqref="A14"/>
    </sheetView>
  </sheetViews>
  <sheetFormatPr baseColWidth="10" defaultColWidth="11.44140625" defaultRowHeight="14.4" x14ac:dyDescent="0.3"/>
  <cols>
    <col min="1" max="1" width="52.33203125" customWidth="1"/>
    <col min="2" max="2" width="16.44140625" customWidth="1"/>
    <col min="3" max="3" width="17.33203125" customWidth="1"/>
    <col min="4" max="4" width="6.33203125" customWidth="1"/>
  </cols>
  <sheetData>
    <row r="1" spans="1:4" x14ac:dyDescent="0.3">
      <c r="A1" s="1" t="s">
        <v>1</v>
      </c>
    </row>
    <row r="2" spans="1:4" x14ac:dyDescent="0.3">
      <c r="B2" s="34">
        <v>2022</v>
      </c>
      <c r="C2" s="34">
        <v>2021</v>
      </c>
    </row>
    <row r="3" spans="1:4" x14ac:dyDescent="0.3">
      <c r="A3" s="27" t="s">
        <v>45</v>
      </c>
      <c r="B3" s="27">
        <v>5000000</v>
      </c>
      <c r="C3" s="35">
        <v>5000000</v>
      </c>
    </row>
    <row r="4" spans="1:4" x14ac:dyDescent="0.3">
      <c r="A4" s="27" t="s">
        <v>44</v>
      </c>
      <c r="B4" s="27">
        <v>2500000</v>
      </c>
      <c r="C4" s="35">
        <v>2500000</v>
      </c>
    </row>
    <row r="5" spans="1:4" x14ac:dyDescent="0.3">
      <c r="A5" s="27" t="s">
        <v>21</v>
      </c>
      <c r="B5" s="27">
        <v>1000000</v>
      </c>
      <c r="C5" s="35">
        <v>1375000</v>
      </c>
    </row>
    <row r="6" spans="1:4" x14ac:dyDescent="0.3">
      <c r="A6" s="27" t="s">
        <v>46</v>
      </c>
      <c r="B6" s="27">
        <v>4000000</v>
      </c>
      <c r="C6" s="35">
        <v>4000000</v>
      </c>
    </row>
    <row r="7" spans="1:4" x14ac:dyDescent="0.3">
      <c r="A7" s="27" t="s">
        <v>113</v>
      </c>
      <c r="B7" s="27">
        <v>21000000</v>
      </c>
      <c r="C7" s="35">
        <v>23065000</v>
      </c>
    </row>
    <row r="8" spans="1:4" x14ac:dyDescent="0.3">
      <c r="A8" s="27" t="s">
        <v>22</v>
      </c>
      <c r="B8" s="27">
        <v>12000000</v>
      </c>
      <c r="C8" s="35">
        <v>9000000</v>
      </c>
    </row>
    <row r="9" spans="1:4" x14ac:dyDescent="0.3">
      <c r="A9" s="27" t="s">
        <v>35</v>
      </c>
      <c r="B9" s="27">
        <v>8000000</v>
      </c>
      <c r="C9" s="35">
        <v>5500000</v>
      </c>
    </row>
    <row r="10" spans="1:4" x14ac:dyDescent="0.3">
      <c r="A10" s="27" t="s">
        <v>114</v>
      </c>
      <c r="B10" s="27">
        <v>13000000</v>
      </c>
      <c r="C10" s="35">
        <v>12000000</v>
      </c>
    </row>
    <row r="11" spans="1:4" x14ac:dyDescent="0.3">
      <c r="A11" s="27" t="s">
        <v>41</v>
      </c>
      <c r="B11" s="27">
        <v>20000000</v>
      </c>
      <c r="C11" s="35">
        <v>17000000</v>
      </c>
    </row>
    <row r="12" spans="1:4" x14ac:dyDescent="0.3">
      <c r="A12" s="27" t="s">
        <v>37</v>
      </c>
      <c r="B12" s="27">
        <v>500000</v>
      </c>
      <c r="C12" s="35">
        <v>475000</v>
      </c>
    </row>
    <row r="13" spans="1:4" x14ac:dyDescent="0.3">
      <c r="A13" s="27" t="s">
        <v>108</v>
      </c>
      <c r="B13" s="27">
        <v>100000</v>
      </c>
      <c r="C13" s="35">
        <v>100000</v>
      </c>
    </row>
    <row r="14" spans="1:4" x14ac:dyDescent="0.3">
      <c r="A14" s="27" t="s">
        <v>36</v>
      </c>
      <c r="B14" s="27">
        <v>8000000</v>
      </c>
      <c r="C14" s="35">
        <v>6000000</v>
      </c>
    </row>
    <row r="15" spans="1:4" x14ac:dyDescent="0.3">
      <c r="A15" s="27" t="s">
        <v>47</v>
      </c>
      <c r="B15" s="27">
        <v>2000000</v>
      </c>
      <c r="C15" s="35">
        <v>900000</v>
      </c>
      <c r="D15" s="13"/>
    </row>
    <row r="16" spans="1:4" x14ac:dyDescent="0.3">
      <c r="A16" s="27" t="s">
        <v>111</v>
      </c>
      <c r="B16" s="27">
        <v>200000</v>
      </c>
      <c r="C16" s="35">
        <v>210000</v>
      </c>
      <c r="D16" s="14"/>
    </row>
    <row r="17" spans="1:4" x14ac:dyDescent="0.3">
      <c r="A17" s="27" t="s">
        <v>109</v>
      </c>
      <c r="B17" s="27">
        <v>3000000</v>
      </c>
      <c r="C17" s="35">
        <v>4445000</v>
      </c>
      <c r="D17" s="14"/>
    </row>
    <row r="18" spans="1:4" x14ac:dyDescent="0.3">
      <c r="A18" s="27" t="s">
        <v>110</v>
      </c>
      <c r="B18" s="27">
        <v>1800000</v>
      </c>
      <c r="C18" s="35">
        <v>2205000</v>
      </c>
      <c r="D18" s="13"/>
    </row>
    <row r="19" spans="1:4" x14ac:dyDescent="0.3">
      <c r="A19" s="27" t="s">
        <v>112</v>
      </c>
      <c r="B19" s="27">
        <v>1000000</v>
      </c>
      <c r="C19" s="35">
        <v>1260000</v>
      </c>
      <c r="D19" s="13"/>
    </row>
    <row r="20" spans="1:4" x14ac:dyDescent="0.3">
      <c r="A20" s="27" t="s">
        <v>2</v>
      </c>
      <c r="B20" s="27">
        <v>30000000</v>
      </c>
      <c r="C20" s="35">
        <v>35000000</v>
      </c>
    </row>
    <row r="21" spans="1:4" x14ac:dyDescent="0.3">
      <c r="A21" s="27" t="s">
        <v>107</v>
      </c>
      <c r="B21" s="27">
        <v>1000000</v>
      </c>
      <c r="C21" s="35">
        <v>525000</v>
      </c>
    </row>
    <row r="22" spans="1:4" x14ac:dyDescent="0.3">
      <c r="A22" s="27" t="s">
        <v>23</v>
      </c>
      <c r="B22" s="27">
        <v>7500000</v>
      </c>
      <c r="C22" s="35">
        <v>6500000</v>
      </c>
    </row>
    <row r="23" spans="1:4" x14ac:dyDescent="0.3">
      <c r="A23" s="27" t="s">
        <v>27</v>
      </c>
      <c r="B23" s="27">
        <v>20500000</v>
      </c>
      <c r="C23" s="35">
        <v>17500000</v>
      </c>
    </row>
    <row r="24" spans="1:4" x14ac:dyDescent="0.3">
      <c r="A24" s="27" t="s">
        <v>28</v>
      </c>
      <c r="B24" s="27">
        <v>8000000</v>
      </c>
      <c r="C24" s="35">
        <v>7000000</v>
      </c>
    </row>
    <row r="25" spans="1:4" x14ac:dyDescent="0.3">
      <c r="A25" s="27" t="s">
        <v>29</v>
      </c>
      <c r="B25" s="27">
        <v>11000000</v>
      </c>
      <c r="C25" s="35">
        <v>11000000</v>
      </c>
    </row>
    <row r="26" spans="1:4" x14ac:dyDescent="0.3">
      <c r="A26" s="27" t="s">
        <v>20</v>
      </c>
      <c r="B26" s="27">
        <v>3000000</v>
      </c>
      <c r="C26" s="35">
        <v>1000000</v>
      </c>
    </row>
    <row r="27" spans="1:4" x14ac:dyDescent="0.3">
      <c r="A27" s="7"/>
      <c r="B27" s="7"/>
    </row>
  </sheetData>
  <sortState xmlns:xlrd2="http://schemas.microsoft.com/office/spreadsheetml/2017/richdata2" ref="A5:C28">
    <sortCondition ref="A5:A28"/>
  </sortState>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65"/>
  <sheetViews>
    <sheetView tabSelected="1" topLeftCell="M1" zoomScaleNormal="100" workbookViewId="0">
      <selection activeCell="H38" sqref="H38"/>
    </sheetView>
  </sheetViews>
  <sheetFormatPr baseColWidth="10" defaultColWidth="11.44140625" defaultRowHeight="14.4" x14ac:dyDescent="0.3"/>
  <cols>
    <col min="1" max="1" width="52.33203125" customWidth="1"/>
    <col min="2" max="2" width="16.44140625" customWidth="1"/>
    <col min="3" max="3" width="13.88671875" bestFit="1" customWidth="1"/>
    <col min="4" max="4" width="17.33203125" customWidth="1"/>
    <col min="5" max="6" width="9.5546875" customWidth="1"/>
    <col min="7" max="7" width="6.33203125" customWidth="1"/>
    <col min="8" max="8" width="39.33203125" customWidth="1"/>
    <col min="9" max="9" width="19.44140625" customWidth="1"/>
    <col min="10" max="10" width="8.5546875" customWidth="1"/>
    <col min="11" max="11" width="19.44140625" customWidth="1"/>
    <col min="12" max="12" width="9" customWidth="1"/>
    <col min="13" max="13" width="10.109375" customWidth="1"/>
    <col min="14" max="14" width="7.109375" customWidth="1"/>
    <col min="15" max="15" width="39.33203125" customWidth="1"/>
    <col min="16" max="16" width="16.44140625" customWidth="1"/>
    <col min="17" max="17" width="8.109375" customWidth="1"/>
    <col min="18" max="18" width="32.44140625" customWidth="1"/>
    <col min="19" max="19" width="28.6640625" style="25" customWidth="1"/>
    <col min="20" max="20" width="11.44140625" style="25" customWidth="1"/>
    <col min="21" max="21" width="2.33203125" style="25" customWidth="1"/>
    <col min="22" max="22" width="12.33203125" style="25" customWidth="1"/>
    <col min="23" max="23" width="12.6640625" style="25" customWidth="1"/>
    <col min="24" max="24" width="81.5546875" style="25" customWidth="1"/>
  </cols>
  <sheetData>
    <row r="1" spans="1:24" x14ac:dyDescent="0.3">
      <c r="A1" s="1" t="s">
        <v>1</v>
      </c>
      <c r="H1" s="1" t="s">
        <v>1</v>
      </c>
      <c r="O1" s="1" t="s">
        <v>1</v>
      </c>
      <c r="P1" s="7"/>
      <c r="R1" s="15" t="s">
        <v>74</v>
      </c>
      <c r="S1" s="16"/>
      <c r="T1" s="16"/>
      <c r="U1" s="16"/>
      <c r="V1" s="16"/>
      <c r="W1" s="16"/>
      <c r="X1" s="16"/>
    </row>
    <row r="2" spans="1:24" x14ac:dyDescent="0.3">
      <c r="A2" s="2" t="s">
        <v>0</v>
      </c>
      <c r="H2" s="2" t="s">
        <v>18</v>
      </c>
      <c r="O2" s="2" t="s">
        <v>18</v>
      </c>
      <c r="P2" s="7"/>
      <c r="R2" s="1" t="s">
        <v>1</v>
      </c>
      <c r="S2" s="16"/>
      <c r="T2" s="16"/>
      <c r="U2" s="16"/>
      <c r="V2" s="16"/>
      <c r="W2" s="16"/>
      <c r="X2" s="16"/>
    </row>
    <row r="3" spans="1:24" x14ac:dyDescent="0.3">
      <c r="A3" s="1" t="s">
        <v>119</v>
      </c>
      <c r="H3" s="1" t="s">
        <v>120</v>
      </c>
      <c r="O3" s="1" t="s">
        <v>142</v>
      </c>
      <c r="P3" s="7"/>
      <c r="R3" s="17" t="s">
        <v>125</v>
      </c>
      <c r="S3" s="16"/>
      <c r="T3" s="16"/>
      <c r="U3" s="16"/>
      <c r="V3" s="16"/>
      <c r="W3" s="16"/>
      <c r="X3" s="16"/>
    </row>
    <row r="4" spans="1:24" ht="28.8" x14ac:dyDescent="0.3">
      <c r="B4" s="33">
        <v>2022</v>
      </c>
      <c r="C4" s="36" t="s">
        <v>116</v>
      </c>
      <c r="D4" s="33">
        <v>2021</v>
      </c>
      <c r="E4" s="36" t="s">
        <v>116</v>
      </c>
      <c r="F4" s="36" t="s">
        <v>117</v>
      </c>
      <c r="I4" s="12">
        <v>2022</v>
      </c>
      <c r="J4" s="36" t="s">
        <v>116</v>
      </c>
      <c r="K4" s="12">
        <v>2021</v>
      </c>
      <c r="L4" s="36" t="s">
        <v>116</v>
      </c>
      <c r="M4" s="36" t="s">
        <v>117</v>
      </c>
      <c r="O4" s="7"/>
      <c r="P4" s="7"/>
      <c r="R4" s="17"/>
      <c r="S4" s="16"/>
      <c r="T4" s="18" t="s">
        <v>126</v>
      </c>
      <c r="U4" s="18"/>
      <c r="V4" s="18" t="s">
        <v>127</v>
      </c>
      <c r="W4" s="19" t="s">
        <v>75</v>
      </c>
      <c r="X4" s="18" t="s">
        <v>76</v>
      </c>
    </row>
    <row r="5" spans="1:24" x14ac:dyDescent="0.3">
      <c r="A5" t="s">
        <v>2</v>
      </c>
      <c r="B5">
        <v>30000000</v>
      </c>
      <c r="C5" s="37">
        <f>B5/$B$5</f>
        <v>1</v>
      </c>
      <c r="D5">
        <v>35000000</v>
      </c>
      <c r="E5" s="37">
        <f>D5/$D$5</f>
        <v>1</v>
      </c>
      <c r="F5" s="30">
        <f>(B5-D5)/D5</f>
        <v>-0.14285714285714285</v>
      </c>
      <c r="H5" s="1" t="s">
        <v>19</v>
      </c>
      <c r="M5" s="30"/>
      <c r="O5" s="9" t="s">
        <v>55</v>
      </c>
      <c r="P5" s="7"/>
      <c r="R5" s="15" t="s">
        <v>77</v>
      </c>
      <c r="S5" s="16"/>
      <c r="T5" s="18"/>
      <c r="U5" s="18"/>
      <c r="V5" s="18"/>
      <c r="W5" s="19"/>
      <c r="X5" s="18"/>
    </row>
    <row r="6" spans="1:24" ht="14.4" customHeight="1" x14ac:dyDescent="0.3">
      <c r="A6" t="s">
        <v>3</v>
      </c>
      <c r="B6" s="3">
        <v>21000000</v>
      </c>
      <c r="C6" s="37">
        <f>B6/$B$5</f>
        <v>0.7</v>
      </c>
      <c r="D6" s="3">
        <v>23065000</v>
      </c>
      <c r="E6" s="37">
        <f t="shared" ref="E6:E20" si="0">D6/$D$5</f>
        <v>0.65900000000000003</v>
      </c>
      <c r="F6" s="30">
        <f t="shared" ref="F6:F20" si="1">(B6-D6)/D6</f>
        <v>-8.9529590288315627E-2</v>
      </c>
      <c r="H6" s="5" t="s">
        <v>25</v>
      </c>
      <c r="O6" s="7" t="s">
        <v>145</v>
      </c>
      <c r="P6" s="7">
        <f>B18</f>
        <v>1500000</v>
      </c>
      <c r="R6" s="17" t="s">
        <v>128</v>
      </c>
      <c r="S6" s="20" t="s">
        <v>25</v>
      </c>
      <c r="T6" s="40">
        <f>I11/I26</f>
        <v>1.4242424242424243</v>
      </c>
      <c r="U6" s="39"/>
      <c r="V6" s="40">
        <f>K11/K26</f>
        <v>1.4926931106471817</v>
      </c>
      <c r="W6" s="26">
        <v>1.8</v>
      </c>
      <c r="X6" s="46" t="s">
        <v>149</v>
      </c>
    </row>
    <row r="7" spans="1:24" x14ac:dyDescent="0.3">
      <c r="A7" t="s">
        <v>4</v>
      </c>
      <c r="B7">
        <f>B5-B6</f>
        <v>9000000</v>
      </c>
      <c r="C7" s="37">
        <f t="shared" ref="C7:C20" si="2">B7/$B$5</f>
        <v>0.3</v>
      </c>
      <c r="D7">
        <f>D5-D6</f>
        <v>11935000</v>
      </c>
      <c r="E7" s="37">
        <f t="shared" si="0"/>
        <v>0.34100000000000003</v>
      </c>
      <c r="F7" s="30">
        <f t="shared" si="1"/>
        <v>-0.24591537494763302</v>
      </c>
      <c r="H7" t="s">
        <v>21</v>
      </c>
      <c r="I7">
        <v>1000000</v>
      </c>
      <c r="J7" s="38">
        <f t="shared" ref="J7:J18" si="3">I7/$I$19</f>
        <v>0.02</v>
      </c>
      <c r="K7">
        <v>1375000</v>
      </c>
      <c r="L7" s="38">
        <f t="shared" ref="L7:L18" si="4">K7/$K$19</f>
        <v>3.3232628398791542E-2</v>
      </c>
      <c r="M7" s="38">
        <f>(I7-K7)/K7</f>
        <v>-0.27272727272727271</v>
      </c>
      <c r="O7" s="11" t="s">
        <v>56</v>
      </c>
      <c r="P7" s="7"/>
      <c r="R7" s="17"/>
      <c r="S7" s="16" t="s">
        <v>129</v>
      </c>
      <c r="T7" s="16"/>
      <c r="U7" s="16"/>
      <c r="V7" s="16"/>
      <c r="W7" s="26"/>
      <c r="X7" s="47"/>
    </row>
    <row r="8" spans="1:24" x14ac:dyDescent="0.3">
      <c r="A8" t="s">
        <v>5</v>
      </c>
      <c r="C8" s="37"/>
      <c r="E8" s="37"/>
      <c r="F8" s="30"/>
      <c r="H8" t="s">
        <v>20</v>
      </c>
      <c r="I8">
        <v>3000000</v>
      </c>
      <c r="J8" s="38">
        <f t="shared" si="3"/>
        <v>0.06</v>
      </c>
      <c r="K8">
        <v>1000000</v>
      </c>
      <c r="L8" s="38">
        <f t="shared" si="4"/>
        <v>2.4169184290030211E-2</v>
      </c>
      <c r="M8" s="38">
        <f>(I8-K8)/K8</f>
        <v>2</v>
      </c>
      <c r="O8" s="7" t="s">
        <v>57</v>
      </c>
      <c r="P8" s="7">
        <f>B12</f>
        <v>1000000</v>
      </c>
      <c r="R8" s="17"/>
      <c r="S8" s="16"/>
      <c r="T8" s="16"/>
      <c r="U8" s="16"/>
      <c r="V8" s="16"/>
      <c r="W8" s="26"/>
      <c r="X8" s="48"/>
    </row>
    <row r="9" spans="1:24" x14ac:dyDescent="0.3">
      <c r="A9" t="s">
        <v>6</v>
      </c>
      <c r="B9">
        <v>3000000</v>
      </c>
      <c r="C9" s="37">
        <f t="shared" si="2"/>
        <v>0.1</v>
      </c>
      <c r="D9">
        <v>4445000</v>
      </c>
      <c r="E9" s="37">
        <f t="shared" si="0"/>
        <v>0.127</v>
      </c>
      <c r="F9" s="30">
        <f t="shared" si="1"/>
        <v>-0.32508436445444322</v>
      </c>
      <c r="H9" t="s">
        <v>22</v>
      </c>
      <c r="I9">
        <v>12000000</v>
      </c>
      <c r="J9" s="38">
        <f t="shared" si="3"/>
        <v>0.24</v>
      </c>
      <c r="K9">
        <v>9000000</v>
      </c>
      <c r="L9" s="38">
        <f t="shared" si="4"/>
        <v>0.2175226586102719</v>
      </c>
      <c r="M9" s="38">
        <f t="shared" ref="M9:M36" si="5">(I9-K9)/K9</f>
        <v>0.33333333333333331</v>
      </c>
      <c r="O9" s="7" t="s">
        <v>58</v>
      </c>
      <c r="P9" s="7">
        <f>I23-K23</f>
        <v>2500000</v>
      </c>
      <c r="R9" s="17" t="s">
        <v>78</v>
      </c>
      <c r="S9" s="20" t="s">
        <v>130</v>
      </c>
      <c r="T9" s="41">
        <f>(I11-I10)/I26</f>
        <v>0.96969696969696972</v>
      </c>
      <c r="U9" s="41"/>
      <c r="V9" s="41">
        <f t="shared" ref="V9" si="6">(K11-K10)/K26</f>
        <v>0.94989561586638827</v>
      </c>
      <c r="W9" s="26">
        <v>1.5</v>
      </c>
      <c r="X9" s="49" t="s">
        <v>150</v>
      </c>
    </row>
    <row r="10" spans="1:24" x14ac:dyDescent="0.3">
      <c r="A10" t="s">
        <v>7</v>
      </c>
      <c r="B10">
        <v>1800000</v>
      </c>
      <c r="C10" s="37">
        <f t="shared" si="2"/>
        <v>0.06</v>
      </c>
      <c r="D10">
        <v>2205000</v>
      </c>
      <c r="E10" s="37">
        <f t="shared" si="0"/>
        <v>6.3E-2</v>
      </c>
      <c r="F10" s="30">
        <f t="shared" si="1"/>
        <v>-0.18367346938775511</v>
      </c>
      <c r="H10" t="s">
        <v>23</v>
      </c>
      <c r="I10" s="3">
        <v>7500000</v>
      </c>
      <c r="J10" s="38">
        <f t="shared" si="3"/>
        <v>0.15</v>
      </c>
      <c r="K10" s="3">
        <v>6500000</v>
      </c>
      <c r="L10" s="38">
        <f t="shared" si="4"/>
        <v>0.15709969788519637</v>
      </c>
      <c r="M10" s="38">
        <f t="shared" si="5"/>
        <v>0.15384615384615385</v>
      </c>
      <c r="O10" s="7" t="s">
        <v>71</v>
      </c>
      <c r="P10" s="7">
        <f>I25-K25</f>
        <v>25000</v>
      </c>
      <c r="R10" s="17" t="s">
        <v>131</v>
      </c>
      <c r="S10" s="16" t="s">
        <v>129</v>
      </c>
      <c r="T10" s="16"/>
      <c r="U10" s="16"/>
      <c r="V10" s="16"/>
      <c r="W10" s="26"/>
      <c r="X10" s="50"/>
    </row>
    <row r="11" spans="1:24" x14ac:dyDescent="0.3">
      <c r="A11" t="s">
        <v>8</v>
      </c>
      <c r="B11">
        <v>200000</v>
      </c>
      <c r="C11" s="37">
        <f t="shared" si="2"/>
        <v>6.6666666666666671E-3</v>
      </c>
      <c r="D11">
        <v>210000</v>
      </c>
      <c r="E11" s="37">
        <f t="shared" si="0"/>
        <v>6.0000000000000001E-3</v>
      </c>
      <c r="F11" s="30">
        <f t="shared" si="1"/>
        <v>-4.7619047619047616E-2</v>
      </c>
      <c r="H11" s="5" t="s">
        <v>24</v>
      </c>
      <c r="I11" s="5">
        <f>SUM(I7:I10)</f>
        <v>23500000</v>
      </c>
      <c r="J11" s="38">
        <f t="shared" si="3"/>
        <v>0.47</v>
      </c>
      <c r="K11" s="5">
        <f>SUM(K7:K10)</f>
        <v>17875000</v>
      </c>
      <c r="L11" s="38">
        <f t="shared" si="4"/>
        <v>0.43202416918429004</v>
      </c>
      <c r="M11" s="38">
        <f t="shared" si="5"/>
        <v>0.31468531468531469</v>
      </c>
      <c r="O11" s="11" t="s">
        <v>59</v>
      </c>
      <c r="P11" s="7"/>
      <c r="R11" s="17"/>
      <c r="S11" s="16"/>
      <c r="T11" s="16"/>
      <c r="U11" s="16"/>
      <c r="V11" s="16"/>
      <c r="W11" s="26"/>
      <c r="X11" s="51"/>
    </row>
    <row r="12" spans="1:24" x14ac:dyDescent="0.3">
      <c r="A12" t="s">
        <v>9</v>
      </c>
      <c r="B12" s="3">
        <v>1000000</v>
      </c>
      <c r="C12" s="37">
        <f t="shared" si="2"/>
        <v>3.3333333333333333E-2</v>
      </c>
      <c r="D12" s="3">
        <v>1260000</v>
      </c>
      <c r="E12" s="37">
        <f t="shared" si="0"/>
        <v>3.5999999999999997E-2</v>
      </c>
      <c r="F12" s="30">
        <f t="shared" si="1"/>
        <v>-0.20634920634920634</v>
      </c>
      <c r="H12" s="5" t="s">
        <v>26</v>
      </c>
      <c r="J12" s="38"/>
      <c r="L12" s="38"/>
      <c r="M12" s="38"/>
      <c r="O12" s="7" t="s">
        <v>60</v>
      </c>
      <c r="P12" s="7">
        <f>(I9-K9)*-1</f>
        <v>-3000000</v>
      </c>
      <c r="R12" s="17"/>
      <c r="S12" s="16"/>
      <c r="T12" s="16"/>
      <c r="U12" s="16"/>
      <c r="V12" s="16"/>
      <c r="W12" s="26"/>
      <c r="X12" s="16"/>
    </row>
    <row r="13" spans="1:24" x14ac:dyDescent="0.3">
      <c r="A13" t="s">
        <v>10</v>
      </c>
      <c r="B13">
        <f>SUM(B9:B12)</f>
        <v>6000000</v>
      </c>
      <c r="C13" s="37">
        <f t="shared" si="2"/>
        <v>0.2</v>
      </c>
      <c r="D13">
        <f>SUM(D9:D12)</f>
        <v>8120000</v>
      </c>
      <c r="E13" s="37">
        <f t="shared" si="0"/>
        <v>0.23200000000000001</v>
      </c>
      <c r="F13" s="30">
        <f t="shared" si="1"/>
        <v>-0.26108374384236455</v>
      </c>
      <c r="H13" t="s">
        <v>29</v>
      </c>
      <c r="I13">
        <v>11000000</v>
      </c>
      <c r="J13" s="38">
        <f t="shared" si="3"/>
        <v>0.22</v>
      </c>
      <c r="K13">
        <v>11000000</v>
      </c>
      <c r="L13" s="38">
        <f t="shared" si="4"/>
        <v>0.26586102719033233</v>
      </c>
      <c r="M13" s="38">
        <f t="shared" si="5"/>
        <v>0</v>
      </c>
      <c r="O13" s="7" t="s">
        <v>70</v>
      </c>
      <c r="P13" s="7">
        <f>(I10-K10)*-1</f>
        <v>-1000000</v>
      </c>
      <c r="R13" s="15" t="s">
        <v>79</v>
      </c>
      <c r="S13" s="16"/>
      <c r="T13" s="16"/>
      <c r="U13" s="16"/>
      <c r="V13" s="16"/>
      <c r="W13" s="26"/>
      <c r="X13" s="52" t="s">
        <v>152</v>
      </c>
    </row>
    <row r="14" spans="1:24" x14ac:dyDescent="0.3">
      <c r="A14" t="s">
        <v>11</v>
      </c>
      <c r="B14">
        <f>B7-B13</f>
        <v>3000000</v>
      </c>
      <c r="C14" s="37">
        <f t="shared" si="2"/>
        <v>0.1</v>
      </c>
      <c r="D14">
        <f>D7-D13</f>
        <v>3815000</v>
      </c>
      <c r="E14" s="37">
        <f t="shared" si="0"/>
        <v>0.109</v>
      </c>
      <c r="F14" s="30">
        <f t="shared" si="1"/>
        <v>-0.21363040629095675</v>
      </c>
      <c r="H14" t="s">
        <v>27</v>
      </c>
      <c r="I14">
        <v>20500000</v>
      </c>
      <c r="J14" s="38">
        <f t="shared" si="3"/>
        <v>0.41</v>
      </c>
      <c r="K14">
        <v>17500000</v>
      </c>
      <c r="L14" s="38">
        <f t="shared" si="4"/>
        <v>0.42296072507552868</v>
      </c>
      <c r="M14" s="38">
        <f t="shared" si="5"/>
        <v>0.17142857142857143</v>
      </c>
      <c r="O14" s="7" t="s">
        <v>61</v>
      </c>
      <c r="P14" s="7">
        <f>SUM(P6:P13)</f>
        <v>1025000</v>
      </c>
      <c r="R14" s="17" t="s">
        <v>151</v>
      </c>
      <c r="S14" s="16"/>
      <c r="T14" s="16"/>
      <c r="U14" s="16"/>
      <c r="V14" s="16"/>
      <c r="W14" s="26"/>
      <c r="X14" s="52"/>
    </row>
    <row r="15" spans="1:24" ht="16.2" x14ac:dyDescent="0.45">
      <c r="A15" t="s">
        <v>12</v>
      </c>
      <c r="B15" s="3">
        <v>1000000</v>
      </c>
      <c r="C15" s="37">
        <f t="shared" si="2"/>
        <v>3.3333333333333333E-2</v>
      </c>
      <c r="D15" s="3">
        <v>525000</v>
      </c>
      <c r="E15" s="37">
        <f t="shared" si="0"/>
        <v>1.4999999999999999E-2</v>
      </c>
      <c r="F15" s="30">
        <f t="shared" si="1"/>
        <v>0.90476190476190477</v>
      </c>
      <c r="H15" t="s">
        <v>28</v>
      </c>
      <c r="I15" s="6">
        <v>8000000</v>
      </c>
      <c r="J15" s="38">
        <f t="shared" si="3"/>
        <v>0.16</v>
      </c>
      <c r="K15" s="6">
        <v>7000000</v>
      </c>
      <c r="L15" s="38">
        <f t="shared" si="4"/>
        <v>0.16918429003021149</v>
      </c>
      <c r="M15" s="38">
        <f t="shared" si="5"/>
        <v>0.14285714285714285</v>
      </c>
      <c r="R15" s="17" t="s">
        <v>80</v>
      </c>
      <c r="S15" s="20" t="s">
        <v>115</v>
      </c>
      <c r="T15" s="41">
        <f>B6/I10</f>
        <v>2.8</v>
      </c>
      <c r="U15" s="41"/>
      <c r="V15" s="41">
        <f t="shared" ref="V15" si="7">D6/K10</f>
        <v>3.5484615384615386</v>
      </c>
      <c r="W15" s="26">
        <v>8</v>
      </c>
      <c r="X15" s="52"/>
    </row>
    <row r="16" spans="1:24" x14ac:dyDescent="0.3">
      <c r="A16" t="s">
        <v>13</v>
      </c>
      <c r="B16">
        <f>B14-B15</f>
        <v>2000000</v>
      </c>
      <c r="C16" s="37">
        <f t="shared" si="2"/>
        <v>6.6666666666666666E-2</v>
      </c>
      <c r="D16">
        <f>D14-D15</f>
        <v>3290000</v>
      </c>
      <c r="E16" s="37">
        <f t="shared" si="0"/>
        <v>9.4E-2</v>
      </c>
      <c r="F16" s="30">
        <f t="shared" si="1"/>
        <v>-0.39209726443769</v>
      </c>
      <c r="H16" t="s">
        <v>30</v>
      </c>
      <c r="I16" s="5">
        <f>SUM(I13:I15)</f>
        <v>39500000</v>
      </c>
      <c r="J16" s="38">
        <f t="shared" si="3"/>
        <v>0.79</v>
      </c>
      <c r="K16" s="5">
        <f>SUM(K13:K15)</f>
        <v>35500000</v>
      </c>
      <c r="L16" s="38">
        <f t="shared" si="4"/>
        <v>0.85800604229607247</v>
      </c>
      <c r="M16" s="38">
        <f t="shared" si="5"/>
        <v>0.11267605633802817</v>
      </c>
      <c r="O16" s="7"/>
      <c r="P16" s="7"/>
      <c r="R16" s="17"/>
      <c r="S16" s="16" t="s">
        <v>23</v>
      </c>
      <c r="T16" s="16"/>
      <c r="U16" s="16"/>
      <c r="V16" s="16"/>
      <c r="W16" s="26"/>
      <c r="X16" s="52"/>
    </row>
    <row r="17" spans="1:24" x14ac:dyDescent="0.3">
      <c r="A17" t="s">
        <v>14</v>
      </c>
      <c r="B17" s="3">
        <f>B16*0.25</f>
        <v>500000</v>
      </c>
      <c r="C17" s="37">
        <f t="shared" si="2"/>
        <v>1.6666666666666666E-2</v>
      </c>
      <c r="D17" s="3">
        <f>D16*0.25</f>
        <v>822500</v>
      </c>
      <c r="E17" s="37">
        <f t="shared" si="0"/>
        <v>2.35E-2</v>
      </c>
      <c r="F17" s="30">
        <f t="shared" si="1"/>
        <v>-0.39209726443769</v>
      </c>
      <c r="G17" s="13"/>
      <c r="H17" t="s">
        <v>31</v>
      </c>
      <c r="I17" s="3">
        <v>13000000</v>
      </c>
      <c r="J17" s="38">
        <f t="shared" si="3"/>
        <v>0.26</v>
      </c>
      <c r="K17" s="3">
        <v>12000000</v>
      </c>
      <c r="L17" s="38">
        <f t="shared" si="4"/>
        <v>0.29003021148036257</v>
      </c>
      <c r="M17" s="38">
        <f t="shared" si="5"/>
        <v>8.3333333333333329E-2</v>
      </c>
      <c r="O17" s="9" t="s">
        <v>62</v>
      </c>
      <c r="P17" s="7"/>
      <c r="R17" s="17"/>
      <c r="S17" s="16"/>
      <c r="T17" s="16"/>
      <c r="U17" s="16"/>
      <c r="V17" s="16"/>
      <c r="W17" s="26"/>
      <c r="X17" s="47" t="s">
        <v>153</v>
      </c>
    </row>
    <row r="18" spans="1:24" x14ac:dyDescent="0.3">
      <c r="A18" t="s">
        <v>15</v>
      </c>
      <c r="B18">
        <f>B16-B17</f>
        <v>1500000</v>
      </c>
      <c r="C18" s="37">
        <f t="shared" si="2"/>
        <v>0.05</v>
      </c>
      <c r="D18">
        <f>D16-D17</f>
        <v>2467500</v>
      </c>
      <c r="E18" s="37">
        <f t="shared" si="0"/>
        <v>7.0499999999999993E-2</v>
      </c>
      <c r="F18" s="30">
        <f t="shared" si="1"/>
        <v>-0.39209726443769</v>
      </c>
      <c r="G18" s="14"/>
      <c r="H18" s="5" t="s">
        <v>32</v>
      </c>
      <c r="I18">
        <f>I16-I17</f>
        <v>26500000</v>
      </c>
      <c r="J18" s="38">
        <f t="shared" si="3"/>
        <v>0.53</v>
      </c>
      <c r="K18">
        <f>K16-K17</f>
        <v>23500000</v>
      </c>
      <c r="L18" s="38">
        <f t="shared" si="4"/>
        <v>0.56797583081571001</v>
      </c>
      <c r="M18" s="38">
        <f t="shared" si="5"/>
        <v>0.1276595744680851</v>
      </c>
      <c r="O18" s="11" t="s">
        <v>59</v>
      </c>
      <c r="P18" s="7"/>
      <c r="R18" s="17" t="s">
        <v>132</v>
      </c>
      <c r="S18" s="20" t="s">
        <v>133</v>
      </c>
      <c r="T18" s="42">
        <f>I10/(B6/365)</f>
        <v>130.35714285714286</v>
      </c>
      <c r="U18" s="41"/>
      <c r="V18" s="42">
        <f t="shared" ref="V18" si="8">K10/(D6/365)</f>
        <v>102.86147843052242</v>
      </c>
      <c r="W18" s="43">
        <f>(1/W15)*365</f>
        <v>45.625</v>
      </c>
      <c r="X18" s="47"/>
    </row>
    <row r="19" spans="1:24" ht="15" thickBot="1" x14ac:dyDescent="0.35">
      <c r="A19" t="s">
        <v>16</v>
      </c>
      <c r="B19" s="3">
        <v>100000</v>
      </c>
      <c r="C19" s="37">
        <f t="shared" si="2"/>
        <v>3.3333333333333335E-3</v>
      </c>
      <c r="D19" s="3">
        <v>100000</v>
      </c>
      <c r="E19" s="37">
        <f t="shared" si="0"/>
        <v>2.8571428571428571E-3</v>
      </c>
      <c r="F19" s="30">
        <f t="shared" si="1"/>
        <v>0</v>
      </c>
      <c r="G19" s="14"/>
      <c r="H19" t="s">
        <v>33</v>
      </c>
      <c r="I19" s="4">
        <f>I18+I11</f>
        <v>50000000</v>
      </c>
      <c r="J19" s="38">
        <f>I19/$I$19</f>
        <v>1</v>
      </c>
      <c r="K19" s="4">
        <f>K18+K11</f>
        <v>41375000</v>
      </c>
      <c r="L19" s="38">
        <f>K19/$K$19</f>
        <v>1</v>
      </c>
      <c r="M19" s="38">
        <f t="shared" si="5"/>
        <v>0.20845921450151059</v>
      </c>
      <c r="O19" s="7" t="s">
        <v>63</v>
      </c>
      <c r="P19" s="7">
        <f>(I16-K16)*-1</f>
        <v>-4000000</v>
      </c>
      <c r="R19" s="17" t="s">
        <v>134</v>
      </c>
      <c r="S19" s="16" t="s">
        <v>135</v>
      </c>
      <c r="T19" s="16"/>
      <c r="U19" s="16"/>
      <c r="V19" s="16"/>
      <c r="W19" s="26"/>
      <c r="X19" s="16"/>
    </row>
    <row r="20" spans="1:24" ht="15.6" thickTop="1" thickBot="1" x14ac:dyDescent="0.35">
      <c r="A20" t="s">
        <v>17</v>
      </c>
      <c r="B20" s="4">
        <f>B18-B19</f>
        <v>1400000</v>
      </c>
      <c r="C20" s="37">
        <f t="shared" si="2"/>
        <v>4.6666666666666669E-2</v>
      </c>
      <c r="D20" s="4">
        <f>D18-D19</f>
        <v>2367500</v>
      </c>
      <c r="E20" s="37">
        <f t="shared" si="0"/>
        <v>6.7642857142857143E-2</v>
      </c>
      <c r="F20" s="30">
        <f t="shared" si="1"/>
        <v>-0.40865892291446676</v>
      </c>
      <c r="G20" s="13"/>
      <c r="L20" s="38"/>
      <c r="M20" s="38"/>
      <c r="O20" s="7" t="s">
        <v>64</v>
      </c>
      <c r="P20" s="7">
        <f>SUM(P18:P19)</f>
        <v>-4000000</v>
      </c>
      <c r="R20" s="17"/>
      <c r="S20" s="16"/>
      <c r="T20" s="16"/>
      <c r="U20" s="16"/>
      <c r="V20" s="16"/>
      <c r="W20" s="26"/>
      <c r="X20" s="16"/>
    </row>
    <row r="21" spans="1:24" ht="15" thickTop="1" x14ac:dyDescent="0.3">
      <c r="E21" s="7"/>
      <c r="F21" s="7"/>
      <c r="G21" s="13"/>
      <c r="H21" s="1" t="s">
        <v>34</v>
      </c>
      <c r="L21" s="38"/>
      <c r="M21" s="38"/>
      <c r="O21" s="7"/>
      <c r="P21" s="7"/>
      <c r="R21" s="17"/>
      <c r="S21" s="16"/>
      <c r="T21" s="16"/>
      <c r="U21" s="16"/>
      <c r="V21" s="16"/>
      <c r="W21" s="26"/>
      <c r="X21" s="16"/>
    </row>
    <row r="22" spans="1:24" x14ac:dyDescent="0.3">
      <c r="A22" t="s">
        <v>162</v>
      </c>
      <c r="B22">
        <f>B20/1000000</f>
        <v>1.4</v>
      </c>
      <c r="D22">
        <f t="shared" ref="D22" si="9">D20/1000000</f>
        <v>2.3675000000000002</v>
      </c>
      <c r="H22" s="5" t="s">
        <v>38</v>
      </c>
      <c r="L22" s="38"/>
      <c r="M22" s="38"/>
      <c r="O22" s="9" t="s">
        <v>65</v>
      </c>
      <c r="P22" s="7"/>
      <c r="R22" s="17" t="s">
        <v>82</v>
      </c>
      <c r="S22" s="20" t="s">
        <v>83</v>
      </c>
      <c r="T22" s="42">
        <f>I9/(B5/365)</f>
        <v>146</v>
      </c>
      <c r="U22" s="42"/>
      <c r="V22" s="42">
        <f t="shared" ref="V22" si="10">K9/(D5/365)</f>
        <v>93.857142857142861</v>
      </c>
      <c r="W22" s="26">
        <v>90</v>
      </c>
      <c r="X22" s="31"/>
    </row>
    <row r="23" spans="1:24" x14ac:dyDescent="0.3">
      <c r="A23" s="8" t="s">
        <v>1</v>
      </c>
      <c r="B23" s="7"/>
      <c r="C23" s="7"/>
      <c r="H23" t="s">
        <v>35</v>
      </c>
      <c r="I23">
        <v>8000000</v>
      </c>
      <c r="J23" s="38">
        <f t="shared" ref="J23:J35" si="11">I23/$I$36</f>
        <v>0.16</v>
      </c>
      <c r="K23">
        <v>5500000</v>
      </c>
      <c r="L23" s="38">
        <f t="shared" ref="L23:L36" si="12">K23/$K$19</f>
        <v>0.13293051359516617</v>
      </c>
      <c r="M23" s="38">
        <f t="shared" si="5"/>
        <v>0.45454545454545453</v>
      </c>
      <c r="O23" s="11" t="s">
        <v>56</v>
      </c>
      <c r="P23" s="7"/>
      <c r="R23" s="17" t="s">
        <v>136</v>
      </c>
      <c r="S23" s="16" t="s">
        <v>106</v>
      </c>
      <c r="T23" s="16"/>
      <c r="U23" s="16"/>
      <c r="V23" s="16"/>
      <c r="W23" s="22"/>
      <c r="X23" s="31"/>
    </row>
    <row r="24" spans="1:24" x14ac:dyDescent="0.3">
      <c r="A24" s="8" t="s">
        <v>50</v>
      </c>
      <c r="B24" s="7"/>
      <c r="C24" s="7"/>
      <c r="H24" t="s">
        <v>36</v>
      </c>
      <c r="I24">
        <v>8000000</v>
      </c>
      <c r="J24" s="38">
        <f t="shared" si="11"/>
        <v>0.16</v>
      </c>
      <c r="K24">
        <v>6000000</v>
      </c>
      <c r="L24" s="38">
        <f t="shared" si="12"/>
        <v>0.14501510574018128</v>
      </c>
      <c r="M24" s="38">
        <f t="shared" si="5"/>
        <v>0.33333333333333331</v>
      </c>
      <c r="O24" s="7" t="s">
        <v>66</v>
      </c>
      <c r="P24" s="7">
        <f>I28-K28</f>
        <v>3000000</v>
      </c>
      <c r="R24" s="17"/>
      <c r="S24" s="16"/>
      <c r="T24" s="16"/>
      <c r="U24" s="16"/>
      <c r="V24" s="16"/>
      <c r="W24" s="22"/>
      <c r="X24" s="16"/>
    </row>
    <row r="25" spans="1:24" ht="14.4" customHeight="1" x14ac:dyDescent="0.3">
      <c r="A25" s="8" t="s">
        <v>121</v>
      </c>
      <c r="B25" s="7"/>
      <c r="C25" s="7"/>
      <c r="H25" t="s">
        <v>37</v>
      </c>
      <c r="I25" s="3">
        <v>500000</v>
      </c>
      <c r="J25" s="38">
        <f t="shared" si="11"/>
        <v>0.01</v>
      </c>
      <c r="K25" s="3">
        <v>475000</v>
      </c>
      <c r="L25" s="38">
        <f t="shared" si="12"/>
        <v>1.1480362537764351E-2</v>
      </c>
      <c r="M25" s="38">
        <f t="shared" si="5"/>
        <v>5.2631578947368418E-2</v>
      </c>
      <c r="O25" s="7" t="s">
        <v>72</v>
      </c>
      <c r="P25" s="7">
        <f>I24-K24</f>
        <v>2000000</v>
      </c>
      <c r="R25" s="17" t="s">
        <v>84</v>
      </c>
      <c r="S25" s="20" t="s">
        <v>81</v>
      </c>
      <c r="T25" s="41">
        <f>B5/I18</f>
        <v>1.1320754716981132</v>
      </c>
      <c r="U25" s="41"/>
      <c r="V25" s="41">
        <f t="shared" ref="V25" si="13">D5/K18</f>
        <v>1.4893617021276595</v>
      </c>
      <c r="W25" s="22">
        <v>1.2</v>
      </c>
      <c r="X25" s="53" t="s">
        <v>154</v>
      </c>
    </row>
    <row r="26" spans="1:24" x14ac:dyDescent="0.3">
      <c r="A26" s="7"/>
      <c r="B26" s="7"/>
      <c r="C26" s="7"/>
      <c r="H26" s="5" t="s">
        <v>39</v>
      </c>
      <c r="I26" s="5">
        <f>SUM(I23:I25)</f>
        <v>16500000</v>
      </c>
      <c r="J26" s="38">
        <f t="shared" si="11"/>
        <v>0.33</v>
      </c>
      <c r="K26" s="5">
        <f>SUM(K23:K25)</f>
        <v>11975000</v>
      </c>
      <c r="L26" s="38">
        <f t="shared" si="12"/>
        <v>0.2894259818731118</v>
      </c>
      <c r="M26" s="38">
        <f t="shared" si="5"/>
        <v>0.37787056367432148</v>
      </c>
      <c r="O26" s="11" t="s">
        <v>59</v>
      </c>
      <c r="P26" s="7"/>
      <c r="R26" s="17" t="s">
        <v>137</v>
      </c>
      <c r="S26" s="16" t="s">
        <v>85</v>
      </c>
      <c r="T26" s="16"/>
      <c r="U26" s="16"/>
      <c r="V26" s="16"/>
      <c r="W26" s="22"/>
      <c r="X26" s="53"/>
    </row>
    <row r="27" spans="1:24" x14ac:dyDescent="0.3">
      <c r="A27" s="7" t="s">
        <v>122</v>
      </c>
      <c r="B27" s="7">
        <f>K34</f>
        <v>900000</v>
      </c>
      <c r="C27" s="7"/>
      <c r="H27" s="5" t="s">
        <v>40</v>
      </c>
      <c r="J27" s="38"/>
      <c r="L27" s="38"/>
      <c r="M27" s="38"/>
      <c r="O27" s="7" t="s">
        <v>67</v>
      </c>
      <c r="P27" s="7">
        <f>B30*-1</f>
        <v>-100000</v>
      </c>
      <c r="R27" s="17"/>
      <c r="S27" s="16"/>
      <c r="T27" s="16"/>
      <c r="U27" s="16"/>
      <c r="V27" s="16"/>
      <c r="W27" s="22"/>
      <c r="X27" s="53"/>
    </row>
    <row r="28" spans="1:24" x14ac:dyDescent="0.3">
      <c r="A28" s="7" t="s">
        <v>123</v>
      </c>
      <c r="B28" s="9">
        <f>B18</f>
        <v>1500000</v>
      </c>
      <c r="C28" s="7"/>
      <c r="H28" t="s">
        <v>41</v>
      </c>
      <c r="I28" s="3">
        <v>20000000</v>
      </c>
      <c r="J28" s="38">
        <f t="shared" si="11"/>
        <v>0.4</v>
      </c>
      <c r="K28" s="3">
        <v>17000000</v>
      </c>
      <c r="L28" s="38">
        <f t="shared" si="12"/>
        <v>0.41087613293051362</v>
      </c>
      <c r="M28" s="38">
        <f t="shared" si="5"/>
        <v>0.17647058823529413</v>
      </c>
      <c r="O28" s="7" t="s">
        <v>73</v>
      </c>
      <c r="P28" s="7">
        <f>B32*-1</f>
        <v>-300000</v>
      </c>
      <c r="R28" s="17" t="s">
        <v>86</v>
      </c>
      <c r="S28" s="20" t="s">
        <v>81</v>
      </c>
      <c r="T28" s="41">
        <f>B5/I19</f>
        <v>0.6</v>
      </c>
      <c r="U28" s="41"/>
      <c r="V28" s="41">
        <f t="shared" ref="V28" si="14">D5/K19</f>
        <v>0.84592145015105735</v>
      </c>
      <c r="W28" s="22">
        <v>1</v>
      </c>
      <c r="X28" s="53"/>
    </row>
    <row r="29" spans="1:24" x14ac:dyDescent="0.3">
      <c r="A29" s="7" t="s">
        <v>51</v>
      </c>
      <c r="B29" s="7">
        <f>B27+B28</f>
        <v>2400000</v>
      </c>
      <c r="C29" s="7"/>
      <c r="H29" s="5" t="s">
        <v>42</v>
      </c>
      <c r="I29" s="5">
        <f>I28</f>
        <v>20000000</v>
      </c>
      <c r="J29" s="38">
        <f t="shared" si="11"/>
        <v>0.4</v>
      </c>
      <c r="K29" s="5">
        <f>K28</f>
        <v>17000000</v>
      </c>
      <c r="L29" s="38">
        <f t="shared" si="12"/>
        <v>0.41087613293051362</v>
      </c>
      <c r="M29" s="38">
        <f t="shared" si="5"/>
        <v>0.17647058823529413</v>
      </c>
      <c r="O29" s="7" t="s">
        <v>68</v>
      </c>
      <c r="P29" s="7">
        <f>SUM(P24:P28)</f>
        <v>4600000</v>
      </c>
      <c r="R29" s="17"/>
      <c r="S29" s="23" t="s">
        <v>87</v>
      </c>
      <c r="T29" s="16"/>
      <c r="U29" s="16"/>
      <c r="V29" s="16"/>
      <c r="W29" s="22"/>
      <c r="X29" s="31"/>
    </row>
    <row r="30" spans="1:24" x14ac:dyDescent="0.3">
      <c r="A30" s="7" t="s">
        <v>52</v>
      </c>
      <c r="B30" s="9">
        <f>B19</f>
        <v>100000</v>
      </c>
      <c r="C30" s="7"/>
      <c r="H30" s="5" t="s">
        <v>43</v>
      </c>
      <c r="J30" s="38"/>
      <c r="L30" s="38"/>
      <c r="M30" s="38"/>
      <c r="R30" s="17"/>
      <c r="S30" s="16"/>
      <c r="T30" s="16"/>
      <c r="U30" s="16"/>
      <c r="V30" s="16"/>
      <c r="W30" s="22"/>
      <c r="X30" s="16"/>
    </row>
    <row r="31" spans="1:24" x14ac:dyDescent="0.3">
      <c r="A31" s="7" t="s">
        <v>53</v>
      </c>
      <c r="B31" s="7">
        <f>B29-B30</f>
        <v>2300000</v>
      </c>
      <c r="C31" s="7"/>
      <c r="H31" t="s">
        <v>44</v>
      </c>
      <c r="I31">
        <v>2500000</v>
      </c>
      <c r="J31" s="38">
        <f t="shared" si="11"/>
        <v>0.05</v>
      </c>
      <c r="K31">
        <v>2500000</v>
      </c>
      <c r="L31" s="38">
        <f t="shared" si="12"/>
        <v>6.0422960725075532E-2</v>
      </c>
      <c r="M31" s="38">
        <f t="shared" si="5"/>
        <v>0</v>
      </c>
      <c r="O31" s="7"/>
      <c r="P31" s="7"/>
      <c r="R31" s="17"/>
      <c r="S31" s="16"/>
      <c r="T31" s="16"/>
      <c r="U31" s="16"/>
      <c r="V31" s="16"/>
      <c r="W31" s="22"/>
      <c r="X31" s="16"/>
    </row>
    <row r="32" spans="1:24" x14ac:dyDescent="0.3">
      <c r="A32" s="7" t="s">
        <v>54</v>
      </c>
      <c r="B32" s="7">
        <v>300000</v>
      </c>
      <c r="C32" s="7"/>
      <c r="H32" t="s">
        <v>45</v>
      </c>
      <c r="I32">
        <v>5000000</v>
      </c>
      <c r="J32" s="38">
        <f t="shared" si="11"/>
        <v>0.1</v>
      </c>
      <c r="K32">
        <v>5000000</v>
      </c>
      <c r="L32" s="38">
        <f t="shared" si="12"/>
        <v>0.12084592145015106</v>
      </c>
      <c r="M32" s="38">
        <f t="shared" si="5"/>
        <v>0</v>
      </c>
      <c r="N32" s="13"/>
      <c r="O32" s="7" t="s">
        <v>69</v>
      </c>
      <c r="P32" s="7">
        <f>P14+P20+P29</f>
        <v>1625000</v>
      </c>
      <c r="R32" s="17" t="s">
        <v>146</v>
      </c>
      <c r="S32" s="16" t="s">
        <v>35</v>
      </c>
      <c r="T32" s="16"/>
      <c r="U32" s="16"/>
      <c r="V32" s="16"/>
      <c r="W32" s="22"/>
      <c r="X32" s="32"/>
    </row>
    <row r="33" spans="1:24" ht="15" thickBot="1" x14ac:dyDescent="0.35">
      <c r="A33" s="8" t="s">
        <v>124</v>
      </c>
      <c r="B33" s="10">
        <f>B31-B32</f>
        <v>2000000</v>
      </c>
      <c r="C33" s="8"/>
      <c r="H33" t="s">
        <v>46</v>
      </c>
      <c r="I33">
        <v>4000000</v>
      </c>
      <c r="J33" s="38">
        <f t="shared" si="11"/>
        <v>0.08</v>
      </c>
      <c r="K33">
        <v>4000000</v>
      </c>
      <c r="L33" s="38">
        <f t="shared" si="12"/>
        <v>9.6676737160120846E-2</v>
      </c>
      <c r="M33" s="38">
        <f t="shared" si="5"/>
        <v>0</v>
      </c>
      <c r="O33" s="7" t="s">
        <v>143</v>
      </c>
      <c r="P33" s="7">
        <f>K7+K8</f>
        <v>2375000</v>
      </c>
      <c r="R33" s="17" t="s">
        <v>147</v>
      </c>
      <c r="S33" s="16" t="s">
        <v>148</v>
      </c>
      <c r="T33" s="16"/>
      <c r="U33" s="16"/>
      <c r="V33" s="16"/>
      <c r="W33" s="22"/>
      <c r="X33" s="32"/>
    </row>
    <row r="34" spans="1:24" ht="15.6" thickTop="1" thickBot="1" x14ac:dyDescent="0.35">
      <c r="H34" t="s">
        <v>47</v>
      </c>
      <c r="I34" s="3">
        <v>2000000</v>
      </c>
      <c r="J34" s="38">
        <f t="shared" si="11"/>
        <v>0.04</v>
      </c>
      <c r="K34" s="3">
        <v>900000</v>
      </c>
      <c r="L34" s="38">
        <f t="shared" si="12"/>
        <v>2.175226586102719E-2</v>
      </c>
      <c r="M34" s="38">
        <f t="shared" si="5"/>
        <v>1.2222222222222223</v>
      </c>
      <c r="O34" s="8" t="s">
        <v>144</v>
      </c>
      <c r="P34" s="10">
        <f>P32+P33</f>
        <v>4000000</v>
      </c>
      <c r="R34" s="17"/>
      <c r="S34" s="16"/>
      <c r="T34" s="16"/>
      <c r="U34" s="16"/>
      <c r="V34" s="16"/>
      <c r="W34" s="22"/>
      <c r="X34" s="32"/>
    </row>
    <row r="35" spans="1:24" ht="15" thickTop="1" x14ac:dyDescent="0.3">
      <c r="A35" s="7" t="s">
        <v>163</v>
      </c>
      <c r="B35">
        <f>B32/1000000</f>
        <v>0.3</v>
      </c>
      <c r="H35" s="5" t="s">
        <v>48</v>
      </c>
      <c r="I35" s="5">
        <f>SUM(I31:I34)</f>
        <v>13500000</v>
      </c>
      <c r="J35" s="38">
        <f t="shared" si="11"/>
        <v>0.27</v>
      </c>
      <c r="K35" s="5">
        <f>SUM(K31:K34)</f>
        <v>12400000</v>
      </c>
      <c r="L35" s="38">
        <f t="shared" si="12"/>
        <v>0.29969788519637464</v>
      </c>
      <c r="M35" s="38">
        <f t="shared" si="5"/>
        <v>8.8709677419354843E-2</v>
      </c>
      <c r="R35" s="17"/>
      <c r="S35" s="16"/>
      <c r="T35" s="16"/>
      <c r="U35" s="16"/>
      <c r="V35" s="16"/>
      <c r="W35" s="22"/>
      <c r="X35" s="31"/>
    </row>
    <row r="36" spans="1:24" ht="15" customHeight="1" thickBot="1" x14ac:dyDescent="0.35">
      <c r="H36" t="s">
        <v>49</v>
      </c>
      <c r="I36" s="4">
        <f>I35+I29+I26</f>
        <v>50000000</v>
      </c>
      <c r="J36" s="38">
        <f>I36/$I$36</f>
        <v>1</v>
      </c>
      <c r="K36" s="4">
        <f>K35+K29+K26</f>
        <v>41375000</v>
      </c>
      <c r="L36" s="38">
        <f t="shared" si="12"/>
        <v>1</v>
      </c>
      <c r="M36" s="38">
        <f t="shared" si="5"/>
        <v>0.20845921450151059</v>
      </c>
      <c r="O36" s="7" t="s">
        <v>118</v>
      </c>
      <c r="R36" s="15" t="s">
        <v>88</v>
      </c>
      <c r="S36" s="16"/>
      <c r="T36" s="16"/>
      <c r="U36" s="16"/>
      <c r="V36" s="16"/>
      <c r="W36" s="22"/>
      <c r="X36" s="44" t="s">
        <v>156</v>
      </c>
    </row>
    <row r="37" spans="1:24" ht="15" thickTop="1" x14ac:dyDescent="0.3">
      <c r="R37" s="17" t="s">
        <v>138</v>
      </c>
      <c r="S37" s="20" t="s">
        <v>155</v>
      </c>
      <c r="T37" s="39">
        <f>(I29+I26)/I19</f>
        <v>0.73</v>
      </c>
      <c r="U37" s="39"/>
      <c r="V37" s="39">
        <f>(K29+K26)/K19</f>
        <v>0.70030211480362536</v>
      </c>
      <c r="W37" s="24">
        <v>0.4</v>
      </c>
      <c r="X37" s="44"/>
    </row>
    <row r="38" spans="1:24" x14ac:dyDescent="0.3">
      <c r="H38" t="s">
        <v>161</v>
      </c>
      <c r="R38" s="17"/>
      <c r="S38" s="16"/>
      <c r="T38" s="39"/>
      <c r="U38" s="39"/>
      <c r="V38" s="39"/>
      <c r="W38" s="24"/>
      <c r="X38" s="44"/>
    </row>
    <row r="39" spans="1:24" x14ac:dyDescent="0.3">
      <c r="H39" t="s">
        <v>158</v>
      </c>
      <c r="I39">
        <f>I31/25000</f>
        <v>100</v>
      </c>
      <c r="R39" s="17"/>
      <c r="S39" s="16" t="s">
        <v>87</v>
      </c>
      <c r="T39" s="16"/>
      <c r="U39" s="16"/>
      <c r="V39" s="16"/>
      <c r="W39" s="22"/>
      <c r="X39" s="44"/>
    </row>
    <row r="40" spans="1:24" x14ac:dyDescent="0.3">
      <c r="H40" t="s">
        <v>159</v>
      </c>
      <c r="I40">
        <f>I32/1000000</f>
        <v>5</v>
      </c>
      <c r="R40" s="17"/>
      <c r="S40" s="16"/>
      <c r="T40" s="16"/>
      <c r="U40" s="16"/>
      <c r="V40" s="16"/>
      <c r="W40" s="22"/>
      <c r="X40" s="44"/>
    </row>
    <row r="41" spans="1:24" x14ac:dyDescent="0.3">
      <c r="H41" t="s">
        <v>160</v>
      </c>
      <c r="I41">
        <f>I40+I33/1000000</f>
        <v>9</v>
      </c>
      <c r="R41" s="17" t="s">
        <v>89</v>
      </c>
      <c r="S41" s="20" t="s">
        <v>140</v>
      </c>
      <c r="T41" s="41">
        <f>B14/B15</f>
        <v>3</v>
      </c>
      <c r="U41" s="41"/>
      <c r="V41" s="41">
        <f>D14/D15</f>
        <v>7.2666666666666666</v>
      </c>
      <c r="W41" s="22">
        <v>6</v>
      </c>
      <c r="X41" s="44"/>
    </row>
    <row r="42" spans="1:24" x14ac:dyDescent="0.3">
      <c r="H42" s="28"/>
      <c r="I42" s="29"/>
      <c r="K42" s="29"/>
      <c r="R42" s="17" t="s">
        <v>139</v>
      </c>
      <c r="S42" s="16" t="s">
        <v>90</v>
      </c>
      <c r="T42" s="16"/>
      <c r="U42" s="16"/>
      <c r="V42" s="16"/>
      <c r="W42" s="22"/>
      <c r="X42" s="32"/>
    </row>
    <row r="43" spans="1:24" x14ac:dyDescent="0.3">
      <c r="R43" s="17"/>
      <c r="S43" s="16"/>
      <c r="T43" s="16"/>
      <c r="U43" s="16"/>
      <c r="V43" s="16"/>
      <c r="W43" s="22"/>
      <c r="X43" s="32"/>
    </row>
    <row r="44" spans="1:24" x14ac:dyDescent="0.3">
      <c r="R44" s="17"/>
      <c r="S44" s="16"/>
      <c r="T44" s="16"/>
      <c r="U44" s="16"/>
      <c r="V44" s="16"/>
      <c r="W44" s="22"/>
      <c r="X44" s="31"/>
    </row>
    <row r="45" spans="1:24" x14ac:dyDescent="0.3">
      <c r="R45" s="15" t="s">
        <v>91</v>
      </c>
      <c r="S45" s="16"/>
      <c r="T45" s="16"/>
      <c r="U45" s="16"/>
      <c r="V45" s="16"/>
      <c r="W45" s="22"/>
      <c r="X45" s="31"/>
    </row>
    <row r="46" spans="1:24" x14ac:dyDescent="0.3">
      <c r="R46" s="17" t="s">
        <v>92</v>
      </c>
      <c r="S46" s="20" t="s">
        <v>141</v>
      </c>
      <c r="T46" s="16">
        <f>B20/B5</f>
        <v>4.6666666666666669E-2</v>
      </c>
      <c r="U46" s="16"/>
      <c r="V46" s="16"/>
      <c r="W46" s="24">
        <v>0.05</v>
      </c>
      <c r="X46" s="45" t="s">
        <v>157</v>
      </c>
    </row>
    <row r="47" spans="1:24" x14ac:dyDescent="0.3">
      <c r="R47" s="17"/>
      <c r="S47" s="16" t="s">
        <v>81</v>
      </c>
      <c r="T47" s="16"/>
      <c r="U47" s="16"/>
      <c r="V47" s="16"/>
      <c r="W47" s="22"/>
      <c r="X47" s="45"/>
    </row>
    <row r="48" spans="1:24" x14ac:dyDescent="0.3">
      <c r="R48" s="17"/>
      <c r="S48" s="16"/>
      <c r="T48" s="16"/>
      <c r="U48" s="16"/>
      <c r="V48" s="16"/>
      <c r="W48" s="21"/>
      <c r="X48" s="45"/>
    </row>
    <row r="49" spans="18:24" x14ac:dyDescent="0.3">
      <c r="R49" s="17" t="s">
        <v>93</v>
      </c>
      <c r="S49" s="20" t="s">
        <v>140</v>
      </c>
      <c r="T49" s="16"/>
      <c r="U49" s="16"/>
      <c r="V49" s="16"/>
      <c r="W49" s="24">
        <v>0.12</v>
      </c>
      <c r="X49" s="45"/>
    </row>
    <row r="50" spans="18:24" x14ac:dyDescent="0.3">
      <c r="R50" s="17"/>
      <c r="S50" s="16" t="s">
        <v>87</v>
      </c>
      <c r="T50" s="16"/>
      <c r="U50" s="16"/>
      <c r="V50" s="16"/>
      <c r="W50" s="21"/>
      <c r="X50" s="45"/>
    </row>
    <row r="51" spans="18:24" x14ac:dyDescent="0.3">
      <c r="R51" s="17"/>
      <c r="S51" s="16"/>
      <c r="T51" s="16"/>
      <c r="U51" s="16"/>
      <c r="V51" s="16"/>
      <c r="W51" s="21"/>
      <c r="X51" s="45"/>
    </row>
    <row r="52" spans="18:24" x14ac:dyDescent="0.3">
      <c r="R52" s="17" t="s">
        <v>94</v>
      </c>
      <c r="S52" s="20" t="s">
        <v>141</v>
      </c>
      <c r="T52" s="16"/>
      <c r="U52" s="16"/>
      <c r="V52" s="16"/>
      <c r="W52" s="24">
        <v>0.08</v>
      </c>
      <c r="X52" s="32"/>
    </row>
    <row r="53" spans="18:24" x14ac:dyDescent="0.3">
      <c r="R53" s="17"/>
      <c r="S53" s="16" t="s">
        <v>87</v>
      </c>
      <c r="T53" s="16"/>
      <c r="U53" s="16"/>
      <c r="V53" s="16"/>
      <c r="W53" s="21"/>
      <c r="X53" s="16"/>
    </row>
    <row r="54" spans="18:24" x14ac:dyDescent="0.3">
      <c r="R54" s="17"/>
      <c r="S54" s="16"/>
      <c r="T54" s="16"/>
      <c r="U54" s="16"/>
      <c r="V54" s="16"/>
      <c r="W54" s="21"/>
      <c r="X54" s="16"/>
    </row>
    <row r="55" spans="18:24" x14ac:dyDescent="0.3">
      <c r="R55" s="17" t="s">
        <v>95</v>
      </c>
      <c r="S55" s="20" t="s">
        <v>141</v>
      </c>
      <c r="T55" s="16"/>
      <c r="U55" s="16"/>
      <c r="V55" s="16"/>
      <c r="W55" s="24">
        <v>0.18</v>
      </c>
      <c r="X55" s="16"/>
    </row>
    <row r="56" spans="18:24" x14ac:dyDescent="0.3">
      <c r="R56" s="17" t="s">
        <v>96</v>
      </c>
      <c r="S56" s="16" t="s">
        <v>97</v>
      </c>
      <c r="T56" s="16"/>
      <c r="U56" s="16"/>
      <c r="V56" s="16"/>
      <c r="W56" s="21"/>
      <c r="X56" s="16"/>
    </row>
    <row r="57" spans="18:24" x14ac:dyDescent="0.3">
      <c r="R57" s="17"/>
      <c r="S57" s="16"/>
      <c r="T57" s="16"/>
      <c r="U57" s="16"/>
      <c r="V57" s="16"/>
      <c r="W57" s="21"/>
      <c r="X57" s="16"/>
    </row>
    <row r="58" spans="18:24" x14ac:dyDescent="0.3">
      <c r="R58" s="17"/>
      <c r="S58" s="16"/>
      <c r="T58" s="16"/>
      <c r="U58" s="16"/>
      <c r="V58" s="16"/>
      <c r="W58" s="21"/>
      <c r="X58" s="16"/>
    </row>
    <row r="59" spans="18:24" x14ac:dyDescent="0.3">
      <c r="R59" s="15" t="s">
        <v>98</v>
      </c>
      <c r="S59" s="16"/>
      <c r="T59" s="16"/>
      <c r="U59" s="16"/>
      <c r="V59" s="16"/>
      <c r="W59" s="21"/>
      <c r="X59" s="16"/>
    </row>
    <row r="60" spans="18:24" x14ac:dyDescent="0.3">
      <c r="R60" s="17" t="s">
        <v>99</v>
      </c>
      <c r="S60" s="20" t="s">
        <v>100</v>
      </c>
      <c r="T60" s="16"/>
      <c r="U60" s="16"/>
      <c r="V60" s="16"/>
      <c r="W60" s="22"/>
      <c r="X60" s="16"/>
    </row>
    <row r="61" spans="18:24" x14ac:dyDescent="0.3">
      <c r="R61" s="17"/>
      <c r="S61" s="16" t="s">
        <v>101</v>
      </c>
      <c r="T61" s="16"/>
      <c r="U61" s="16"/>
      <c r="V61" s="16"/>
      <c r="W61" s="22"/>
    </row>
    <row r="62" spans="18:24" x14ac:dyDescent="0.3">
      <c r="R62" s="17"/>
      <c r="S62" s="16"/>
      <c r="T62" s="16"/>
      <c r="U62" s="16"/>
      <c r="V62" s="16"/>
      <c r="W62" s="22"/>
    </row>
    <row r="63" spans="18:24" x14ac:dyDescent="0.3">
      <c r="R63" s="17" t="s">
        <v>102</v>
      </c>
      <c r="S63" s="20" t="s">
        <v>103</v>
      </c>
      <c r="T63" s="16"/>
      <c r="U63" s="16"/>
      <c r="V63" s="16"/>
      <c r="W63" s="22"/>
    </row>
    <row r="64" spans="18:24" x14ac:dyDescent="0.3">
      <c r="R64" s="17" t="s">
        <v>104</v>
      </c>
      <c r="S64" s="16" t="s">
        <v>105</v>
      </c>
      <c r="T64" s="16"/>
      <c r="U64" s="16"/>
      <c r="V64" s="16"/>
      <c r="W64" s="22"/>
    </row>
    <row r="65" spans="18:23" x14ac:dyDescent="0.3">
      <c r="R65" s="17"/>
      <c r="S65" s="16"/>
      <c r="T65" s="16"/>
      <c r="U65" s="16"/>
      <c r="V65" s="16"/>
      <c r="W65" s="16"/>
    </row>
  </sheetData>
  <mergeCells count="7">
    <mergeCell ref="X36:X41"/>
    <mergeCell ref="X46:X51"/>
    <mergeCell ref="X6:X8"/>
    <mergeCell ref="X9:X11"/>
    <mergeCell ref="X13:X16"/>
    <mergeCell ref="X17:X18"/>
    <mergeCell ref="X25:X28"/>
  </mergeCells>
  <pageMargins left="0.7" right="0.7" top="0.75" bottom="0.75" header="0.3" footer="0.3"/>
  <pageSetup scale="53" orientation="landscape" horizontalDpi="4294967293" r:id="rId1"/>
  <colBreaks count="1" manualBreakCount="1">
    <brk id="13" max="1048575" man="1"/>
  </colBreaks>
  <ignoredErrors>
    <ignoredError sqref="D17 B17 D7 D16 D18 D20 D13:D14" formula="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DATOS</vt:lpstr>
      <vt:lpstr>SOLUCIÓN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paz</dc:creator>
  <cp:lastModifiedBy>Brazil Batres</cp:lastModifiedBy>
  <cp:lastPrinted>2020-01-30T17:17:48Z</cp:lastPrinted>
  <dcterms:created xsi:type="dcterms:W3CDTF">2013-02-05T19:54:18Z</dcterms:created>
  <dcterms:modified xsi:type="dcterms:W3CDTF">2023-02-10T11:02:41Z</dcterms:modified>
</cp:coreProperties>
</file>