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6\"/>
    </mc:Choice>
  </mc:AlternateContent>
  <xr:revisionPtr revIDLastSave="0" documentId="13_ncr:1_{5D47577A-A199-4C76-9ADA-E205D2778E49}" xr6:coauthVersionLast="47" xr6:coauthVersionMax="47" xr10:uidLastSave="{00000000-0000-0000-0000-000000000000}"/>
  <bookViews>
    <workbookView xWindow="-108" yWindow="-108" windowWidth="23256" windowHeight="12456" tabRatio="776" activeTab="6" xr2:uid="{D52CA3D1-1FCC-4CC1-A317-A0E0BCDFA420}"/>
  </bookViews>
  <sheets>
    <sheet name="FORMULARIO ACTIVOS CORRIENTES" sheetId="7" r:id="rId1"/>
    <sheet name="EJEMPLO 1 CT" sheetId="1" r:id="rId2"/>
    <sheet name="EJEMPLO 2 CT" sheetId="2" r:id="rId3"/>
    <sheet name="EJEMPLO 1 INV" sheetId="3" r:id="rId4"/>
    <sheet name="EJEMPLO 2 INV" sheetId="4" r:id="rId5"/>
    <sheet name="EJEMPLO 1 CXC" sheetId="5" r:id="rId6"/>
    <sheet name="EJEMPLO 2 CX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6" l="1"/>
  <c r="B34" i="6"/>
  <c r="B8" i="6"/>
  <c r="B39" i="5"/>
  <c r="C24" i="6"/>
  <c r="B24" i="6"/>
  <c r="C13" i="6"/>
  <c r="C31" i="6" s="1"/>
  <c r="B13" i="6"/>
  <c r="B31" i="6" s="1"/>
  <c r="C14" i="6"/>
  <c r="B14" i="6"/>
  <c r="B21" i="5"/>
  <c r="B33" i="5" s="1"/>
  <c r="B25" i="5" s="1"/>
  <c r="C20" i="5"/>
  <c r="C39" i="5" s="1"/>
  <c r="B20" i="5"/>
  <c r="C33" i="5"/>
  <c r="C32" i="5"/>
  <c r="B32" i="5"/>
  <c r="D14" i="5"/>
  <c r="C21" i="5"/>
  <c r="E44" i="4"/>
  <c r="E36" i="4"/>
  <c r="B25" i="4"/>
  <c r="B28" i="4" s="1"/>
  <c r="B18" i="4"/>
  <c r="E16" i="4" s="1"/>
  <c r="B27" i="3"/>
  <c r="B24" i="3"/>
  <c r="E15" i="3"/>
  <c r="E28" i="2"/>
  <c r="E27" i="2"/>
  <c r="E26" i="2"/>
  <c r="E25" i="2"/>
  <c r="D19" i="2"/>
  <c r="C15" i="2"/>
  <c r="B15" i="6" l="1"/>
  <c r="C15" i="6"/>
  <c r="B27" i="6"/>
  <c r="B25" i="6"/>
  <c r="C25" i="6"/>
  <c r="C23" i="5"/>
  <c r="B23" i="5"/>
  <c r="B35" i="5"/>
  <c r="B43" i="5" s="1"/>
  <c r="B50" i="1"/>
  <c r="B49" i="1"/>
  <c r="B48" i="1"/>
  <c r="D46" i="1"/>
  <c r="D45" i="1"/>
  <c r="E17" i="1"/>
  <c r="B31" i="1" s="1"/>
  <c r="C44" i="1"/>
  <c r="C45" i="1" s="1"/>
  <c r="C46" i="1" s="1"/>
  <c r="B37" i="1"/>
  <c r="E18" i="1"/>
  <c r="B17" i="6" l="1"/>
  <c r="B36" i="6" s="1"/>
  <c r="B14" i="5"/>
  <c r="B42" i="5" s="1"/>
  <c r="B44" i="5" s="1"/>
  <c r="D44" i="1"/>
  <c r="B17" i="1"/>
  <c r="B22" i="1" s="1"/>
  <c r="B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25" authorId="0" shapeId="0" xr:uid="{7EBC818F-BA4B-4FF1-907C-910C20EC74F1}">
      <text>
        <r>
          <rPr>
            <b/>
            <sz val="9"/>
            <color indexed="81"/>
            <rFont val="Tahoma"/>
            <family val="2"/>
          </rPr>
          <t>Costo de oportunidad real por financiar dinero extra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17" authorId="0" shapeId="0" xr:uid="{2C8FB9F7-C5E5-42BB-B544-086FB124461D}">
      <text>
        <r>
          <rPr>
            <b/>
            <sz val="9"/>
            <color indexed="81"/>
            <rFont val="Tahoma"/>
            <family val="2"/>
          </rPr>
          <t>Costo de oportunidad real por financiar dinero extra</t>
        </r>
      </text>
    </comment>
  </commentList>
</comments>
</file>

<file path=xl/sharedStrings.xml><?xml version="1.0" encoding="utf-8"?>
<sst xmlns="http://schemas.openxmlformats.org/spreadsheetml/2006/main" count="190" uniqueCount="110">
  <si>
    <t>RECURSOS INVERTIDOS EN EL CCE:</t>
  </si>
  <si>
    <t>MODELO DEL LOTE ECONÓMICO</t>
  </si>
  <si>
    <t xml:space="preserve">S = uso en unidades por pedido </t>
  </si>
  <si>
    <t xml:space="preserve">O = costo de pedido por pedido  </t>
  </si>
  <si>
    <t xml:space="preserve">C = costo de mantenimiento por unidad por pedido </t>
  </si>
  <si>
    <t>Q = cantidad de pedido en unidades</t>
  </si>
  <si>
    <t>T = Tiempo de Ciclo</t>
  </si>
  <si>
    <t>D = Demanda anual</t>
  </si>
  <si>
    <t>Ch =C</t>
  </si>
  <si>
    <t>Co = O</t>
  </si>
  <si>
    <t>Utilidad adicional por las ventas adicionales = (Precio venta unitario - Costo variable unitario)* Cambio en las ventas</t>
  </si>
  <si>
    <t>Inversión Marginal en cuentas incobrables = (Cuentas incobrables en propuesta - actual)</t>
  </si>
  <si>
    <t>Capital de Trabajo Neto = Activos corrientes - Pasivos corrientes</t>
  </si>
  <si>
    <t>Indice de Solvencia (Razón corriente = Activos corrientes /Pasivos corrientes)</t>
  </si>
  <si>
    <t>Razón corriente a activo total (Razón AC/AT =  Activos corrientes/Activos Totales)</t>
  </si>
  <si>
    <t xml:space="preserve"> Razón pasivo corriente a activo total (Razón PC/AT = Pasivo corriente / Activo total)</t>
  </si>
  <si>
    <t>CAPITAL DE TRABAJO</t>
  </si>
  <si>
    <t>INVENTARIOS</t>
  </si>
  <si>
    <t>CUENTAS POR COBRAR</t>
  </si>
  <si>
    <t xml:space="preserve">CT = Costo Total </t>
  </si>
  <si>
    <t xml:space="preserve">EVALUACIÓN DE UNA POLÍTICA DE CRÉDITO </t>
  </si>
  <si>
    <t>Inversión Marginal en cuentas cobrar = (Inversión promedio en cxc en propuesta - actual)*TMAR</t>
  </si>
  <si>
    <t xml:space="preserve">RAZONES FINANCIERAS </t>
  </si>
  <si>
    <t>Rotación de CxC</t>
  </si>
  <si>
    <t>Ventas Netas/ CxC</t>
  </si>
  <si>
    <t>Rotación de Inv</t>
  </si>
  <si>
    <t>Costo de ventas /Inventario</t>
  </si>
  <si>
    <t>PPI =</t>
  </si>
  <si>
    <t>365/Rot Inv</t>
  </si>
  <si>
    <t>Rotación de Cx P</t>
  </si>
  <si>
    <t>Costo de ventas/ CxPagar</t>
  </si>
  <si>
    <t>PPP =</t>
  </si>
  <si>
    <t>365/Rotación de Cx P</t>
  </si>
  <si>
    <t>PPC =</t>
  </si>
  <si>
    <t>365/Rotación de CxC</t>
  </si>
  <si>
    <t>a) Capital de Trabajo Neto</t>
  </si>
  <si>
    <t>Activos Corrientes</t>
  </si>
  <si>
    <t>Pasivos Corrientes</t>
  </si>
  <si>
    <t>miles</t>
  </si>
  <si>
    <t>b) Índice de solvencia</t>
  </si>
  <si>
    <t>c) Razón AC/AT</t>
  </si>
  <si>
    <t>c) Razón PC/AT</t>
  </si>
  <si>
    <t>e) Impacto en la rentabilidad</t>
  </si>
  <si>
    <t>ACTUAL</t>
  </si>
  <si>
    <t>CON CAMBIO</t>
  </si>
  <si>
    <t>Activos No Corrientes</t>
  </si>
  <si>
    <t>RENTABILIDAD</t>
  </si>
  <si>
    <t>Utilidad actual</t>
  </si>
  <si>
    <t>Utilidad con el cambio</t>
  </si>
  <si>
    <t>Impacto</t>
  </si>
  <si>
    <t>miles adicionales de utilidad sobre activos</t>
  </si>
  <si>
    <t>EPI = PPI</t>
  </si>
  <si>
    <t>días</t>
  </si>
  <si>
    <t>PPP=</t>
  </si>
  <si>
    <t>Ventas anuales</t>
  </si>
  <si>
    <t>Inventario</t>
  </si>
  <si>
    <t>Cuentas por cobrar</t>
  </si>
  <si>
    <t>Cuentas por pagar</t>
  </si>
  <si>
    <t>**En la vida real estos valores no suelen ser iguales</t>
  </si>
  <si>
    <t>a) Ciclo Operativo</t>
  </si>
  <si>
    <t>días tiene que esperar la empresa para recibir el dinero que corresponde a la inversión que hizo en sus materias primas</t>
  </si>
  <si>
    <t>b) Ciclo de Conversión de Efectivo</t>
  </si>
  <si>
    <t>c) Monto de los recursos invertidos</t>
  </si>
  <si>
    <t>Recursos asociados al PPI = 30,000,000*90/365</t>
  </si>
  <si>
    <t>Recursos asociados al PPC = 30,000,000*60/365</t>
  </si>
  <si>
    <t>Recursos asociados al PPP = 30,000,000*30/365</t>
  </si>
  <si>
    <t>**En las fórmulas de arriba sugiere qué cuentas usar pero es mejor usar las cuentas que sugieren el nombre de la fórmula (lado derecho)</t>
  </si>
  <si>
    <t>S=</t>
  </si>
  <si>
    <t>unidades al año</t>
  </si>
  <si>
    <t>O=</t>
  </si>
  <si>
    <t>pedido</t>
  </si>
  <si>
    <t>C=</t>
  </si>
  <si>
    <t>a) Cantidad económica de pedido</t>
  </si>
  <si>
    <t>b) Punto de pedido</t>
  </si>
  <si>
    <t>Tiempo de entrega</t>
  </si>
  <si>
    <t xml:space="preserve">Uso diario = </t>
  </si>
  <si>
    <t xml:space="preserve">Días del año = </t>
  </si>
  <si>
    <t>unidades</t>
  </si>
  <si>
    <t xml:space="preserve">Inventario de seguridad = </t>
  </si>
  <si>
    <t>r=</t>
  </si>
  <si>
    <t>**Este se redondea hacia arriba</t>
  </si>
  <si>
    <t>**Este se redondea hacia abajo</t>
  </si>
  <si>
    <t>c) Tiempo de ciclo</t>
  </si>
  <si>
    <t>d) Costo total anual</t>
  </si>
  <si>
    <t>a) Utilidades adicionales</t>
  </si>
  <si>
    <t>Ingreso por ventas</t>
  </si>
  <si>
    <t>PROPUESTO</t>
  </si>
  <si>
    <t>Unidades de venta</t>
  </si>
  <si>
    <t>Precio de venta</t>
  </si>
  <si>
    <t>(-)Costo Variable</t>
  </si>
  <si>
    <t>(-) Costo Fijo</t>
  </si>
  <si>
    <t>Costo de venta</t>
  </si>
  <si>
    <t>Utilidad Operativa</t>
  </si>
  <si>
    <t>= Forma abreviada = Margen de contribución unitaria * unidades adicionales</t>
  </si>
  <si>
    <t>Margen de contribución unitario = Precio unitario - Costo Variable Unitario</t>
  </si>
  <si>
    <t>b) Costo de la inversión marginal en ctas x cobrar</t>
  </si>
  <si>
    <t xml:space="preserve">TMAR = </t>
  </si>
  <si>
    <t>Rotación CxC</t>
  </si>
  <si>
    <t>PPC</t>
  </si>
  <si>
    <t>Inversión promedio en CxC</t>
  </si>
  <si>
    <t>c) Costo marginal de las ctas incobrables</t>
  </si>
  <si>
    <t>% de cuentas incobrables</t>
  </si>
  <si>
    <t>sobre ventas</t>
  </si>
  <si>
    <t>valor monetario</t>
  </si>
  <si>
    <t>RESUMEN DE EVALUACIÓN DEL CAMBIO EN LA POLÍTICA DE CRÉDITO</t>
  </si>
  <si>
    <t>Utilidades adicionales</t>
  </si>
  <si>
    <t>(-) Costos adicionales</t>
  </si>
  <si>
    <t>Como los beneficios son mayores que los costos si conviene aceptar el cambio en la política de crédito que consiste en dar 15 días más de crédito.</t>
  </si>
  <si>
    <t>Pérdida adicional</t>
  </si>
  <si>
    <t>Como las pérdidas son mayores que los ahorros, NO conviene aceptar el cambio en la política de crédito que consiste en reducir el período de crédito.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</si>
</sst>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164" formatCode="_-[$Q-100A]* #,##0.00_-;\-[$Q-100A]* #,##0.00_-;_-[$Q-100A]* &quot;-&quot;??_-;_-@_-"/>
    <numFmt numFmtId="165" formatCode="0.0%"/>
    <numFmt numFmtId="166" formatCode="#,##0.00_ ;\-#,##0.00\ "/>
    <numFmt numFmtId="167" formatCode="_-[$$-540A]* #,##0.00_ ;_-[$$-540A]* \-#,##0.00\ ;_-[$$-540A]* &quot;-&quot;??_ ;_-@_ 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166" fontId="0" fillId="0" borderId="0" xfId="0" applyNumberFormat="1"/>
    <xf numFmtId="0" fontId="8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5" fillId="0" borderId="0" xfId="0" applyNumberFormat="1" applyFont="1"/>
    <xf numFmtId="166" fontId="5" fillId="0" borderId="0" xfId="0" applyNumberFormat="1" applyFont="1"/>
    <xf numFmtId="0" fontId="4" fillId="0" borderId="0" xfId="0" applyFont="1" applyAlignment="1">
      <alignment horizontal="right"/>
    </xf>
    <xf numFmtId="167" fontId="0" fillId="0" borderId="0" xfId="0" applyNumberFormat="1"/>
    <xf numFmtId="0" fontId="0" fillId="2" borderId="0" xfId="0" applyFill="1"/>
    <xf numFmtId="3" fontId="0" fillId="0" borderId="0" xfId="0" applyNumberFormat="1"/>
    <xf numFmtId="165" fontId="2" fillId="0" borderId="0" xfId="1" applyNumberFormat="1" applyFont="1" applyFill="1" applyAlignment="1">
      <alignment horizontal="center"/>
    </xf>
    <xf numFmtId="167" fontId="2" fillId="0" borderId="0" xfId="0" applyNumberFormat="1" applyFont="1"/>
    <xf numFmtId="168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0" fontId="10" fillId="0" borderId="0" xfId="0" applyFont="1"/>
    <xf numFmtId="44" fontId="0" fillId="0" borderId="0" xfId="2" applyFont="1"/>
    <xf numFmtId="44" fontId="0" fillId="2" borderId="0" xfId="2" applyFont="1" applyFill="1"/>
    <xf numFmtId="44" fontId="0" fillId="0" borderId="0" xfId="0" applyNumberForma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2" fontId="0" fillId="2" borderId="0" xfId="0" applyNumberFormat="1" applyFill="1"/>
    <xf numFmtId="9" fontId="0" fillId="2" borderId="0" xfId="1" applyFont="1" applyFill="1"/>
    <xf numFmtId="164" fontId="2" fillId="0" borderId="1" xfId="0" applyNumberFormat="1" applyFont="1" applyBorder="1"/>
    <xf numFmtId="164" fontId="0" fillId="2" borderId="0" xfId="0" applyNumberFormat="1" applyFill="1"/>
    <xf numFmtId="44" fontId="0" fillId="0" borderId="0" xfId="0" applyNumberFormat="1"/>
    <xf numFmtId="44" fontId="2" fillId="0" borderId="0" xfId="0" applyNumberFormat="1" applyFont="1"/>
    <xf numFmtId="44" fontId="0" fillId="0" borderId="1" xfId="0" applyNumberFormat="1" applyBorder="1"/>
    <xf numFmtId="2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44" fontId="9" fillId="0" borderId="0" xfId="0" applyNumberFormat="1" applyFont="1"/>
    <xf numFmtId="0" fontId="0" fillId="0" borderId="0" xfId="0" quotePrefix="1"/>
    <xf numFmtId="0" fontId="11" fillId="0" borderId="0" xfId="0" applyFont="1"/>
    <xf numFmtId="44" fontId="11" fillId="0" borderId="0" xfId="0" applyNumberFormat="1" applyFont="1"/>
    <xf numFmtId="44" fontId="0" fillId="2" borderId="0" xfId="0" applyNumberFormat="1" applyFill="1"/>
    <xf numFmtId="0" fontId="2" fillId="0" borderId="2" xfId="0" applyFont="1" applyBorder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6F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135458</xdr:colOff>
      <xdr:row>10</xdr:row>
      <xdr:rowOff>144524</xdr:rowOff>
    </xdr:from>
    <xdr:to>
      <xdr:col>1</xdr:col>
      <xdr:colOff>527867</xdr:colOff>
      <xdr:row>12</xdr:row>
      <xdr:rowOff>38312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03FABE-C3BA-432D-A9B6-E7145536EAD0}"/>
            </a:ext>
          </a:extLst>
        </xdr:cNvPr>
        <xdr:cNvSpPr txBox="1"/>
      </xdr:nvSpPr>
      <xdr:spPr>
        <a:xfrm>
          <a:off x="135458" y="144524"/>
          <a:ext cx="1184889" cy="25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 CO =  EPI + PPC</a:t>
          </a:r>
        </a:p>
      </xdr:txBody>
    </xdr:sp>
    <xdr:clientData/>
  </xdr:twoCellAnchor>
  <xdr:twoCellAnchor>
    <xdr:from>
      <xdr:col>0</xdr:col>
      <xdr:colOff>140480</xdr:colOff>
      <xdr:row>12</xdr:row>
      <xdr:rowOff>123452</xdr:rowOff>
    </xdr:from>
    <xdr:to>
      <xdr:col>1</xdr:col>
      <xdr:colOff>523609</xdr:colOff>
      <xdr:row>14</xdr:row>
      <xdr:rowOff>29799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77016CB-3089-4D8C-9606-5F4749D20602}"/>
            </a:ext>
          </a:extLst>
        </xdr:cNvPr>
        <xdr:cNvSpPr txBox="1"/>
      </xdr:nvSpPr>
      <xdr:spPr>
        <a:xfrm>
          <a:off x="140480" y="489212"/>
          <a:ext cx="1175609" cy="272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CCE =  CO - PPP</a:t>
          </a:r>
        </a:p>
      </xdr:txBody>
    </xdr:sp>
    <xdr:clientData/>
  </xdr:twoCellAnchor>
  <xdr:twoCellAnchor>
    <xdr:from>
      <xdr:col>0</xdr:col>
      <xdr:colOff>131967</xdr:colOff>
      <xdr:row>14</xdr:row>
      <xdr:rowOff>93654</xdr:rowOff>
    </xdr:from>
    <xdr:to>
      <xdr:col>1</xdr:col>
      <xdr:colOff>779028</xdr:colOff>
      <xdr:row>16</xdr:row>
      <xdr:rowOff>29799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F2BA9E4-9972-4DBB-B41D-C1840E684E00}"/>
            </a:ext>
          </a:extLst>
        </xdr:cNvPr>
        <xdr:cNvSpPr txBox="1"/>
      </xdr:nvSpPr>
      <xdr:spPr>
        <a:xfrm>
          <a:off x="131967" y="825174"/>
          <a:ext cx="1439541" cy="3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CCE = EPI + PPC – PPP </a:t>
          </a:r>
          <a:endParaRPr lang="es-GT" sz="1100"/>
        </a:p>
      </xdr:txBody>
    </xdr:sp>
    <xdr:clientData/>
  </xdr:twoCellAnchor>
  <xdr:twoCellAnchor>
    <xdr:from>
      <xdr:col>2</xdr:col>
      <xdr:colOff>791798</xdr:colOff>
      <xdr:row>11</xdr:row>
      <xdr:rowOff>63855</xdr:rowOff>
    </xdr:from>
    <xdr:to>
      <xdr:col>6</xdr:col>
      <xdr:colOff>485296</xdr:colOff>
      <xdr:row>12</xdr:row>
      <xdr:rowOff>174536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D313C5F-A7E8-4E7E-86C7-BEC2DD819F29}"/>
            </a:ext>
          </a:extLst>
        </xdr:cNvPr>
        <xdr:cNvSpPr txBox="1"/>
      </xdr:nvSpPr>
      <xdr:spPr>
        <a:xfrm>
          <a:off x="2375396" y="1707051"/>
          <a:ext cx="2860693" cy="293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Inventario =   (Costo de Ventas) * (PPI/365) 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3</xdr:col>
      <xdr:colOff>8513</xdr:colOff>
      <xdr:row>13</xdr:row>
      <xdr:rowOff>76625</xdr:rowOff>
    </xdr:from>
    <xdr:to>
      <xdr:col>6</xdr:col>
      <xdr:colOff>510838</xdr:colOff>
      <xdr:row>14</xdr:row>
      <xdr:rowOff>174537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11689D2-0079-4A7D-860F-CD4A08B157BC}"/>
            </a:ext>
          </a:extLst>
        </xdr:cNvPr>
        <xdr:cNvSpPr txBox="1"/>
      </xdr:nvSpPr>
      <xdr:spPr>
        <a:xfrm>
          <a:off x="2383910" y="2085921"/>
          <a:ext cx="2877721" cy="2809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Cobrar =  (Ventas * (PPC/365)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3</xdr:col>
      <xdr:colOff>0</xdr:colOff>
      <xdr:row>15</xdr:row>
      <xdr:rowOff>72368</xdr:rowOff>
    </xdr:from>
    <xdr:to>
      <xdr:col>6</xdr:col>
      <xdr:colOff>506581</xdr:colOff>
      <xdr:row>16</xdr:row>
      <xdr:rowOff>178792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014DDD6-8FBC-4D7E-AE7A-DFA7695FC5AC}"/>
            </a:ext>
          </a:extLst>
        </xdr:cNvPr>
        <xdr:cNvSpPr txBox="1"/>
      </xdr:nvSpPr>
      <xdr:spPr>
        <a:xfrm>
          <a:off x="2375397" y="2447765"/>
          <a:ext cx="2881977" cy="289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Pagar =  (Compras)* (PPP/365)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oneCellAnchor>
    <xdr:from>
      <xdr:col>0</xdr:col>
      <xdr:colOff>204335</xdr:colOff>
      <xdr:row>19</xdr:row>
      <xdr:rowOff>161766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21C4D09-74B6-448C-A279-468276B0D1D4}"/>
                </a:ext>
              </a:extLst>
            </xdr:cNvPr>
            <xdr:cNvSpPr txBox="1"/>
          </xdr:nvSpPr>
          <xdr:spPr>
            <a:xfrm>
              <a:off x="204335" y="1624806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21C4D09-74B6-448C-A279-468276B0D1D4}"/>
                </a:ext>
              </a:extLst>
            </xdr:cNvPr>
            <xdr:cNvSpPr txBox="1"/>
          </xdr:nvSpPr>
          <xdr:spPr>
            <a:xfrm>
              <a:off x="204335" y="1624806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140480</xdr:colOff>
      <xdr:row>23</xdr:row>
      <xdr:rowOff>153251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7856018-CE87-4B05-A2F6-8704CDB1A0EF}"/>
                </a:ext>
              </a:extLst>
            </xdr:cNvPr>
            <xdr:cNvSpPr txBox="1"/>
          </xdr:nvSpPr>
          <xdr:spPr>
            <a:xfrm>
              <a:off x="140480" y="253069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7856018-CE87-4B05-A2F6-8704CDB1A0EF}"/>
                </a:ext>
              </a:extLst>
            </xdr:cNvPr>
            <xdr:cNvSpPr txBox="1"/>
          </xdr:nvSpPr>
          <xdr:spPr>
            <a:xfrm>
              <a:off x="140480" y="253069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110682</xdr:colOff>
      <xdr:row>25</xdr:row>
      <xdr:rowOff>136223</xdr:rowOff>
    </xdr:from>
    <xdr:ext cx="1471621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D562363-AB19-4478-BB1E-304489F796FD}"/>
                </a:ext>
              </a:extLst>
            </xdr:cNvPr>
            <xdr:cNvSpPr txBox="1"/>
          </xdr:nvSpPr>
          <xdr:spPr>
            <a:xfrm>
              <a:off x="110682" y="287942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D562363-AB19-4478-BB1E-304489F796FD}"/>
                </a:ext>
              </a:extLst>
            </xdr:cNvPr>
            <xdr:cNvSpPr txBox="1"/>
          </xdr:nvSpPr>
          <xdr:spPr>
            <a:xfrm>
              <a:off x="110682" y="287942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161766</xdr:colOff>
      <xdr:row>29</xdr:row>
      <xdr:rowOff>29799</xdr:rowOff>
    </xdr:from>
    <xdr:ext cx="1230016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3057CA-042D-4F38-9B95-E5468044B28C}"/>
                </a:ext>
              </a:extLst>
            </xdr:cNvPr>
            <xdr:cNvSpPr txBox="1"/>
          </xdr:nvSpPr>
          <xdr:spPr>
            <a:xfrm>
              <a:off x="161766" y="350451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3057CA-042D-4F38-9B95-E5468044B28C}"/>
                </a:ext>
              </a:extLst>
            </xdr:cNvPr>
            <xdr:cNvSpPr txBox="1"/>
          </xdr:nvSpPr>
          <xdr:spPr>
            <a:xfrm>
              <a:off x="161766" y="3504519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136223</xdr:colOff>
      <xdr:row>31</xdr:row>
      <xdr:rowOff>174536</xdr:rowOff>
    </xdr:from>
    <xdr:ext cx="1678280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56058DD-0F3A-4A17-9686-D084B6AF06A5}"/>
                </a:ext>
              </a:extLst>
            </xdr:cNvPr>
            <xdr:cNvSpPr txBox="1"/>
          </xdr:nvSpPr>
          <xdr:spPr>
            <a:xfrm>
              <a:off x="136223" y="4015016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𝐶𝑎𝑛𝑡𝑖𝑑𝑎𝑑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56058DD-0F3A-4A17-9686-D084B6AF06A5}"/>
                </a:ext>
              </a:extLst>
            </xdr:cNvPr>
            <xdr:cNvSpPr txBox="1"/>
          </xdr:nvSpPr>
          <xdr:spPr>
            <a:xfrm>
              <a:off x="136223" y="4015016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𝐶𝑎𝑛𝑡𝑖𝑑𝑎𝑑 𝑑𝑒 𝑝𝑒𝑑𝑖𝑑𝑜𝑠=𝐷/𝑄^∗ 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108979</xdr:colOff>
      <xdr:row>42</xdr:row>
      <xdr:rowOff>74921</xdr:rowOff>
    </xdr:from>
    <xdr:ext cx="2062231" cy="321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CC8289E-49A1-91F6-A673-9A720A3C63CE}"/>
                </a:ext>
              </a:extLst>
            </xdr:cNvPr>
            <xdr:cNvSpPr txBox="1"/>
          </xdr:nvSpPr>
          <xdr:spPr>
            <a:xfrm>
              <a:off x="108979" y="7946083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𝑅𝑜𝑡𝑎𝑐𝑖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𝑃𝑃𝐶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CC8289E-49A1-91F6-A673-9A720A3C63CE}"/>
                </a:ext>
              </a:extLst>
            </xdr:cNvPr>
            <xdr:cNvSpPr txBox="1"/>
          </xdr:nvSpPr>
          <xdr:spPr>
            <a:xfrm>
              <a:off x="108979" y="7946083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𝑅𝑜𝑡𝑎𝑐𝑖ó𝑛 𝑑𝑒 𝐶𝑥𝐶=  (𝐷í𝑎𝑠 𝑑𝑒𝑙 𝑎ñ𝑜)/𝑃𝑃𝐶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0</xdr:col>
      <xdr:colOff>108978</xdr:colOff>
      <xdr:row>39</xdr:row>
      <xdr:rowOff>79180</xdr:rowOff>
    </xdr:from>
    <xdr:ext cx="459221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CC68950-505C-9990-D067-331BF374D6C6}"/>
                </a:ext>
              </a:extLst>
            </xdr:cNvPr>
            <xdr:cNvSpPr txBox="1"/>
          </xdr:nvSpPr>
          <xdr:spPr>
            <a:xfrm>
              <a:off x="108978" y="7401191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CC68950-505C-9990-D067-331BF374D6C6}"/>
                </a:ext>
              </a:extLst>
            </xdr:cNvPr>
            <xdr:cNvSpPr txBox="1"/>
          </xdr:nvSpPr>
          <xdr:spPr>
            <a:xfrm>
              <a:off x="108978" y="7401191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109603</xdr:colOff>
      <xdr:row>0</xdr:row>
      <xdr:rowOff>4477</xdr:rowOff>
    </xdr:from>
    <xdr:to>
      <xdr:col>5</xdr:col>
      <xdr:colOff>27140</xdr:colOff>
      <xdr:row>15</xdr:row>
      <xdr:rowOff>64123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DD12F80-14E3-4E2B-8BF0-4B65F127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603" y="4477"/>
          <a:ext cx="7052153" cy="2799714"/>
        </a:xfrm>
        <a:prstGeom prst="rect">
          <a:avLst/>
        </a:prstGeom>
      </xdr:spPr>
    </xdr:pic>
    <xdr:clientData/>
  </xdr:twoCellAnchor>
  <xdr:twoCellAnchor>
    <xdr:from>
      <xdr:col>0</xdr:col>
      <xdr:colOff>1497904</xdr:colOff>
      <xdr:row>18</xdr:row>
      <xdr:rowOff>52192</xdr:rowOff>
    </xdr:from>
    <xdr:to>
      <xdr:col>3</xdr:col>
      <xdr:colOff>1304794</xdr:colOff>
      <xdr:row>20</xdr:row>
      <xdr:rowOff>130479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17B621C-D948-748B-5D8A-0DA707EFA960}"/>
            </a:ext>
          </a:extLst>
        </xdr:cNvPr>
        <xdr:cNvSpPr txBox="1"/>
      </xdr:nvSpPr>
      <xdr:spPr>
        <a:xfrm>
          <a:off x="1497904" y="3340274"/>
          <a:ext cx="4112712" cy="443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 cuenta con una disponibilidad de Q1,100</a:t>
          </a:r>
          <a:r>
            <a:rPr lang="es-GT" sz="1100" baseline="0"/>
            <a:t> (miles) para realizar pagos adicionales que se necesiten de manera inmediata.</a:t>
          </a:r>
          <a:endParaRPr lang="es-GT" sz="1100"/>
        </a:p>
      </xdr:txBody>
    </xdr:sp>
    <xdr:clientData/>
  </xdr:twoCellAnchor>
  <xdr:twoCellAnchor>
    <xdr:from>
      <xdr:col>0</xdr:col>
      <xdr:colOff>1654479</xdr:colOff>
      <xdr:row>25</xdr:row>
      <xdr:rowOff>156575</xdr:rowOff>
    </xdr:from>
    <xdr:to>
      <xdr:col>4</xdr:col>
      <xdr:colOff>260959</xdr:colOff>
      <xdr:row>28</xdr:row>
      <xdr:rowOff>167013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EEC035-2FC5-AAF4-774F-3455BDF9F7E0}"/>
            </a:ext>
          </a:extLst>
        </xdr:cNvPr>
        <xdr:cNvSpPr txBox="1"/>
      </xdr:nvSpPr>
      <xdr:spPr>
        <a:xfrm>
          <a:off x="1654479" y="4723356"/>
          <a:ext cx="4352795" cy="558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</a:t>
          </a:r>
          <a:r>
            <a:rPr lang="es-GT" sz="1100" baseline="0"/>
            <a:t> posee solvencia en el período analizado, ya que por cada quetzal que se debe pagar en el corto plazo, se dispone de Q1.83 para cubrirlo.</a:t>
          </a:r>
          <a:endParaRPr lang="es-GT" sz="1100"/>
        </a:p>
      </xdr:txBody>
    </xdr:sp>
    <xdr:clientData/>
  </xdr:twoCellAnchor>
  <xdr:twoCellAnchor>
    <xdr:from>
      <xdr:col>0</xdr:col>
      <xdr:colOff>1497905</xdr:colOff>
      <xdr:row>32</xdr:row>
      <xdr:rowOff>46973</xdr:rowOff>
    </xdr:from>
    <xdr:to>
      <xdr:col>4</xdr:col>
      <xdr:colOff>1189973</xdr:colOff>
      <xdr:row>34</xdr:row>
      <xdr:rowOff>177452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88C6B5B-E32C-0050-813F-5FB0ACC31DA0}"/>
            </a:ext>
          </a:extLst>
        </xdr:cNvPr>
        <xdr:cNvSpPr txBox="1"/>
      </xdr:nvSpPr>
      <xdr:spPr>
        <a:xfrm>
          <a:off x="1497905" y="5892452"/>
          <a:ext cx="5438383" cy="495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35% de los activos de la empresa representan la parte más líquida, mientras que el 65% corresponde a los activos productivos que generan</a:t>
          </a:r>
          <a:r>
            <a:rPr lang="es-GT" sz="1100" baseline="0"/>
            <a:t> más rentabilidad.</a:t>
          </a:r>
          <a:endParaRPr lang="es-GT" sz="1100"/>
        </a:p>
      </xdr:txBody>
    </xdr:sp>
    <xdr:clientData/>
  </xdr:twoCellAnchor>
  <xdr:twoCellAnchor>
    <xdr:from>
      <xdr:col>0</xdr:col>
      <xdr:colOff>1508342</xdr:colOff>
      <xdr:row>38</xdr:row>
      <xdr:rowOff>15657</xdr:rowOff>
    </xdr:from>
    <xdr:to>
      <xdr:col>4</xdr:col>
      <xdr:colOff>1263041</xdr:colOff>
      <xdr:row>40</xdr:row>
      <xdr:rowOff>156576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3EB9F47-1333-D573-4F99-67D62545BEDF}"/>
            </a:ext>
          </a:extLst>
        </xdr:cNvPr>
        <xdr:cNvSpPr txBox="1"/>
      </xdr:nvSpPr>
      <xdr:spPr>
        <a:xfrm>
          <a:off x="1508342" y="6957164"/>
          <a:ext cx="5501014" cy="5062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19% de los activos de la empresa está siendo</a:t>
          </a:r>
          <a:r>
            <a:rPr lang="es-GT" sz="1100" baseline="0"/>
            <a:t> financiada con deudas que se vencerán en un período menos a 1 año.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109603</xdr:colOff>
      <xdr:row>0</xdr:row>
      <xdr:rowOff>38993</xdr:rowOff>
    </xdr:from>
    <xdr:to>
      <xdr:col>10</xdr:col>
      <xdr:colOff>333825</xdr:colOff>
      <xdr:row>8</xdr:row>
      <xdr:rowOff>31314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B95C35-E5CC-4A44-8FC0-EE5EBF6CA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9603" y="38993"/>
          <a:ext cx="9075948" cy="1453691"/>
        </a:xfrm>
        <a:prstGeom prst="rect">
          <a:avLst/>
        </a:prstGeom>
      </xdr:spPr>
    </xdr:pic>
    <xdr:clientData/>
  </xdr:twoCellAnchor>
  <xdr:twoCellAnchor>
    <xdr:from>
      <xdr:col>2</xdr:col>
      <xdr:colOff>26096</xdr:colOff>
      <xdr:row>15</xdr:row>
      <xdr:rowOff>31316</xdr:rowOff>
    </xdr:from>
    <xdr:to>
      <xdr:col>7</xdr:col>
      <xdr:colOff>130479</xdr:colOff>
      <xdr:row>17</xdr:row>
      <xdr:rowOff>151356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0164A25-E08E-6850-54A4-385D7E359CDB}"/>
            </a:ext>
          </a:extLst>
        </xdr:cNvPr>
        <xdr:cNvSpPr txBox="1"/>
      </xdr:nvSpPr>
      <xdr:spPr>
        <a:xfrm>
          <a:off x="1612726" y="2771384"/>
          <a:ext cx="4702479" cy="4853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debe esperar 150 días para obener el dinero de una venta al crédito, a partir de día en que compra su materia prima al proveedor.</a:t>
          </a:r>
          <a:endParaRPr lang="es-GT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835069</xdr:colOff>
      <xdr:row>22</xdr:row>
      <xdr:rowOff>120041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53755C1-43D1-4D53-9DBD-00C11841E64F}"/>
            </a:ext>
          </a:extLst>
        </xdr:cNvPr>
        <xdr:cNvSpPr txBox="1"/>
      </xdr:nvSpPr>
      <xdr:spPr>
        <a:xfrm>
          <a:off x="2379945" y="3653425"/>
          <a:ext cx="5433165" cy="4853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Durante 120 días estuvieron inmobilizados</a:t>
          </a:r>
          <a:r>
            <a:rPr lang="es-GT" sz="1100" baseline="0"/>
            <a:t> los recursos propios de la empresa, por lo que no los pudo reinvertir dentro del negocio sino hasta después de ese lapso de tiempo.</a:t>
          </a:r>
          <a:endParaRPr lang="es-GT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10</xdr:col>
      <xdr:colOff>195451</xdr:colOff>
      <xdr:row>25</xdr:row>
      <xdr:rowOff>109439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597D403-E5E0-4877-AB11-BB8232989AE8}"/>
            </a:ext>
          </a:extLst>
        </xdr:cNvPr>
        <xdr:cNvSpPr txBox="1"/>
      </xdr:nvSpPr>
      <xdr:spPr>
        <a:xfrm>
          <a:off x="6184726" y="4384110"/>
          <a:ext cx="2862451" cy="292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Inventario =   (Costo de Ventas) * (PPI/365) 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8953</xdr:colOff>
      <xdr:row>26</xdr:row>
      <xdr:rowOff>10285</xdr:rowOff>
    </xdr:from>
    <xdr:to>
      <xdr:col>10</xdr:col>
      <xdr:colOff>220993</xdr:colOff>
      <xdr:row>27</xdr:row>
      <xdr:rowOff>106955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C499B70-6EAD-4ED8-9C3B-916DC368A80F}"/>
            </a:ext>
          </a:extLst>
        </xdr:cNvPr>
        <xdr:cNvSpPr txBox="1"/>
      </xdr:nvSpPr>
      <xdr:spPr>
        <a:xfrm>
          <a:off x="6193679" y="4759737"/>
          <a:ext cx="2879040" cy="279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Cobrar =  (Ventas * (PPC/365)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440</xdr:colOff>
      <xdr:row>28</xdr:row>
      <xdr:rowOff>3542</xdr:rowOff>
    </xdr:from>
    <xdr:to>
      <xdr:col>10</xdr:col>
      <xdr:colOff>216736</xdr:colOff>
      <xdr:row>29</xdr:row>
      <xdr:rowOff>108724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DD578E8-C890-44B4-AA84-648540366CF9}"/>
            </a:ext>
          </a:extLst>
        </xdr:cNvPr>
        <xdr:cNvSpPr txBox="1"/>
      </xdr:nvSpPr>
      <xdr:spPr>
        <a:xfrm>
          <a:off x="6185166" y="5118337"/>
          <a:ext cx="2883296" cy="287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Pagar =  (Compras)* (PPP/365)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1</xdr:col>
      <xdr:colOff>542795</xdr:colOff>
      <xdr:row>28</xdr:row>
      <xdr:rowOff>41754</xdr:rowOff>
    </xdr:from>
    <xdr:to>
      <xdr:col>6</xdr:col>
      <xdr:colOff>454068</xdr:colOff>
      <xdr:row>31</xdr:row>
      <xdr:rowOff>10439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55638CA-4384-1DEC-D38D-5042BC2B3691}"/>
            </a:ext>
          </a:extLst>
        </xdr:cNvPr>
        <xdr:cNvSpPr txBox="1"/>
      </xdr:nvSpPr>
      <xdr:spPr>
        <a:xfrm>
          <a:off x="1336110" y="5156549"/>
          <a:ext cx="4509369" cy="516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monto de los recursos que la empresa tuvo invertidos (e inmobilizados)</a:t>
          </a:r>
          <a:r>
            <a:rPr lang="es-GT" sz="1100" baseline="0"/>
            <a:t> durante 120 días en sus operaciones fue de Q9,863,013.70</a:t>
          </a:r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90715</xdr:colOff>
      <xdr:row>0</xdr:row>
      <xdr:rowOff>20038</xdr:rowOff>
    </xdr:from>
    <xdr:to>
      <xdr:col>12</xdr:col>
      <xdr:colOff>336197</xdr:colOff>
      <xdr:row>7</xdr:row>
      <xdr:rowOff>145295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37569B-02AB-4938-BC80-8265AAB8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0715" y="20038"/>
          <a:ext cx="10913482" cy="139525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</xdr:row>
      <xdr:rowOff>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4C6192A-5ED9-4EA6-9179-0BA062C604AD}"/>
                </a:ext>
              </a:extLst>
            </xdr:cNvPr>
            <xdr:cNvSpPr txBox="1"/>
          </xdr:nvSpPr>
          <xdr:spPr>
            <a:xfrm>
              <a:off x="0" y="1451429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4C6192A-5ED9-4EA6-9179-0BA062C604AD}"/>
                </a:ext>
              </a:extLst>
            </xdr:cNvPr>
            <xdr:cNvSpPr txBox="1"/>
          </xdr:nvSpPr>
          <xdr:spPr>
            <a:xfrm>
              <a:off x="0" y="1451429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332619</xdr:colOff>
      <xdr:row>15</xdr:row>
      <xdr:rowOff>114904</xdr:rowOff>
    </xdr:from>
    <xdr:to>
      <xdr:col>7</xdr:col>
      <xdr:colOff>761999</xdr:colOff>
      <xdr:row>17</xdr:row>
      <xdr:rowOff>54429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CE4DD5-D907-17D9-3938-5802F827889D}"/>
            </a:ext>
          </a:extLst>
        </xdr:cNvPr>
        <xdr:cNvSpPr txBox="1"/>
      </xdr:nvSpPr>
      <xdr:spPr>
        <a:xfrm>
          <a:off x="4662714" y="2836333"/>
          <a:ext cx="2806095" cy="302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Cada pedido debe realizarse de 41</a:t>
          </a:r>
          <a:r>
            <a:rPr lang="es-GT" sz="1100" baseline="0"/>
            <a:t> unidades.</a:t>
          </a:r>
          <a:endParaRPr lang="es-GT" sz="1100"/>
        </a:p>
      </xdr:txBody>
    </xdr:sp>
    <xdr:clientData/>
  </xdr:twoCellAnchor>
  <xdr:oneCellAnchor>
    <xdr:from>
      <xdr:col>0</xdr:col>
      <xdr:colOff>0</xdr:colOff>
      <xdr:row>19</xdr:row>
      <xdr:rowOff>0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E99B43A-AAFF-4A2E-8FEB-E7A1367F71D0}"/>
                </a:ext>
              </a:extLst>
            </xdr:cNvPr>
            <xdr:cNvSpPr txBox="1"/>
          </xdr:nvSpPr>
          <xdr:spPr>
            <a:xfrm>
              <a:off x="0" y="3447143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E99B43A-AAFF-4A2E-8FEB-E7A1367F71D0}"/>
                </a:ext>
              </a:extLst>
            </xdr:cNvPr>
            <xdr:cNvSpPr txBox="1"/>
          </xdr:nvSpPr>
          <xdr:spPr>
            <a:xfrm>
              <a:off x="0" y="3447143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0</xdr:colOff>
      <xdr:row>25</xdr:row>
      <xdr:rowOff>0</xdr:rowOff>
    </xdr:from>
    <xdr:to>
      <xdr:col>8</xdr:col>
      <xdr:colOff>260047</xdr:colOff>
      <xdr:row>27</xdr:row>
      <xdr:rowOff>114905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765619F-9E8B-4D17-8A24-B0F95580970C}"/>
            </a:ext>
          </a:extLst>
        </xdr:cNvPr>
        <xdr:cNvSpPr txBox="1"/>
      </xdr:nvSpPr>
      <xdr:spPr>
        <a:xfrm>
          <a:off x="4330095" y="4535714"/>
          <a:ext cx="3429000" cy="4777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momento ideal para hacer un pedido es cuando el inventario</a:t>
          </a:r>
          <a:r>
            <a:rPr lang="es-GT" sz="1100" baseline="0"/>
            <a:t> llegue a un nivel de 12 unidades</a:t>
          </a:r>
        </a:p>
        <a:p>
          <a:endParaRPr lang="es-G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16212</xdr:colOff>
      <xdr:row>0</xdr:row>
      <xdr:rowOff>37844</xdr:rowOff>
    </xdr:from>
    <xdr:to>
      <xdr:col>10</xdr:col>
      <xdr:colOff>313531</xdr:colOff>
      <xdr:row>7</xdr:row>
      <xdr:rowOff>167832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D87B7C-22F5-43F2-A19C-AB97C51B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212" y="37844"/>
          <a:ext cx="9452128" cy="141620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</xdr:row>
      <xdr:rowOff>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98295F8-6BA9-42FD-AA0C-CA195998450A}"/>
                </a:ext>
              </a:extLst>
            </xdr:cNvPr>
            <xdr:cNvSpPr txBox="1"/>
          </xdr:nvSpPr>
          <xdr:spPr>
            <a:xfrm>
              <a:off x="0" y="16459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98295F8-6BA9-42FD-AA0C-CA195998450A}"/>
                </a:ext>
              </a:extLst>
            </xdr:cNvPr>
            <xdr:cNvSpPr txBox="1"/>
          </xdr:nvSpPr>
          <xdr:spPr>
            <a:xfrm>
              <a:off x="0" y="164592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378298</xdr:colOff>
      <xdr:row>14</xdr:row>
      <xdr:rowOff>140510</xdr:rowOff>
    </xdr:from>
    <xdr:to>
      <xdr:col>9</xdr:col>
      <xdr:colOff>729574</xdr:colOff>
      <xdr:row>16</xdr:row>
      <xdr:rowOff>118894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7E2B54C-0E50-5372-0AD8-B736C7D3469C}"/>
            </a:ext>
          </a:extLst>
        </xdr:cNvPr>
        <xdr:cNvSpPr txBox="1"/>
      </xdr:nvSpPr>
      <xdr:spPr>
        <a:xfrm>
          <a:off x="4350426" y="2712936"/>
          <a:ext cx="3528978" cy="345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Cada pedido debe realizarse de 439 cajas de bebidas.</a:t>
          </a:r>
        </a:p>
      </xdr:txBody>
    </xdr:sp>
    <xdr:clientData/>
  </xdr:twoCellAnchor>
  <xdr:oneCellAnchor>
    <xdr:from>
      <xdr:col>0</xdr:col>
      <xdr:colOff>0</xdr:colOff>
      <xdr:row>20</xdr:row>
      <xdr:rowOff>0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096BFE9-1A82-4AEF-A905-AD55E9633FEA}"/>
                </a:ext>
              </a:extLst>
            </xdr:cNvPr>
            <xdr:cNvSpPr txBox="1"/>
          </xdr:nvSpPr>
          <xdr:spPr>
            <a:xfrm>
              <a:off x="0" y="347472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096BFE9-1A82-4AEF-A905-AD55E9633FEA}"/>
                </a:ext>
              </a:extLst>
            </xdr:cNvPr>
            <xdr:cNvSpPr txBox="1"/>
          </xdr:nvSpPr>
          <xdr:spPr>
            <a:xfrm>
              <a:off x="0" y="3474720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0</xdr:colOff>
      <xdr:row>26</xdr:row>
      <xdr:rowOff>0</xdr:rowOff>
    </xdr:from>
    <xdr:to>
      <xdr:col>8</xdr:col>
      <xdr:colOff>260047</xdr:colOff>
      <xdr:row>28</xdr:row>
      <xdr:rowOff>114905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BBF6A46-8DAA-4990-B61C-66F01923C62B}"/>
            </a:ext>
          </a:extLst>
        </xdr:cNvPr>
        <xdr:cNvSpPr txBox="1"/>
      </xdr:nvSpPr>
      <xdr:spPr>
        <a:xfrm>
          <a:off x="4328160" y="4572000"/>
          <a:ext cx="3429967" cy="480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momento ideal para hacer un pedido es cuando el inventario</a:t>
          </a:r>
          <a:r>
            <a:rPr lang="es-GT" sz="1100" baseline="0"/>
            <a:t> llegue a un nivel de 72 cajas.</a:t>
          </a:r>
        </a:p>
        <a:p>
          <a:endParaRPr lang="es-GT" sz="1100"/>
        </a:p>
      </xdr:txBody>
    </xdr:sp>
    <xdr:clientData/>
  </xdr:twoCellAnchor>
  <xdr:oneCellAnchor>
    <xdr:from>
      <xdr:col>1</xdr:col>
      <xdr:colOff>51235</xdr:colOff>
      <xdr:row>32</xdr:row>
      <xdr:rowOff>55159</xdr:rowOff>
    </xdr:from>
    <xdr:ext cx="1471621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7876BB-F8F7-4C04-83B9-9A13A9427308}"/>
                </a:ext>
              </a:extLst>
            </xdr:cNvPr>
            <xdr:cNvSpPr txBox="1"/>
          </xdr:nvSpPr>
          <xdr:spPr>
            <a:xfrm>
              <a:off x="2056214" y="5934989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7876BB-F8F7-4C04-83B9-9A13A9427308}"/>
                </a:ext>
              </a:extLst>
            </xdr:cNvPr>
            <xdr:cNvSpPr txBox="1"/>
          </xdr:nvSpPr>
          <xdr:spPr>
            <a:xfrm>
              <a:off x="2056214" y="5934989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48637</xdr:colOff>
      <xdr:row>34</xdr:row>
      <xdr:rowOff>151320</xdr:rowOff>
    </xdr:from>
    <xdr:ext cx="1816138" cy="346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C99D63-1DFE-42ED-B372-C1890AE02098}"/>
                </a:ext>
              </a:extLst>
            </xdr:cNvPr>
            <xdr:cNvSpPr txBox="1"/>
          </xdr:nvSpPr>
          <xdr:spPr>
            <a:xfrm>
              <a:off x="2053616" y="6398639"/>
              <a:ext cx="1816138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250 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num>
                      <m:den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3,600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C99D63-1DFE-42ED-B372-C1890AE02098}"/>
                </a:ext>
              </a:extLst>
            </xdr:cNvPr>
            <xdr:cNvSpPr txBox="1"/>
          </xdr:nvSpPr>
          <xdr:spPr>
            <a:xfrm>
              <a:off x="2053616" y="6398639"/>
              <a:ext cx="1816138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250 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𝑑í𝑎𝑠 𝑑𝑒𝑙 𝑎ñ𝑜)∗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3,600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69893</xdr:colOff>
      <xdr:row>39</xdr:row>
      <xdr:rowOff>67629</xdr:rowOff>
    </xdr:from>
    <xdr:ext cx="1230016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9612865-30D4-4116-87C6-C91A0CCADBB9}"/>
                </a:ext>
              </a:extLst>
            </xdr:cNvPr>
            <xdr:cNvSpPr txBox="1"/>
          </xdr:nvSpPr>
          <xdr:spPr>
            <a:xfrm>
              <a:off x="2074872" y="7417416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9612865-30D4-4116-87C6-C91A0CCADBB9}"/>
                </a:ext>
              </a:extLst>
            </xdr:cNvPr>
            <xdr:cNvSpPr txBox="1"/>
          </xdr:nvSpPr>
          <xdr:spPr>
            <a:xfrm>
              <a:off x="2074872" y="7417416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42</xdr:row>
      <xdr:rowOff>0</xdr:rowOff>
    </xdr:from>
    <xdr:ext cx="183800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2C03366-B5CA-4954-8840-8C31652D187A}"/>
                </a:ext>
              </a:extLst>
            </xdr:cNvPr>
            <xdr:cNvSpPr txBox="1"/>
          </xdr:nvSpPr>
          <xdr:spPr>
            <a:xfrm>
              <a:off x="2004979" y="7717277"/>
              <a:ext cx="183800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GT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0.75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3,600</m:t>
                        </m:r>
                      </m:num>
                      <m:den>
                        <m:r>
                          <a:rPr lang="es-GT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439</m:t>
                        </m:r>
                      </m:den>
                    </m:f>
                    <m:r>
                      <a:rPr lang="es-GT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∗20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2C03366-B5CA-4954-8840-8C31652D187A}"/>
                </a:ext>
              </a:extLst>
            </xdr:cNvPr>
            <xdr:cNvSpPr txBox="1"/>
          </xdr:nvSpPr>
          <xdr:spPr>
            <a:xfrm>
              <a:off x="2004979" y="7717277"/>
              <a:ext cx="183800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^∗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0.75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3,600</a:t>
              </a:r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s-G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439∗20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36533</xdr:colOff>
      <xdr:row>0</xdr:row>
      <xdr:rowOff>10827</xdr:rowOff>
    </xdr:from>
    <xdr:to>
      <xdr:col>3</xdr:col>
      <xdr:colOff>132566</xdr:colOff>
      <xdr:row>12</xdr:row>
      <xdr:rowOff>61753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9DD9A-383C-467E-BB74-64E5E0A0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6533" y="10827"/>
          <a:ext cx="7585554" cy="224298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27</xdr:row>
      <xdr:rowOff>0</xdr:rowOff>
    </xdr:from>
    <xdr:ext cx="459221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237C6B3-0C29-499D-B40C-1558BCD31E8E}"/>
                </a:ext>
              </a:extLst>
            </xdr:cNvPr>
            <xdr:cNvSpPr txBox="1"/>
          </xdr:nvSpPr>
          <xdr:spPr>
            <a:xfrm>
              <a:off x="0" y="4932123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237C6B3-0C29-499D-B40C-1558BCD31E8E}"/>
                </a:ext>
              </a:extLst>
            </xdr:cNvPr>
            <xdr:cNvSpPr txBox="1"/>
          </xdr:nvSpPr>
          <xdr:spPr>
            <a:xfrm>
              <a:off x="0" y="4932123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062231" cy="321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2001B8-1777-433F-90CE-C1C661FC8A36}"/>
                </a:ext>
              </a:extLst>
            </xdr:cNvPr>
            <xdr:cNvSpPr txBox="1"/>
          </xdr:nvSpPr>
          <xdr:spPr>
            <a:xfrm>
              <a:off x="7489521" y="4749452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𝑅𝑜𝑡𝑎𝑐𝑖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𝑃𝑃𝐶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2001B8-1777-433F-90CE-C1C661FC8A36}"/>
                </a:ext>
              </a:extLst>
            </xdr:cNvPr>
            <xdr:cNvSpPr txBox="1"/>
          </xdr:nvSpPr>
          <xdr:spPr>
            <a:xfrm>
              <a:off x="7489521" y="4749452"/>
              <a:ext cx="2062231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𝑅𝑜𝑡𝑎𝑐𝑖ó𝑛 𝑑𝑒 𝐶𝑥𝐶=  (𝐷í𝑎𝑠 𝑑𝑒𝑙 𝑎ñ𝑜)/𝑃𝑃𝐶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137684</xdr:colOff>
      <xdr:row>0</xdr:row>
      <xdr:rowOff>45890</xdr:rowOff>
    </xdr:from>
    <xdr:to>
      <xdr:col>7</xdr:col>
      <xdr:colOff>695386</xdr:colOff>
      <xdr:row>6</xdr:row>
      <xdr:rowOff>167149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0979D0-588E-4B6D-99ED-7552C124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7684" y="45890"/>
          <a:ext cx="8502167" cy="121264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19</xdr:row>
      <xdr:rowOff>0</xdr:rowOff>
    </xdr:from>
    <xdr:ext cx="459221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0A93AFE-B4F0-4C91-9FD0-448EFBA606FD}"/>
                </a:ext>
              </a:extLst>
            </xdr:cNvPr>
            <xdr:cNvSpPr txBox="1"/>
          </xdr:nvSpPr>
          <xdr:spPr>
            <a:xfrm>
              <a:off x="0" y="493776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0A93AFE-B4F0-4C91-9FD0-448EFBA606FD}"/>
                </a:ext>
              </a:extLst>
            </xdr:cNvPr>
            <xdr:cNvSpPr txBox="1"/>
          </xdr:nvSpPr>
          <xdr:spPr>
            <a:xfrm>
              <a:off x="0" y="493776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72A0-BB1E-4963-B8D4-D9F08B2BD70A}">
  <sheetPr>
    <tabColor rgb="FFFF0000"/>
  </sheetPr>
  <dimension ref="A1:J48"/>
  <sheetViews>
    <sheetView topLeftCell="A35" zoomScale="126" zoomScaleNormal="179" workbookViewId="0">
      <selection activeCell="A48" sqref="A48"/>
    </sheetView>
  </sheetViews>
  <sheetFormatPr baseColWidth="10" defaultRowHeight="14.4" x14ac:dyDescent="0.3"/>
  <cols>
    <col min="7" max="7" width="9.33203125" customWidth="1"/>
    <col min="8" max="8" width="16.109375" customWidth="1"/>
  </cols>
  <sheetData>
    <row r="1" spans="1:10" x14ac:dyDescent="0.3">
      <c r="A1" s="20" t="s">
        <v>16</v>
      </c>
      <c r="B1" s="20"/>
      <c r="J1" s="7"/>
    </row>
    <row r="2" spans="1:10" x14ac:dyDescent="0.3">
      <c r="A2" s="7" t="s">
        <v>22</v>
      </c>
    </row>
    <row r="3" spans="1:10" x14ac:dyDescent="0.3">
      <c r="A3" s="9" t="s">
        <v>12</v>
      </c>
    </row>
    <row r="4" spans="1:10" ht="7.2" customHeight="1" x14ac:dyDescent="0.3"/>
    <row r="5" spans="1:10" x14ac:dyDescent="0.3">
      <c r="A5" t="s">
        <v>13</v>
      </c>
    </row>
    <row r="6" spans="1:10" ht="6.6" customHeight="1" x14ac:dyDescent="0.3"/>
    <row r="7" spans="1:10" x14ac:dyDescent="0.3">
      <c r="A7" t="s">
        <v>14</v>
      </c>
    </row>
    <row r="8" spans="1:10" ht="7.2" customHeight="1" x14ac:dyDescent="0.3"/>
    <row r="9" spans="1:10" x14ac:dyDescent="0.3">
      <c r="A9" t="s">
        <v>15</v>
      </c>
    </row>
    <row r="10" spans="1:10" ht="7.8" customHeight="1" x14ac:dyDescent="0.3"/>
    <row r="11" spans="1:10" x14ac:dyDescent="0.3">
      <c r="D11" s="7" t="s">
        <v>0</v>
      </c>
    </row>
    <row r="12" spans="1:10" x14ac:dyDescent="0.3">
      <c r="H12" s="7" t="s">
        <v>23</v>
      </c>
      <c r="I12" s="7" t="s">
        <v>24</v>
      </c>
    </row>
    <row r="13" spans="1:10" x14ac:dyDescent="0.3">
      <c r="H13" s="7" t="s">
        <v>25</v>
      </c>
      <c r="I13" s="7" t="s">
        <v>26</v>
      </c>
    </row>
    <row r="14" spans="1:10" x14ac:dyDescent="0.3">
      <c r="H14" s="7" t="s">
        <v>29</v>
      </c>
      <c r="I14" s="7" t="s">
        <v>30</v>
      </c>
    </row>
    <row r="15" spans="1:10" x14ac:dyDescent="0.3">
      <c r="H15" s="7" t="s">
        <v>33</v>
      </c>
      <c r="I15" s="7" t="s">
        <v>34</v>
      </c>
    </row>
    <row r="16" spans="1:10" x14ac:dyDescent="0.3">
      <c r="H16" s="7" t="s">
        <v>27</v>
      </c>
      <c r="I16" s="7" t="s">
        <v>28</v>
      </c>
    </row>
    <row r="17" spans="1:9" x14ac:dyDescent="0.3">
      <c r="H17" s="7" t="s">
        <v>31</v>
      </c>
      <c r="I17" s="7" t="s">
        <v>32</v>
      </c>
    </row>
    <row r="18" spans="1:9" x14ac:dyDescent="0.3">
      <c r="A18" s="20" t="s">
        <v>17</v>
      </c>
      <c r="B18" s="20"/>
    </row>
    <row r="19" spans="1:9" x14ac:dyDescent="0.3">
      <c r="A19" s="7" t="s">
        <v>1</v>
      </c>
    </row>
    <row r="20" spans="1:9" x14ac:dyDescent="0.3">
      <c r="D20" s="6" t="s">
        <v>2</v>
      </c>
    </row>
    <row r="21" spans="1:9" x14ac:dyDescent="0.3">
      <c r="D21" s="6" t="s">
        <v>3</v>
      </c>
    </row>
    <row r="22" spans="1:9" x14ac:dyDescent="0.3">
      <c r="D22" s="6" t="s">
        <v>4</v>
      </c>
    </row>
    <row r="23" spans="1:9" x14ac:dyDescent="0.3">
      <c r="D23" s="6" t="s">
        <v>5</v>
      </c>
    </row>
    <row r="27" spans="1:9" x14ac:dyDescent="0.3">
      <c r="D27" s="6" t="s">
        <v>6</v>
      </c>
    </row>
    <row r="28" spans="1:9" x14ac:dyDescent="0.3">
      <c r="D28" s="6" t="s">
        <v>7</v>
      </c>
    </row>
    <row r="30" spans="1:9" x14ac:dyDescent="0.3">
      <c r="D30" s="6" t="s">
        <v>8</v>
      </c>
    </row>
    <row r="31" spans="1:9" x14ac:dyDescent="0.3">
      <c r="D31" s="6" t="s">
        <v>9</v>
      </c>
    </row>
    <row r="32" spans="1:9" x14ac:dyDescent="0.3">
      <c r="D32" s="6" t="s">
        <v>19</v>
      </c>
    </row>
    <row r="36" spans="1:2" x14ac:dyDescent="0.3">
      <c r="A36" s="20" t="s">
        <v>18</v>
      </c>
      <c r="B36" s="20"/>
    </row>
    <row r="37" spans="1:2" x14ac:dyDescent="0.3">
      <c r="A37" s="7" t="s">
        <v>20</v>
      </c>
    </row>
    <row r="38" spans="1:2" x14ac:dyDescent="0.3">
      <c r="A38" s="8" t="s">
        <v>10</v>
      </c>
    </row>
    <row r="46" spans="1:2" x14ac:dyDescent="0.3">
      <c r="A46" t="s">
        <v>21</v>
      </c>
    </row>
    <row r="48" spans="1:2" x14ac:dyDescent="0.3">
      <c r="A48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A38C-4349-4C98-A213-E14B16C05480}">
  <sheetPr>
    <tabColor rgb="FF00B0F0"/>
  </sheetPr>
  <dimension ref="A17:F50"/>
  <sheetViews>
    <sheetView topLeftCell="A37" zoomScale="146" zoomScaleNormal="146" workbookViewId="0">
      <selection activeCell="D51" sqref="D51"/>
    </sheetView>
  </sheetViews>
  <sheetFormatPr baseColWidth="10" defaultRowHeight="14.4" x14ac:dyDescent="0.3"/>
  <cols>
    <col min="1" max="1" width="26.88671875" customWidth="1"/>
    <col min="2" max="2" width="18.33203125" customWidth="1"/>
    <col min="3" max="3" width="17.5546875" customWidth="1"/>
    <col min="4" max="4" width="21" customWidth="1"/>
    <col min="5" max="5" width="20.21875" customWidth="1"/>
    <col min="6" max="6" width="18.21875" customWidth="1"/>
    <col min="7" max="7" width="17.21875" customWidth="1"/>
  </cols>
  <sheetData>
    <row r="17" spans="1:6" x14ac:dyDescent="0.3">
      <c r="A17" s="1" t="s">
        <v>35</v>
      </c>
      <c r="B17" s="30">
        <f>E17-E18</f>
        <v>1900</v>
      </c>
      <c r="C17" s="20" t="s">
        <v>38</v>
      </c>
      <c r="D17" s="2" t="s">
        <v>36</v>
      </c>
      <c r="E17" s="29">
        <f>800+400+2200+800</f>
        <v>4200</v>
      </c>
      <c r="F17" s="2"/>
    </row>
    <row r="18" spans="1:6" x14ac:dyDescent="0.3">
      <c r="A18" s="28" t="s">
        <v>12</v>
      </c>
      <c r="B18" s="10"/>
      <c r="C18" s="2"/>
      <c r="D18" t="s">
        <v>37</v>
      </c>
      <c r="E18" s="29">
        <f>900+1000+400</f>
        <v>2300</v>
      </c>
    </row>
    <row r="19" spans="1:6" x14ac:dyDescent="0.3">
      <c r="B19" s="10"/>
      <c r="C19" s="2"/>
    </row>
    <row r="21" spans="1:6" x14ac:dyDescent="0.3">
      <c r="A21" s="1"/>
    </row>
    <row r="22" spans="1:6" x14ac:dyDescent="0.3">
      <c r="B22" s="31">
        <f>B17*1000</f>
        <v>1900000</v>
      </c>
      <c r="C22" s="3"/>
    </row>
    <row r="23" spans="1:6" x14ac:dyDescent="0.3">
      <c r="B23" s="31"/>
      <c r="C23" s="3"/>
    </row>
    <row r="24" spans="1:6" x14ac:dyDescent="0.3">
      <c r="A24" s="1" t="s">
        <v>39</v>
      </c>
      <c r="B24" s="34">
        <f>E17/E18</f>
        <v>1.826086956521739</v>
      </c>
      <c r="C24" s="16"/>
    </row>
    <row r="25" spans="1:6" x14ac:dyDescent="0.3">
      <c r="A25" s="6" t="s">
        <v>13</v>
      </c>
    </row>
    <row r="27" spans="1:6" x14ac:dyDescent="0.3">
      <c r="A27" s="1"/>
    </row>
    <row r="28" spans="1:6" x14ac:dyDescent="0.3">
      <c r="B28" s="10"/>
      <c r="C28" s="11"/>
    </row>
    <row r="29" spans="1:6" x14ac:dyDescent="0.3">
      <c r="B29" s="6"/>
      <c r="C29" s="16"/>
    </row>
    <row r="31" spans="1:6" x14ac:dyDescent="0.3">
      <c r="A31" s="1" t="s">
        <v>40</v>
      </c>
      <c r="B31" s="35">
        <f>E17/12000</f>
        <v>0.35</v>
      </c>
    </row>
    <row r="32" spans="1:6" x14ac:dyDescent="0.3">
      <c r="A32" s="6" t="s">
        <v>14</v>
      </c>
      <c r="B32" s="10"/>
      <c r="C32" s="11"/>
    </row>
    <row r="33" spans="1:4" x14ac:dyDescent="0.3">
      <c r="B33" s="6"/>
      <c r="C33" s="17"/>
    </row>
    <row r="37" spans="1:4" x14ac:dyDescent="0.3">
      <c r="A37" s="1" t="s">
        <v>41</v>
      </c>
      <c r="B37" s="35">
        <f>E18/12000</f>
        <v>0.19166666666666668</v>
      </c>
    </row>
    <row r="38" spans="1:4" x14ac:dyDescent="0.3">
      <c r="A38" s="6" t="s">
        <v>15</v>
      </c>
    </row>
    <row r="39" spans="1:4" x14ac:dyDescent="0.3">
      <c r="B39" s="12"/>
      <c r="C39" s="5"/>
      <c r="D39" s="5"/>
    </row>
    <row r="40" spans="1:4" x14ac:dyDescent="0.3">
      <c r="A40" s="10"/>
      <c r="B40" s="13"/>
      <c r="C40" s="2"/>
      <c r="D40" s="2"/>
    </row>
    <row r="41" spans="1:4" x14ac:dyDescent="0.3">
      <c r="A41" s="10"/>
      <c r="B41" s="13"/>
      <c r="C41" s="2"/>
      <c r="D41" s="2"/>
    </row>
    <row r="42" spans="1:4" x14ac:dyDescent="0.3">
      <c r="A42" s="10"/>
      <c r="C42" s="2"/>
      <c r="D42" s="2"/>
    </row>
    <row r="43" spans="1:4" x14ac:dyDescent="0.3">
      <c r="A43" s="1" t="s">
        <v>42</v>
      </c>
      <c r="B43" s="32" t="s">
        <v>46</v>
      </c>
      <c r="C43" s="32" t="s">
        <v>43</v>
      </c>
      <c r="D43" s="32" t="s">
        <v>44</v>
      </c>
    </row>
    <row r="44" spans="1:4" x14ac:dyDescent="0.3">
      <c r="A44" t="s">
        <v>36</v>
      </c>
      <c r="B44" s="27">
        <v>0.04</v>
      </c>
      <c r="C44" s="15">
        <f>E17</f>
        <v>4200</v>
      </c>
      <c r="D44" s="2">
        <f>C44-500</f>
        <v>3700</v>
      </c>
    </row>
    <row r="45" spans="1:4" x14ac:dyDescent="0.3">
      <c r="A45" t="s">
        <v>45</v>
      </c>
      <c r="B45" s="27">
        <v>0.18</v>
      </c>
      <c r="C45" s="33">
        <f>12000-C44</f>
        <v>7800</v>
      </c>
      <c r="D45" s="33">
        <f>C45+500</f>
        <v>8300</v>
      </c>
    </row>
    <row r="46" spans="1:4" x14ac:dyDescent="0.3">
      <c r="C46" s="2">
        <f>SUM(C44:C45)</f>
        <v>12000</v>
      </c>
      <c r="D46" s="2">
        <f>SUM(D44:D45)</f>
        <v>12000</v>
      </c>
    </row>
    <row r="47" spans="1:4" x14ac:dyDescent="0.3">
      <c r="B47" s="14"/>
      <c r="C47" s="15"/>
      <c r="D47" s="15"/>
    </row>
    <row r="48" spans="1:4" x14ac:dyDescent="0.3">
      <c r="A48" t="s">
        <v>47</v>
      </c>
      <c r="B48" s="29">
        <f>SUMPRODUCT(B44:B45,C44:C45)</f>
        <v>1572</v>
      </c>
    </row>
    <row r="49" spans="1:4" x14ac:dyDescent="0.3">
      <c r="A49" s="1" t="s">
        <v>48</v>
      </c>
      <c r="B49" s="36">
        <f>SUMPRODUCT(B44:B45,D44:D45)</f>
        <v>1642</v>
      </c>
      <c r="C49" s="22"/>
    </row>
    <row r="50" spans="1:4" x14ac:dyDescent="0.3">
      <c r="A50" s="20" t="s">
        <v>49</v>
      </c>
      <c r="B50" s="37">
        <f>B49-B48</f>
        <v>70</v>
      </c>
      <c r="C50" s="42" t="s">
        <v>50</v>
      </c>
      <c r="D50" s="42"/>
    </row>
  </sheetData>
  <mergeCells count="1">
    <mergeCell ref="C50:D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B73A-17C9-49F9-961D-CA5CCFB2A9C5}">
  <sheetPr>
    <tabColor rgb="FF00B0F0"/>
  </sheetPr>
  <dimension ref="A10:J32"/>
  <sheetViews>
    <sheetView topLeftCell="A15" zoomScale="146" zoomScaleNormal="146" workbookViewId="0">
      <selection activeCell="D26" sqref="D26"/>
    </sheetView>
  </sheetViews>
  <sheetFormatPr baseColWidth="10" defaultRowHeight="14.4" x14ac:dyDescent="0.3"/>
  <cols>
    <col min="4" max="4" width="16.6640625" bestFit="1" customWidth="1"/>
    <col min="5" max="5" width="15.6640625" bestFit="1" customWidth="1"/>
    <col min="9" max="9" width="13.109375" customWidth="1"/>
    <col min="10" max="10" width="14.21875" bestFit="1" customWidth="1"/>
  </cols>
  <sheetData>
    <row r="10" spans="1:6" x14ac:dyDescent="0.3">
      <c r="A10" s="1" t="s">
        <v>51</v>
      </c>
      <c r="B10">
        <v>90</v>
      </c>
      <c r="C10" t="s">
        <v>52</v>
      </c>
      <c r="D10" t="s">
        <v>54</v>
      </c>
      <c r="E10" s="29">
        <v>30000000</v>
      </c>
      <c r="F10" t="s">
        <v>58</v>
      </c>
    </row>
    <row r="11" spans="1:6" x14ac:dyDescent="0.3">
      <c r="A11" t="s">
        <v>33</v>
      </c>
      <c r="B11" s="10">
        <v>60</v>
      </c>
      <c r="C11" t="s">
        <v>52</v>
      </c>
      <c r="D11" t="s">
        <v>55</v>
      </c>
      <c r="E11" s="29">
        <v>30000000</v>
      </c>
    </row>
    <row r="12" spans="1:6" x14ac:dyDescent="0.3">
      <c r="A12" t="s">
        <v>53</v>
      </c>
      <c r="B12" s="10">
        <v>30</v>
      </c>
      <c r="C12" t="s">
        <v>52</v>
      </c>
      <c r="D12" t="s">
        <v>56</v>
      </c>
      <c r="E12" s="29">
        <v>30000000</v>
      </c>
    </row>
    <row r="13" spans="1:6" x14ac:dyDescent="0.3">
      <c r="B13" s="18"/>
      <c r="C13" s="4"/>
      <c r="D13" s="4" t="s">
        <v>57</v>
      </c>
      <c r="E13" s="29">
        <v>30000000</v>
      </c>
    </row>
    <row r="15" spans="1:6" x14ac:dyDescent="0.3">
      <c r="A15" s="1" t="s">
        <v>59</v>
      </c>
      <c r="C15" s="20">
        <f>B10+B11</f>
        <v>150</v>
      </c>
      <c r="D15" t="s">
        <v>60</v>
      </c>
    </row>
    <row r="16" spans="1:6" x14ac:dyDescent="0.3">
      <c r="A16" s="1"/>
    </row>
    <row r="17" spans="1:10" x14ac:dyDescent="0.3">
      <c r="B17" s="10"/>
    </row>
    <row r="18" spans="1:10" x14ac:dyDescent="0.3">
      <c r="B18" s="10"/>
    </row>
    <row r="19" spans="1:10" x14ac:dyDescent="0.3">
      <c r="A19" s="1" t="s">
        <v>61</v>
      </c>
      <c r="B19" s="10"/>
      <c r="D19" s="20">
        <f>C15-B12</f>
        <v>120</v>
      </c>
      <c r="E19" t="s">
        <v>52</v>
      </c>
    </row>
    <row r="20" spans="1:10" x14ac:dyDescent="0.3">
      <c r="B20" s="18"/>
      <c r="C20" s="4"/>
      <c r="D20" s="4"/>
    </row>
    <row r="22" spans="1:10" x14ac:dyDescent="0.3">
      <c r="A22" s="1"/>
      <c r="E22" s="6"/>
    </row>
    <row r="24" spans="1:10" x14ac:dyDescent="0.3">
      <c r="A24" s="1" t="s">
        <v>62</v>
      </c>
      <c r="H24" s="7" t="s">
        <v>0</v>
      </c>
      <c r="J24" s="19"/>
    </row>
    <row r="25" spans="1:10" x14ac:dyDescent="0.3">
      <c r="A25" t="s">
        <v>63</v>
      </c>
      <c r="E25" s="38">
        <f>E11*B10/365</f>
        <v>7397260.2739726026</v>
      </c>
    </row>
    <row r="26" spans="1:10" x14ac:dyDescent="0.3">
      <c r="A26" t="s">
        <v>64</v>
      </c>
      <c r="E26" s="38">
        <f>E12*60/365</f>
        <v>4931506.8493150687</v>
      </c>
    </row>
    <row r="27" spans="1:10" x14ac:dyDescent="0.3">
      <c r="A27" t="s">
        <v>65</v>
      </c>
      <c r="E27" s="40">
        <f>E13*B12/365</f>
        <v>2465753.4246575343</v>
      </c>
      <c r="J27" s="19"/>
    </row>
    <row r="28" spans="1:10" x14ac:dyDescent="0.3">
      <c r="E28" s="39">
        <f>E25+E26-E27</f>
        <v>9863013.6986301355</v>
      </c>
    </row>
    <row r="30" spans="1:10" x14ac:dyDescent="0.3">
      <c r="J30" s="19"/>
    </row>
    <row r="31" spans="1:10" x14ac:dyDescent="0.3">
      <c r="H31" t="s">
        <v>66</v>
      </c>
    </row>
    <row r="32" spans="1:10" x14ac:dyDescent="0.3">
      <c r="I32" s="1"/>
      <c r="J32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7744-C61B-45F4-950D-CDD10750C192}">
  <sheetPr>
    <tabColor rgb="FF92D050"/>
  </sheetPr>
  <dimension ref="A1:J29"/>
  <sheetViews>
    <sheetView topLeftCell="A14" zoomScale="126" zoomScaleNormal="126" workbookViewId="0">
      <selection activeCell="A19" sqref="A19:I28"/>
    </sheetView>
  </sheetViews>
  <sheetFormatPr baseColWidth="10" defaultRowHeight="14.4" x14ac:dyDescent="0.3"/>
  <cols>
    <col min="1" max="1" width="28.44140625" bestFit="1" customWidth="1"/>
  </cols>
  <sheetData>
    <row r="1" spans="1:9" x14ac:dyDescent="0.3">
      <c r="D1" s="3"/>
      <c r="E1" s="3"/>
    </row>
    <row r="2" spans="1:9" x14ac:dyDescent="0.3">
      <c r="D2" s="3"/>
      <c r="E2" s="3"/>
    </row>
    <row r="3" spans="1:9" x14ac:dyDescent="0.3">
      <c r="D3" s="3"/>
      <c r="E3" s="3"/>
    </row>
    <row r="4" spans="1:9" x14ac:dyDescent="0.3">
      <c r="D4" s="3"/>
      <c r="E4" s="3"/>
    </row>
    <row r="5" spans="1:9" x14ac:dyDescent="0.3">
      <c r="D5" s="3"/>
      <c r="E5" s="3"/>
    </row>
    <row r="6" spans="1:9" x14ac:dyDescent="0.3">
      <c r="D6" s="3"/>
      <c r="E6" s="3"/>
    </row>
    <row r="7" spans="1:9" x14ac:dyDescent="0.3">
      <c r="D7" s="3"/>
      <c r="E7" s="3"/>
    </row>
    <row r="8" spans="1:9" x14ac:dyDescent="0.3">
      <c r="D8" s="3"/>
      <c r="E8" s="3"/>
    </row>
    <row r="9" spans="1:9" x14ac:dyDescent="0.3">
      <c r="A9" t="s">
        <v>72</v>
      </c>
      <c r="D9" s="3"/>
      <c r="E9" s="3"/>
    </row>
    <row r="10" spans="1:9" x14ac:dyDescent="0.3">
      <c r="D10" s="16" t="s">
        <v>2</v>
      </c>
      <c r="E10" s="3"/>
    </row>
    <row r="11" spans="1:9" x14ac:dyDescent="0.3">
      <c r="A11" s="1"/>
      <c r="D11" s="16" t="s">
        <v>3</v>
      </c>
      <c r="E11" s="3"/>
    </row>
    <row r="12" spans="1:9" x14ac:dyDescent="0.3">
      <c r="D12" s="16" t="s">
        <v>4</v>
      </c>
      <c r="E12" s="3"/>
    </row>
    <row r="13" spans="1:9" x14ac:dyDescent="0.3">
      <c r="D13" s="16" t="s">
        <v>5</v>
      </c>
      <c r="E13" s="3"/>
      <c r="I13" s="6"/>
    </row>
    <row r="14" spans="1:9" x14ac:dyDescent="0.3">
      <c r="D14" s="41"/>
      <c r="E14" s="3"/>
      <c r="I14" s="6"/>
    </row>
    <row r="15" spans="1:9" x14ac:dyDescent="0.3">
      <c r="A15" t="s">
        <v>67</v>
      </c>
      <c r="B15">
        <v>1100</v>
      </c>
      <c r="C15" t="s">
        <v>68</v>
      </c>
      <c r="D15" s="41"/>
      <c r="E15" s="3">
        <f>SQRT(2*B15*B16/B17)</f>
        <v>40.620192023179804</v>
      </c>
      <c r="F15" t="s">
        <v>80</v>
      </c>
      <c r="I15" s="6"/>
    </row>
    <row r="16" spans="1:9" x14ac:dyDescent="0.3">
      <c r="A16" t="s">
        <v>69</v>
      </c>
      <c r="B16" s="29">
        <v>150</v>
      </c>
      <c r="C16" t="s">
        <v>70</v>
      </c>
      <c r="I16" s="6"/>
    </row>
    <row r="17" spans="1:10" x14ac:dyDescent="0.3">
      <c r="A17" t="s">
        <v>71</v>
      </c>
      <c r="B17" s="29">
        <v>200</v>
      </c>
      <c r="C17" t="s">
        <v>70</v>
      </c>
    </row>
    <row r="19" spans="1:10" x14ac:dyDescent="0.3">
      <c r="A19" t="s">
        <v>73</v>
      </c>
    </row>
    <row r="20" spans="1:10" x14ac:dyDescent="0.3">
      <c r="G20" s="1"/>
      <c r="H20" s="1"/>
    </row>
    <row r="22" spans="1:10" x14ac:dyDescent="0.3">
      <c r="A22" s="1" t="s">
        <v>74</v>
      </c>
      <c r="C22">
        <v>2</v>
      </c>
      <c r="D22" t="s">
        <v>52</v>
      </c>
    </row>
    <row r="23" spans="1:10" x14ac:dyDescent="0.3">
      <c r="A23" s="1" t="s">
        <v>76</v>
      </c>
      <c r="B23">
        <v>250</v>
      </c>
      <c r="C23" t="s">
        <v>52</v>
      </c>
    </row>
    <row r="24" spans="1:10" x14ac:dyDescent="0.3">
      <c r="A24" t="s">
        <v>75</v>
      </c>
      <c r="B24">
        <f>B15/B23</f>
        <v>4.4000000000000004</v>
      </c>
      <c r="C24" t="s">
        <v>77</v>
      </c>
    </row>
    <row r="25" spans="1:10" x14ac:dyDescent="0.3">
      <c r="A25" t="s">
        <v>78</v>
      </c>
      <c r="B25">
        <v>4</v>
      </c>
      <c r="C25" t="s">
        <v>77</v>
      </c>
    </row>
    <row r="27" spans="1:10" x14ac:dyDescent="0.3">
      <c r="A27" t="s">
        <v>79</v>
      </c>
      <c r="B27">
        <f>C22*B24+B25</f>
        <v>12.8</v>
      </c>
      <c r="C27" t="s">
        <v>77</v>
      </c>
    </row>
    <row r="28" spans="1:10" x14ac:dyDescent="0.3">
      <c r="B28" t="s">
        <v>81</v>
      </c>
    </row>
    <row r="29" spans="1:10" x14ac:dyDescent="0.3">
      <c r="I29" s="1"/>
      <c r="J29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75B-C57A-4398-A50F-BC2936F1B5CB}">
  <sheetPr>
    <tabColor rgb="FF92D050"/>
  </sheetPr>
  <dimension ref="A10:I44"/>
  <sheetViews>
    <sheetView topLeftCell="A27" zoomScale="141" zoomScaleNormal="141" workbookViewId="0">
      <selection activeCell="F44" sqref="F44"/>
    </sheetView>
  </sheetViews>
  <sheetFormatPr baseColWidth="10" defaultRowHeight="14.4" x14ac:dyDescent="0.3"/>
  <cols>
    <col min="1" max="1" width="29.21875" bestFit="1" customWidth="1"/>
  </cols>
  <sheetData>
    <row r="10" spans="1:9" x14ac:dyDescent="0.3">
      <c r="A10" t="s">
        <v>72</v>
      </c>
      <c r="D10" s="3"/>
      <c r="E10" s="3"/>
    </row>
    <row r="11" spans="1:9" x14ac:dyDescent="0.3">
      <c r="D11" s="16" t="s">
        <v>2</v>
      </c>
      <c r="E11" s="3"/>
    </row>
    <row r="12" spans="1:9" x14ac:dyDescent="0.3">
      <c r="A12" s="1"/>
      <c r="D12" s="16" t="s">
        <v>3</v>
      </c>
      <c r="E12" s="3"/>
    </row>
    <row r="13" spans="1:9" x14ac:dyDescent="0.3">
      <c r="D13" s="16" t="s">
        <v>4</v>
      </c>
      <c r="E13" s="3"/>
    </row>
    <row r="14" spans="1:9" x14ac:dyDescent="0.3">
      <c r="D14" s="16" t="s">
        <v>5</v>
      </c>
      <c r="E14" s="3"/>
      <c r="I14" s="6"/>
    </row>
    <row r="15" spans="1:9" x14ac:dyDescent="0.3">
      <c r="D15" s="41"/>
      <c r="E15" s="3"/>
      <c r="I15" s="6"/>
    </row>
    <row r="16" spans="1:9" x14ac:dyDescent="0.3">
      <c r="A16" t="s">
        <v>67</v>
      </c>
      <c r="B16">
        <v>3600</v>
      </c>
      <c r="C16" t="s">
        <v>68</v>
      </c>
      <c r="D16" s="41"/>
      <c r="E16" s="3">
        <f>SQRT(2*B16*B17/B18)</f>
        <v>438.17804600413291</v>
      </c>
      <c r="I16" s="6"/>
    </row>
    <row r="17" spans="1:9" x14ac:dyDescent="0.3">
      <c r="A17" t="s">
        <v>69</v>
      </c>
      <c r="B17" s="29">
        <v>20</v>
      </c>
      <c r="C17" t="s">
        <v>70</v>
      </c>
      <c r="I17" s="6"/>
    </row>
    <row r="18" spans="1:9" x14ac:dyDescent="0.3">
      <c r="A18" t="s">
        <v>71</v>
      </c>
      <c r="B18" s="29">
        <f>0.25*3</f>
        <v>0.75</v>
      </c>
      <c r="C18" t="s">
        <v>70</v>
      </c>
    </row>
    <row r="20" spans="1:9" x14ac:dyDescent="0.3">
      <c r="A20" t="s">
        <v>73</v>
      </c>
    </row>
    <row r="21" spans="1:9" x14ac:dyDescent="0.3">
      <c r="G21" s="1"/>
      <c r="H21" s="1"/>
    </row>
    <row r="23" spans="1:9" x14ac:dyDescent="0.3">
      <c r="A23" s="1" t="s">
        <v>74</v>
      </c>
      <c r="C23">
        <v>5</v>
      </c>
      <c r="D23" t="s">
        <v>52</v>
      </c>
    </row>
    <row r="24" spans="1:9" x14ac:dyDescent="0.3">
      <c r="A24" s="1" t="s">
        <v>76</v>
      </c>
      <c r="B24">
        <v>250</v>
      </c>
      <c r="C24" t="s">
        <v>52</v>
      </c>
    </row>
    <row r="25" spans="1:9" x14ac:dyDescent="0.3">
      <c r="A25" t="s">
        <v>75</v>
      </c>
      <c r="B25">
        <f>B16/B24</f>
        <v>14.4</v>
      </c>
      <c r="C25" t="s">
        <v>77</v>
      </c>
    </row>
    <row r="26" spans="1:9" x14ac:dyDescent="0.3">
      <c r="A26" t="s">
        <v>78</v>
      </c>
      <c r="B26">
        <v>0</v>
      </c>
      <c r="C26" t="s">
        <v>77</v>
      </c>
    </row>
    <row r="28" spans="1:9" x14ac:dyDescent="0.3">
      <c r="A28" t="s">
        <v>79</v>
      </c>
      <c r="B28">
        <f>C23*B25+B26</f>
        <v>72</v>
      </c>
      <c r="C28" t="s">
        <v>77</v>
      </c>
    </row>
    <row r="29" spans="1:9" x14ac:dyDescent="0.3">
      <c r="B29" t="s">
        <v>81</v>
      </c>
    </row>
    <row r="31" spans="1:9" x14ac:dyDescent="0.3">
      <c r="A31" t="s">
        <v>82</v>
      </c>
      <c r="F31" s="6"/>
    </row>
    <row r="32" spans="1:9" x14ac:dyDescent="0.3">
      <c r="F32" s="6"/>
    </row>
    <row r="33" spans="1:8" x14ac:dyDescent="0.3">
      <c r="D33" s="6" t="s">
        <v>6</v>
      </c>
    </row>
    <row r="34" spans="1:8" x14ac:dyDescent="0.3">
      <c r="D34" s="6" t="s">
        <v>7</v>
      </c>
    </row>
    <row r="35" spans="1:8" x14ac:dyDescent="0.3">
      <c r="G35" s="24"/>
      <c r="H35" s="1"/>
    </row>
    <row r="36" spans="1:8" x14ac:dyDescent="0.3">
      <c r="E36" s="24">
        <f>B24*439/B16</f>
        <v>30.486111111111111</v>
      </c>
      <c r="F36" s="1" t="s">
        <v>52</v>
      </c>
    </row>
    <row r="38" spans="1:8" x14ac:dyDescent="0.3">
      <c r="A38" s="1"/>
    </row>
    <row r="39" spans="1:8" x14ac:dyDescent="0.3">
      <c r="A39" t="s">
        <v>83</v>
      </c>
    </row>
    <row r="40" spans="1:8" x14ac:dyDescent="0.3">
      <c r="D40" s="6" t="s">
        <v>8</v>
      </c>
      <c r="F40" s="6"/>
    </row>
    <row r="41" spans="1:8" x14ac:dyDescent="0.3">
      <c r="D41" s="6" t="s">
        <v>9</v>
      </c>
    </row>
    <row r="42" spans="1:8" x14ac:dyDescent="0.3">
      <c r="D42" s="6" t="s">
        <v>19</v>
      </c>
    </row>
    <row r="43" spans="1:8" x14ac:dyDescent="0.3">
      <c r="F43" s="23"/>
    </row>
    <row r="44" spans="1:8" x14ac:dyDescent="0.3">
      <c r="E44" s="38">
        <f>0.5*439*B18+B16/439*B17</f>
        <v>328.6341116173121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C3E-DCD1-4AEE-8FAF-8A5395AFD24B}">
  <sheetPr>
    <tabColor rgb="FFFFFF00"/>
  </sheetPr>
  <dimension ref="A14:H71"/>
  <sheetViews>
    <sheetView topLeftCell="A9" zoomScale="146" zoomScaleNormal="146" workbookViewId="0">
      <selection activeCell="A14" sqref="A14:B14"/>
    </sheetView>
  </sheetViews>
  <sheetFormatPr baseColWidth="10" defaultRowHeight="14.4" x14ac:dyDescent="0.3"/>
  <cols>
    <col min="1" max="1" width="81.33203125" bestFit="1" customWidth="1"/>
    <col min="2" max="2" width="14.77734375" bestFit="1" customWidth="1"/>
    <col min="3" max="3" width="13.109375" bestFit="1" customWidth="1"/>
    <col min="4" max="4" width="12" bestFit="1" customWidth="1"/>
    <col min="6" max="6" width="15.44140625" customWidth="1"/>
    <col min="7" max="7" width="13" bestFit="1" customWidth="1"/>
    <col min="8" max="8" width="14" customWidth="1"/>
  </cols>
  <sheetData>
    <row r="14" spans="1:5" x14ac:dyDescent="0.3">
      <c r="A14" s="1" t="s">
        <v>84</v>
      </c>
      <c r="B14" s="38">
        <f>C23-B23</f>
        <v>12000</v>
      </c>
      <c r="D14" s="38">
        <f>(B16-B17)*(C18-B18)</f>
        <v>12000</v>
      </c>
      <c r="E14" s="48" t="s">
        <v>93</v>
      </c>
    </row>
    <row r="15" spans="1:5" x14ac:dyDescent="0.3">
      <c r="A15" s="1"/>
      <c r="E15" t="s">
        <v>94</v>
      </c>
    </row>
    <row r="16" spans="1:5" x14ac:dyDescent="0.3">
      <c r="A16" s="1" t="s">
        <v>88</v>
      </c>
      <c r="B16" s="29">
        <v>10</v>
      </c>
    </row>
    <row r="17" spans="1:8" x14ac:dyDescent="0.3">
      <c r="A17" s="1" t="s">
        <v>91</v>
      </c>
      <c r="B17" s="29">
        <v>6</v>
      </c>
    </row>
    <row r="18" spans="1:8" x14ac:dyDescent="0.3">
      <c r="A18" s="43" t="s">
        <v>87</v>
      </c>
      <c r="B18" s="44">
        <v>60000</v>
      </c>
      <c r="C18" s="45">
        <v>63000</v>
      </c>
    </row>
    <row r="19" spans="1:8" x14ac:dyDescent="0.3">
      <c r="A19" s="1"/>
      <c r="B19" t="s">
        <v>43</v>
      </c>
      <c r="C19" t="s">
        <v>86</v>
      </c>
    </row>
    <row r="20" spans="1:8" x14ac:dyDescent="0.3">
      <c r="A20" t="s">
        <v>85</v>
      </c>
      <c r="B20" s="29">
        <f>B18*$B$16</f>
        <v>600000</v>
      </c>
      <c r="C20" s="29">
        <f>C18*$B$16</f>
        <v>630000</v>
      </c>
    </row>
    <row r="21" spans="1:8" x14ac:dyDescent="0.3">
      <c r="A21" s="46" t="s">
        <v>89</v>
      </c>
      <c r="B21" s="47">
        <f>B18*$B$17</f>
        <v>360000</v>
      </c>
      <c r="C21" s="47">
        <f>C18*6</f>
        <v>378000</v>
      </c>
    </row>
    <row r="22" spans="1:8" x14ac:dyDescent="0.3">
      <c r="A22" s="46" t="s">
        <v>90</v>
      </c>
      <c r="B22">
        <v>120000</v>
      </c>
      <c r="C22">
        <v>120000</v>
      </c>
    </row>
    <row r="23" spans="1:8" x14ac:dyDescent="0.3">
      <c r="A23" s="46" t="s">
        <v>92</v>
      </c>
      <c r="B23" s="38">
        <f>B20-B21-B22</f>
        <v>120000</v>
      </c>
      <c r="C23" s="38">
        <f>C20-C21-C22</f>
        <v>132000</v>
      </c>
      <c r="G23" s="26"/>
      <c r="H23" s="26"/>
    </row>
    <row r="24" spans="1:8" x14ac:dyDescent="0.3">
      <c r="C24" s="2"/>
      <c r="G24" s="21"/>
      <c r="H24" s="21"/>
    </row>
    <row r="25" spans="1:8" x14ac:dyDescent="0.3">
      <c r="A25" s="46" t="s">
        <v>95</v>
      </c>
      <c r="B25" s="51">
        <f>(C33-B33)*B26</f>
        <v>2552.0547945205481</v>
      </c>
      <c r="C25" s="2"/>
    </row>
    <row r="26" spans="1:8" x14ac:dyDescent="0.3">
      <c r="A26" s="46" t="s">
        <v>96</v>
      </c>
      <c r="B26" s="27">
        <v>0.15</v>
      </c>
      <c r="C26" s="2"/>
      <c r="G26" s="27"/>
      <c r="H26" s="27"/>
    </row>
    <row r="27" spans="1:8" x14ac:dyDescent="0.3">
      <c r="A27" t="s">
        <v>21</v>
      </c>
    </row>
    <row r="28" spans="1:8" x14ac:dyDescent="0.3">
      <c r="B28" s="25"/>
      <c r="H28" s="15"/>
    </row>
    <row r="30" spans="1:8" x14ac:dyDescent="0.3">
      <c r="B30" t="s">
        <v>43</v>
      </c>
      <c r="C30" t="s">
        <v>86</v>
      </c>
      <c r="G30" s="26"/>
      <c r="H30" s="26"/>
    </row>
    <row r="31" spans="1:8" x14ac:dyDescent="0.3">
      <c r="A31" t="s">
        <v>98</v>
      </c>
      <c r="B31">
        <v>30</v>
      </c>
      <c r="C31">
        <v>45</v>
      </c>
      <c r="G31" s="26"/>
      <c r="H31" s="26"/>
    </row>
    <row r="32" spans="1:8" x14ac:dyDescent="0.3">
      <c r="A32" t="s">
        <v>97</v>
      </c>
      <c r="B32">
        <f>365/B31</f>
        <v>12.166666666666666</v>
      </c>
      <c r="C32">
        <f>365/C31</f>
        <v>8.1111111111111107</v>
      </c>
      <c r="G32" s="2"/>
      <c r="H32" s="2"/>
    </row>
    <row r="33" spans="1:8" x14ac:dyDescent="0.3">
      <c r="A33" s="49" t="s">
        <v>99</v>
      </c>
      <c r="B33" s="50">
        <f>B21/B32</f>
        <v>29589.041095890414</v>
      </c>
      <c r="C33" s="50">
        <f>C21/C32</f>
        <v>46602.739726027401</v>
      </c>
      <c r="G33" s="2"/>
      <c r="H33" s="2"/>
    </row>
    <row r="34" spans="1:8" x14ac:dyDescent="0.3">
      <c r="G34" s="2"/>
      <c r="H34" s="2"/>
    </row>
    <row r="35" spans="1:8" x14ac:dyDescent="0.3">
      <c r="A35" s="46" t="s">
        <v>100</v>
      </c>
      <c r="B35" s="51">
        <f>C39-B39</f>
        <v>6600</v>
      </c>
      <c r="G35" s="2"/>
      <c r="H35" s="2"/>
    </row>
    <row r="36" spans="1:8" x14ac:dyDescent="0.3">
      <c r="A36" t="s">
        <v>11</v>
      </c>
    </row>
    <row r="37" spans="1:8" x14ac:dyDescent="0.3">
      <c r="B37" t="s">
        <v>43</v>
      </c>
      <c r="C37" t="s">
        <v>86</v>
      </c>
    </row>
    <row r="38" spans="1:8" x14ac:dyDescent="0.3">
      <c r="A38" t="s">
        <v>101</v>
      </c>
      <c r="B38" s="27">
        <v>0.01</v>
      </c>
      <c r="C38" s="27">
        <v>0.02</v>
      </c>
      <c r="D38" t="s">
        <v>102</v>
      </c>
    </row>
    <row r="39" spans="1:8" x14ac:dyDescent="0.3">
      <c r="A39" t="s">
        <v>103</v>
      </c>
      <c r="B39" s="38">
        <f>B20*B38</f>
        <v>6000</v>
      </c>
      <c r="C39" s="38">
        <f>C20*C38</f>
        <v>12600</v>
      </c>
      <c r="G39" s="15"/>
    </row>
    <row r="40" spans="1:8" x14ac:dyDescent="0.3">
      <c r="A40" s="1"/>
    </row>
    <row r="41" spans="1:8" x14ac:dyDescent="0.3">
      <c r="A41" s="49" t="s">
        <v>104</v>
      </c>
    </row>
    <row r="42" spans="1:8" x14ac:dyDescent="0.3">
      <c r="A42" t="s">
        <v>105</v>
      </c>
      <c r="B42" s="38">
        <f>B14</f>
        <v>12000</v>
      </c>
    </row>
    <row r="43" spans="1:8" x14ac:dyDescent="0.3">
      <c r="A43" t="s">
        <v>106</v>
      </c>
      <c r="B43" s="38">
        <f>SUM(B25+B35)</f>
        <v>9152.0547945205471</v>
      </c>
    </row>
    <row r="44" spans="1:8" x14ac:dyDescent="0.3">
      <c r="B44" s="38">
        <f>B42-B43</f>
        <v>2847.9452054794529</v>
      </c>
      <c r="C44" t="s">
        <v>107</v>
      </c>
    </row>
    <row r="47" spans="1:8" x14ac:dyDescent="0.3">
      <c r="F47" s="26"/>
      <c r="G47" s="26"/>
    </row>
    <row r="48" spans="1:8" x14ac:dyDescent="0.3">
      <c r="F48" s="2"/>
      <c r="G48" s="2"/>
    </row>
    <row r="51" spans="1:7" x14ac:dyDescent="0.3">
      <c r="G51" s="2"/>
    </row>
    <row r="53" spans="1:7" x14ac:dyDescent="0.3">
      <c r="A53" s="6"/>
    </row>
    <row r="55" spans="1:7" x14ac:dyDescent="0.3">
      <c r="B55" s="8"/>
      <c r="G55" s="15"/>
    </row>
    <row r="57" spans="1:7" x14ac:dyDescent="0.3">
      <c r="A57" s="1"/>
    </row>
    <row r="58" spans="1:7" x14ac:dyDescent="0.3">
      <c r="F58" s="26"/>
      <c r="G58" s="26"/>
    </row>
    <row r="59" spans="1:7" x14ac:dyDescent="0.3">
      <c r="F59" s="27"/>
      <c r="G59" s="27"/>
    </row>
    <row r="60" spans="1:7" x14ac:dyDescent="0.3">
      <c r="F60" s="2"/>
      <c r="G60" s="2"/>
    </row>
    <row r="63" spans="1:7" x14ac:dyDescent="0.3">
      <c r="F63" s="15"/>
    </row>
    <row r="65" spans="2:6" x14ac:dyDescent="0.3">
      <c r="B65" s="6"/>
    </row>
    <row r="67" spans="2:6" x14ac:dyDescent="0.3">
      <c r="B67" s="1"/>
    </row>
    <row r="68" spans="2:6" x14ac:dyDescent="0.3">
      <c r="F68" s="2"/>
    </row>
    <row r="69" spans="2:6" x14ac:dyDescent="0.3">
      <c r="F69" s="2"/>
    </row>
    <row r="70" spans="2:6" x14ac:dyDescent="0.3">
      <c r="F70" s="2"/>
    </row>
    <row r="71" spans="2:6" x14ac:dyDescent="0.3">
      <c r="B71" s="1"/>
      <c r="F71" s="1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78BD-DAD1-42B4-8661-C2653754EA0D}">
  <sheetPr>
    <tabColor rgb="FFFFFF00"/>
  </sheetPr>
  <dimension ref="A8:E36"/>
  <sheetViews>
    <sheetView tabSelected="1" topLeftCell="A22" zoomScale="155" zoomScaleNormal="155" workbookViewId="0">
      <selection activeCell="C36" sqref="C36"/>
    </sheetView>
  </sheetViews>
  <sheetFormatPr baseColWidth="10" defaultRowHeight="14.4" x14ac:dyDescent="0.3"/>
  <cols>
    <col min="1" max="1" width="42.5546875" bestFit="1" customWidth="1"/>
    <col min="2" max="2" width="12.77734375" bestFit="1" customWidth="1"/>
    <col min="3" max="3" width="14.33203125" customWidth="1"/>
    <col min="8" max="8" width="11.77734375" bestFit="1" customWidth="1"/>
  </cols>
  <sheetData>
    <row r="8" spans="1:3" x14ac:dyDescent="0.3">
      <c r="A8" s="1" t="s">
        <v>84</v>
      </c>
      <c r="B8" s="38">
        <f>C15-B15</f>
        <v>-22000</v>
      </c>
    </row>
    <row r="9" spans="1:3" x14ac:dyDescent="0.3">
      <c r="A9" s="14" t="s">
        <v>88</v>
      </c>
      <c r="B9" s="29">
        <v>56</v>
      </c>
    </row>
    <row r="10" spans="1:3" x14ac:dyDescent="0.3">
      <c r="A10" s="14" t="s">
        <v>91</v>
      </c>
      <c r="B10" s="29">
        <v>45</v>
      </c>
    </row>
    <row r="11" spans="1:3" x14ac:dyDescent="0.3">
      <c r="A11" s="52" t="s">
        <v>87</v>
      </c>
      <c r="B11" s="44">
        <v>12000</v>
      </c>
      <c r="C11" s="45">
        <v>10000</v>
      </c>
    </row>
    <row r="12" spans="1:3" x14ac:dyDescent="0.3">
      <c r="A12" s="1"/>
      <c r="B12" t="s">
        <v>43</v>
      </c>
      <c r="C12" t="s">
        <v>86</v>
      </c>
    </row>
    <row r="13" spans="1:3" x14ac:dyDescent="0.3">
      <c r="A13" t="s">
        <v>85</v>
      </c>
      <c r="B13" s="29">
        <f>B11*$B$9</f>
        <v>672000</v>
      </c>
      <c r="C13" s="29">
        <f>C11*$B$9</f>
        <v>560000</v>
      </c>
    </row>
    <row r="14" spans="1:3" x14ac:dyDescent="0.3">
      <c r="A14" s="46" t="s">
        <v>89</v>
      </c>
      <c r="B14" s="47">
        <f>B11*$B$10</f>
        <v>540000</v>
      </c>
      <c r="C14" s="47">
        <f>C11*$B$10</f>
        <v>450000</v>
      </c>
    </row>
    <row r="15" spans="1:3" x14ac:dyDescent="0.3">
      <c r="A15" s="46" t="s">
        <v>92</v>
      </c>
      <c r="B15" s="38">
        <f>B13-B14</f>
        <v>132000</v>
      </c>
      <c r="C15" s="38">
        <f>C13-C14</f>
        <v>110000</v>
      </c>
    </row>
    <row r="17" spans="1:5" x14ac:dyDescent="0.3">
      <c r="A17" s="46" t="s">
        <v>95</v>
      </c>
      <c r="B17" s="51">
        <f>(C25-B25)*B18</f>
        <v>-5547.9452054794547</v>
      </c>
      <c r="C17" s="2"/>
    </row>
    <row r="18" spans="1:5" x14ac:dyDescent="0.3">
      <c r="A18" s="46" t="s">
        <v>96</v>
      </c>
      <c r="B18" s="27">
        <v>0.25</v>
      </c>
      <c r="C18" s="2"/>
    </row>
    <row r="19" spans="1:5" x14ac:dyDescent="0.3">
      <c r="A19" s="53" t="s">
        <v>21</v>
      </c>
      <c r="B19" s="53"/>
      <c r="C19" s="53"/>
      <c r="D19" s="53"/>
      <c r="E19" s="53"/>
    </row>
    <row r="20" spans="1:5" x14ac:dyDescent="0.3">
      <c r="B20" s="25"/>
    </row>
    <row r="22" spans="1:5" x14ac:dyDescent="0.3">
      <c r="B22" t="s">
        <v>43</v>
      </c>
      <c r="C22" t="s">
        <v>86</v>
      </c>
    </row>
    <row r="23" spans="1:5" x14ac:dyDescent="0.3">
      <c r="A23" t="s">
        <v>98</v>
      </c>
      <c r="B23">
        <v>45</v>
      </c>
      <c r="C23">
        <v>36</v>
      </c>
    </row>
    <row r="24" spans="1:5" x14ac:dyDescent="0.3">
      <c r="A24" t="s">
        <v>97</v>
      </c>
      <c r="B24">
        <f>365/B23</f>
        <v>8.1111111111111107</v>
      </c>
      <c r="C24">
        <f>365/C23</f>
        <v>10.138888888888889</v>
      </c>
    </row>
    <row r="25" spans="1:5" x14ac:dyDescent="0.3">
      <c r="A25" s="49" t="s">
        <v>99</v>
      </c>
      <c r="B25" s="50">
        <f>B14/B24</f>
        <v>66575.342465753434</v>
      </c>
      <c r="C25" s="50">
        <f>C14/C24</f>
        <v>44383.561643835616</v>
      </c>
    </row>
    <row r="27" spans="1:5" x14ac:dyDescent="0.3">
      <c r="A27" s="46" t="s">
        <v>100</v>
      </c>
      <c r="B27" s="51">
        <f>C31-B31</f>
        <v>-4480</v>
      </c>
    </row>
    <row r="28" spans="1:5" x14ac:dyDescent="0.3">
      <c r="A28" t="s">
        <v>11</v>
      </c>
    </row>
    <row r="29" spans="1:5" x14ac:dyDescent="0.3">
      <c r="B29" t="s">
        <v>43</v>
      </c>
      <c r="C29" t="s">
        <v>86</v>
      </c>
    </row>
    <row r="30" spans="1:5" x14ac:dyDescent="0.3">
      <c r="A30" t="s">
        <v>101</v>
      </c>
      <c r="B30" s="54">
        <v>1.4999999999999999E-2</v>
      </c>
      <c r="C30" s="27">
        <v>0.01</v>
      </c>
    </row>
    <row r="31" spans="1:5" x14ac:dyDescent="0.3">
      <c r="A31" t="s">
        <v>103</v>
      </c>
      <c r="B31" s="38">
        <f>B13*B30</f>
        <v>10080</v>
      </c>
      <c r="C31" s="38">
        <f>C13*C30</f>
        <v>5600</v>
      </c>
    </row>
    <row r="32" spans="1:5" x14ac:dyDescent="0.3">
      <c r="A32" s="1"/>
    </row>
    <row r="33" spans="1:3" x14ac:dyDescent="0.3">
      <c r="A33" s="49" t="s">
        <v>104</v>
      </c>
    </row>
    <row r="34" spans="1:3" x14ac:dyDescent="0.3">
      <c r="A34" t="s">
        <v>108</v>
      </c>
      <c r="B34" s="38">
        <f>B8</f>
        <v>-22000</v>
      </c>
    </row>
    <row r="35" spans="1:3" x14ac:dyDescent="0.3">
      <c r="A35" t="s">
        <v>106</v>
      </c>
      <c r="B35" s="38">
        <f>SUM(B17+B27)</f>
        <v>-10027.945205479455</v>
      </c>
    </row>
    <row r="36" spans="1:3" x14ac:dyDescent="0.3">
      <c r="B36" s="38">
        <f>B34-B35</f>
        <v>-11972.054794520545</v>
      </c>
      <c r="C36" t="s">
        <v>109</v>
      </c>
    </row>
  </sheetData>
  <mergeCells count="1">
    <mergeCell ref="A19:E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FORMULARIO ACTIVOS CORRIENTES</vt:lpstr>
      <vt:lpstr>EJEMPLO 1 CT</vt:lpstr>
      <vt:lpstr>EJEMPLO 2 CT</vt:lpstr>
      <vt:lpstr>EJEMPLO 1 INV</vt:lpstr>
      <vt:lpstr>EJEMPLO 2 INV</vt:lpstr>
      <vt:lpstr>EJEMPLO 1 CXC</vt:lpstr>
      <vt:lpstr>EJEMPLO 2 CXC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dcterms:created xsi:type="dcterms:W3CDTF">2021-02-16T01:43:51Z</dcterms:created>
  <dcterms:modified xsi:type="dcterms:W3CDTF">2023-03-04T01:41:20Z</dcterms:modified>
</cp:coreProperties>
</file>