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julio\Downloads\"/>
    </mc:Choice>
  </mc:AlternateContent>
  <xr:revisionPtr revIDLastSave="0" documentId="13_ncr:1_{D710FB14-69B9-4EBE-934D-7855015EEA73}" xr6:coauthVersionLast="47" xr6:coauthVersionMax="47" xr10:uidLastSave="{00000000-0000-0000-0000-000000000000}"/>
  <bookViews>
    <workbookView xWindow="-108" yWindow="-108" windowWidth="23256" windowHeight="12456" xr2:uid="{F80B7C83-C51D-4214-8178-51B34B3AD22A}"/>
  </bookViews>
  <sheets>
    <sheet name="ENCABEZADO" sheetId="1" r:id="rId1"/>
    <sheet name="FORMULARIO"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64" i="1" l="1"/>
  <c r="D163" i="1"/>
  <c r="D162" i="1"/>
  <c r="D161" i="1"/>
  <c r="J148" i="1"/>
  <c r="J147" i="1"/>
  <c r="J146" i="1"/>
  <c r="J145" i="1"/>
  <c r="C159" i="1"/>
  <c r="C158" i="1"/>
  <c r="I148" i="1"/>
  <c r="I147" i="1"/>
  <c r="I146" i="1"/>
  <c r="I145" i="1"/>
  <c r="D160" i="1"/>
  <c r="D159" i="1"/>
  <c r="D158" i="1"/>
  <c r="D157" i="1"/>
  <c r="D145" i="1"/>
  <c r="D151" i="1" s="1"/>
  <c r="E151" i="1"/>
  <c r="F151" i="1"/>
  <c r="C151" i="1"/>
  <c r="B121" i="1"/>
  <c r="G17" i="1"/>
  <c r="G18" i="1"/>
  <c r="G19" i="1"/>
  <c r="G20" i="1"/>
  <c r="G16" i="1"/>
  <c r="F20" i="1"/>
  <c r="F19" i="1"/>
  <c r="F18" i="1"/>
  <c r="F17" i="1"/>
  <c r="F16" i="1"/>
  <c r="E113" i="1"/>
  <c r="B108" i="1"/>
  <c r="B110" i="1"/>
  <c r="B109" i="1"/>
  <c r="B99" i="1"/>
  <c r="E78" i="1"/>
  <c r="B98" i="1" l="1"/>
  <c r="B97" i="1"/>
  <c r="B93" i="1"/>
  <c r="B92" i="1"/>
  <c r="B91" i="1"/>
  <c r="B90" i="1"/>
  <c r="B85" i="1"/>
  <c r="B84" i="1"/>
  <c r="B81" i="1"/>
  <c r="B80" i="1"/>
  <c r="B79" i="1"/>
  <c r="B86" i="1"/>
  <c r="B82" i="1"/>
  <c r="B65" i="1"/>
  <c r="B37" i="1"/>
  <c r="B87" i="1" l="1"/>
  <c r="B88" i="1"/>
  <c r="B8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Vanessa Paz</author>
    <author>Brazil Batres</author>
  </authors>
  <commentList>
    <comment ref="E17" authorId="0" shapeId="0" xr:uid="{5EAE2920-CA33-4047-9006-A8D3D53F84FF}">
      <text>
        <r>
          <rPr>
            <sz val="9"/>
            <color indexed="81"/>
            <rFont val="Tahoma"/>
            <family val="2"/>
          </rPr>
          <t xml:space="preserve">Acciones comunes y utilidades retenidas al 31 de diciembre del 2021
</t>
        </r>
      </text>
    </comment>
    <comment ref="B78" authorId="1" shapeId="0" xr:uid="{770E0352-CC0C-4CE7-82E8-61F432643B31}">
      <text>
        <r>
          <rPr>
            <b/>
            <sz val="9"/>
            <color indexed="81"/>
            <rFont val="Tahoma"/>
            <family val="2"/>
          </rPr>
          <t xml:space="preserve">Como no hay inventario, el costo de ventas es igual al costo de producción
</t>
        </r>
      </text>
    </comment>
  </commentList>
</comments>
</file>

<file path=xl/sharedStrings.xml><?xml version="1.0" encoding="utf-8"?>
<sst xmlns="http://schemas.openxmlformats.org/spreadsheetml/2006/main" count="157" uniqueCount="137">
  <si>
    <t>Precio de venta por unidad</t>
  </si>
  <si>
    <t>Opción</t>
  </si>
  <si>
    <t>Tienda</t>
  </si>
  <si>
    <t>Inversión Inicial</t>
  </si>
  <si>
    <t>FNE anual proyectado</t>
  </si>
  <si>
    <t>Unidades vendidas en el año</t>
  </si>
  <si>
    <t>Escuintla</t>
  </si>
  <si>
    <t>Costo de materias primas</t>
  </si>
  <si>
    <t>Q 75.00 / unidad</t>
  </si>
  <si>
    <t>Antigua</t>
  </si>
  <si>
    <t>Costo de mano de obra</t>
  </si>
  <si>
    <t>Q 50.00 / unidad</t>
  </si>
  <si>
    <t>Quetzaltenango</t>
  </si>
  <si>
    <t>Gastos Indirectos de fábrica  (Costos Fijos)</t>
  </si>
  <si>
    <t>Zacapa</t>
  </si>
  <si>
    <t>Gastos de Administración y Ventas</t>
  </si>
  <si>
    <t>Valor adeudado de un Préstamo Bancario</t>
  </si>
  <si>
    <t>Q 120,000  (Saldo al final del año)</t>
  </si>
  <si>
    <t>Tasa interés sobre préstamo bancario actual</t>
  </si>
  <si>
    <t>10% anual</t>
  </si>
  <si>
    <t>Número de acciones preferentes</t>
  </si>
  <si>
    <t>1,300 en circulación</t>
  </si>
  <si>
    <t>Precio actual/ acción preferente</t>
  </si>
  <si>
    <t>Número de acciones comunes</t>
  </si>
  <si>
    <t>2,500 en circulación</t>
  </si>
  <si>
    <t>ISR</t>
  </si>
  <si>
    <t>Precio actual/ acción común</t>
  </si>
  <si>
    <t>Política de Dividendos comunes</t>
  </si>
  <si>
    <t>35% sobre utilidades</t>
  </si>
  <si>
    <t>Utilidades Retenidas acumuladas (inicio de año)</t>
  </si>
  <si>
    <t>Tasa de rendimiento de acciones preferentes</t>
  </si>
  <si>
    <t>20% sobre el precio de la acción</t>
  </si>
  <si>
    <t>Punto de Ruptura = es aquél que existe cuando a una empresa se le acaba una de sus fuentes de financiamiento actuales y debe</t>
  </si>
  <si>
    <t>pagar un costo más elevado para obtener más fondos de ese tipo</t>
  </si>
  <si>
    <t>CAPITAL PREFERENTE</t>
  </si>
  <si>
    <t>UTILIDADES RETENIDAS</t>
  </si>
  <si>
    <t>PRESTAMO BANCARIO</t>
  </si>
  <si>
    <t>ACCIONES COMUNES ACTUALES</t>
  </si>
  <si>
    <t xml:space="preserve">CALCULO DEL PRESTAMO BANCARIO </t>
  </si>
  <si>
    <t>(ANTES DE IMPUESTO)</t>
  </si>
  <si>
    <t>Kd</t>
  </si>
  <si>
    <t xml:space="preserve">TASA DE INTERES SOBRE PRESTAMO BANCARIO ACTUAL </t>
  </si>
  <si>
    <t>T</t>
  </si>
  <si>
    <t>(TASA FISCAL)</t>
  </si>
  <si>
    <t xml:space="preserve">Ki = </t>
  </si>
  <si>
    <t>CALCULO DEL COSTO DE LAS GANANCIAS RETENIDAS</t>
  </si>
  <si>
    <t xml:space="preserve">Kr </t>
  </si>
  <si>
    <t>costo de ganancias retenidas</t>
  </si>
  <si>
    <t>costo de acciones comunes actuales</t>
  </si>
  <si>
    <t>Ks</t>
  </si>
  <si>
    <t>PARA OBTENERLO SE PROCEDERA PRIMERO A CALCULAR EL KS. EN ESTE EJERCICIO, LOS DATOS PROPORCIONADOS</t>
  </si>
  <si>
    <t>PERMITEN CALCULARLO USANDO EL MODELO DE CRECIMIENTO CONSTANTE</t>
  </si>
  <si>
    <t>D1</t>
  </si>
  <si>
    <t>Po</t>
  </si>
  <si>
    <t>g</t>
  </si>
  <si>
    <t>(dividiendo por accion periodo 1)</t>
  </si>
  <si>
    <t>(Precio por accion periodo 0)</t>
  </si>
  <si>
    <t>Tasa de crecimiento constante de los dividendos</t>
  </si>
  <si>
    <t xml:space="preserve">PRECIO ACTUAL/ACCION COMUN (P0) = </t>
  </si>
  <si>
    <t>TASA DE CRECIMIENTO CONSTANTE DE LAS ACCIONES COMUNES (g)</t>
  </si>
  <si>
    <t>35 % sobre utilidades</t>
  </si>
  <si>
    <t>Politicas de dividendos comunes</t>
  </si>
  <si>
    <t>CALCULO DE LAS UTILIDADES RETENIDAS DE LA EMPRESA PARA ESTABLECER EL TOTAL DE DIVIDENDO PAGADOS EN EL 2023</t>
  </si>
  <si>
    <t>ESTADO DE RESULTADOS</t>
  </si>
  <si>
    <t>Empresa Fashion</t>
  </si>
  <si>
    <t>Del 01 de enero al 31 de diciembre de 2022</t>
  </si>
  <si>
    <t>Expresado en quetzales</t>
  </si>
  <si>
    <t>Ingresos por Ventas (Q300*600 pares)</t>
  </si>
  <si>
    <t>(-) Costo de ventas</t>
  </si>
  <si>
    <t>Costo de materia prima (Q75*600 pares)</t>
  </si>
  <si>
    <t>Costo de mano de obra (Q50*600 pares)</t>
  </si>
  <si>
    <t>Gastos indirectos de fabricación</t>
  </si>
  <si>
    <t>Utilidad Bruta</t>
  </si>
  <si>
    <t>(-) Gastos de Operación</t>
  </si>
  <si>
    <t>Utilidad Operativa</t>
  </si>
  <si>
    <t>(-) Intereses gasto (10% sobre Q120,000)</t>
  </si>
  <si>
    <t>Utilidad antes de impuestos</t>
  </si>
  <si>
    <t>(-) ISR (25%)</t>
  </si>
  <si>
    <t>Utilidad Neta</t>
  </si>
  <si>
    <t>(-) Dividendos preferentes</t>
  </si>
  <si>
    <t>Utilidad Disponible para el accionista común</t>
  </si>
  <si>
    <t>(-) dividendos comunes</t>
  </si>
  <si>
    <t xml:space="preserve">utilidad retenida del periodo </t>
  </si>
  <si>
    <t>NUMERO DE ACCIONES COMUNES</t>
  </si>
  <si>
    <t>DIVIDENDOS COMUNES PAGADOS EN 2023</t>
  </si>
  <si>
    <t>DIVIDENDOS POR ACCION EN EL 2O23</t>
  </si>
  <si>
    <t>DIVIDENDO POR ACCION PARA EL AÑO 2024</t>
  </si>
  <si>
    <t>Do</t>
  </si>
  <si>
    <t xml:space="preserve">ks = kr </t>
  </si>
  <si>
    <t>ks = kr = 6.95/28 + 6%</t>
  </si>
  <si>
    <t>CALCULO DEL COSTO DE LAS NUEVAS ACCIONES COMUNES</t>
  </si>
  <si>
    <t>dividendo por accion periodo 1</t>
  </si>
  <si>
    <t>N0</t>
  </si>
  <si>
    <t>beneficio neto por la venta de una caccion</t>
  </si>
  <si>
    <t>tasa de crecimiento constante de los dividendos</t>
  </si>
  <si>
    <t>dividendos por accion para el año 2024</t>
  </si>
  <si>
    <t xml:space="preserve">tasa de crecimiento constante de las acciones comunes (g) = </t>
  </si>
  <si>
    <t xml:space="preserve">precio de venta de la accion  - costo incurrido para su venta = </t>
  </si>
  <si>
    <t>kn = 6.95/25 - 76 + 6%</t>
  </si>
  <si>
    <t>kn</t>
  </si>
  <si>
    <t>CALCULO DEL PUNTO DE RUPTURA OCASIONADO POR EL AGOTAMIENTO DE LAS GANANCIAS RETENIDAS</t>
  </si>
  <si>
    <t xml:space="preserve">BP  = </t>
  </si>
  <si>
    <t>punto de ruptura</t>
  </si>
  <si>
    <t xml:space="preserve">AFi = </t>
  </si>
  <si>
    <t>monto de la fuente del financiamiento que se agota</t>
  </si>
  <si>
    <t xml:space="preserve">wi = </t>
  </si>
  <si>
    <t>proporcion que corresponde entre las fuentes de financiamiento</t>
  </si>
  <si>
    <t xml:space="preserve">MONTO </t>
  </si>
  <si>
    <t>wi</t>
  </si>
  <si>
    <t>FUENTES DE FINANCIAMIENTO ACTUALES ES DECIR 31 DE DICIEMBRE DEL 2023</t>
  </si>
  <si>
    <t>TOTAL</t>
  </si>
  <si>
    <t>BP = 155,420 / 0.3848</t>
  </si>
  <si>
    <t xml:space="preserve">BP = </t>
  </si>
  <si>
    <t>ki</t>
  </si>
  <si>
    <t>Intervalos del nuevo financiamiento</t>
  </si>
  <si>
    <t>Fuentes de financiamiento</t>
  </si>
  <si>
    <t>CPP(WACC)</t>
  </si>
  <si>
    <t>TMAR</t>
  </si>
  <si>
    <t>Hasta Q403,920</t>
  </si>
  <si>
    <t>Capital Común</t>
  </si>
  <si>
    <t>Capital Preferente</t>
  </si>
  <si>
    <t>Préstamo Bancario</t>
  </si>
  <si>
    <t>Mayor a Q403,920</t>
  </si>
  <si>
    <t>AÑOS</t>
  </si>
  <si>
    <t>OPCION 1</t>
  </si>
  <si>
    <t>OPCION 2</t>
  </si>
  <si>
    <t>OPCION 3</t>
  </si>
  <si>
    <t>OPCION4</t>
  </si>
  <si>
    <t>TIR</t>
  </si>
  <si>
    <t>GRAFICA DEL POI (PROGRAMA DE OPORTUNIDADES DE INVERSION)</t>
  </si>
  <si>
    <t>X</t>
  </si>
  <si>
    <t>Y</t>
  </si>
  <si>
    <t>X = INVERSION INICIAL ACUMULADA</t>
  </si>
  <si>
    <t>INVERSION INICIAL</t>
  </si>
  <si>
    <t>INVERSION INICIAL ACUMULADA</t>
  </si>
  <si>
    <t>OPCION 4</t>
  </si>
  <si>
    <t>Y = TIR DE CADA OPCION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</si>
</sst>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8" formatCode="&quot;$&quot;#,##0.00_);[Red]\(&quot;$&quot;#,##0.00\)"/>
    <numFmt numFmtId="44" formatCode="_(&quot;$&quot;* #,##0.00_);_(&quot;$&quot;* \(#,##0.00\);_(&quot;$&quot;* &quot;-&quot;??_);_(@_)"/>
    <numFmt numFmtId="43" formatCode="_(* #,##0.00_);_(* \(#,##0.00\);_(* &quot;-&quot;??_);_(@_)"/>
    <numFmt numFmtId="164" formatCode="&quot;Q&quot;#,##0;[Red]\-&quot;Q&quot;#,##0"/>
    <numFmt numFmtId="165" formatCode="&quot;Q&quot;#,##0.00;[Red]\-&quot;Q&quot;#,##0.00"/>
    <numFmt numFmtId="166" formatCode="_-[$Q-100A]* #,##0.00_-;\-[$Q-100A]* #,##0.00_-;_-[$Q-100A]* &quot;-&quot;??_-;_-@_-"/>
    <numFmt numFmtId="167" formatCode="0.0%"/>
    <numFmt numFmtId="168" formatCode="&quot;$&quot;#,##0.00"/>
    <numFmt numFmtId="169" formatCode="_-&quot;Q&quot;* #,##0.00_-;\-&quot;Q&quot;* #,##0.00_-;_-&quot;Q&quot;* &quot;-&quot;??_-;_-@_-"/>
    <numFmt numFmtId="185" formatCode="0.000"/>
    <numFmt numFmtId="188" formatCode="_(* #,##0.000_);_(* \(#,##0.000\);_(*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11"/>
      <color rgb="FFFF0000"/>
      <name val="Calibri"/>
      <family val="2"/>
      <scheme val="minor"/>
    </font>
    <font>
      <u/>
      <sz val="11"/>
      <color theme="1"/>
      <name val="Calibri"/>
      <family val="2"/>
      <scheme val="minor"/>
    </font>
    <font>
      <b/>
      <sz val="11"/>
      <color rgb="FF0070C0"/>
      <name val="Calibri"/>
      <family val="2"/>
      <scheme val="minor"/>
    </font>
    <font>
      <sz val="11"/>
      <color rgb="FFFF0000"/>
      <name val="Calibri"/>
      <family val="2"/>
      <scheme val="minor"/>
    </font>
    <font>
      <i/>
      <sz val="11"/>
      <color theme="1"/>
      <name val="Calibri"/>
      <family val="2"/>
      <scheme val="minor"/>
    </font>
    <font>
      <b/>
      <sz val="9"/>
      <color indexed="81"/>
      <name val="Tahoma"/>
      <family val="2"/>
    </font>
    <font>
      <sz val="11"/>
      <color rgb="FF0070C0"/>
      <name val="Calibri"/>
      <family val="2"/>
      <scheme val="minor"/>
    </font>
    <font>
      <b/>
      <sz val="1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69">
    <xf numFmtId="0" fontId="0" fillId="0" borderId="0" xfId="0"/>
    <xf numFmtId="0" fontId="2" fillId="2" borderId="1" xfId="0" applyFont="1" applyFill="1" applyBorder="1" applyAlignment="1">
      <alignment horizontal="justify" vertical="center" wrapText="1"/>
    </xf>
    <xf numFmtId="0" fontId="2" fillId="2" borderId="2" xfId="0" applyFont="1" applyFill="1" applyBorder="1" applyAlignment="1">
      <alignment horizontal="justify" vertical="center" wrapText="1"/>
    </xf>
    <xf numFmtId="0" fontId="0" fillId="2" borderId="3" xfId="0" applyFill="1" applyBorder="1" applyAlignment="1">
      <alignment horizontal="center" vertical="center" wrapText="1"/>
    </xf>
    <xf numFmtId="0" fontId="0" fillId="2" borderId="4" xfId="0" applyFill="1" applyBorder="1" applyAlignment="1">
      <alignment horizontal="justify" vertical="center" wrapText="1"/>
    </xf>
    <xf numFmtId="164" fontId="0" fillId="2" borderId="4" xfId="0" applyNumberFormat="1" applyFill="1" applyBorder="1" applyAlignment="1">
      <alignment horizontal="justify" vertical="center" wrapText="1"/>
    </xf>
    <xf numFmtId="0" fontId="0" fillId="0" borderId="0" xfId="0" applyAlignment="1">
      <alignment horizontal="center" vertical="center" wrapText="1"/>
    </xf>
    <xf numFmtId="0" fontId="0" fillId="0" borderId="0" xfId="0" applyAlignment="1">
      <alignment horizontal="justify" vertical="center" wrapText="1"/>
    </xf>
    <xf numFmtId="164" fontId="0" fillId="0" borderId="0" xfId="0" applyNumberFormat="1" applyAlignment="1">
      <alignment horizontal="justify" vertical="center" wrapText="1"/>
    </xf>
    <xf numFmtId="0" fontId="2" fillId="0" borderId="0" xfId="0" applyFont="1"/>
    <xf numFmtId="0" fontId="2" fillId="0" borderId="0" xfId="0" applyFont="1" applyAlignment="1">
      <alignment horizontal="center" vertical="center" wrapText="1"/>
    </xf>
    <xf numFmtId="0" fontId="2" fillId="0" borderId="0" xfId="0" applyFont="1" applyAlignment="1">
      <alignment horizontal="center"/>
    </xf>
    <xf numFmtId="164" fontId="0" fillId="0" borderId="0" xfId="0" applyNumberFormat="1" applyAlignment="1">
      <alignment horizontal="center" vertical="center" wrapText="1"/>
    </xf>
    <xf numFmtId="2" fontId="0" fillId="0" borderId="0" xfId="1" applyNumberFormat="1" applyFont="1" applyFill="1" applyBorder="1" applyAlignment="1">
      <alignment horizontal="center"/>
    </xf>
    <xf numFmtId="164" fontId="2" fillId="0" borderId="0" xfId="0" applyNumberFormat="1" applyFont="1" applyAlignment="1">
      <alignment horizontal="center" vertical="center" wrapText="1"/>
    </xf>
    <xf numFmtId="0" fontId="4" fillId="0" borderId="0" xfId="0" applyFont="1"/>
    <xf numFmtId="0" fontId="0" fillId="0" borderId="0" xfId="0" applyAlignment="1">
      <alignment horizontal="right"/>
    </xf>
    <xf numFmtId="167" fontId="2" fillId="0" borderId="0" xfId="1" applyNumberFormat="1" applyFont="1" applyFill="1" applyBorder="1" applyAlignment="1">
      <alignment horizontal="center"/>
    </xf>
    <xf numFmtId="166" fontId="0" fillId="0" borderId="0" xfId="0" applyNumberFormat="1"/>
    <xf numFmtId="9" fontId="0" fillId="0" borderId="0" xfId="0" applyNumberFormat="1"/>
    <xf numFmtId="0" fontId="0" fillId="3" borderId="3" xfId="0" applyFill="1" applyBorder="1" applyAlignment="1">
      <alignment vertical="center" wrapText="1"/>
    </xf>
    <xf numFmtId="164" fontId="0" fillId="3" borderId="4" xfId="0" applyNumberFormat="1" applyFill="1" applyBorder="1" applyAlignment="1">
      <alignment horizontal="left" vertical="center" wrapText="1"/>
    </xf>
    <xf numFmtId="0" fontId="0" fillId="3" borderId="4" xfId="0" applyFill="1" applyBorder="1" applyAlignment="1">
      <alignment horizontal="left" vertical="center" wrapText="1"/>
    </xf>
    <xf numFmtId="9" fontId="0" fillId="3" borderId="4" xfId="0" applyNumberFormat="1" applyFill="1" applyBorder="1" applyAlignment="1">
      <alignment horizontal="left" vertical="center" wrapText="1"/>
    </xf>
    <xf numFmtId="0" fontId="0" fillId="2" borderId="1" xfId="0" applyFill="1" applyBorder="1" applyAlignment="1">
      <alignment vertical="center" wrapText="1"/>
    </xf>
    <xf numFmtId="165" fontId="0" fillId="2" borderId="2" xfId="0" applyNumberFormat="1" applyFill="1" applyBorder="1" applyAlignment="1">
      <alignment horizontal="left" vertical="center" wrapText="1"/>
    </xf>
    <xf numFmtId="0" fontId="0" fillId="2" borderId="3" xfId="0" applyFill="1" applyBorder="1" applyAlignment="1">
      <alignment vertical="center" wrapText="1"/>
    </xf>
    <xf numFmtId="0" fontId="0" fillId="2" borderId="4" xfId="0" applyFill="1" applyBorder="1" applyAlignment="1">
      <alignment horizontal="left" vertical="center" wrapText="1"/>
    </xf>
    <xf numFmtId="164" fontId="0" fillId="2" borderId="4" xfId="0" applyNumberFormat="1" applyFill="1" applyBorder="1" applyAlignment="1">
      <alignment horizontal="left" vertical="center" wrapText="1"/>
    </xf>
    <xf numFmtId="0" fontId="5" fillId="0" borderId="0" xfId="0" applyFont="1" applyAlignment="1">
      <alignment horizontal="justify" vertical="center"/>
    </xf>
    <xf numFmtId="167" fontId="0" fillId="0" borderId="0" xfId="0" applyNumberFormat="1" applyAlignment="1">
      <alignment horizontal="left"/>
    </xf>
    <xf numFmtId="0" fontId="6" fillId="0" borderId="0" xfId="0" applyFont="1"/>
    <xf numFmtId="0" fontId="7" fillId="0" borderId="0" xfId="0" applyFont="1"/>
    <xf numFmtId="168" fontId="0" fillId="0" borderId="0" xfId="0" applyNumberFormat="1"/>
    <xf numFmtId="10" fontId="0" fillId="0" borderId="0" xfId="0" applyNumberFormat="1"/>
    <xf numFmtId="44" fontId="0" fillId="0" borderId="0" xfId="2" applyFont="1"/>
    <xf numFmtId="0" fontId="8" fillId="0" borderId="0" xfId="0" applyFont="1"/>
    <xf numFmtId="44" fontId="8" fillId="0" borderId="0" xfId="2" applyFont="1"/>
    <xf numFmtId="44" fontId="8" fillId="0" borderId="5" xfId="2" applyFont="1" applyBorder="1"/>
    <xf numFmtId="169" fontId="0" fillId="0" borderId="0" xfId="0" applyNumberFormat="1"/>
    <xf numFmtId="44" fontId="0" fillId="0" borderId="5" xfId="2" applyFont="1" applyBorder="1"/>
    <xf numFmtId="0" fontId="2" fillId="0" borderId="0" xfId="0" applyFont="1" applyAlignment="1">
      <alignment horizontal="right"/>
    </xf>
    <xf numFmtId="169" fontId="2" fillId="0" borderId="0" xfId="0" applyNumberFormat="1" applyFont="1"/>
    <xf numFmtId="43" fontId="0" fillId="0" borderId="0" xfId="0" applyNumberFormat="1"/>
    <xf numFmtId="0" fontId="10" fillId="0" borderId="0" xfId="0" applyFont="1" applyAlignment="1">
      <alignment horizontal="right"/>
    </xf>
    <xf numFmtId="0" fontId="10" fillId="0" borderId="0" xfId="0" applyFont="1" applyAlignment="1">
      <alignment horizontal="center"/>
    </xf>
    <xf numFmtId="8" fontId="0" fillId="0" borderId="0" xfId="0" applyNumberFormat="1"/>
    <xf numFmtId="167" fontId="0" fillId="0" borderId="0" xfId="0" applyNumberFormat="1"/>
    <xf numFmtId="0" fontId="0" fillId="4" borderId="0" xfId="0" applyFill="1"/>
    <xf numFmtId="10" fontId="0" fillId="4" borderId="0" xfId="0" applyNumberFormat="1" applyFill="1"/>
    <xf numFmtId="43" fontId="0" fillId="0" borderId="0" xfId="0" applyNumberFormat="1" applyAlignment="1">
      <alignment horizontal="center"/>
    </xf>
    <xf numFmtId="0" fontId="0" fillId="0" borderId="0" xfId="0" applyAlignment="1">
      <alignment horizontal="center"/>
    </xf>
    <xf numFmtId="164" fontId="0" fillId="0" borderId="0" xfId="0" applyNumberFormat="1"/>
    <xf numFmtId="164" fontId="0" fillId="0" borderId="0" xfId="0" applyNumberFormat="1" applyAlignment="1">
      <alignment horizontal="center"/>
    </xf>
    <xf numFmtId="185" fontId="0" fillId="0" borderId="0" xfId="1" applyNumberFormat="1" applyFont="1" applyFill="1" applyBorder="1" applyAlignment="1">
      <alignment horizontal="center"/>
    </xf>
    <xf numFmtId="168" fontId="0" fillId="0" borderId="0" xfId="0" applyNumberFormat="1" applyAlignment="1">
      <alignment horizontal="left"/>
    </xf>
    <xf numFmtId="0" fontId="0" fillId="0" borderId="5" xfId="0" applyBorder="1"/>
    <xf numFmtId="0" fontId="0" fillId="0" borderId="6" xfId="0" applyBorder="1"/>
    <xf numFmtId="2" fontId="0" fillId="0" borderId="6" xfId="0" applyNumberFormat="1" applyBorder="1"/>
    <xf numFmtId="10" fontId="0" fillId="0" borderId="6" xfId="0" applyNumberFormat="1" applyBorder="1"/>
    <xf numFmtId="10" fontId="0" fillId="0" borderId="6" xfId="1" applyNumberFormat="1" applyFont="1" applyBorder="1"/>
    <xf numFmtId="10" fontId="0" fillId="0" borderId="5" xfId="0" applyNumberFormat="1" applyBorder="1"/>
    <xf numFmtId="188" fontId="0" fillId="0" borderId="0" xfId="0" applyNumberFormat="1"/>
    <xf numFmtId="0" fontId="0" fillId="2" borderId="0" xfId="0" applyFill="1" applyBorder="1" applyAlignment="1">
      <alignment horizontal="justify" vertical="center" wrapText="1"/>
    </xf>
    <xf numFmtId="164" fontId="0" fillId="2" borderId="0" xfId="0" applyNumberFormat="1" applyFill="1" applyBorder="1" applyAlignment="1">
      <alignment horizontal="center" vertical="center" wrapText="1"/>
    </xf>
    <xf numFmtId="0" fontId="12" fillId="0" borderId="0" xfId="0" applyFont="1" applyAlignment="1">
      <alignment horizontal="right"/>
    </xf>
    <xf numFmtId="164" fontId="7" fillId="2" borderId="0" xfId="0" applyNumberFormat="1" applyFont="1" applyFill="1" applyBorder="1" applyAlignment="1">
      <alignment horizontal="center" vertical="center" wrapText="1"/>
    </xf>
    <xf numFmtId="167" fontId="11" fillId="0" borderId="0" xfId="0" applyNumberFormat="1" applyFont="1"/>
    <xf numFmtId="10" fontId="0" fillId="0" borderId="0" xfId="1" applyNumberFormat="1" applyFont="1"/>
  </cellXfs>
  <cellStyles count="3">
    <cellStyle name="Moneda" xfId="2" builtinId="4"/>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ANALISIS</a:t>
            </a:r>
            <a:r>
              <a:rPr lang="es-GT" baseline="0"/>
              <a:t> DE LAS OPORTUNIDADES DE INVERSION</a:t>
            </a: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manualLayout>
          <c:layoutTarget val="inner"/>
          <c:xMode val="edge"/>
          <c:yMode val="edge"/>
          <c:x val="0.15898381452318461"/>
          <c:y val="0.17171285237285414"/>
          <c:w val="0.7780161854768155"/>
          <c:h val="0.63765830769281184"/>
        </c:manualLayout>
      </c:layout>
      <c:scatterChart>
        <c:scatterStyle val="lineMarker"/>
        <c:varyColors val="0"/>
        <c:ser>
          <c:idx val="0"/>
          <c:order val="0"/>
          <c:tx>
            <c:strRef>
              <c:f>ENCABEZADO!$D$174</c:f>
              <c:strCache>
                <c:ptCount val="1"/>
                <c:pt idx="0">
                  <c:v>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ENCABEZADO!$C$157:$C$165</c:f>
              <c:numCache>
                <c:formatCode>"$"#,##0.00</c:formatCode>
                <c:ptCount val="9"/>
                <c:pt idx="0" formatCode="General">
                  <c:v>0</c:v>
                </c:pt>
                <c:pt idx="1">
                  <c:v>150000</c:v>
                </c:pt>
                <c:pt idx="2">
                  <c:v>150000</c:v>
                </c:pt>
                <c:pt idx="3">
                  <c:v>325000</c:v>
                </c:pt>
                <c:pt idx="4">
                  <c:v>325000</c:v>
                </c:pt>
                <c:pt idx="5">
                  <c:v>525000</c:v>
                </c:pt>
                <c:pt idx="6">
                  <c:v>525000</c:v>
                </c:pt>
                <c:pt idx="7">
                  <c:v>825000</c:v>
                </c:pt>
                <c:pt idx="8">
                  <c:v>825000</c:v>
                </c:pt>
              </c:numCache>
            </c:numRef>
          </c:xVal>
          <c:yVal>
            <c:numRef>
              <c:f>ENCABEZADO!$D$157:$D$165</c:f>
              <c:numCache>
                <c:formatCode>0.0%</c:formatCode>
                <c:ptCount val="9"/>
                <c:pt idx="0">
                  <c:v>0.38825524639108</c:v>
                </c:pt>
                <c:pt idx="1">
                  <c:v>0.38825524639108</c:v>
                </c:pt>
                <c:pt idx="2">
                  <c:v>0.32272532658880682</c:v>
                </c:pt>
                <c:pt idx="3">
                  <c:v>0.32272532658880682</c:v>
                </c:pt>
                <c:pt idx="4">
                  <c:v>0.28167984493873965</c:v>
                </c:pt>
                <c:pt idx="5">
                  <c:v>0.28167984493873965</c:v>
                </c:pt>
                <c:pt idx="6">
                  <c:v>0.10916174523423483</c:v>
                </c:pt>
                <c:pt idx="7">
                  <c:v>0.10916174523423483</c:v>
                </c:pt>
                <c:pt idx="8" formatCode="General">
                  <c:v>0</c:v>
                </c:pt>
              </c:numCache>
            </c:numRef>
          </c:yVal>
          <c:smooth val="0"/>
          <c:extLst>
            <c:ext xmlns:c16="http://schemas.microsoft.com/office/drawing/2014/chart" uri="{C3380CC4-5D6E-409C-BE32-E72D297353CC}">
              <c16:uniqueId val="{00000000-4E19-4EAA-BCE2-059A61B385A3}"/>
            </c:ext>
          </c:extLst>
        </c:ser>
        <c:ser>
          <c:idx val="1"/>
          <c:order val="1"/>
          <c:tx>
            <c:v>TMAR</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ENCABEZADO!$C$175:$C$178</c:f>
              <c:numCache>
                <c:formatCode>"$"#,##0.00</c:formatCode>
                <c:ptCount val="4"/>
                <c:pt idx="0" formatCode="General">
                  <c:v>0</c:v>
                </c:pt>
                <c:pt idx="1">
                  <c:v>403920</c:v>
                </c:pt>
                <c:pt idx="2">
                  <c:v>403920</c:v>
                </c:pt>
                <c:pt idx="3">
                  <c:v>825000</c:v>
                </c:pt>
              </c:numCache>
            </c:numRef>
          </c:xVal>
          <c:yVal>
            <c:numRef>
              <c:f>ENCABEZADO!$D$175:$D$178</c:f>
              <c:numCache>
                <c:formatCode>0.00%</c:formatCode>
                <c:ptCount val="4"/>
                <c:pt idx="0">
                  <c:v>0.253</c:v>
                </c:pt>
                <c:pt idx="1">
                  <c:v>0.253</c:v>
                </c:pt>
                <c:pt idx="2">
                  <c:v>0.26500000000000001</c:v>
                </c:pt>
                <c:pt idx="3">
                  <c:v>0.26500000000000001</c:v>
                </c:pt>
              </c:numCache>
            </c:numRef>
          </c:yVal>
          <c:smooth val="0"/>
          <c:extLst>
            <c:ext xmlns:c16="http://schemas.microsoft.com/office/drawing/2014/chart" uri="{C3380CC4-5D6E-409C-BE32-E72D297353CC}">
              <c16:uniqueId val="{00000003-4E19-4EAA-BCE2-059A61B385A3}"/>
            </c:ext>
          </c:extLst>
        </c:ser>
        <c:dLbls>
          <c:showLegendKey val="0"/>
          <c:showVal val="0"/>
          <c:showCatName val="0"/>
          <c:showSerName val="0"/>
          <c:showPercent val="0"/>
          <c:showBubbleSize val="0"/>
        </c:dLbls>
        <c:axId val="725819616"/>
        <c:axId val="725820096"/>
      </c:scatterChart>
      <c:valAx>
        <c:axId val="725819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INVERSION</a:t>
                </a:r>
                <a:r>
                  <a:rPr lang="es-GT" baseline="0"/>
                  <a:t> INICIAL ACUMULADA</a:t>
                </a:r>
                <a:endParaRPr lang="es-GT"/>
              </a:p>
            </c:rich>
          </c:tx>
          <c:layout>
            <c:manualLayout>
              <c:xMode val="edge"/>
              <c:yMode val="edge"/>
              <c:x val="0.43030424321959754"/>
              <c:y val="0.929606299212598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725820096"/>
        <c:crosses val="autoZero"/>
        <c:crossBetween val="midCat"/>
      </c:valAx>
      <c:valAx>
        <c:axId val="725820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 TIR/</a:t>
                </a:r>
                <a:r>
                  <a:rPr lang="es-GT" baseline="0"/>
                  <a:t> TMAR</a:t>
                </a:r>
                <a:endParaRPr lang="es-G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7258196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microsoft.com/office/2007/relationships/hdphoto" Target="../media/hdphoto1.wdp"/><Relationship Id="rId1" Type="http://schemas.openxmlformats.org/officeDocument/2006/relationships/image" Target="../media/image6.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0</xdr:col>
      <xdr:colOff>86360</xdr:colOff>
      <xdr:row>0</xdr:row>
      <xdr:rowOff>104776</xdr:rowOff>
    </xdr:from>
    <xdr:to>
      <xdr:col>6</xdr:col>
      <xdr:colOff>1367118</xdr:colOff>
      <xdr:row>5</xdr:row>
      <xdr:rowOff>0</xdr:rowOff>
    </xdr:to>
    <xdr:sp macro="" textlink="">
      <xdr:nvSpPr>
        <xdr:cNvPr id="2" name="CuadroTexto 1">
          <a:extLst>
            <a:ext uri="{FF2B5EF4-FFF2-40B4-BE49-F238E27FC236}">
              <a16:creationId xmlns:a16="http://schemas.microsoft.com/office/drawing/2014/main" id="{F8185789-ECF1-414B-9AD9-261CE1110C11}"/>
            </a:ext>
          </a:extLst>
        </xdr:cNvPr>
        <xdr:cNvSpPr txBox="1"/>
      </xdr:nvSpPr>
      <xdr:spPr>
        <a:xfrm>
          <a:off x="86360" y="104776"/>
          <a:ext cx="11022405" cy="79169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GT" sz="1100" b="1">
              <a:solidFill>
                <a:schemeClr val="dk1"/>
              </a:solidFill>
              <a:effectLst/>
              <a:latin typeface="+mn-lt"/>
              <a:ea typeface="+mn-ea"/>
              <a:cs typeface="+mn-cs"/>
            </a:rPr>
            <a:t>Fábrica</a:t>
          </a:r>
          <a:r>
            <a:rPr lang="es-GT" sz="1100" b="1" baseline="0">
              <a:solidFill>
                <a:schemeClr val="dk1"/>
              </a:solidFill>
              <a:effectLst/>
              <a:latin typeface="+mn-lt"/>
              <a:ea typeface="+mn-ea"/>
              <a:cs typeface="+mn-cs"/>
            </a:rPr>
            <a:t> Fashion </a:t>
          </a:r>
          <a:r>
            <a:rPr lang="es-GT" sz="1100">
              <a:solidFill>
                <a:schemeClr val="dk1"/>
              </a:solidFill>
              <a:effectLst/>
              <a:latin typeface="+mn-lt"/>
              <a:ea typeface="+mn-ea"/>
              <a:cs typeface="+mn-cs"/>
            </a:rPr>
            <a:t>es una empresa en Guatemala que ofrece diseños especiales de ropa basados en las tendencias actuales y a un precio accesible.  Actualmente sólo opera con una tienda en la ciudad capital, pero desea abrir otras tiendas el próximo año.  La misión de la empresa es convertirse en la primera opción de</a:t>
          </a:r>
          <a:r>
            <a:rPr lang="es-GT" sz="1100" baseline="0">
              <a:solidFill>
                <a:schemeClr val="dk1"/>
              </a:solidFill>
              <a:effectLst/>
              <a:latin typeface="+mn-lt"/>
              <a:ea typeface="+mn-ea"/>
              <a:cs typeface="+mn-cs"/>
            </a:rPr>
            <a:t> ropa casual </a:t>
          </a:r>
          <a:r>
            <a:rPr lang="es-GT" sz="1100">
              <a:solidFill>
                <a:schemeClr val="dk1"/>
              </a:solidFill>
              <a:effectLst/>
              <a:latin typeface="+mn-lt"/>
              <a:ea typeface="+mn-ea"/>
              <a:cs typeface="+mn-cs"/>
            </a:rPr>
            <a:t>para sus clientes, por su estilo y valor.   Usted, como analista financiero de la empresa, ha sido designado para analizar diferentes oportunidades de inversión que se tienen para el año 2024.  Usted cuenta con la siguiente información correspondiente al año 2023. </a:t>
          </a:r>
        </a:p>
        <a:p>
          <a:endParaRPr lang="es-GT" sz="1100"/>
        </a:p>
      </xdr:txBody>
    </xdr:sp>
    <xdr:clientData/>
  </xdr:twoCellAnchor>
  <xdr:twoCellAnchor>
    <xdr:from>
      <xdr:col>0</xdr:col>
      <xdr:colOff>45197</xdr:colOff>
      <xdr:row>22</xdr:row>
      <xdr:rowOff>66115</xdr:rowOff>
    </xdr:from>
    <xdr:to>
      <xdr:col>6</xdr:col>
      <xdr:colOff>1054847</xdr:colOff>
      <xdr:row>29</xdr:row>
      <xdr:rowOff>47065</xdr:rowOff>
    </xdr:to>
    <xdr:sp macro="" textlink="">
      <xdr:nvSpPr>
        <xdr:cNvPr id="3" name="CuadroTexto 2">
          <a:extLst>
            <a:ext uri="{FF2B5EF4-FFF2-40B4-BE49-F238E27FC236}">
              <a16:creationId xmlns:a16="http://schemas.microsoft.com/office/drawing/2014/main" id="{79DFC2FE-59B5-49C6-B812-17C40265B42B}"/>
            </a:ext>
          </a:extLst>
        </xdr:cNvPr>
        <xdr:cNvSpPr txBox="1"/>
      </xdr:nvSpPr>
      <xdr:spPr>
        <a:xfrm>
          <a:off x="45197" y="4324350"/>
          <a:ext cx="10579474" cy="123600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Para poder captar fondos, si se emiten acciones comunes estas tendrán el mismo precio que tienen al día de hoy más un costo de flotación del 8%.  Se considera que los dividendos comunes pueden crecer a una </a:t>
          </a:r>
          <a:r>
            <a:rPr lang="es-GT" sz="1100" b="0">
              <a:solidFill>
                <a:schemeClr val="dk1"/>
              </a:solidFill>
              <a:effectLst/>
              <a:latin typeface="+mn-lt"/>
              <a:ea typeface="+mn-ea"/>
              <a:cs typeface="+mn-cs"/>
            </a:rPr>
            <a:t>tasa del 6% anual.  </a:t>
          </a:r>
        </a:p>
        <a:p>
          <a:pPr marL="0" marR="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Las opciones de inversión que se han logrado identificar al momento son 4 diferentes tiendas ubicadas en distintos puntos del país: Escuintla, Antigua Guatemala, Quetzaltenango y Zacapa.  A continuación se detalla la inversión inicial requerida, así como el Flujo Neto de efectivo proyectado para los 5 años a utilizarse como período de análisis de la inversión.</a:t>
          </a:r>
        </a:p>
        <a:p>
          <a:pPr marL="0" marR="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Si la empresa desea evaluar las diferentes opciones de apertura de tienda, utilizando como </a:t>
          </a:r>
          <a:r>
            <a:rPr lang="es-GT" sz="1100" b="1">
              <a:solidFill>
                <a:schemeClr val="dk1"/>
              </a:solidFill>
              <a:effectLst/>
              <a:latin typeface="+mn-lt"/>
              <a:ea typeface="+mn-ea"/>
              <a:cs typeface="+mn-cs"/>
            </a:rPr>
            <a:t>TMAR 3% arriba de su WACC actual</a:t>
          </a:r>
          <a:r>
            <a:rPr lang="es-GT" sz="1100">
              <a:solidFill>
                <a:schemeClr val="dk1"/>
              </a:solidFill>
              <a:effectLst/>
              <a:latin typeface="+mn-lt"/>
              <a:ea typeface="+mn-ea"/>
              <a:cs typeface="+mn-cs"/>
            </a:rPr>
            <a:t>, y si se considera que la elección de cada alternativa es independiente de la otra, utilizando como </a:t>
          </a:r>
          <a:r>
            <a:rPr lang="es-GT" sz="1100" b="1">
              <a:solidFill>
                <a:schemeClr val="dk1"/>
              </a:solidFill>
              <a:effectLst/>
              <a:latin typeface="+mn-lt"/>
              <a:ea typeface="+mn-ea"/>
              <a:cs typeface="+mn-cs"/>
            </a:rPr>
            <a:t>método de evaluación de la TIR, indique en cuál o cuáles tiendas recomienda invertir para el año 2024</a:t>
          </a:r>
          <a:r>
            <a:rPr lang="es-GT" sz="1100" b="1" baseline="0">
              <a:solidFill>
                <a:schemeClr val="dk1"/>
              </a:solidFill>
              <a:effectLst/>
              <a:latin typeface="+mn-lt"/>
              <a:ea typeface="+mn-ea"/>
              <a:cs typeface="+mn-cs"/>
            </a:rPr>
            <a:t> </a:t>
          </a:r>
          <a:r>
            <a:rPr lang="es-GT" sz="1100">
              <a:solidFill>
                <a:schemeClr val="dk1"/>
              </a:solidFill>
              <a:effectLst/>
              <a:latin typeface="+mn-lt"/>
              <a:ea typeface="+mn-ea"/>
              <a:cs typeface="+mn-cs"/>
            </a:rPr>
            <a:t>a la Fábrica Fashion.</a:t>
          </a:r>
        </a:p>
        <a:p>
          <a:endParaRPr lang="es-GT" sz="1100"/>
        </a:p>
      </xdr:txBody>
    </xdr:sp>
    <xdr:clientData/>
  </xdr:twoCellAnchor>
  <xdr:twoCellAnchor editAs="oneCell">
    <xdr:from>
      <xdr:col>0</xdr:col>
      <xdr:colOff>22412</xdr:colOff>
      <xdr:row>38</xdr:row>
      <xdr:rowOff>22412</xdr:rowOff>
    </xdr:from>
    <xdr:to>
      <xdr:col>4</xdr:col>
      <xdr:colOff>127370</xdr:colOff>
      <xdr:row>42</xdr:row>
      <xdr:rowOff>22412</xdr:rowOff>
    </xdr:to>
    <xdr:pic>
      <xdr:nvPicPr>
        <xdr:cNvPr id="4" name="Imagen 3">
          <a:extLst>
            <a:ext uri="{FF2B5EF4-FFF2-40B4-BE49-F238E27FC236}">
              <a16:creationId xmlns:a16="http://schemas.microsoft.com/office/drawing/2014/main" id="{866CBFE8-2081-08A4-5BC0-341C6785C1F1}"/>
            </a:ext>
          </a:extLst>
        </xdr:cNvPr>
        <xdr:cNvPicPr>
          <a:picLocks noChangeAspect="1"/>
        </xdr:cNvPicPr>
      </xdr:nvPicPr>
      <xdr:blipFill>
        <a:blip xmlns:r="http://schemas.openxmlformats.org/officeDocument/2006/relationships" r:embed="rId1"/>
        <a:stretch>
          <a:fillRect/>
        </a:stretch>
      </xdr:blipFill>
      <xdr:spPr>
        <a:xfrm>
          <a:off x="22412" y="7149353"/>
          <a:ext cx="8134047" cy="717176"/>
        </a:xfrm>
        <a:prstGeom prst="rect">
          <a:avLst/>
        </a:prstGeom>
      </xdr:spPr>
    </xdr:pic>
    <xdr:clientData/>
  </xdr:twoCellAnchor>
  <xdr:twoCellAnchor editAs="oneCell">
    <xdr:from>
      <xdr:col>0</xdr:col>
      <xdr:colOff>0</xdr:colOff>
      <xdr:row>46</xdr:row>
      <xdr:rowOff>29883</xdr:rowOff>
    </xdr:from>
    <xdr:to>
      <xdr:col>4</xdr:col>
      <xdr:colOff>1097135</xdr:colOff>
      <xdr:row>49</xdr:row>
      <xdr:rowOff>63582</xdr:rowOff>
    </xdr:to>
    <xdr:pic>
      <xdr:nvPicPr>
        <xdr:cNvPr id="5" name="Imagen 4">
          <a:extLst>
            <a:ext uri="{FF2B5EF4-FFF2-40B4-BE49-F238E27FC236}">
              <a16:creationId xmlns:a16="http://schemas.microsoft.com/office/drawing/2014/main" id="{7812E066-A9F5-7616-4108-900B77C4BDBD}"/>
            </a:ext>
          </a:extLst>
        </xdr:cNvPr>
        <xdr:cNvPicPr>
          <a:picLocks noChangeAspect="1"/>
        </xdr:cNvPicPr>
      </xdr:nvPicPr>
      <xdr:blipFill>
        <a:blip xmlns:r="http://schemas.openxmlformats.org/officeDocument/2006/relationships" r:embed="rId2"/>
        <a:stretch>
          <a:fillRect/>
        </a:stretch>
      </xdr:blipFill>
      <xdr:spPr>
        <a:xfrm>
          <a:off x="0" y="8591177"/>
          <a:ext cx="9126224" cy="571580"/>
        </a:xfrm>
        <a:prstGeom prst="rect">
          <a:avLst/>
        </a:prstGeom>
      </xdr:spPr>
    </xdr:pic>
    <xdr:clientData/>
  </xdr:twoCellAnchor>
  <xdr:twoCellAnchor editAs="oneCell">
    <xdr:from>
      <xdr:col>0</xdr:col>
      <xdr:colOff>0</xdr:colOff>
      <xdr:row>55</xdr:row>
      <xdr:rowOff>112059</xdr:rowOff>
    </xdr:from>
    <xdr:to>
      <xdr:col>4</xdr:col>
      <xdr:colOff>392186</xdr:colOff>
      <xdr:row>60</xdr:row>
      <xdr:rowOff>130116</xdr:rowOff>
    </xdr:to>
    <xdr:pic>
      <xdr:nvPicPr>
        <xdr:cNvPr id="6" name="Imagen 5">
          <a:extLst>
            <a:ext uri="{FF2B5EF4-FFF2-40B4-BE49-F238E27FC236}">
              <a16:creationId xmlns:a16="http://schemas.microsoft.com/office/drawing/2014/main" id="{FDCE359B-4308-4A6E-ABD9-26E304CDBB69}"/>
            </a:ext>
          </a:extLst>
        </xdr:cNvPr>
        <xdr:cNvPicPr>
          <a:picLocks noChangeAspect="1"/>
        </xdr:cNvPicPr>
      </xdr:nvPicPr>
      <xdr:blipFill>
        <a:blip xmlns:r="http://schemas.openxmlformats.org/officeDocument/2006/relationships" r:embed="rId3"/>
        <a:stretch>
          <a:fillRect/>
        </a:stretch>
      </xdr:blipFill>
      <xdr:spPr>
        <a:xfrm>
          <a:off x="0" y="10287000"/>
          <a:ext cx="8421275" cy="914528"/>
        </a:xfrm>
        <a:prstGeom prst="rect">
          <a:avLst/>
        </a:prstGeom>
      </xdr:spPr>
    </xdr:pic>
    <xdr:clientData/>
  </xdr:twoCellAnchor>
  <xdr:twoCellAnchor editAs="oneCell">
    <xdr:from>
      <xdr:col>0</xdr:col>
      <xdr:colOff>1</xdr:colOff>
      <xdr:row>101</xdr:row>
      <xdr:rowOff>59764</xdr:rowOff>
    </xdr:from>
    <xdr:to>
      <xdr:col>2</xdr:col>
      <xdr:colOff>593763</xdr:colOff>
      <xdr:row>105</xdr:row>
      <xdr:rowOff>74855</xdr:rowOff>
    </xdr:to>
    <xdr:pic>
      <xdr:nvPicPr>
        <xdr:cNvPr id="7" name="Imagen 6">
          <a:extLst>
            <a:ext uri="{FF2B5EF4-FFF2-40B4-BE49-F238E27FC236}">
              <a16:creationId xmlns:a16="http://schemas.microsoft.com/office/drawing/2014/main" id="{114E13B8-BD13-8C97-C4B3-A9527AEAAFEE}"/>
            </a:ext>
          </a:extLst>
        </xdr:cNvPr>
        <xdr:cNvPicPr>
          <a:picLocks noChangeAspect="1"/>
        </xdr:cNvPicPr>
      </xdr:nvPicPr>
      <xdr:blipFill>
        <a:blip xmlns:r="http://schemas.openxmlformats.org/officeDocument/2006/relationships" r:embed="rId4"/>
        <a:stretch>
          <a:fillRect/>
        </a:stretch>
      </xdr:blipFill>
      <xdr:spPr>
        <a:xfrm>
          <a:off x="1" y="18482235"/>
          <a:ext cx="6887882" cy="732267"/>
        </a:xfrm>
        <a:prstGeom prst="rect">
          <a:avLst/>
        </a:prstGeom>
      </xdr:spPr>
    </xdr:pic>
    <xdr:clientData/>
  </xdr:twoCellAnchor>
  <xdr:twoCellAnchor editAs="oneCell">
    <xdr:from>
      <xdr:col>0</xdr:col>
      <xdr:colOff>0</xdr:colOff>
      <xdr:row>114</xdr:row>
      <xdr:rowOff>86139</xdr:rowOff>
    </xdr:from>
    <xdr:to>
      <xdr:col>2</xdr:col>
      <xdr:colOff>676523</xdr:colOff>
      <xdr:row>119</xdr:row>
      <xdr:rowOff>38837</xdr:rowOff>
    </xdr:to>
    <xdr:pic>
      <xdr:nvPicPr>
        <xdr:cNvPr id="8" name="Imagen 7">
          <a:extLst>
            <a:ext uri="{FF2B5EF4-FFF2-40B4-BE49-F238E27FC236}">
              <a16:creationId xmlns:a16="http://schemas.microsoft.com/office/drawing/2014/main" id="{5F9272B7-E3CC-55C4-0BAF-D6B811F232B5}"/>
            </a:ext>
          </a:extLst>
        </xdr:cNvPr>
        <xdr:cNvPicPr>
          <a:picLocks noChangeAspect="1"/>
        </xdr:cNvPicPr>
      </xdr:nvPicPr>
      <xdr:blipFill>
        <a:blip xmlns:r="http://schemas.openxmlformats.org/officeDocument/2006/relationships" r:embed="rId5"/>
        <a:stretch>
          <a:fillRect/>
        </a:stretch>
      </xdr:blipFill>
      <xdr:spPr>
        <a:xfrm>
          <a:off x="0" y="21408887"/>
          <a:ext cx="6970643" cy="880350"/>
        </a:xfrm>
        <a:prstGeom prst="rect">
          <a:avLst/>
        </a:prstGeom>
      </xdr:spPr>
    </xdr:pic>
    <xdr:clientData/>
  </xdr:twoCellAnchor>
  <xdr:twoCellAnchor>
    <xdr:from>
      <xdr:col>4</xdr:col>
      <xdr:colOff>792480</xdr:colOff>
      <xdr:row>154</xdr:row>
      <xdr:rowOff>34290</xdr:rowOff>
    </xdr:from>
    <xdr:to>
      <xdr:col>7</xdr:col>
      <xdr:colOff>1066800</xdr:colOff>
      <xdr:row>170</xdr:row>
      <xdr:rowOff>160020</xdr:rowOff>
    </xdr:to>
    <xdr:graphicFrame macro="">
      <xdr:nvGraphicFramePr>
        <xdr:cNvPr id="9" name="Gráfico 8">
          <a:extLst>
            <a:ext uri="{FF2B5EF4-FFF2-40B4-BE49-F238E27FC236}">
              <a16:creationId xmlns:a16="http://schemas.microsoft.com/office/drawing/2014/main" id="{64E4CBF3-ABC9-B6EC-6695-97D1313BD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45720</xdr:colOff>
      <xdr:row>27</xdr:row>
      <xdr:rowOff>128913</xdr:rowOff>
    </xdr:to>
    <xdr:pic>
      <xdr:nvPicPr>
        <xdr:cNvPr id="2" name="Imagen 1">
          <a:extLst>
            <a:ext uri="{FF2B5EF4-FFF2-40B4-BE49-F238E27FC236}">
              <a16:creationId xmlns:a16="http://schemas.microsoft.com/office/drawing/2014/main" id="{0501AF82-6832-AF96-0D10-BA6C3522839C}"/>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colorTemperature colorTemp="4700"/>
                  </a14:imgEffect>
                </a14:imgLayer>
              </a14:imgProps>
            </a:ext>
          </a:extLst>
        </a:blip>
        <a:stretch>
          <a:fillRect/>
        </a:stretch>
      </xdr:blipFill>
      <xdr:spPr>
        <a:xfrm>
          <a:off x="0" y="0"/>
          <a:ext cx="5593080" cy="5066673"/>
        </a:xfrm>
        <a:prstGeom prst="rect">
          <a:avLst/>
        </a:prstGeom>
      </xdr:spPr>
    </xdr:pic>
    <xdr:clientData/>
  </xdr:twoCellAnchor>
  <xdr:twoCellAnchor editAs="oneCell">
    <xdr:from>
      <xdr:col>7</xdr:col>
      <xdr:colOff>106680</xdr:colOff>
      <xdr:row>0</xdr:row>
      <xdr:rowOff>83820</xdr:rowOff>
    </xdr:from>
    <xdr:to>
      <xdr:col>17</xdr:col>
      <xdr:colOff>23142</xdr:colOff>
      <xdr:row>27</xdr:row>
      <xdr:rowOff>53340</xdr:rowOff>
    </xdr:to>
    <xdr:pic>
      <xdr:nvPicPr>
        <xdr:cNvPr id="3" name="Imagen 2">
          <a:extLst>
            <a:ext uri="{FF2B5EF4-FFF2-40B4-BE49-F238E27FC236}">
              <a16:creationId xmlns:a16="http://schemas.microsoft.com/office/drawing/2014/main" id="{C0659813-D6B9-AD2C-E3B3-D316309C5346}"/>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colorTemperature colorTemp="4700"/>
                  </a14:imgEffect>
                </a14:imgLayer>
              </a14:imgProps>
            </a:ext>
          </a:extLst>
        </a:blip>
        <a:stretch>
          <a:fillRect/>
        </a:stretch>
      </xdr:blipFill>
      <xdr:spPr>
        <a:xfrm>
          <a:off x="5654040" y="83820"/>
          <a:ext cx="7841262" cy="4907280"/>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0658F-178F-458F-B962-C5EE2A43F8F9}">
  <sheetPr>
    <pageSetUpPr fitToPage="1"/>
  </sheetPr>
  <dimension ref="A6:L178"/>
  <sheetViews>
    <sheetView tabSelected="1" topLeftCell="B153" zoomScaleNormal="100" workbookViewId="0">
      <selection activeCell="I167" sqref="I167"/>
    </sheetView>
  </sheetViews>
  <sheetFormatPr baseColWidth="10" defaultRowHeight="14.4" x14ac:dyDescent="0.3"/>
  <cols>
    <col min="1" max="1" width="59.44140625" customWidth="1"/>
    <col min="2" max="2" width="32.33203125" customWidth="1"/>
    <col min="3" max="3" width="12.44140625" bestFit="1" customWidth="1"/>
    <col min="4" max="4" width="12.88671875" bestFit="1" customWidth="1"/>
    <col min="5" max="5" width="29" customWidth="1"/>
    <col min="6" max="6" width="14.77734375" customWidth="1"/>
    <col min="7" max="7" width="20.6640625" customWidth="1"/>
    <col min="8" max="8" width="16.88671875" bestFit="1" customWidth="1"/>
    <col min="9" max="9" width="26.77734375" bestFit="1" customWidth="1"/>
    <col min="10" max="10" width="28.44140625" bestFit="1" customWidth="1"/>
  </cols>
  <sheetData>
    <row r="6" spans="1:7" ht="15" thickBot="1" x14ac:dyDescent="0.35"/>
    <row r="7" spans="1:7" ht="18.75" customHeight="1" thickBot="1" x14ac:dyDescent="0.35">
      <c r="A7" s="24" t="s">
        <v>0</v>
      </c>
      <c r="B7" s="25">
        <v>300</v>
      </c>
      <c r="D7" s="1" t="s">
        <v>1</v>
      </c>
      <c r="E7" s="2" t="s">
        <v>2</v>
      </c>
      <c r="F7" s="2" t="s">
        <v>3</v>
      </c>
      <c r="G7" s="2" t="s">
        <v>4</v>
      </c>
    </row>
    <row r="8" spans="1:7" ht="15" thickBot="1" x14ac:dyDescent="0.35">
      <c r="A8" s="26" t="s">
        <v>5</v>
      </c>
      <c r="B8" s="27">
        <v>600</v>
      </c>
      <c r="D8" s="3">
        <v>1</v>
      </c>
      <c r="E8" s="4" t="s">
        <v>6</v>
      </c>
      <c r="F8" s="5">
        <v>150000</v>
      </c>
      <c r="G8" s="5">
        <v>72250</v>
      </c>
    </row>
    <row r="9" spans="1:7" ht="15" thickBot="1" x14ac:dyDescent="0.35">
      <c r="A9" s="26" t="s">
        <v>7</v>
      </c>
      <c r="B9" s="27" t="s">
        <v>8</v>
      </c>
      <c r="D9" s="3">
        <v>2</v>
      </c>
      <c r="E9" s="4" t="s">
        <v>9</v>
      </c>
      <c r="F9" s="5">
        <v>175000</v>
      </c>
      <c r="G9" s="5">
        <v>75000</v>
      </c>
    </row>
    <row r="10" spans="1:7" ht="16.5" customHeight="1" thickBot="1" x14ac:dyDescent="0.35">
      <c r="A10" s="26" t="s">
        <v>10</v>
      </c>
      <c r="B10" s="27" t="s">
        <v>11</v>
      </c>
      <c r="D10" s="3">
        <v>3</v>
      </c>
      <c r="E10" s="4" t="s">
        <v>12</v>
      </c>
      <c r="F10" s="5">
        <v>200000</v>
      </c>
      <c r="G10" s="5">
        <v>79250</v>
      </c>
    </row>
    <row r="11" spans="1:7" ht="15" thickBot="1" x14ac:dyDescent="0.35">
      <c r="A11" s="26" t="s">
        <v>13</v>
      </c>
      <c r="B11" s="28">
        <v>10000</v>
      </c>
      <c r="D11" s="3">
        <v>4</v>
      </c>
      <c r="E11" s="4" t="s">
        <v>14</v>
      </c>
      <c r="F11" s="5">
        <v>300000</v>
      </c>
      <c r="G11" s="5">
        <v>81000</v>
      </c>
    </row>
    <row r="12" spans="1:7" ht="15" thickBot="1" x14ac:dyDescent="0.35">
      <c r="A12" s="20" t="s">
        <v>15</v>
      </c>
      <c r="B12" s="21">
        <v>5000</v>
      </c>
      <c r="D12" s="6"/>
      <c r="E12" s="7"/>
      <c r="F12" s="8"/>
      <c r="G12" s="8"/>
    </row>
    <row r="13" spans="1:7" ht="15" thickBot="1" x14ac:dyDescent="0.35">
      <c r="A13" s="20" t="s">
        <v>16</v>
      </c>
      <c r="B13" s="22" t="s">
        <v>17</v>
      </c>
      <c r="E13" s="10"/>
      <c r="F13" s="11"/>
      <c r="G13" s="11"/>
    </row>
    <row r="14" spans="1:7" ht="43.8" thickBot="1" x14ac:dyDescent="0.35">
      <c r="A14" s="20" t="s">
        <v>18</v>
      </c>
      <c r="B14" s="22" t="s">
        <v>19</v>
      </c>
      <c r="E14" s="29" t="s">
        <v>109</v>
      </c>
      <c r="F14" s="12"/>
      <c r="G14" s="13"/>
    </row>
    <row r="15" spans="1:7" ht="15" thickBot="1" x14ac:dyDescent="0.35">
      <c r="A15" s="20" t="s">
        <v>20</v>
      </c>
      <c r="B15" s="22" t="s">
        <v>21</v>
      </c>
      <c r="F15" s="12" t="s">
        <v>107</v>
      </c>
      <c r="G15" s="13" t="s">
        <v>108</v>
      </c>
    </row>
    <row r="16" spans="1:7" ht="15" thickBot="1" x14ac:dyDescent="0.35">
      <c r="A16" s="20" t="s">
        <v>22</v>
      </c>
      <c r="B16" s="21">
        <v>45</v>
      </c>
      <c r="E16" t="s">
        <v>37</v>
      </c>
      <c r="F16" s="12">
        <f>28*2500</f>
        <v>70000</v>
      </c>
      <c r="G16" s="54">
        <f>F16/$F$20</f>
        <v>0.17330164388987918</v>
      </c>
    </row>
    <row r="17" spans="1:7" ht="15" thickBot="1" x14ac:dyDescent="0.35">
      <c r="A17" s="20" t="s">
        <v>23</v>
      </c>
      <c r="B17" s="22" t="s">
        <v>24</v>
      </c>
      <c r="E17" t="s">
        <v>34</v>
      </c>
      <c r="F17" s="14">
        <f>45*1300</f>
        <v>58500</v>
      </c>
      <c r="G17" s="54">
        <f t="shared" ref="G17:G20" si="0">F17/$F$20</f>
        <v>0.14483065953654189</v>
      </c>
    </row>
    <row r="18" spans="1:7" ht="15" thickBot="1" x14ac:dyDescent="0.35">
      <c r="A18" s="20" t="s">
        <v>25</v>
      </c>
      <c r="B18" s="23">
        <v>0.25</v>
      </c>
      <c r="E18" s="9" t="s">
        <v>35</v>
      </c>
      <c r="F18" s="50">
        <f>125000+B93</f>
        <v>155420</v>
      </c>
      <c r="G18" s="54">
        <f t="shared" si="0"/>
        <v>0.38477916419092889</v>
      </c>
    </row>
    <row r="19" spans="1:7" ht="15" thickBot="1" x14ac:dyDescent="0.35">
      <c r="A19" s="20" t="s">
        <v>26</v>
      </c>
      <c r="B19" s="21">
        <v>28</v>
      </c>
      <c r="E19" t="s">
        <v>36</v>
      </c>
      <c r="F19" s="51">
        <f>120000</f>
        <v>120000</v>
      </c>
      <c r="G19" s="54">
        <f t="shared" si="0"/>
        <v>0.29708853238265004</v>
      </c>
    </row>
    <row r="20" spans="1:7" ht="15" thickBot="1" x14ac:dyDescent="0.35">
      <c r="A20" s="20" t="s">
        <v>27</v>
      </c>
      <c r="B20" s="22" t="s">
        <v>28</v>
      </c>
      <c r="E20" s="16" t="s">
        <v>110</v>
      </c>
      <c r="F20" s="53">
        <f>SUM(F16:F19)</f>
        <v>403920</v>
      </c>
      <c r="G20" s="54">
        <f t="shared" si="0"/>
        <v>1</v>
      </c>
    </row>
    <row r="21" spans="1:7" ht="15" thickBot="1" x14ac:dyDescent="0.35">
      <c r="A21" s="20" t="s">
        <v>29</v>
      </c>
      <c r="B21" s="21">
        <v>125000</v>
      </c>
    </row>
    <row r="22" spans="1:7" ht="15" thickBot="1" x14ac:dyDescent="0.35">
      <c r="A22" s="20" t="s">
        <v>30</v>
      </c>
      <c r="B22" s="22" t="s">
        <v>31</v>
      </c>
    </row>
    <row r="32" spans="1:7" x14ac:dyDescent="0.3">
      <c r="A32" s="31" t="s">
        <v>38</v>
      </c>
    </row>
    <row r="33" spans="1:4" x14ac:dyDescent="0.3">
      <c r="A33" s="9"/>
    </row>
    <row r="34" spans="1:4" x14ac:dyDescent="0.3">
      <c r="A34" t="s">
        <v>41</v>
      </c>
      <c r="B34" s="19">
        <v>0.1</v>
      </c>
      <c r="C34" t="s">
        <v>40</v>
      </c>
      <c r="D34" t="s">
        <v>39</v>
      </c>
    </row>
    <row r="35" spans="1:4" x14ac:dyDescent="0.3">
      <c r="A35" t="s">
        <v>25</v>
      </c>
      <c r="B35" s="19">
        <v>0.25</v>
      </c>
      <c r="C35" t="s">
        <v>42</v>
      </c>
      <c r="D35" t="s">
        <v>43</v>
      </c>
    </row>
    <row r="37" spans="1:4" x14ac:dyDescent="0.3">
      <c r="A37" s="16" t="s">
        <v>44</v>
      </c>
      <c r="B37" s="30">
        <f>B34*(1-B35)</f>
        <v>7.5000000000000011E-2</v>
      </c>
    </row>
    <row r="45" spans="1:4" x14ac:dyDescent="0.3">
      <c r="A45" s="31" t="s">
        <v>45</v>
      </c>
    </row>
    <row r="49" spans="1:6" x14ac:dyDescent="0.3">
      <c r="A49" s="15"/>
    </row>
    <row r="51" spans="1:6" x14ac:dyDescent="0.3">
      <c r="C51" s="16"/>
      <c r="D51" s="17"/>
      <c r="E51" s="16" t="s">
        <v>46</v>
      </c>
      <c r="F51" t="s">
        <v>47</v>
      </c>
    </row>
    <row r="52" spans="1:6" x14ac:dyDescent="0.3">
      <c r="E52" s="16" t="s">
        <v>49</v>
      </c>
      <c r="F52" t="s">
        <v>48</v>
      </c>
    </row>
    <row r="53" spans="1:6" x14ac:dyDescent="0.3">
      <c r="A53" s="15" t="s">
        <v>50</v>
      </c>
    </row>
    <row r="54" spans="1:6" x14ac:dyDescent="0.3">
      <c r="A54" s="32" t="s">
        <v>51</v>
      </c>
      <c r="C54" s="16"/>
      <c r="D54" s="17"/>
    </row>
    <row r="56" spans="1:6" x14ac:dyDescent="0.3">
      <c r="A56" s="15"/>
    </row>
    <row r="58" spans="1:6" x14ac:dyDescent="0.3">
      <c r="B58" s="18"/>
    </row>
    <row r="59" spans="1:6" x14ac:dyDescent="0.3">
      <c r="B59" s="18"/>
    </row>
    <row r="60" spans="1:6" x14ac:dyDescent="0.3">
      <c r="B60" s="19"/>
    </row>
    <row r="62" spans="1:6" x14ac:dyDescent="0.3">
      <c r="B62" s="18"/>
    </row>
    <row r="63" spans="1:6" x14ac:dyDescent="0.3">
      <c r="E63" s="16" t="s">
        <v>52</v>
      </c>
      <c r="F63" t="s">
        <v>55</v>
      </c>
    </row>
    <row r="64" spans="1:6" x14ac:dyDescent="0.3">
      <c r="E64" s="16" t="s">
        <v>53</v>
      </c>
      <c r="F64" t="s">
        <v>56</v>
      </c>
    </row>
    <row r="65" spans="1:6" x14ac:dyDescent="0.3">
      <c r="A65" t="s">
        <v>58</v>
      </c>
      <c r="B65" s="33">
        <f>B19</f>
        <v>28</v>
      </c>
      <c r="E65" s="16" t="s">
        <v>54</v>
      </c>
      <c r="F65" t="s">
        <v>57</v>
      </c>
    </row>
    <row r="66" spans="1:6" x14ac:dyDescent="0.3">
      <c r="A66" t="s">
        <v>59</v>
      </c>
      <c r="B66" s="34">
        <v>0.06</v>
      </c>
      <c r="C66" s="16"/>
      <c r="D66" s="17"/>
    </row>
    <row r="67" spans="1:6" x14ac:dyDescent="0.3">
      <c r="A67" s="15" t="s">
        <v>61</v>
      </c>
      <c r="B67" s="16" t="s">
        <v>60</v>
      </c>
    </row>
    <row r="68" spans="1:6" x14ac:dyDescent="0.3">
      <c r="B68" s="18"/>
    </row>
    <row r="69" spans="1:6" x14ac:dyDescent="0.3">
      <c r="B69" s="18"/>
    </row>
    <row r="70" spans="1:6" x14ac:dyDescent="0.3">
      <c r="A70" t="s">
        <v>62</v>
      </c>
      <c r="B70" s="18"/>
    </row>
    <row r="72" spans="1:6" x14ac:dyDescent="0.3">
      <c r="A72" s="9" t="s">
        <v>63</v>
      </c>
    </row>
    <row r="73" spans="1:6" x14ac:dyDescent="0.3">
      <c r="A73" t="s">
        <v>64</v>
      </c>
    </row>
    <row r="74" spans="1:6" x14ac:dyDescent="0.3">
      <c r="A74" t="s">
        <v>65</v>
      </c>
    </row>
    <row r="75" spans="1:6" x14ac:dyDescent="0.3">
      <c r="A75" t="s">
        <v>66</v>
      </c>
      <c r="C75" s="16"/>
      <c r="D75" s="17"/>
    </row>
    <row r="77" spans="1:6" x14ac:dyDescent="0.3">
      <c r="A77" t="s">
        <v>67</v>
      </c>
      <c r="B77" s="35">
        <v>180000</v>
      </c>
      <c r="D77" t="s">
        <v>89</v>
      </c>
    </row>
    <row r="78" spans="1:6" x14ac:dyDescent="0.3">
      <c r="A78" t="s">
        <v>68</v>
      </c>
      <c r="D78" s="48" t="s">
        <v>88</v>
      </c>
      <c r="E78" s="49">
        <f>6.95/28+6%</f>
        <v>0.30821428571428572</v>
      </c>
    </row>
    <row r="79" spans="1:6" x14ac:dyDescent="0.3">
      <c r="A79" s="36" t="s">
        <v>69</v>
      </c>
      <c r="B79" s="37">
        <f>75*B8</f>
        <v>45000</v>
      </c>
    </row>
    <row r="80" spans="1:6" x14ac:dyDescent="0.3">
      <c r="A80" s="36" t="s">
        <v>70</v>
      </c>
      <c r="B80" s="37">
        <f>50*B8</f>
        <v>30000</v>
      </c>
    </row>
    <row r="81" spans="1:2" x14ac:dyDescent="0.3">
      <c r="A81" s="36" t="s">
        <v>71</v>
      </c>
      <c r="B81" s="38">
        <f>B11</f>
        <v>10000</v>
      </c>
    </row>
    <row r="82" spans="1:2" x14ac:dyDescent="0.3">
      <c r="A82" s="16" t="s">
        <v>72</v>
      </c>
      <c r="B82" s="39">
        <f>B77-SUM(B79:B81)</f>
        <v>95000</v>
      </c>
    </row>
    <row r="83" spans="1:2" x14ac:dyDescent="0.3">
      <c r="A83" t="s">
        <v>73</v>
      </c>
    </row>
    <row r="84" spans="1:2" x14ac:dyDescent="0.3">
      <c r="A84" s="36" t="s">
        <v>15</v>
      </c>
      <c r="B84" s="40">
        <f>B12</f>
        <v>5000</v>
      </c>
    </row>
    <row r="85" spans="1:2" x14ac:dyDescent="0.3">
      <c r="A85" s="16" t="s">
        <v>74</v>
      </c>
      <c r="B85" s="39">
        <f>B82-B84</f>
        <v>90000</v>
      </c>
    </row>
    <row r="86" spans="1:2" x14ac:dyDescent="0.3">
      <c r="A86" t="s">
        <v>75</v>
      </c>
      <c r="B86" s="40">
        <f>0.1*120000</f>
        <v>12000</v>
      </c>
    </row>
    <row r="87" spans="1:2" x14ac:dyDescent="0.3">
      <c r="A87" s="16" t="s">
        <v>76</v>
      </c>
      <c r="B87" s="39">
        <f>B85-B86</f>
        <v>78000</v>
      </c>
    </row>
    <row r="88" spans="1:2" x14ac:dyDescent="0.3">
      <c r="A88" s="9" t="s">
        <v>77</v>
      </c>
      <c r="B88" s="39">
        <f>B87*0.25</f>
        <v>19500</v>
      </c>
    </row>
    <row r="89" spans="1:2" x14ac:dyDescent="0.3">
      <c r="A89" s="41" t="s">
        <v>78</v>
      </c>
      <c r="B89" s="42">
        <f>B87-B88</f>
        <v>58500</v>
      </c>
    </row>
    <row r="90" spans="1:2" x14ac:dyDescent="0.3">
      <c r="A90" t="s">
        <v>79</v>
      </c>
      <c r="B90" s="39">
        <f>20%*45*1300</f>
        <v>11700</v>
      </c>
    </row>
    <row r="91" spans="1:2" x14ac:dyDescent="0.3">
      <c r="A91" s="16" t="s">
        <v>80</v>
      </c>
      <c r="B91" s="39">
        <f>B89-B90</f>
        <v>46800</v>
      </c>
    </row>
    <row r="92" spans="1:2" x14ac:dyDescent="0.3">
      <c r="A92" t="s">
        <v>81</v>
      </c>
      <c r="B92" s="43">
        <f>B91*35%</f>
        <v>16379.999999999998</v>
      </c>
    </row>
    <row r="93" spans="1:2" x14ac:dyDescent="0.3">
      <c r="A93" t="s">
        <v>82</v>
      </c>
      <c r="B93" s="43">
        <f>B91-B92</f>
        <v>30420</v>
      </c>
    </row>
    <row r="96" spans="1:2" x14ac:dyDescent="0.3">
      <c r="A96" s="44" t="s">
        <v>83</v>
      </c>
      <c r="B96" s="45">
        <v>2500</v>
      </c>
    </row>
    <row r="97" spans="1:4" x14ac:dyDescent="0.3">
      <c r="A97" s="41" t="s">
        <v>84</v>
      </c>
      <c r="B97" s="43">
        <f>B92</f>
        <v>16379.999999999998</v>
      </c>
    </row>
    <row r="98" spans="1:4" x14ac:dyDescent="0.3">
      <c r="A98" s="16" t="s">
        <v>85</v>
      </c>
      <c r="B98" s="43">
        <f>B97/B96</f>
        <v>6.5519999999999996</v>
      </c>
      <c r="C98" t="s">
        <v>87</v>
      </c>
    </row>
    <row r="99" spans="1:4" x14ac:dyDescent="0.3">
      <c r="A99" t="s">
        <v>86</v>
      </c>
      <c r="B99" s="46">
        <f>FV(6%,1,,-B98)</f>
        <v>6.9451200000000002</v>
      </c>
      <c r="C99" t="s">
        <v>52</v>
      </c>
    </row>
    <row r="101" spans="1:4" x14ac:dyDescent="0.3">
      <c r="A101" t="s">
        <v>90</v>
      </c>
    </row>
    <row r="108" spans="1:4" x14ac:dyDescent="0.3">
      <c r="A108" t="s">
        <v>95</v>
      </c>
      <c r="B108" s="46">
        <f>B99</f>
        <v>6.9451200000000002</v>
      </c>
      <c r="C108" t="s">
        <v>52</v>
      </c>
      <c r="D108" t="s">
        <v>91</v>
      </c>
    </row>
    <row r="109" spans="1:4" x14ac:dyDescent="0.3">
      <c r="A109" t="s">
        <v>97</v>
      </c>
      <c r="B109">
        <f>28-8%*28</f>
        <v>25.759999999999998</v>
      </c>
      <c r="C109" t="s">
        <v>92</v>
      </c>
      <c r="D109" t="s">
        <v>93</v>
      </c>
    </row>
    <row r="110" spans="1:4" x14ac:dyDescent="0.3">
      <c r="A110" t="s">
        <v>96</v>
      </c>
      <c r="B110" s="34">
        <f>B66</f>
        <v>0.06</v>
      </c>
      <c r="C110" t="s">
        <v>54</v>
      </c>
      <c r="D110" t="s">
        <v>94</v>
      </c>
    </row>
    <row r="112" spans="1:4" x14ac:dyDescent="0.3">
      <c r="D112" t="s">
        <v>98</v>
      </c>
    </row>
    <row r="113" spans="1:12" x14ac:dyDescent="0.3">
      <c r="D113" s="48" t="s">
        <v>99</v>
      </c>
      <c r="E113" s="49">
        <f>6.95/25.76+6%</f>
        <v>0.32979813664596275</v>
      </c>
    </row>
    <row r="114" spans="1:12" x14ac:dyDescent="0.3">
      <c r="A114" t="s">
        <v>100</v>
      </c>
    </row>
    <row r="120" spans="1:12" x14ac:dyDescent="0.3">
      <c r="H120" s="56"/>
      <c r="I120" s="56"/>
      <c r="J120" s="56"/>
      <c r="K120" s="56"/>
      <c r="L120" s="56"/>
    </row>
    <row r="121" spans="1:12" x14ac:dyDescent="0.3">
      <c r="A121" s="16" t="s">
        <v>111</v>
      </c>
      <c r="B121" s="62">
        <f>F18/G18</f>
        <v>403920</v>
      </c>
      <c r="C121" t="s">
        <v>101</v>
      </c>
      <c r="D121" t="s">
        <v>102</v>
      </c>
    </row>
    <row r="122" spans="1:12" x14ac:dyDescent="0.3">
      <c r="A122" s="16" t="s">
        <v>112</v>
      </c>
      <c r="B122" s="55"/>
      <c r="C122" t="s">
        <v>103</v>
      </c>
      <c r="D122" t="s">
        <v>104</v>
      </c>
    </row>
    <row r="123" spans="1:12" x14ac:dyDescent="0.3">
      <c r="C123" t="s">
        <v>105</v>
      </c>
      <c r="D123" t="s">
        <v>106</v>
      </c>
    </row>
    <row r="127" spans="1:12" x14ac:dyDescent="0.3">
      <c r="A127" t="s">
        <v>114</v>
      </c>
      <c r="B127" t="s">
        <v>115</v>
      </c>
      <c r="C127" t="s">
        <v>108</v>
      </c>
      <c r="D127" t="s">
        <v>113</v>
      </c>
      <c r="E127" t="s">
        <v>116</v>
      </c>
      <c r="F127" s="56" t="s">
        <v>117</v>
      </c>
    </row>
    <row r="128" spans="1:12" x14ac:dyDescent="0.3">
      <c r="A128" s="57" t="s">
        <v>118</v>
      </c>
      <c r="B128" s="57" t="s">
        <v>119</v>
      </c>
      <c r="C128" s="58">
        <v>0.55808080808080807</v>
      </c>
      <c r="D128" s="59">
        <v>0.29399999999999998</v>
      </c>
      <c r="E128" s="60">
        <v>0.21532352941176469</v>
      </c>
      <c r="F128" s="34">
        <v>0.24532352941176469</v>
      </c>
    </row>
    <row r="129" spans="1:10" x14ac:dyDescent="0.3">
      <c r="B129" t="s">
        <v>120</v>
      </c>
      <c r="C129">
        <v>0.14483065953654189</v>
      </c>
      <c r="D129" s="19">
        <v>0.2</v>
      </c>
    </row>
    <row r="130" spans="1:10" x14ac:dyDescent="0.3">
      <c r="A130" s="56"/>
      <c r="B130" s="56" t="s">
        <v>121</v>
      </c>
      <c r="C130" s="56">
        <v>0.29708853238265004</v>
      </c>
      <c r="D130" s="61">
        <v>7.5000000000000011E-2</v>
      </c>
      <c r="E130" s="56"/>
      <c r="F130" s="56"/>
    </row>
    <row r="131" spans="1:10" x14ac:dyDescent="0.3">
      <c r="A131" t="s">
        <v>122</v>
      </c>
      <c r="B131" t="s">
        <v>119</v>
      </c>
      <c r="C131" s="58">
        <v>0.55808080808080807</v>
      </c>
      <c r="D131" s="34">
        <v>0.31434782608695655</v>
      </c>
      <c r="E131" s="60">
        <v>0.22667926063706115</v>
      </c>
      <c r="F131" s="47">
        <v>0.25667926063706115</v>
      </c>
    </row>
    <row r="132" spans="1:10" x14ac:dyDescent="0.3">
      <c r="B132" t="s">
        <v>120</v>
      </c>
      <c r="C132">
        <v>0.14483065953654189</v>
      </c>
      <c r="D132" s="19">
        <v>0.2</v>
      </c>
    </row>
    <row r="133" spans="1:10" x14ac:dyDescent="0.3">
      <c r="A133" s="56"/>
      <c r="B133" s="56" t="s">
        <v>121</v>
      </c>
      <c r="C133" s="56">
        <v>0.29708853238265004</v>
      </c>
      <c r="D133" s="61">
        <v>7.5000000000000011E-2</v>
      </c>
      <c r="E133" s="56"/>
      <c r="F133" s="56"/>
    </row>
    <row r="137" spans="1:10" ht="15" thickBot="1" x14ac:dyDescent="0.35"/>
    <row r="138" spans="1:10" ht="29.4" thickBot="1" x14ac:dyDescent="0.35">
      <c r="A138" s="1" t="s">
        <v>1</v>
      </c>
      <c r="B138" s="2" t="s">
        <v>2</v>
      </c>
      <c r="C138" s="2" t="s">
        <v>3</v>
      </c>
      <c r="D138" s="2" t="s">
        <v>4</v>
      </c>
    </row>
    <row r="139" spans="1:10" ht="15" thickBot="1" x14ac:dyDescent="0.35">
      <c r="A139" s="3">
        <v>1</v>
      </c>
      <c r="B139" s="4" t="s">
        <v>6</v>
      </c>
      <c r="C139" s="5">
        <v>150000</v>
      </c>
      <c r="D139" s="5">
        <v>72250</v>
      </c>
    </row>
    <row r="140" spans="1:10" ht="15" thickBot="1" x14ac:dyDescent="0.35">
      <c r="A140" s="3">
        <v>2</v>
      </c>
      <c r="B140" s="4" t="s">
        <v>9</v>
      </c>
      <c r="C140" s="5">
        <v>175000</v>
      </c>
      <c r="D140" s="5">
        <v>75000</v>
      </c>
    </row>
    <row r="141" spans="1:10" ht="15" thickBot="1" x14ac:dyDescent="0.35">
      <c r="A141" s="3">
        <v>3</v>
      </c>
      <c r="B141" s="4" t="s">
        <v>12</v>
      </c>
      <c r="C141" s="5">
        <v>200000</v>
      </c>
      <c r="D141" s="5">
        <v>79250</v>
      </c>
    </row>
    <row r="142" spans="1:10" ht="15" thickBot="1" x14ac:dyDescent="0.35">
      <c r="A142" s="3">
        <v>4</v>
      </c>
      <c r="B142" s="4" t="s">
        <v>14</v>
      </c>
      <c r="C142" s="5">
        <v>300000</v>
      </c>
      <c r="D142" s="5">
        <v>81000</v>
      </c>
    </row>
    <row r="144" spans="1:10" x14ac:dyDescent="0.3">
      <c r="B144" s="63" t="s">
        <v>123</v>
      </c>
      <c r="C144" t="s">
        <v>124</v>
      </c>
      <c r="D144" t="s">
        <v>125</v>
      </c>
      <c r="E144" t="s">
        <v>126</v>
      </c>
      <c r="F144" t="s">
        <v>127</v>
      </c>
      <c r="I144" t="s">
        <v>133</v>
      </c>
      <c r="J144" t="s">
        <v>134</v>
      </c>
    </row>
    <row r="145" spans="2:10" x14ac:dyDescent="0.3">
      <c r="B145">
        <v>0</v>
      </c>
      <c r="C145" s="64">
        <v>-150000</v>
      </c>
      <c r="D145" s="66">
        <f>-175000</f>
        <v>-175000</v>
      </c>
      <c r="E145" s="64">
        <v>-200000</v>
      </c>
      <c r="F145" s="64">
        <v>-300000</v>
      </c>
      <c r="H145" t="s">
        <v>124</v>
      </c>
      <c r="I145" s="52">
        <f>150000</f>
        <v>150000</v>
      </c>
      <c r="J145" s="52">
        <f>150000</f>
        <v>150000</v>
      </c>
    </row>
    <row r="146" spans="2:10" x14ac:dyDescent="0.3">
      <c r="B146">
        <v>1</v>
      </c>
      <c r="C146" s="64">
        <v>72250</v>
      </c>
      <c r="D146" s="64">
        <v>75000</v>
      </c>
      <c r="E146" s="64">
        <v>79250</v>
      </c>
      <c r="F146" s="64">
        <v>81000</v>
      </c>
      <c r="H146" t="s">
        <v>125</v>
      </c>
      <c r="I146" s="52">
        <f>175000</f>
        <v>175000</v>
      </c>
      <c r="J146" s="52">
        <f>I146+J145</f>
        <v>325000</v>
      </c>
    </row>
    <row r="147" spans="2:10" x14ac:dyDescent="0.3">
      <c r="B147">
        <v>2</v>
      </c>
      <c r="C147" s="64">
        <v>72250</v>
      </c>
      <c r="D147" s="64">
        <v>75000</v>
      </c>
      <c r="E147" s="64">
        <v>79250</v>
      </c>
      <c r="F147" s="64">
        <v>81000</v>
      </c>
      <c r="H147" t="s">
        <v>126</v>
      </c>
      <c r="I147" s="52">
        <f>200000</f>
        <v>200000</v>
      </c>
      <c r="J147" s="52">
        <f>I147+J146</f>
        <v>525000</v>
      </c>
    </row>
    <row r="148" spans="2:10" x14ac:dyDescent="0.3">
      <c r="B148">
        <v>3</v>
      </c>
      <c r="C148" s="64">
        <v>72250</v>
      </c>
      <c r="D148" s="64">
        <v>75000</v>
      </c>
      <c r="E148" s="64">
        <v>79250</v>
      </c>
      <c r="F148" s="64">
        <v>81000</v>
      </c>
      <c r="H148" t="s">
        <v>135</v>
      </c>
      <c r="I148" s="52">
        <f>300000</f>
        <v>300000</v>
      </c>
      <c r="J148" s="52">
        <f>I148+J147</f>
        <v>825000</v>
      </c>
    </row>
    <row r="149" spans="2:10" x14ac:dyDescent="0.3">
      <c r="B149">
        <v>4</v>
      </c>
      <c r="C149" s="64">
        <v>72250</v>
      </c>
      <c r="D149" s="64">
        <v>75000</v>
      </c>
      <c r="E149" s="64">
        <v>79250</v>
      </c>
      <c r="F149" s="64">
        <v>81000</v>
      </c>
    </row>
    <row r="150" spans="2:10" x14ac:dyDescent="0.3">
      <c r="B150">
        <v>5</v>
      </c>
      <c r="C150" s="64">
        <v>72250</v>
      </c>
      <c r="D150" s="64">
        <v>75000</v>
      </c>
      <c r="E150" s="64">
        <v>79250</v>
      </c>
      <c r="F150" s="64">
        <v>81000</v>
      </c>
    </row>
    <row r="151" spans="2:10" ht="18" x14ac:dyDescent="0.35">
      <c r="B151" s="65" t="s">
        <v>128</v>
      </c>
      <c r="C151" s="67">
        <f>IRR(C145:C150)</f>
        <v>0.38825524639108</v>
      </c>
      <c r="D151" s="67">
        <f>IRR(D145:D150)</f>
        <v>0.32272532658880682</v>
      </c>
      <c r="E151" s="67">
        <f>IRR(E145:E150)</f>
        <v>0.28167984493873965</v>
      </c>
      <c r="F151" s="67">
        <f>IRR(F145:F150)</f>
        <v>0.10916174523423483</v>
      </c>
    </row>
    <row r="152" spans="2:10" x14ac:dyDescent="0.3">
      <c r="E152" s="68">
        <v>0.26500000000000001</v>
      </c>
    </row>
    <row r="154" spans="2:10" x14ac:dyDescent="0.3">
      <c r="B154" t="s">
        <v>129</v>
      </c>
    </row>
    <row r="156" spans="2:10" x14ac:dyDescent="0.3">
      <c r="F156" t="s">
        <v>132</v>
      </c>
    </row>
    <row r="157" spans="2:10" x14ac:dyDescent="0.3">
      <c r="C157">
        <v>0</v>
      </c>
      <c r="D157" s="47">
        <f>C151</f>
        <v>0.38825524639108</v>
      </c>
      <c r="F157" t="s">
        <v>136</v>
      </c>
    </row>
    <row r="158" spans="2:10" x14ac:dyDescent="0.3">
      <c r="C158" s="33">
        <f>150000</f>
        <v>150000</v>
      </c>
      <c r="D158" s="47">
        <f>C151</f>
        <v>0.38825524639108</v>
      </c>
    </row>
    <row r="159" spans="2:10" x14ac:dyDescent="0.3">
      <c r="C159" s="33">
        <f>150000</f>
        <v>150000</v>
      </c>
      <c r="D159" s="47">
        <f>D151</f>
        <v>0.32272532658880682</v>
      </c>
    </row>
    <row r="160" spans="2:10" x14ac:dyDescent="0.3">
      <c r="C160" s="33">
        <v>325000</v>
      </c>
      <c r="D160" s="47">
        <f>D151</f>
        <v>0.32272532658880682</v>
      </c>
    </row>
    <row r="161" spans="3:4" x14ac:dyDescent="0.3">
      <c r="C161" s="33">
        <v>325000</v>
      </c>
      <c r="D161" s="47">
        <f>E151</f>
        <v>0.28167984493873965</v>
      </c>
    </row>
    <row r="162" spans="3:4" x14ac:dyDescent="0.3">
      <c r="C162" s="33">
        <v>525000</v>
      </c>
      <c r="D162" s="47">
        <f>E151</f>
        <v>0.28167984493873965</v>
      </c>
    </row>
    <row r="163" spans="3:4" x14ac:dyDescent="0.3">
      <c r="C163" s="33">
        <v>525000</v>
      </c>
      <c r="D163" s="47">
        <f>F151</f>
        <v>0.10916174523423483</v>
      </c>
    </row>
    <row r="164" spans="3:4" x14ac:dyDescent="0.3">
      <c r="C164" s="33">
        <v>825000</v>
      </c>
      <c r="D164" s="47">
        <f>F151</f>
        <v>0.10916174523423483</v>
      </c>
    </row>
    <row r="165" spans="3:4" x14ac:dyDescent="0.3">
      <c r="C165" s="33">
        <v>825000</v>
      </c>
      <c r="D165">
        <v>0</v>
      </c>
    </row>
    <row r="174" spans="3:4" x14ac:dyDescent="0.3">
      <c r="C174" t="s">
        <v>130</v>
      </c>
      <c r="D174" t="s">
        <v>131</v>
      </c>
    </row>
    <row r="175" spans="3:4" x14ac:dyDescent="0.3">
      <c r="C175">
        <v>0</v>
      </c>
      <c r="D175" s="68">
        <v>0.253</v>
      </c>
    </row>
    <row r="176" spans="3:4" x14ac:dyDescent="0.3">
      <c r="C176" s="33">
        <v>403920</v>
      </c>
      <c r="D176" s="68">
        <v>0.253</v>
      </c>
    </row>
    <row r="177" spans="3:4" x14ac:dyDescent="0.3">
      <c r="C177" s="33">
        <v>403920</v>
      </c>
      <c r="D177" s="68">
        <v>0.26500000000000001</v>
      </c>
    </row>
    <row r="178" spans="3:4" x14ac:dyDescent="0.3">
      <c r="C178" s="33">
        <v>825000</v>
      </c>
      <c r="D178" s="68">
        <v>0.26500000000000001</v>
      </c>
    </row>
  </sheetData>
  <pageMargins left="0.25" right="0.25" top="0.75" bottom="0.75" header="0.3" footer="0.3"/>
  <pageSetup scale="18"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77D3E-59A0-41D4-A342-1ABF1D0BD400}">
  <dimension ref="A29:A30"/>
  <sheetViews>
    <sheetView topLeftCell="A16" zoomScale="145" zoomScaleNormal="145" workbookViewId="0">
      <selection activeCell="H30" sqref="H30"/>
    </sheetView>
  </sheetViews>
  <sheetFormatPr baseColWidth="10" defaultRowHeight="14.4" x14ac:dyDescent="0.3"/>
  <sheetData>
    <row r="29" spans="1:1" x14ac:dyDescent="0.3">
      <c r="A29" s="9" t="s">
        <v>32</v>
      </c>
    </row>
    <row r="30" spans="1:1" x14ac:dyDescent="0.3">
      <c r="A30" s="9" t="s">
        <v>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ENCABEZADO</vt:lpstr>
      <vt:lpstr>FORMULARIO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Paz</dc:creator>
  <cp:lastModifiedBy>Julio Ruiz Coto</cp:lastModifiedBy>
  <dcterms:created xsi:type="dcterms:W3CDTF">2022-04-02T01:27:58Z</dcterms:created>
  <dcterms:modified xsi:type="dcterms:W3CDTF">2024-04-05T01:07:35Z</dcterms:modified>
</cp:coreProperties>
</file>