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F31045A9-8A9D-4B16-B1EB-1949BB863BB8}" xr6:coauthVersionLast="47" xr6:coauthVersionMax="47" xr10:uidLastSave="{00000000-0000-0000-0000-000000000000}"/>
  <bookViews>
    <workbookView xWindow="-108" yWindow="-108" windowWidth="23256" windowHeight="13176" xr2:uid="{CB85E52E-B385-468E-80EA-BA31F13103E8}"/>
  </bookViews>
  <sheets>
    <sheet name="PROYECCIONES" sheetId="2" r:id="rId1"/>
    <sheet name="FORMULARIO" sheetId="5" r:id="rId2"/>
    <sheet name="Hoja4" sheetId="8" r:id="rId3"/>
    <sheet name="FORMULARIO (2)" sheetId="6" r:id="rId4"/>
    <sheet name="Hoja1 (2)" sheetId="7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8" l="1"/>
  <c r="H112" i="8"/>
  <c r="I110" i="8"/>
  <c r="H110" i="8"/>
  <c r="H107" i="8"/>
  <c r="I105" i="8"/>
  <c r="H105" i="8"/>
  <c r="M27" i="2"/>
  <c r="M26" i="2"/>
  <c r="O25" i="2"/>
  <c r="M25" i="2"/>
  <c r="M24" i="2"/>
  <c r="O8" i="2"/>
  <c r="M14" i="2"/>
  <c r="M12" i="2"/>
  <c r="M10" i="2"/>
  <c r="M8" i="2"/>
  <c r="M7" i="2"/>
  <c r="I101" i="8" l="1"/>
  <c r="I99" i="8"/>
  <c r="H99" i="8"/>
  <c r="I97" i="8"/>
  <c r="I96" i="8"/>
  <c r="H97" i="8"/>
  <c r="I95" i="8"/>
  <c r="I94" i="8"/>
  <c r="I93" i="8"/>
  <c r="H96" i="8"/>
  <c r="H95" i="8"/>
  <c r="H93" i="8"/>
  <c r="I57" i="8"/>
  <c r="I51" i="8"/>
  <c r="I56" i="8"/>
  <c r="I55" i="8"/>
  <c r="I54" i="8"/>
  <c r="I53" i="8"/>
  <c r="I50" i="8"/>
  <c r="H90" i="7" l="1"/>
  <c r="G90" i="7"/>
  <c r="E90" i="7"/>
  <c r="D90" i="7"/>
  <c r="D43" i="7"/>
  <c r="E42" i="7"/>
  <c r="E41" i="7"/>
  <c r="D38" i="7"/>
  <c r="E37" i="7"/>
  <c r="E36" i="7"/>
  <c r="M40" i="2" l="1"/>
  <c r="M35" i="2"/>
  <c r="M30" i="2"/>
  <c r="M31" i="2" l="1"/>
  <c r="M34" i="2"/>
  <c r="M37" i="2" l="1"/>
  <c r="N34" i="2"/>
  <c r="N29" i="2"/>
  <c r="N42" i="2"/>
  <c r="N39" i="2"/>
  <c r="N36" i="2"/>
  <c r="N46" i="2"/>
  <c r="N24" i="2"/>
  <c r="N40" i="2"/>
  <c r="N35" i="2"/>
  <c r="N30" i="2"/>
  <c r="N26" i="2"/>
  <c r="N25" i="2"/>
  <c r="M13" i="2"/>
  <c r="M43" i="2"/>
  <c r="N27" i="2"/>
  <c r="N43" i="2" l="1"/>
  <c r="M44" i="2"/>
  <c r="N44" i="2" s="1"/>
  <c r="N37" i="2"/>
  <c r="M45" i="2" l="1"/>
  <c r="M47" i="2" s="1"/>
  <c r="N47" i="2" s="1"/>
  <c r="N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Ruiz Coto</author>
  </authors>
  <commentList>
    <comment ref="H93" authorId="0" shapeId="0" xr:uid="{3C46C8E8-16E8-4A59-AA10-2348D839C704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 Ingresos - Costo Variable - Costos fijos</t>
        </r>
      </text>
    </comment>
  </commentList>
</comments>
</file>

<file path=xl/sharedStrings.xml><?xml version="1.0" encoding="utf-8"?>
<sst xmlns="http://schemas.openxmlformats.org/spreadsheetml/2006/main" count="105" uniqueCount="82">
  <si>
    <t>Empresa XX</t>
  </si>
  <si>
    <t>Estado de resultados</t>
  </si>
  <si>
    <t>del 01 de enero al 31 de diciembre del 2024</t>
  </si>
  <si>
    <t>expresado en miles que quetzales</t>
  </si>
  <si>
    <t>% vertical</t>
  </si>
  <si>
    <t>ventas</t>
  </si>
  <si>
    <t>(-) costo de ventas</t>
  </si>
  <si>
    <t>utilidad bruta</t>
  </si>
  <si>
    <t>(-) gastos de operacion</t>
  </si>
  <si>
    <t>utilidad antes de intereses y impuestos</t>
  </si>
  <si>
    <t>(-) intereses</t>
  </si>
  <si>
    <t>utilidad antes de impuesto</t>
  </si>
  <si>
    <t>(-) impuestos (ISR del 25%)</t>
  </si>
  <si>
    <t>utilidad neta</t>
  </si>
  <si>
    <t>Balance general proyectado</t>
  </si>
  <si>
    <t>ACTIVO</t>
  </si>
  <si>
    <t>activo corriente</t>
  </si>
  <si>
    <t>efectivo</t>
  </si>
  <si>
    <t>clientes</t>
  </si>
  <si>
    <t>inventarios</t>
  </si>
  <si>
    <t>suma del activo corriente</t>
  </si>
  <si>
    <t>activo NO CORRIENTE</t>
  </si>
  <si>
    <t>activos fijos netos</t>
  </si>
  <si>
    <t>suma del activo no corriente</t>
  </si>
  <si>
    <t>TOTAL DEL ACTIVO</t>
  </si>
  <si>
    <t>PASIVO</t>
  </si>
  <si>
    <t>pasivo corriente</t>
  </si>
  <si>
    <t>proveedores</t>
  </si>
  <si>
    <t>pasivos acumulados</t>
  </si>
  <si>
    <t>prestamo de corto plazo</t>
  </si>
  <si>
    <t>suma del pasivo corriente</t>
  </si>
  <si>
    <t>PASIVO NO CORRIENTE</t>
  </si>
  <si>
    <t>deudas a largo plazo</t>
  </si>
  <si>
    <t>suma del pasivo no corriente</t>
  </si>
  <si>
    <t>PATRIMONIO</t>
  </si>
  <si>
    <t>capital comun</t>
  </si>
  <si>
    <t>uitlidades retenidas</t>
  </si>
  <si>
    <t>suma del patrimonio</t>
  </si>
  <si>
    <t>PASIVO + PATRIMONIO</t>
  </si>
  <si>
    <t>fondos adicionales necesarioas FAN</t>
  </si>
  <si>
    <t>suma igual al activo</t>
  </si>
  <si>
    <t>UAII</t>
  </si>
  <si>
    <t>GAF</t>
  </si>
  <si>
    <t>(-) ISR (25%)</t>
  </si>
  <si>
    <t>Utilidad Neta</t>
  </si>
  <si>
    <t>Punto de Ruptura = es aquél que existe cuando a una empresa se le acaba una de sus fuentes de financiamiento actuales y debe</t>
  </si>
  <si>
    <t>pagar un costo más elevado para obtener más fondos de ese tipo</t>
  </si>
  <si>
    <t>ESTRUCTURA A</t>
  </si>
  <si>
    <t>ESTRUCTURA B</t>
  </si>
  <si>
    <t>EBIT</t>
  </si>
  <si>
    <t>(-) Intereses</t>
  </si>
  <si>
    <t>UAI</t>
  </si>
  <si>
    <t>(-) Impuestos</t>
  </si>
  <si>
    <t>UN</t>
  </si>
  <si>
    <t>EPS (4,000 acciones)</t>
  </si>
  <si>
    <t>EPS (2,000 acciones)</t>
  </si>
  <si>
    <t>INCISO A</t>
  </si>
  <si>
    <t>X (UAII)</t>
  </si>
  <si>
    <t>Y (UPA)</t>
  </si>
  <si>
    <t>INCISO B</t>
  </si>
  <si>
    <t>INCISO C</t>
  </si>
  <si>
    <t>Si las UAII son menores a $52,000 se prefiere la estructura A</t>
  </si>
  <si>
    <t>Si las UAII son mayores a $52,000 se prefiere la estructura B</t>
  </si>
  <si>
    <t>Si las UAII son iguales a $52,000 es indistitnto cualquiera de las dos estructuras</t>
  </si>
  <si>
    <t>INCISO D</t>
  </si>
  <si>
    <t>La estructura de capital B presenta un mayor riesgo a la estructura A, ya que los puntos porcentuales que incrementa o disminuye, en ambos casos de EBIT son mayores a los de la estructura A.</t>
  </si>
  <si>
    <t>INCISO E</t>
  </si>
  <si>
    <t>Se recomienda utilizar la ESTRUCTURA B, ya que se comprobó desde el inciso C que para un UAII mayor a $52,000 se debería escoger esta estructura de capital.</t>
  </si>
  <si>
    <t>Ingresos (Ventas)</t>
  </si>
  <si>
    <t>(-) Gastos</t>
  </si>
  <si>
    <t>(-) Depreciación</t>
  </si>
  <si>
    <t>UAI (Utilidad Antes de Impuestos)</t>
  </si>
  <si>
    <t>(+) Depreciación</t>
  </si>
  <si>
    <t>FNE Operativo</t>
  </si>
  <si>
    <t>PLAN I</t>
  </si>
  <si>
    <t>PLAN II</t>
  </si>
  <si>
    <t>EBIT = UAII</t>
  </si>
  <si>
    <t>(-) interes</t>
  </si>
  <si>
    <t>(-) impuestos</t>
  </si>
  <si>
    <t>(-) dividendos preferentes</t>
  </si>
  <si>
    <t>UDAC</t>
  </si>
  <si>
    <t>EPS (UPA)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</si>
</sst>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_-[$$-540A]* #,##0.00_ ;_-[$$-540A]* \-#,##0.00\ ;_-[$$-540A]* &quot;-&quot;??_ ;_-@_ "/>
    <numFmt numFmtId="166" formatCode="_-&quot;$&quot;* #,##0.00_-;\-&quot;$&quot;* #,##0.00_-;_-&quot;$&quot;* &quot;-&quot;??_-;_-@_-"/>
    <numFmt numFmtId="167" formatCode="_-&quot;Q&quot;* #,##0.00_-;\-&quot;Q&quot;* #,##0.00_-;_-&quot;Q&quot;* &quot;-&quot;??_-;_-@_-"/>
  </numFmts>
  <fonts count="13" x14ac:knownFonts="1">
    <font>
      <sz val="16"/>
      <color theme="1"/>
      <name val="Cascadia Mono SemiBold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b/>
      <sz val="16"/>
      <color theme="1"/>
      <name val="Cascadia Mono SemiBold"/>
      <family val="2"/>
    </font>
    <font>
      <i/>
      <sz val="16"/>
      <color theme="1"/>
      <name val="Cascadia Mono SemiBold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center"/>
    </xf>
    <xf numFmtId="164" fontId="1" fillId="0" borderId="0" xfId="1" applyNumberFormat="1"/>
    <xf numFmtId="9" fontId="2" fillId="0" borderId="0" xfId="1" applyNumberFormat="1" applyFont="1" applyAlignment="1">
      <alignment horizontal="center"/>
    </xf>
    <xf numFmtId="164" fontId="1" fillId="0" borderId="1" xfId="1" applyNumberFormat="1" applyBorder="1"/>
    <xf numFmtId="10" fontId="2" fillId="0" borderId="0" xfId="1" applyNumberFormat="1" applyFont="1" applyAlignment="1">
      <alignment horizontal="center"/>
    </xf>
    <xf numFmtId="0" fontId="1" fillId="0" borderId="0" xfId="1" applyAlignment="1">
      <alignment horizontal="center"/>
    </xf>
    <xf numFmtId="0" fontId="4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right"/>
    </xf>
    <xf numFmtId="164" fontId="5" fillId="0" borderId="0" xfId="1" applyNumberFormat="1" applyFont="1"/>
    <xf numFmtId="164" fontId="5" fillId="0" borderId="1" xfId="1" applyNumberFormat="1" applyFont="1" applyBorder="1"/>
    <xf numFmtId="164" fontId="1" fillId="0" borderId="2" xfId="1" applyNumberFormat="1" applyBorder="1"/>
    <xf numFmtId="0" fontId="6" fillId="0" borderId="0" xfId="1" applyFont="1"/>
    <xf numFmtId="164" fontId="6" fillId="0" borderId="1" xfId="1" applyNumberFormat="1" applyFont="1" applyBorder="1"/>
    <xf numFmtId="0" fontId="4" fillId="0" borderId="0" xfId="1" applyFont="1" applyAlignment="1">
      <alignment horizontal="right"/>
    </xf>
    <xf numFmtId="164" fontId="4" fillId="0" borderId="0" xfId="1" applyNumberFormat="1" applyFont="1"/>
    <xf numFmtId="0" fontId="9" fillId="0" borderId="0" xfId="1" applyFont="1"/>
    <xf numFmtId="165" fontId="9" fillId="0" borderId="0" xfId="1" applyNumberFormat="1" applyFont="1"/>
    <xf numFmtId="2" fontId="9" fillId="0" borderId="0" xfId="1" applyNumberFormat="1" applyFont="1"/>
    <xf numFmtId="165" fontId="9" fillId="0" borderId="0" xfId="5" applyNumberFormat="1" applyFont="1"/>
    <xf numFmtId="0" fontId="11" fillId="0" borderId="0" xfId="0" applyFont="1"/>
    <xf numFmtId="164" fontId="0" fillId="0" borderId="0" xfId="0" applyNumberFormat="1"/>
    <xf numFmtId="0" fontId="12" fillId="0" borderId="0" xfId="0" applyFont="1"/>
    <xf numFmtId="164" fontId="12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0" fontId="0" fillId="0" borderId="1" xfId="0" applyNumberFormat="1" applyBorder="1"/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 wrapText="1"/>
    </xf>
    <xf numFmtId="0" fontId="10" fillId="2" borderId="0" xfId="1" applyFont="1" applyFill="1" applyAlignment="1">
      <alignment horizontal="center"/>
    </xf>
    <xf numFmtId="0" fontId="10" fillId="0" borderId="0" xfId="1" applyFont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4" borderId="0" xfId="0" applyNumberFormat="1" applyFill="1"/>
    <xf numFmtId="165" fontId="0" fillId="0" borderId="0" xfId="0" applyNumberFormat="1"/>
  </cellXfs>
  <cellStyles count="6">
    <cellStyle name="Moneda 2" xfId="2" xr:uid="{11B0A740-44C8-4A6D-9095-4678BDE7A204}"/>
    <cellStyle name="Moneda 3" xfId="4" xr:uid="{3DA43072-121D-491F-9835-E01DA32EBD79}"/>
    <cellStyle name="Moneda 4" xfId="5" xr:uid="{C903B8EA-EE0F-404C-85DD-1B586A948606}"/>
    <cellStyle name="Normal" xfId="0" builtinId="0"/>
    <cellStyle name="Normal 2" xfId="1" xr:uid="{3F116874-21DB-4356-BCA2-2AB5F9C01190}"/>
    <cellStyle name="Porcentaje 2" xfId="3" xr:uid="{3D02D089-949B-4EC9-8AFD-5D1ABF61F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Hoja4!$G$104</c:f>
              <c:strCache>
                <c:ptCount val="1"/>
                <c:pt idx="0">
                  <c:v>PLAN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Hoja4!$H$105:$H$107</c:f>
              <c:numCache>
                <c:formatCode>"$"#,##0.00</c:formatCode>
                <c:ptCount val="3"/>
                <c:pt idx="0">
                  <c:v>350000</c:v>
                </c:pt>
                <c:pt idx="2">
                  <c:v>0</c:v>
                </c:pt>
              </c:numCache>
            </c:numRef>
          </c:xVal>
          <c:yVal>
            <c:numRef>
              <c:f>Hoja4!$I$105:$I$107</c:f>
              <c:numCache>
                <c:formatCode>"$"#,##0.00</c:formatCode>
                <c:ptCount val="3"/>
                <c:pt idx="0">
                  <c:v>1.640625</c:v>
                </c:pt>
                <c:pt idx="2" formatCode="_-[$$-540A]* #,##0.00_ ;_-[$$-540A]* \-#,##0.00\ ;_-[$$-540A]* &quot;-&quot;??_ ;_-@_ 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1-473B-A456-A7EF3D545604}"/>
            </c:ext>
          </c:extLst>
        </c:ser>
        <c:ser>
          <c:idx val="1"/>
          <c:order val="1"/>
          <c:tx>
            <c:strRef>
              <c:f>Hoja4!$G$109</c:f>
              <c:strCache>
                <c:ptCount val="1"/>
                <c:pt idx="0">
                  <c:v>PLAN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Hoja4!$H$110:$H$112</c:f>
              <c:numCache>
                <c:formatCode>"$"#,##0.00</c:formatCode>
                <c:ptCount val="3"/>
                <c:pt idx="0">
                  <c:v>350000</c:v>
                </c:pt>
                <c:pt idx="2">
                  <c:v>280000</c:v>
                </c:pt>
              </c:numCache>
            </c:numRef>
          </c:xVal>
          <c:yVal>
            <c:numRef>
              <c:f>Hoja4!$I$110:$I$112</c:f>
              <c:numCache>
                <c:formatCode>"$"#,##0.00</c:formatCode>
                <c:ptCount val="3"/>
                <c:pt idx="0">
                  <c:v>0.65625</c:v>
                </c:pt>
                <c:pt idx="2" formatCode="_-[$$-540A]* #,##0.00_ ;_-[$$-540A]* \-#,##0.00\ ;_-[$$-540A]* &quot;-&quot;??_ ;_-@_ 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1-473B-A456-A7EF3D54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97040"/>
        <c:axId val="461404240"/>
      </c:scatterChart>
      <c:valAx>
        <c:axId val="4613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1404240"/>
        <c:crosses val="autoZero"/>
        <c:crossBetween val="midCat"/>
      </c:valAx>
      <c:valAx>
        <c:axId val="4614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139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GT"/>
              <a:t>ESTRUCTURA DE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'Hoja1 (2)'!$C$35</c:f>
              <c:strCache>
                <c:ptCount val="1"/>
                <c:pt idx="0">
                  <c:v>ESTRUCTURA A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'Hoja1 (2)'!$D$36:$D$38</c:f>
              <c:numCache>
                <c:formatCode>_-[$$-540A]* #,##0.00_ ;_-[$$-540A]* \-#,##0.00\ ;_-[$$-540A]* "-"??_ ;_-@_ 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16000</c:v>
                </c:pt>
              </c:numCache>
            </c:numRef>
          </c:xVal>
          <c:yVal>
            <c:numRef>
              <c:f>'Hoja1 (2)'!$E$36:$E$38</c:f>
              <c:numCache>
                <c:formatCode>_-[$$-540A]* #,##0.00_ ;_-[$$-540A]* \-#,##0.00\ ;_-[$$-540A]* "-"??_ ;_-@_ </c:formatCode>
                <c:ptCount val="3"/>
                <c:pt idx="0">
                  <c:v>5.0999999999999996</c:v>
                </c:pt>
                <c:pt idx="1">
                  <c:v>6.6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5-4621-A0DD-CC9B7DE3A5DF}"/>
            </c:ext>
          </c:extLst>
        </c:ser>
        <c:ser>
          <c:idx val="0"/>
          <c:order val="1"/>
          <c:tx>
            <c:strRef>
              <c:f>'Hoja1 (2)'!$C$40</c:f>
              <c:strCache>
                <c:ptCount val="1"/>
                <c:pt idx="0">
                  <c:v>ESTRUCTURA B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'Hoja1 (2)'!$D$41:$D$43</c:f>
              <c:numCache>
                <c:formatCode>_-[$$-540A]* #,##0.00_ ;_-[$$-540A]* \-#,##0.00\ ;_-[$$-540A]* "-"??_ ;_-@_ 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34000</c:v>
                </c:pt>
              </c:numCache>
            </c:numRef>
          </c:xVal>
          <c:yVal>
            <c:numRef>
              <c:f>'Hoja1 (2)'!$E$41:$E$43</c:f>
              <c:numCache>
                <c:formatCode>_-[$$-540A]* #,##0.00_ ;_-[$$-540A]* \-#,##0.00\ ;_-[$$-540A]* "-"??_ ;_-@_ </c:formatCode>
                <c:ptCount val="3"/>
                <c:pt idx="0">
                  <c:v>4.8</c:v>
                </c:pt>
                <c:pt idx="1">
                  <c:v>7.8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5-4621-A0DD-CC9B7DE3A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157439"/>
        <c:axId val="1189372976"/>
      </c:scatterChart>
      <c:valAx>
        <c:axId val="12801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UTILIDADES OPERATIVAS (UAII)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9372976"/>
        <c:crosses val="autoZero"/>
        <c:crossBetween val="midCat"/>
      </c:valAx>
      <c:valAx>
        <c:axId val="1189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UTILIDADES POR ACCIÓN (UPA)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80157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13" Type="http://schemas.openxmlformats.org/officeDocument/2006/relationships/image" Target="../media/image21.png"/><Relationship Id="rId3" Type="http://schemas.openxmlformats.org/officeDocument/2006/relationships/image" Target="../media/image11.emf"/><Relationship Id="rId7" Type="http://schemas.openxmlformats.org/officeDocument/2006/relationships/image" Target="../media/image15.emf"/><Relationship Id="rId12" Type="http://schemas.openxmlformats.org/officeDocument/2006/relationships/image" Target="../media/image20.emf"/><Relationship Id="rId17" Type="http://schemas.openxmlformats.org/officeDocument/2006/relationships/image" Target="../media/image25.png"/><Relationship Id="rId2" Type="http://schemas.openxmlformats.org/officeDocument/2006/relationships/image" Target="../media/image10.emf"/><Relationship Id="rId16" Type="http://schemas.openxmlformats.org/officeDocument/2006/relationships/image" Target="../media/image24.jpeg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19.emf"/><Relationship Id="rId5" Type="http://schemas.openxmlformats.org/officeDocument/2006/relationships/image" Target="../media/image13.emf"/><Relationship Id="rId15" Type="http://schemas.openxmlformats.org/officeDocument/2006/relationships/image" Target="../media/image23.png"/><Relationship Id="rId10" Type="http://schemas.openxmlformats.org/officeDocument/2006/relationships/image" Target="../media/image18.emf"/><Relationship Id="rId4" Type="http://schemas.openxmlformats.org/officeDocument/2006/relationships/image" Target="../media/image12.emf"/><Relationship Id="rId9" Type="http://schemas.openxmlformats.org/officeDocument/2006/relationships/image" Target="../media/image17.emf"/><Relationship Id="rId1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chart" Target="../charts/chart2.xml"/><Relationship Id="rId1" Type="http://schemas.openxmlformats.org/officeDocument/2006/relationships/image" Target="../media/image26.png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0</xdr:row>
      <xdr:rowOff>121919</xdr:rowOff>
    </xdr:from>
    <xdr:to>
      <xdr:col>10</xdr:col>
      <xdr:colOff>285750</xdr:colOff>
      <xdr:row>29</xdr:row>
      <xdr:rowOff>161924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40F8EBE-8FFE-4A0D-A365-B644CE21AFB7}"/>
            </a:ext>
          </a:extLst>
        </xdr:cNvPr>
        <xdr:cNvSpPr txBox="1"/>
      </xdr:nvSpPr>
      <xdr:spPr>
        <a:xfrm>
          <a:off x="373380" y="121919"/>
          <a:ext cx="12104370" cy="55645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empresa dedicada a la venta de productos de consumo masivo espera ventas de Q 2.4 millones en el año 2024 y la misma cantidad el siguiente.  Las ventas están dispersas por igual todo el año.  Elabore</a:t>
          </a:r>
          <a:r>
            <a:rPr lang="es-GT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 Estado de Resultados y un Balance General proyectado usando la siguiente información.</a:t>
          </a:r>
        </a:p>
        <a:p>
          <a:endParaRPr lang="es-GT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Efectivo: Se desea mantener un mínimo del 4% de las ventas anuales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Clientes: Se espera que el período de cobro sea de 60 días en promedio según ventas anuales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Inventarios: Se espera que la rotación se mantenga en ocho veces en un año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Activos fijos netos: Q 500,000 luego</a:t>
          </a:r>
          <a:r>
            <a:rPr lang="es-GT" sz="14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de descontar la depreciación acumulada</a:t>
          </a:r>
          <a:endParaRPr lang="es-GT" sz="1400">
            <a:solidFill>
              <a:srgbClr val="FFC000"/>
            </a:solidFill>
            <a:effectLst/>
            <a:latin typeface="+mn-lt"/>
            <a:ea typeface="+mn-ea"/>
            <a:cs typeface="+mn-cs"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Proveedores: compras de un mes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Pasivos acumulados: 3% sobre las ventas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Préstamos bancarios de</a:t>
          </a:r>
          <a:r>
            <a:rPr lang="es-GT" sz="14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CP</a:t>
          </a:r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: Con valor esperado de Q 50,000 sobre</a:t>
          </a:r>
          <a:r>
            <a:rPr lang="es-GT" sz="14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lo ya contraido (pero p</a:t>
          </a:r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uede aumentar en caso se necesite hasta un valor de Q 250,000) 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Deuda a LP: Q 300,000 ahora, por pagar Q 150,000 al final del año, por lo que el saldo será la diferencia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Acciones comunes: Q 100,000.  Sin adiciones planeadas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Utilidades retenidas: Q 500,000 al año 2023</a:t>
          </a:r>
          <a:r>
            <a:rPr lang="es-GT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GT" sz="1400">
            <a:effectLst/>
          </a:endParaRPr>
        </a:p>
        <a:p>
          <a:r>
            <a:rPr lang="es-GT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Margen neto de ganancias: se proyecta un 7.5% de las ventas esperadas del 2024</a:t>
          </a:r>
          <a:endParaRPr lang="es-GT" sz="1400">
            <a:solidFill>
              <a:srgbClr val="FF0000"/>
            </a:solidFill>
            <a:effectLst/>
          </a:endParaRPr>
        </a:p>
        <a:p>
          <a:r>
            <a:rPr lang="es-GT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Dividendo: ninguno.  No se pagarán</a:t>
          </a:r>
          <a:r>
            <a:rPr lang="es-GT" sz="14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en el 2024.</a:t>
          </a:r>
          <a:endParaRPr lang="es-GT" sz="1400">
            <a:solidFill>
              <a:srgbClr val="FF0000"/>
            </a:solidFill>
            <a:effectLst/>
          </a:endParaRPr>
        </a:p>
        <a:p>
          <a:r>
            <a:rPr lang="es-GT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Costo de los bienes vendidos: 60% de las ventas proyectadas</a:t>
          </a:r>
          <a:endParaRPr lang="es-GT" sz="1400">
            <a:solidFill>
              <a:srgbClr val="FF0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Compras: 50% del costo de los bienes vendidos proyectados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ISR: 25% de las utilidades antes de impuestos  (debido a que está inscrito en el regimen general)</a:t>
          </a:r>
          <a:endParaRPr lang="es-GT" sz="1400">
            <a:solidFill>
              <a:srgbClr val="FF0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Año de 360 días (política de la empresa)</a:t>
          </a:r>
          <a:endParaRPr lang="es-GT" sz="1400">
            <a:solidFill>
              <a:srgbClr val="FFC000"/>
            </a:solidFill>
            <a:effectLst/>
          </a:endParaRPr>
        </a:p>
        <a:p>
          <a:endParaRPr lang="es-G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45720</xdr:colOff>
      <xdr:row>27</xdr:row>
      <xdr:rowOff>128913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580A57-49F1-457D-B178-2081F3250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0"/>
          <a:ext cx="5379720" cy="5272413"/>
        </a:xfrm>
        <a:prstGeom prst="rect">
          <a:avLst/>
        </a:prstGeom>
      </xdr:spPr>
    </xdr:pic>
    <xdr:clientData/>
  </xdr:twoCellAnchor>
  <xdr:twoCellAnchor editAs="oneCell">
    <xdr:from>
      <xdr:col>7</xdr:col>
      <xdr:colOff>106680</xdr:colOff>
      <xdr:row>0</xdr:row>
      <xdr:rowOff>83820</xdr:rowOff>
    </xdr:from>
    <xdr:to>
      <xdr:col>17</xdr:col>
      <xdr:colOff>23142</xdr:colOff>
      <xdr:row>27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442D12-1B69-467A-B48F-4496AE83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440680" y="83820"/>
          <a:ext cx="7536462" cy="5113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9525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2DFE91-3E86-BDCB-2F8E-3AA2BE7CDD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9525</xdr:rowOff>
    </xdr:to>
    <xdr:sp macro="" textlink="">
      <xdr:nvSpPr>
        <xdr:cNvPr id="9218" name="AutoShape 2">
          <a:extLst>
            <a:ext uri="{FF2B5EF4-FFF2-40B4-BE49-F238E27FC236}">
              <a16:creationId xmlns:a16="http://schemas.microsoft.com/office/drawing/2014/main" id="{75E24D8E-2B09-0EAE-978C-4AB31AD176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9525</xdr:rowOff>
    </xdr:to>
    <xdr:sp macro="" textlink="">
      <xdr:nvSpPr>
        <xdr:cNvPr id="9219" name="AutoShape 3">
          <a:extLst>
            <a:ext uri="{FF2B5EF4-FFF2-40B4-BE49-F238E27FC236}">
              <a16:creationId xmlns:a16="http://schemas.microsoft.com/office/drawing/2014/main" id="{FB526DDA-737B-7B11-399E-931C0695E3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511939</xdr:colOff>
      <xdr:row>16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21B3F6-EB11-C4C9-D820-D758480D3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764" cy="4857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47625</xdr:rowOff>
    </xdr:from>
    <xdr:to>
      <xdr:col>6</xdr:col>
      <xdr:colOff>937533</xdr:colOff>
      <xdr:row>34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FCCB6E-D887-AC48-B88A-6AE2DBF2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72025"/>
          <a:ext cx="7500258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257175</xdr:rowOff>
    </xdr:from>
    <xdr:to>
      <xdr:col>6</xdr:col>
      <xdr:colOff>819149</xdr:colOff>
      <xdr:row>63</xdr:row>
      <xdr:rowOff>66088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D61945-DBD3-EC30-1A5D-12AA8CF9D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01250"/>
          <a:ext cx="7381874" cy="86671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257175</xdr:rowOff>
    </xdr:from>
    <xdr:to>
      <xdr:col>6</xdr:col>
      <xdr:colOff>485523</xdr:colOff>
      <xdr:row>73</xdr:row>
      <xdr:rowOff>247650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06CA0BB-53C6-DDB7-7975-2B494767C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859500"/>
          <a:ext cx="7048248" cy="2943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57150</xdr:rowOff>
    </xdr:from>
    <xdr:to>
      <xdr:col>4</xdr:col>
      <xdr:colOff>1200998</xdr:colOff>
      <xdr:row>88</xdr:row>
      <xdr:rowOff>76780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B522822-2E51-6C29-36B1-E1569F24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907500"/>
          <a:ext cx="6077798" cy="4153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295274</xdr:rowOff>
    </xdr:from>
    <xdr:to>
      <xdr:col>4</xdr:col>
      <xdr:colOff>1181100</xdr:colOff>
      <xdr:row>115</xdr:row>
      <xdr:rowOff>233598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A664DB6-0230-EA06-6BC2-DB135BE48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6279474"/>
          <a:ext cx="6057900" cy="7910749"/>
        </a:xfrm>
        <a:prstGeom prst="rect">
          <a:avLst/>
        </a:prstGeom>
      </xdr:spPr>
    </xdr:pic>
    <xdr:clientData/>
  </xdr:twoCellAnchor>
  <xdr:twoCellAnchor>
    <xdr:from>
      <xdr:col>1</xdr:col>
      <xdr:colOff>733425</xdr:colOff>
      <xdr:row>8</xdr:row>
      <xdr:rowOff>238125</xdr:rowOff>
    </xdr:from>
    <xdr:to>
      <xdr:col>6</xdr:col>
      <xdr:colOff>1095375</xdr:colOff>
      <xdr:row>8</xdr:row>
      <xdr:rowOff>266700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B27BF54D-1D1F-99B7-BD07-844C61D5B15E}"/>
            </a:ext>
          </a:extLst>
        </xdr:cNvPr>
        <xdr:cNvCxnSpPr/>
      </xdr:nvCxnSpPr>
      <xdr:spPr>
        <a:xfrm flipV="1">
          <a:off x="1952625" y="2600325"/>
          <a:ext cx="6457950" cy="2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358589</xdr:colOff>
      <xdr:row>114</xdr:row>
      <xdr:rowOff>71717</xdr:rowOff>
    </xdr:from>
    <xdr:to>
      <xdr:col>7</xdr:col>
      <xdr:colOff>1550895</xdr:colOff>
      <xdr:row>123</xdr:row>
      <xdr:rowOff>233082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6BFCC82-6104-2EFA-4F8A-109BAADED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6</xdr:row>
      <xdr:rowOff>15240</xdr:rowOff>
    </xdr:from>
    <xdr:to>
      <xdr:col>6</xdr:col>
      <xdr:colOff>335280</xdr:colOff>
      <xdr:row>9</xdr:row>
      <xdr:rowOff>83820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B0B95D-1472-420B-903B-ED391EE15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158240"/>
          <a:ext cx="462534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441960</xdr:colOff>
      <xdr:row>14</xdr:row>
      <xdr:rowOff>160020</xdr:rowOff>
    </xdr:from>
    <xdr:to>
      <xdr:col>4</xdr:col>
      <xdr:colOff>129540</xdr:colOff>
      <xdr:row>17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CED001-1908-429B-8217-B1A31381B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2827020"/>
          <a:ext cx="27355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12</xdr:row>
      <xdr:rowOff>22860</xdr:rowOff>
    </xdr:from>
    <xdr:to>
      <xdr:col>4</xdr:col>
      <xdr:colOff>426720</xdr:colOff>
      <xdr:row>14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9E401B-2CEC-458E-A830-AC029F1D1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2308860"/>
          <a:ext cx="34061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</xdr:row>
      <xdr:rowOff>137160</xdr:rowOff>
    </xdr:from>
    <xdr:to>
      <xdr:col>4</xdr:col>
      <xdr:colOff>464820</xdr:colOff>
      <xdr:row>5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993883-4FBE-489F-9DE8-829402370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18160"/>
          <a:ext cx="313182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4</xdr:col>
      <xdr:colOff>304800</xdr:colOff>
      <xdr:row>2</xdr:row>
      <xdr:rowOff>7620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7A1218B-6E28-43ED-BD1B-7F559E6A5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99060"/>
          <a:ext cx="328422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289560</xdr:colOff>
      <xdr:row>18</xdr:row>
      <xdr:rowOff>129540</xdr:rowOff>
    </xdr:from>
    <xdr:to>
      <xdr:col>6</xdr:col>
      <xdr:colOff>99060</xdr:colOff>
      <xdr:row>23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B45902C-94E4-4789-ACE3-D0F28E21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3558540"/>
          <a:ext cx="4381500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784860</xdr:colOff>
      <xdr:row>1</xdr:row>
      <xdr:rowOff>15240</xdr:rowOff>
    </xdr:from>
    <xdr:to>
      <xdr:col>11</xdr:col>
      <xdr:colOff>655320</xdr:colOff>
      <xdr:row>2</xdr:row>
      <xdr:rowOff>137160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BAFA22B-E9C5-4489-A273-5E16B2B63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duotone>
            <a:prstClr val="black"/>
            <a:srgbClr val="7030A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9810" y="205740"/>
          <a:ext cx="293751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586740</xdr:colOff>
      <xdr:row>3</xdr:row>
      <xdr:rowOff>38100</xdr:rowOff>
    </xdr:from>
    <xdr:to>
      <xdr:col>13</xdr:col>
      <xdr:colOff>30480</xdr:colOff>
      <xdr:row>5</xdr:row>
      <xdr:rowOff>144780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22AA03B-FA21-444B-BD61-881432449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duotone>
            <a:prstClr val="black"/>
            <a:srgbClr val="7030A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2740" y="609600"/>
          <a:ext cx="325374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</xdr:colOff>
      <xdr:row>6</xdr:row>
      <xdr:rowOff>175260</xdr:rowOff>
    </xdr:from>
    <xdr:to>
      <xdr:col>16</xdr:col>
      <xdr:colOff>373380</xdr:colOff>
      <xdr:row>11</xdr:row>
      <xdr:rowOff>53340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4050060-9DA9-4365-9B65-F086BD9AD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duotone>
            <a:prstClr val="black"/>
            <a:srgbClr val="7030A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3240" y="1318260"/>
          <a:ext cx="56921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449580</xdr:colOff>
      <xdr:row>4</xdr:row>
      <xdr:rowOff>7620</xdr:rowOff>
    </xdr:from>
    <xdr:to>
      <xdr:col>16</xdr:col>
      <xdr:colOff>190500</xdr:colOff>
      <xdr:row>5</xdr:row>
      <xdr:rowOff>90767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3AC7FCE-270B-4D34-BDD3-59AC0B418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duotone>
            <a:prstClr val="black"/>
            <a:srgbClr val="7030A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580" y="769620"/>
          <a:ext cx="2026920" cy="273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60960</xdr:colOff>
      <xdr:row>18</xdr:row>
      <xdr:rowOff>60960</xdr:rowOff>
    </xdr:from>
    <xdr:to>
      <xdr:col>11</xdr:col>
      <xdr:colOff>693420</xdr:colOff>
      <xdr:row>20</xdr:row>
      <xdr:rowOff>167640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679F071-FF80-4CB0-8D7F-F0AC6C6DD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3489960"/>
          <a:ext cx="1394460" cy="4876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</xdr:pic>
    <xdr:clientData/>
  </xdr:twoCellAnchor>
  <xdr:twoCellAnchor editAs="oneCell">
    <xdr:from>
      <xdr:col>8</xdr:col>
      <xdr:colOff>99060</xdr:colOff>
      <xdr:row>15</xdr:row>
      <xdr:rowOff>0</xdr:rowOff>
    </xdr:from>
    <xdr:to>
      <xdr:col>13</xdr:col>
      <xdr:colOff>60960</xdr:colOff>
      <xdr:row>16</xdr:row>
      <xdr:rowOff>121920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61F88CB-79D3-45DA-A1E8-001B0EAAA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5060" y="2857500"/>
          <a:ext cx="37719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167640</xdr:colOff>
      <xdr:row>29</xdr:row>
      <xdr:rowOff>91440</xdr:rowOff>
    </xdr:from>
    <xdr:ext cx="2245615" cy="521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10A3095-B4B3-4CF2-A0A0-749AC5F9ED4A}"/>
                </a:ext>
              </a:extLst>
            </xdr:cNvPr>
            <xdr:cNvSpPr txBox="1"/>
          </xdr:nvSpPr>
          <xdr:spPr>
            <a:xfrm>
              <a:off x="929640" y="561594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EPS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esperado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EPSi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pi</m:t>
                        </m:r>
                      </m:e>
                    </m:nary>
                  </m:oMath>
                </m:oMathPara>
              </a14:m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10A3095-B4B3-4CF2-A0A0-749AC5F9ED4A}"/>
                </a:ext>
              </a:extLst>
            </xdr:cNvPr>
            <xdr:cNvSpPr txBox="1"/>
          </xdr:nvSpPr>
          <xdr:spPr>
            <a:xfrm>
              <a:off x="929640" y="561594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EPS esperado=∑▒〖EPSi∗pi〗</a:t>
              </a:r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594360</xdr:colOff>
      <xdr:row>33</xdr:row>
      <xdr:rowOff>91440</xdr:rowOff>
    </xdr:from>
    <xdr:ext cx="4023537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48E9459-0E5A-4E05-AB0A-E0D4A312D0DB}"/>
                </a:ext>
              </a:extLst>
            </xdr:cNvPr>
            <xdr:cNvSpPr txBox="1"/>
          </xdr:nvSpPr>
          <xdr:spPr>
            <a:xfrm>
              <a:off x="594360" y="637794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𝐷𝑒𝑠𝑣𝑖𝑎𝑐𝑖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ó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𝑒𝑠𝑝𝑒𝑟𝑎𝑑𝑜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𝑒𝑠𝑝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𝑝𝑖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48E9459-0E5A-4E05-AB0A-E0D4A312D0DB}"/>
                </a:ext>
              </a:extLst>
            </xdr:cNvPr>
            <xdr:cNvSpPr txBox="1"/>
          </xdr:nvSpPr>
          <xdr:spPr>
            <a:xfrm>
              <a:off x="594360" y="637794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𝐷𝑒𝑠𝑣𝑖𝑎𝑐𝑖ó𝑛 𝑒𝑠𝑝𝑒𝑟𝑎𝑑𝑜=√(∑▒〖〖(𝐸𝑃𝑆−𝐸𝑃𝑆 𝑒𝑠𝑝)〗^2∗𝑝𝑖〗)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190500</xdr:colOff>
      <xdr:row>38</xdr:row>
      <xdr:rowOff>30480</xdr:rowOff>
    </xdr:from>
    <xdr:ext cx="2843022" cy="4463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922454E7-64E4-4C4A-B019-630B8AF219AD}"/>
                </a:ext>
              </a:extLst>
            </xdr:cNvPr>
            <xdr:cNvSpPr txBox="1"/>
          </xdr:nvSpPr>
          <xdr:spPr>
            <a:xfrm>
              <a:off x="952500" y="726948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𝐶𝑉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%=</m:t>
                    </m:r>
                    <m:f>
                      <m:fPr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𝐷𝑒𝑠𝑣𝑖𝑎𝑐𝑖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num>
                      <m:den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𝐸𝑃𝑆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den>
                    </m:f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∗100</m:t>
                    </m:r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922454E7-64E4-4C4A-B019-630B8AF219AD}"/>
                </a:ext>
              </a:extLst>
            </xdr:cNvPr>
            <xdr:cNvSpPr txBox="1"/>
          </xdr:nvSpPr>
          <xdr:spPr>
            <a:xfrm>
              <a:off x="952500" y="726948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𝐶𝑉%=(𝐷𝑒𝑠𝑣𝑖𝑎𝑐𝑖ó𝑛 𝑒𝑠𝑝𝑒𝑟𝑎𝑑𝑎)/(𝐸𝑃𝑆 𝑒𝑠𝑝𝑒𝑟𝑎𝑑𝑎)  ∗100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7</xdr:col>
      <xdr:colOff>777240</xdr:colOff>
      <xdr:row>22</xdr:row>
      <xdr:rowOff>129540</xdr:rowOff>
    </xdr:from>
    <xdr:to>
      <xdr:col>14</xdr:col>
      <xdr:colOff>210849</xdr:colOff>
      <xdr:row>25</xdr:row>
      <xdr:rowOff>122981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4E686FF0-0FEF-4BAD-8B80-C05E3A09220D}"/>
                </a:ext>
              </a:extLst>
            </xdr:cNvPr>
            <xdr:cNvSpPr txBox="1"/>
          </xdr:nvSpPr>
          <xdr:spPr>
            <a:xfrm>
              <a:off x="6092190" y="4320540"/>
              <a:ext cx="4786659" cy="564941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4E686FF0-0FEF-4BAD-8B80-C05E3A09220D}"/>
                </a:ext>
              </a:extLst>
            </xdr:cNvPr>
            <xdr:cNvSpPr txBox="1"/>
          </xdr:nvSpPr>
          <xdr:spPr>
            <a:xfrm>
              <a:off x="6092190" y="4320540"/>
              <a:ext cx="4786659" cy="564941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twoCellAnchor editAs="oneCell">
    <xdr:from>
      <xdr:col>7</xdr:col>
      <xdr:colOff>83820</xdr:colOff>
      <xdr:row>30</xdr:row>
      <xdr:rowOff>114300</xdr:rowOff>
    </xdr:from>
    <xdr:to>
      <xdr:col>17</xdr:col>
      <xdr:colOff>644734</xdr:colOff>
      <xdr:row>39</xdr:row>
      <xdr:rowOff>144570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8C2F74-C356-4706-BAB2-B75CD039D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17820" y="5829300"/>
          <a:ext cx="8180914" cy="1744770"/>
        </a:xfrm>
        <a:prstGeom prst="rect">
          <a:avLst/>
        </a:prstGeom>
      </xdr:spPr>
    </xdr:pic>
    <xdr:clientData/>
  </xdr:twoCellAnchor>
  <xdr:twoCellAnchor editAs="oneCell">
    <xdr:from>
      <xdr:col>8</xdr:col>
      <xdr:colOff>327660</xdr:colOff>
      <xdr:row>27</xdr:row>
      <xdr:rowOff>97399</xdr:rowOff>
    </xdr:from>
    <xdr:to>
      <xdr:col>17</xdr:col>
      <xdr:colOff>279041</xdr:colOff>
      <xdr:row>30</xdr:row>
      <xdr:rowOff>32317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67A0EE5-B61F-4424-A314-58BFD9A75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23660" y="5240899"/>
          <a:ext cx="6809381" cy="50641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25</xdr:row>
      <xdr:rowOff>152401</xdr:rowOff>
    </xdr:from>
    <xdr:to>
      <xdr:col>4</xdr:col>
      <xdr:colOff>381000</xdr:colOff>
      <xdr:row>28</xdr:row>
      <xdr:rowOff>33623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FBBF953-E9C8-4633-B661-491E602B1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" y="4914901"/>
          <a:ext cx="3352800" cy="452722"/>
        </a:xfrm>
        <a:prstGeom prst="rect">
          <a:avLst/>
        </a:prstGeom>
      </xdr:spPr>
    </xdr:pic>
    <xdr:clientData/>
  </xdr:twoCellAnchor>
  <xdr:twoCellAnchor editAs="oneCell">
    <xdr:from>
      <xdr:col>13</xdr:col>
      <xdr:colOff>632460</xdr:colOff>
      <xdr:row>15</xdr:row>
      <xdr:rowOff>22860</xdr:rowOff>
    </xdr:from>
    <xdr:to>
      <xdr:col>18</xdr:col>
      <xdr:colOff>349176</xdr:colOff>
      <xdr:row>21</xdr:row>
      <xdr:rowOff>24498</xdr:rowOff>
    </xdr:to>
    <xdr:pic>
      <xdr:nvPicPr>
        <xdr:cNvPr id="21" name="Picture 4" descr="El Punto de Equilibrio del negocio y su importancia estratégica">
          <a:extLst>
            <a:ext uri="{FF2B5EF4-FFF2-40B4-BE49-F238E27FC236}">
              <a16:creationId xmlns:a16="http://schemas.microsoft.com/office/drawing/2014/main" id="{53C6A1BF-E55D-486C-84E6-33F3AD59B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1" t="6822" r="6684" b="54332"/>
        <a:stretch/>
      </xdr:blipFill>
      <xdr:spPr bwMode="auto">
        <a:xfrm>
          <a:off x="10538460" y="2880360"/>
          <a:ext cx="3526716" cy="11446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</xdr:pic>
    <xdr:clientData/>
  </xdr:twoCellAnchor>
  <xdr:twoCellAnchor editAs="oneCell">
    <xdr:from>
      <xdr:col>9</xdr:col>
      <xdr:colOff>754380</xdr:colOff>
      <xdr:row>40</xdr:row>
      <xdr:rowOff>144780</xdr:rowOff>
    </xdr:from>
    <xdr:to>
      <xdr:col>14</xdr:col>
      <xdr:colOff>534338</xdr:colOff>
      <xdr:row>44</xdr:row>
      <xdr:rowOff>18875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C52207A-C29E-411B-B2F6-AA499FD72E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19434"/>
        <a:stretch/>
      </xdr:blipFill>
      <xdr:spPr>
        <a:xfrm>
          <a:off x="7612380" y="7764780"/>
          <a:ext cx="3589958" cy="636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723950</xdr:colOff>
      <xdr:row>20</xdr:row>
      <xdr:rowOff>56690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552D58-5107-492B-AA0F-635210E01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533333" cy="367619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175500</xdr:colOff>
      <xdr:row>36</xdr:row>
      <xdr:rowOff>168066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091CC4A-C9DD-4846-9616-E10F8AA2BDAE}"/>
                </a:ext>
              </a:extLst>
            </xdr:cNvPr>
            <xdr:cNvSpPr txBox="1"/>
          </xdr:nvSpPr>
          <xdr:spPr>
            <a:xfrm>
              <a:off x="5295900" y="6477000"/>
              <a:ext cx="4823700" cy="549066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091CC4A-C9DD-4846-9616-E10F8AA2BDAE}"/>
                </a:ext>
              </a:extLst>
            </xdr:cNvPr>
            <xdr:cNvSpPr txBox="1"/>
          </xdr:nvSpPr>
          <xdr:spPr>
            <a:xfrm>
              <a:off x="5295900" y="6477000"/>
              <a:ext cx="4823700" cy="549066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twoCellAnchor>
    <xdr:from>
      <xdr:col>2</xdr:col>
      <xdr:colOff>1400174</xdr:colOff>
      <xdr:row>46</xdr:row>
      <xdr:rowOff>4761</xdr:rowOff>
    </xdr:from>
    <xdr:to>
      <xdr:col>10</xdr:col>
      <xdr:colOff>19049</xdr:colOff>
      <xdr:row>62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AC9B00-936B-44D1-A406-0E62C3BB6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66</xdr:row>
      <xdr:rowOff>22412</xdr:rowOff>
    </xdr:from>
    <xdr:to>
      <xdr:col>7</xdr:col>
      <xdr:colOff>235650</xdr:colOff>
      <xdr:row>69</xdr:row>
      <xdr:rowOff>65841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B77F0BA-C1BC-4249-9F2D-AB5F12BF6F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9434"/>
        <a:stretch/>
      </xdr:blipFill>
      <xdr:spPr>
        <a:xfrm>
          <a:off x="3733800" y="12595412"/>
          <a:ext cx="3629863" cy="614929"/>
        </a:xfrm>
        <a:prstGeom prst="rect">
          <a:avLst/>
        </a:prstGeom>
      </xdr:spPr>
    </xdr:pic>
    <xdr:clientData/>
  </xdr:twoCellAnchor>
  <xdr:oneCellAnchor>
    <xdr:from>
      <xdr:col>2</xdr:col>
      <xdr:colOff>1019735</xdr:colOff>
      <xdr:row>71</xdr:row>
      <xdr:rowOff>0</xdr:rowOff>
    </xdr:from>
    <xdr:ext cx="7160560" cy="503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D2394EA-908A-4F5D-978B-514FBF9144A9}"/>
                </a:ext>
              </a:extLst>
            </xdr:cNvPr>
            <xdr:cNvSpPr txBox="1"/>
          </xdr:nvSpPr>
          <xdr:spPr>
            <a:xfrm>
              <a:off x="2543735" y="13525500"/>
              <a:ext cx="7160560" cy="50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GT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600" b="0" i="1">
                                <a:latin typeface="Cambria Math" panose="02040503050406030204" pitchFamily="18" charset="0"/>
                              </a:rPr>
                              <m:t>1−0.40</m:t>
                            </m:r>
                          </m:e>
                        </m:d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s-MX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6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s-MX" sz="1600" b="0" i="1">
                                <a:latin typeface="Cambria Math" panose="02040503050406030204" pitchFamily="18" charset="0"/>
                              </a:rPr>
                              <m:t>−16,000</m:t>
                            </m:r>
                          </m:e>
                        </m:d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4,000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600" b="0" i="1">
                                <a:latin typeface="Cambria Math" panose="02040503050406030204" pitchFamily="18" charset="0"/>
                              </a:rPr>
                              <m:t>1−0.40</m:t>
                            </m:r>
                          </m:e>
                        </m:d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s-MX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6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s-MX" sz="1600" b="0" i="1">
                                <a:latin typeface="Cambria Math" panose="02040503050406030204" pitchFamily="18" charset="0"/>
                              </a:rPr>
                              <m:t>−34000</m:t>
                            </m:r>
                          </m:e>
                        </m:d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2,000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D2394EA-908A-4F5D-978B-514FBF9144A9}"/>
                </a:ext>
              </a:extLst>
            </xdr:cNvPr>
            <xdr:cNvSpPr txBox="1"/>
          </xdr:nvSpPr>
          <xdr:spPr>
            <a:xfrm>
              <a:off x="2543735" y="13525500"/>
              <a:ext cx="7160560" cy="50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GT" sz="1600" i="0">
                  <a:latin typeface="Cambria Math" panose="02040503050406030204" pitchFamily="18" charset="0"/>
                </a:rPr>
                <a:t>(</a:t>
              </a:r>
              <a:r>
                <a:rPr lang="es-MX" sz="1600" b="0" i="0">
                  <a:latin typeface="Cambria Math" panose="02040503050406030204" pitchFamily="18" charset="0"/>
                </a:rPr>
                <a:t>(1−0.40)∗(𝑈𝐴𝐼𝐼−16,000)</a:t>
              </a:r>
              <a:r>
                <a:rPr lang="es-GT" sz="1600" b="0" i="0">
                  <a:latin typeface="Cambria Math" panose="02040503050406030204" pitchFamily="18" charset="0"/>
                </a:rPr>
                <a:t>)/</a:t>
              </a:r>
              <a:r>
                <a:rPr lang="es-MX" sz="1600" b="0" i="0">
                  <a:latin typeface="Cambria Math" panose="02040503050406030204" pitchFamily="18" charset="0"/>
                </a:rPr>
                <a:t>4,000=((1−0.40)∗(𝑈𝐴𝐼𝐼−34000))/2,000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10</xdr:col>
      <xdr:colOff>0</xdr:colOff>
      <xdr:row>82</xdr:row>
      <xdr:rowOff>0</xdr:rowOff>
    </xdr:from>
    <xdr:to>
      <xdr:col>15</xdr:col>
      <xdr:colOff>603250</xdr:colOff>
      <xdr:row>86</xdr:row>
      <xdr:rowOff>34502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E710AB4-EED9-4785-89BE-EE8F26895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5621000"/>
          <a:ext cx="4413250" cy="796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B800-41DE-439F-A24B-CABAEA1B7443}">
  <dimension ref="L1:P47"/>
  <sheetViews>
    <sheetView tabSelected="1" zoomScaleNormal="100" workbookViewId="0">
      <selection activeCell="Q23" sqref="Q23"/>
    </sheetView>
  </sheetViews>
  <sheetFormatPr baseColWidth="10" defaultColWidth="10.6875" defaultRowHeight="14.4" x14ac:dyDescent="0.3"/>
  <cols>
    <col min="1" max="10" width="10.6875" style="1"/>
    <col min="11" max="11" width="3.5" style="1" customWidth="1"/>
    <col min="12" max="12" width="20.75" style="1" bestFit="1" customWidth="1"/>
    <col min="13" max="13" width="8.5" style="1" customWidth="1"/>
    <col min="14" max="16384" width="10.6875" style="1"/>
  </cols>
  <sheetData>
    <row r="1" spans="12:16" x14ac:dyDescent="0.3">
      <c r="L1" s="1" t="s">
        <v>0</v>
      </c>
    </row>
    <row r="2" spans="12:16" x14ac:dyDescent="0.3">
      <c r="L2" s="2" t="s">
        <v>1</v>
      </c>
    </row>
    <row r="3" spans="12:16" x14ac:dyDescent="0.3">
      <c r="L3" s="1" t="s">
        <v>2</v>
      </c>
    </row>
    <row r="4" spans="12:16" x14ac:dyDescent="0.3">
      <c r="L4" s="1" t="s">
        <v>3</v>
      </c>
    </row>
    <row r="5" spans="12:16" x14ac:dyDescent="0.3">
      <c r="O5" s="3" t="s">
        <v>4</v>
      </c>
    </row>
    <row r="6" spans="12:16" x14ac:dyDescent="0.3">
      <c r="L6" s="1" t="s">
        <v>5</v>
      </c>
      <c r="M6" s="4">
        <v>2400000</v>
      </c>
      <c r="O6" s="5">
        <v>1</v>
      </c>
    </row>
    <row r="7" spans="12:16" x14ac:dyDescent="0.3">
      <c r="L7" s="1" t="s">
        <v>6</v>
      </c>
      <c r="M7" s="6">
        <f>0.6*M6</f>
        <v>1440000</v>
      </c>
      <c r="O7" s="7">
        <v>0.6</v>
      </c>
    </row>
    <row r="8" spans="12:16" x14ac:dyDescent="0.3">
      <c r="L8" s="1" t="s">
        <v>7</v>
      </c>
      <c r="M8" s="4">
        <f>M6-M7</f>
        <v>960000</v>
      </c>
      <c r="O8" s="7">
        <f>M8/M6</f>
        <v>0.4</v>
      </c>
    </row>
    <row r="9" spans="12:16" x14ac:dyDescent="0.3">
      <c r="L9" s="1" t="s">
        <v>8</v>
      </c>
      <c r="M9" s="6">
        <v>720000</v>
      </c>
      <c r="O9" s="7"/>
    </row>
    <row r="10" spans="12:16" x14ac:dyDescent="0.3">
      <c r="L10" s="1" t="s">
        <v>9</v>
      </c>
      <c r="M10" s="4">
        <f>M8-M9</f>
        <v>240000</v>
      </c>
      <c r="O10" s="7"/>
    </row>
    <row r="11" spans="12:16" x14ac:dyDescent="0.3">
      <c r="L11" s="1" t="s">
        <v>10</v>
      </c>
      <c r="M11" s="6">
        <v>0</v>
      </c>
      <c r="O11" s="7"/>
    </row>
    <row r="12" spans="12:16" x14ac:dyDescent="0.3">
      <c r="L12" s="1" t="s">
        <v>11</v>
      </c>
      <c r="M12" s="4">
        <f>M10-M11</f>
        <v>240000</v>
      </c>
      <c r="O12" s="7"/>
    </row>
    <row r="13" spans="12:16" x14ac:dyDescent="0.3">
      <c r="L13" s="1" t="s">
        <v>12</v>
      </c>
      <c r="M13" s="6">
        <f>0.25*M10</f>
        <v>60000</v>
      </c>
      <c r="O13" s="7"/>
    </row>
    <row r="14" spans="12:16" x14ac:dyDescent="0.3">
      <c r="L14" s="1" t="s">
        <v>13</v>
      </c>
      <c r="M14" s="4">
        <f>M12-M13</f>
        <v>180000</v>
      </c>
      <c r="O14" s="7">
        <v>7.4999999999999997E-2</v>
      </c>
      <c r="P14" s="4">
        <v>180000</v>
      </c>
    </row>
    <row r="15" spans="12:16" x14ac:dyDescent="0.3">
      <c r="M15" s="4"/>
      <c r="O15" s="8"/>
    </row>
    <row r="16" spans="12:16" x14ac:dyDescent="0.3">
      <c r="M16" s="4"/>
    </row>
    <row r="17" spans="12:15" x14ac:dyDescent="0.3">
      <c r="L17" s="1" t="s">
        <v>0</v>
      </c>
      <c r="M17" s="4"/>
    </row>
    <row r="18" spans="12:15" x14ac:dyDescent="0.3">
      <c r="L18" s="2" t="s">
        <v>14</v>
      </c>
      <c r="M18" s="4"/>
    </row>
    <row r="19" spans="12:15" x14ac:dyDescent="0.3">
      <c r="L19" s="1" t="s">
        <v>2</v>
      </c>
      <c r="M19" s="4"/>
    </row>
    <row r="20" spans="12:15" x14ac:dyDescent="0.3">
      <c r="L20" s="1" t="s">
        <v>3</v>
      </c>
      <c r="M20" s="4"/>
    </row>
    <row r="22" spans="12:15" x14ac:dyDescent="0.3">
      <c r="L22" s="9" t="s">
        <v>15</v>
      </c>
      <c r="N22" s="3" t="s">
        <v>4</v>
      </c>
    </row>
    <row r="23" spans="12:15" x14ac:dyDescent="0.3">
      <c r="L23" s="9" t="s">
        <v>16</v>
      </c>
      <c r="N23" s="10"/>
    </row>
    <row r="24" spans="12:15" x14ac:dyDescent="0.3">
      <c r="L24" s="1" t="s">
        <v>17</v>
      </c>
      <c r="M24" s="4">
        <f>4%*M6</f>
        <v>96000</v>
      </c>
      <c r="N24" s="7">
        <f>M24/M$31</f>
        <v>8.1632653061224483E-2</v>
      </c>
    </row>
    <row r="25" spans="12:15" x14ac:dyDescent="0.3">
      <c r="L25" s="1" t="s">
        <v>18</v>
      </c>
      <c r="M25" s="4">
        <f>O25*60</f>
        <v>400000</v>
      </c>
      <c r="N25" s="7">
        <f t="shared" ref="N25:N30" si="0">M25/M$31</f>
        <v>0.3401360544217687</v>
      </c>
      <c r="O25" s="4">
        <f>M6/360</f>
        <v>6666.666666666667</v>
      </c>
    </row>
    <row r="26" spans="12:15" x14ac:dyDescent="0.3">
      <c r="L26" s="1" t="s">
        <v>19</v>
      </c>
      <c r="M26" s="6">
        <f>M7/8</f>
        <v>180000</v>
      </c>
      <c r="N26" s="7">
        <f t="shared" si="0"/>
        <v>0.15306122448979592</v>
      </c>
    </row>
    <row r="27" spans="12:15" x14ac:dyDescent="0.3">
      <c r="L27" s="11" t="s">
        <v>20</v>
      </c>
      <c r="M27" s="12">
        <f>SUM(M24:M26)</f>
        <v>676000</v>
      </c>
      <c r="N27" s="7">
        <f t="shared" si="0"/>
        <v>0.57482993197278909</v>
      </c>
    </row>
    <row r="28" spans="12:15" x14ac:dyDescent="0.3">
      <c r="L28" s="9" t="s">
        <v>21</v>
      </c>
      <c r="M28" s="4"/>
      <c r="N28" s="10"/>
    </row>
    <row r="29" spans="12:15" x14ac:dyDescent="0.3">
      <c r="L29" s="1" t="s">
        <v>22</v>
      </c>
      <c r="M29" s="4">
        <v>500000</v>
      </c>
      <c r="N29" s="7">
        <f>M29/M$31</f>
        <v>0.42517006802721086</v>
      </c>
    </row>
    <row r="30" spans="12:15" x14ac:dyDescent="0.3">
      <c r="L30" s="11" t="s">
        <v>23</v>
      </c>
      <c r="M30" s="13">
        <f>M29</f>
        <v>500000</v>
      </c>
      <c r="N30" s="7">
        <f t="shared" si="0"/>
        <v>0.42517006802721086</v>
      </c>
    </row>
    <row r="31" spans="12:15" x14ac:dyDescent="0.3">
      <c r="L31" s="9" t="s">
        <v>24</v>
      </c>
      <c r="M31" s="4">
        <f>M27+M30</f>
        <v>1176000</v>
      </c>
      <c r="N31" s="5">
        <v>1</v>
      </c>
    </row>
    <row r="32" spans="12:15" x14ac:dyDescent="0.3">
      <c r="L32" s="9" t="s">
        <v>25</v>
      </c>
      <c r="M32" s="4"/>
      <c r="N32" s="10"/>
    </row>
    <row r="33" spans="12:14" x14ac:dyDescent="0.3">
      <c r="L33" s="9" t="s">
        <v>26</v>
      </c>
      <c r="M33" s="4"/>
      <c r="N33" s="10"/>
    </row>
    <row r="34" spans="12:14" x14ac:dyDescent="0.3">
      <c r="L34" s="1" t="s">
        <v>27</v>
      </c>
      <c r="M34" s="4">
        <f>(M7*50%)/12</f>
        <v>60000</v>
      </c>
      <c r="N34" s="7">
        <f t="shared" ref="N34:N47" si="1">M34/M$31</f>
        <v>5.1020408163265307E-2</v>
      </c>
    </row>
    <row r="35" spans="12:14" x14ac:dyDescent="0.3">
      <c r="L35" s="1" t="s">
        <v>28</v>
      </c>
      <c r="M35" s="4">
        <f>3%*M6</f>
        <v>72000</v>
      </c>
      <c r="N35" s="7">
        <f t="shared" si="1"/>
        <v>6.1224489795918366E-2</v>
      </c>
    </row>
    <row r="36" spans="12:14" x14ac:dyDescent="0.3">
      <c r="L36" s="1" t="s">
        <v>29</v>
      </c>
      <c r="M36" s="6">
        <v>50000</v>
      </c>
      <c r="N36" s="7">
        <f t="shared" si="1"/>
        <v>4.2517006802721087E-2</v>
      </c>
    </row>
    <row r="37" spans="12:14" x14ac:dyDescent="0.3">
      <c r="L37" s="11" t="s">
        <v>30</v>
      </c>
      <c r="M37" s="12">
        <f>SUM(M34:M36)</f>
        <v>182000</v>
      </c>
      <c r="N37" s="7">
        <f t="shared" si="1"/>
        <v>0.15476190476190477</v>
      </c>
    </row>
    <row r="38" spans="12:14" x14ac:dyDescent="0.3">
      <c r="L38" s="9" t="s">
        <v>31</v>
      </c>
      <c r="N38" s="10"/>
    </row>
    <row r="39" spans="12:14" x14ac:dyDescent="0.3">
      <c r="L39" s="1" t="s">
        <v>32</v>
      </c>
      <c r="M39" s="4">
        <v>150000</v>
      </c>
      <c r="N39" s="7">
        <f t="shared" si="1"/>
        <v>0.12755102040816327</v>
      </c>
    </row>
    <row r="40" spans="12:14" x14ac:dyDescent="0.3">
      <c r="L40" s="11" t="s">
        <v>33</v>
      </c>
      <c r="M40" s="12">
        <f>M39</f>
        <v>150000</v>
      </c>
      <c r="N40" s="7">
        <f t="shared" si="1"/>
        <v>0.12755102040816327</v>
      </c>
    </row>
    <row r="41" spans="12:14" x14ac:dyDescent="0.3">
      <c r="L41" s="9" t="s">
        <v>34</v>
      </c>
      <c r="M41" s="4"/>
      <c r="N41" s="10"/>
    </row>
    <row r="42" spans="12:14" x14ac:dyDescent="0.3">
      <c r="L42" s="1" t="s">
        <v>35</v>
      </c>
      <c r="M42" s="4">
        <v>100000</v>
      </c>
      <c r="N42" s="7">
        <f t="shared" si="1"/>
        <v>8.5034013605442174E-2</v>
      </c>
    </row>
    <row r="43" spans="12:14" x14ac:dyDescent="0.3">
      <c r="L43" s="1" t="s">
        <v>36</v>
      </c>
      <c r="M43" s="6">
        <f>500000+M14</f>
        <v>680000</v>
      </c>
      <c r="N43" s="7">
        <f t="shared" si="1"/>
        <v>0.57823129251700678</v>
      </c>
    </row>
    <row r="44" spans="12:14" x14ac:dyDescent="0.3">
      <c r="L44" s="1" t="s">
        <v>37</v>
      </c>
      <c r="M44" s="14">
        <f>SUM(M42:M43)</f>
        <v>780000</v>
      </c>
      <c r="N44" s="7">
        <f t="shared" si="1"/>
        <v>0.66326530612244894</v>
      </c>
    </row>
    <row r="45" spans="12:14" x14ac:dyDescent="0.3">
      <c r="L45" s="1" t="s">
        <v>38</v>
      </c>
      <c r="M45" s="4">
        <f>M37+M40+M44</f>
        <v>1112000</v>
      </c>
      <c r="N45" s="7">
        <f t="shared" si="1"/>
        <v>0.94557823129251706</v>
      </c>
    </row>
    <row r="46" spans="12:14" x14ac:dyDescent="0.3">
      <c r="L46" s="15" t="s">
        <v>39</v>
      </c>
      <c r="M46" s="16">
        <v>64000</v>
      </c>
      <c r="N46" s="7">
        <f t="shared" si="1"/>
        <v>5.4421768707482991E-2</v>
      </c>
    </row>
    <row r="47" spans="12:14" x14ac:dyDescent="0.3">
      <c r="L47" s="17" t="s">
        <v>40</v>
      </c>
      <c r="M47" s="18">
        <f>M45+M46</f>
        <v>1176000</v>
      </c>
      <c r="N47" s="7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6E18-C0AB-4FA8-9BE0-879E2F6A4798}">
  <dimension ref="A29:A30"/>
  <sheetViews>
    <sheetView zoomScaleNormal="100" workbookViewId="0">
      <selection activeCell="H30" sqref="H30"/>
    </sheetView>
  </sheetViews>
  <sheetFormatPr baseColWidth="10" defaultColWidth="10.6875" defaultRowHeight="14.4" x14ac:dyDescent="0.3"/>
  <cols>
    <col min="1" max="16384" width="10.6875" style="1"/>
  </cols>
  <sheetData>
    <row r="29" spans="1:1" x14ac:dyDescent="0.3">
      <c r="A29" s="9" t="s">
        <v>45</v>
      </c>
    </row>
    <row r="30" spans="1:1" x14ac:dyDescent="0.3">
      <c r="A30" s="9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DE6D-459A-47C5-9D78-1F29896B99C8}">
  <dimension ref="G50:I112"/>
  <sheetViews>
    <sheetView topLeftCell="A98" zoomScale="85" zoomScaleNormal="85" workbookViewId="0">
      <selection activeCell="G113" sqref="G113"/>
    </sheetView>
  </sheetViews>
  <sheetFormatPr baseColWidth="10" defaultRowHeight="22.8" x14ac:dyDescent="0.45"/>
  <cols>
    <col min="6" max="6" width="4.0625" customWidth="1"/>
    <col min="7" max="7" width="27.75" customWidth="1"/>
    <col min="8" max="8" width="19.25" customWidth="1"/>
    <col min="9" max="9" width="14.5" customWidth="1"/>
  </cols>
  <sheetData>
    <row r="50" spans="8:9" x14ac:dyDescent="0.45">
      <c r="H50" t="s">
        <v>68</v>
      </c>
      <c r="I50" s="24">
        <f>305830</f>
        <v>305830</v>
      </c>
    </row>
    <row r="51" spans="8:9" x14ac:dyDescent="0.45">
      <c r="H51" t="s">
        <v>69</v>
      </c>
      <c r="I51" s="24">
        <f>183498+34910</f>
        <v>218408</v>
      </c>
    </row>
    <row r="52" spans="8:9" x14ac:dyDescent="0.45">
      <c r="H52" t="s">
        <v>70</v>
      </c>
      <c r="I52" s="24">
        <v>26850</v>
      </c>
    </row>
    <row r="53" spans="8:9" x14ac:dyDescent="0.45">
      <c r="H53" t="s">
        <v>71</v>
      </c>
      <c r="I53" s="24">
        <f>48633</f>
        <v>48633</v>
      </c>
    </row>
    <row r="54" spans="8:9" x14ac:dyDescent="0.45">
      <c r="H54" s="23" t="s">
        <v>43</v>
      </c>
      <c r="I54" s="24">
        <f>I53*0.25</f>
        <v>12158.25</v>
      </c>
    </row>
    <row r="55" spans="8:9" x14ac:dyDescent="0.45">
      <c r="H55" t="s">
        <v>44</v>
      </c>
      <c r="I55" s="24">
        <f>36475</f>
        <v>36475</v>
      </c>
    </row>
    <row r="56" spans="8:9" x14ac:dyDescent="0.45">
      <c r="H56" s="27" t="s">
        <v>72</v>
      </c>
      <c r="I56" s="28">
        <f>26850</f>
        <v>26850</v>
      </c>
    </row>
    <row r="57" spans="8:9" x14ac:dyDescent="0.45">
      <c r="H57" s="25" t="s">
        <v>73</v>
      </c>
      <c r="I57" s="26">
        <f>I55+I56</f>
        <v>63325</v>
      </c>
    </row>
    <row r="68" spans="7:7" x14ac:dyDescent="0.45">
      <c r="G68" t="b">
        <v>1</v>
      </c>
    </row>
    <row r="92" spans="7:9" x14ac:dyDescent="0.45">
      <c r="H92" t="s">
        <v>74</v>
      </c>
      <c r="I92" t="s">
        <v>75</v>
      </c>
    </row>
    <row r="93" spans="7:9" x14ac:dyDescent="0.45">
      <c r="G93" t="s">
        <v>76</v>
      </c>
      <c r="H93" s="24">
        <f>1000000-600000-50000</f>
        <v>350000</v>
      </c>
      <c r="I93" s="24">
        <f>H93</f>
        <v>350000</v>
      </c>
    </row>
    <row r="94" spans="7:9" x14ac:dyDescent="0.45">
      <c r="G94" s="27" t="s">
        <v>77</v>
      </c>
      <c r="H94" s="30">
        <v>0</v>
      </c>
      <c r="I94" s="28">
        <f>2800000*10%</f>
        <v>280000</v>
      </c>
    </row>
    <row r="95" spans="7:9" x14ac:dyDescent="0.45">
      <c r="G95" t="s">
        <v>11</v>
      </c>
      <c r="H95" s="24">
        <f>H93</f>
        <v>350000</v>
      </c>
      <c r="I95" s="24">
        <f>I93-I94</f>
        <v>70000</v>
      </c>
    </row>
    <row r="96" spans="7:9" x14ac:dyDescent="0.45">
      <c r="G96" s="27" t="s">
        <v>78</v>
      </c>
      <c r="H96" s="28">
        <f>H95*25%</f>
        <v>87500</v>
      </c>
      <c r="I96" s="28">
        <f>I95*25%</f>
        <v>17500</v>
      </c>
    </row>
    <row r="97" spans="7:9" x14ac:dyDescent="0.45">
      <c r="G97" t="s">
        <v>13</v>
      </c>
      <c r="H97" s="24">
        <f>H95-H96</f>
        <v>262500</v>
      </c>
      <c r="I97" s="24">
        <f>I95-I96</f>
        <v>52500</v>
      </c>
    </row>
    <row r="98" spans="7:9" x14ac:dyDescent="0.45">
      <c r="G98" s="27" t="s">
        <v>79</v>
      </c>
      <c r="H98" s="28">
        <v>0</v>
      </c>
      <c r="I98" s="28">
        <v>0</v>
      </c>
    </row>
    <row r="99" spans="7:9" x14ac:dyDescent="0.45">
      <c r="G99" t="s">
        <v>80</v>
      </c>
      <c r="H99" s="24">
        <f>H97</f>
        <v>262500</v>
      </c>
      <c r="I99" s="24">
        <f>I97</f>
        <v>52500</v>
      </c>
    </row>
    <row r="100" spans="7:9" x14ac:dyDescent="0.45">
      <c r="H100" s="24"/>
      <c r="I100" s="24"/>
    </row>
    <row r="101" spans="7:9" x14ac:dyDescent="0.45">
      <c r="G101" s="29" t="s">
        <v>81</v>
      </c>
      <c r="H101" s="24">
        <f>H99/160000</f>
        <v>1.640625</v>
      </c>
      <c r="I101" s="24">
        <f>I99/80000</f>
        <v>0.65625</v>
      </c>
    </row>
    <row r="104" spans="7:9" x14ac:dyDescent="0.45">
      <c r="G104" s="35" t="s">
        <v>74</v>
      </c>
      <c r="H104" s="36" t="s">
        <v>57</v>
      </c>
      <c r="I104" s="36" t="s">
        <v>58</v>
      </c>
    </row>
    <row r="105" spans="7:9" x14ac:dyDescent="0.45">
      <c r="H105" s="24">
        <f>H93</f>
        <v>350000</v>
      </c>
      <c r="I105" s="24">
        <f>H101</f>
        <v>1.640625</v>
      </c>
    </row>
    <row r="106" spans="7:9" x14ac:dyDescent="0.45">
      <c r="H106" s="24"/>
      <c r="I106" s="24"/>
    </row>
    <row r="107" spans="7:9" x14ac:dyDescent="0.45">
      <c r="H107" s="37">
        <f>H94+H98/(1-0.25)</f>
        <v>0</v>
      </c>
      <c r="I107" s="38">
        <v>0</v>
      </c>
    </row>
    <row r="109" spans="7:9" x14ac:dyDescent="0.45">
      <c r="G109" s="35" t="s">
        <v>75</v>
      </c>
      <c r="H109" s="36" t="s">
        <v>57</v>
      </c>
      <c r="I109" s="36" t="s">
        <v>58</v>
      </c>
    </row>
    <row r="110" spans="7:9" x14ac:dyDescent="0.45">
      <c r="H110" s="24">
        <f>I93</f>
        <v>350000</v>
      </c>
      <c r="I110" s="24">
        <f>I101</f>
        <v>0.65625</v>
      </c>
    </row>
    <row r="111" spans="7:9" x14ac:dyDescent="0.45">
      <c r="H111" s="24"/>
      <c r="I111" s="24"/>
    </row>
    <row r="112" spans="7:9" x14ac:dyDescent="0.45">
      <c r="H112" s="37">
        <f>I94+I98/(1-0.25)</f>
        <v>280000</v>
      </c>
      <c r="I112" s="38">
        <v>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37D0-526A-46EC-BB55-BB617CADF00F}">
  <dimension ref="A1"/>
  <sheetViews>
    <sheetView topLeftCell="A21" zoomScale="93" workbookViewId="0">
      <selection activeCell="O2" sqref="O2"/>
    </sheetView>
  </sheetViews>
  <sheetFormatPr baseColWidth="10" defaultColWidth="10.6875" defaultRowHeight="14.4" x14ac:dyDescent="0.3"/>
  <cols>
    <col min="1" max="16384" width="10.6875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9448-7267-4B9A-9B83-2683FDA544D8}">
  <dimension ref="C23:K100"/>
  <sheetViews>
    <sheetView topLeftCell="A59" zoomScaleNormal="100" workbookViewId="0">
      <selection activeCell="I25" sqref="I25"/>
    </sheetView>
  </sheetViews>
  <sheetFormatPr baseColWidth="10" defaultColWidth="10.6875" defaultRowHeight="13.8" x14ac:dyDescent="0.25"/>
  <cols>
    <col min="1" max="2" width="10.6875" style="19"/>
    <col min="3" max="3" width="12.3125" style="19" customWidth="1"/>
    <col min="4" max="5" width="11.5" style="19" bestFit="1" customWidth="1"/>
    <col min="6" max="6" width="10.75" style="19" bestFit="1" customWidth="1"/>
    <col min="7" max="8" width="11.5" style="19" bestFit="1" customWidth="1"/>
    <col min="9" max="16384" width="10.6875" style="19"/>
  </cols>
  <sheetData>
    <row r="23" spans="3:8" x14ac:dyDescent="0.25">
      <c r="D23" s="31" t="s">
        <v>47</v>
      </c>
      <c r="E23" s="31"/>
      <c r="G23" s="31" t="s">
        <v>48</v>
      </c>
      <c r="H23" s="31"/>
    </row>
    <row r="24" spans="3:8" x14ac:dyDescent="0.25">
      <c r="C24" s="19" t="s">
        <v>49</v>
      </c>
      <c r="D24" s="22">
        <v>50000</v>
      </c>
      <c r="E24" s="22">
        <v>60000</v>
      </c>
      <c r="F24" s="22"/>
      <c r="G24" s="22">
        <v>50000</v>
      </c>
      <c r="H24" s="22">
        <v>60000</v>
      </c>
    </row>
    <row r="25" spans="3:8" x14ac:dyDescent="0.25">
      <c r="C25" s="19" t="s">
        <v>50</v>
      </c>
      <c r="D25" s="22">
        <v>16000</v>
      </c>
      <c r="E25" s="22">
        <v>16000</v>
      </c>
      <c r="F25" s="22"/>
      <c r="G25" s="22">
        <v>34000</v>
      </c>
      <c r="H25" s="22">
        <v>34000</v>
      </c>
    </row>
    <row r="26" spans="3:8" x14ac:dyDescent="0.25">
      <c r="C26" s="19" t="s">
        <v>51</v>
      </c>
      <c r="D26" s="22">
        <v>34000</v>
      </c>
      <c r="E26" s="22">
        <v>44000</v>
      </c>
      <c r="F26" s="22"/>
      <c r="G26" s="22">
        <v>16000</v>
      </c>
      <c r="H26" s="22">
        <v>26000</v>
      </c>
    </row>
    <row r="27" spans="3:8" x14ac:dyDescent="0.25">
      <c r="C27" s="19" t="s">
        <v>52</v>
      </c>
      <c r="D27" s="22">
        <v>13600</v>
      </c>
      <c r="E27" s="22">
        <v>17600</v>
      </c>
      <c r="F27" s="22"/>
      <c r="G27" s="22">
        <v>6400</v>
      </c>
      <c r="H27" s="22">
        <v>10400</v>
      </c>
    </row>
    <row r="28" spans="3:8" x14ac:dyDescent="0.25">
      <c r="C28" s="19" t="s">
        <v>53</v>
      </c>
      <c r="D28" s="22">
        <v>20400</v>
      </c>
      <c r="E28" s="22">
        <v>26400</v>
      </c>
      <c r="F28" s="22"/>
      <c r="G28" s="22">
        <v>9600</v>
      </c>
      <c r="H28" s="22">
        <v>15600</v>
      </c>
    </row>
    <row r="29" spans="3:8" x14ac:dyDescent="0.25">
      <c r="D29" s="22"/>
      <c r="E29" s="22"/>
      <c r="F29" s="22"/>
      <c r="G29" s="22"/>
      <c r="H29" s="22"/>
    </row>
    <row r="30" spans="3:8" x14ac:dyDescent="0.25">
      <c r="C30" s="19" t="s">
        <v>54</v>
      </c>
      <c r="D30" s="22">
        <v>5.0999999999999996</v>
      </c>
      <c r="E30" s="22">
        <v>6.6</v>
      </c>
      <c r="F30" s="22"/>
      <c r="G30" s="22"/>
      <c r="H30" s="22"/>
    </row>
    <row r="31" spans="3:8" x14ac:dyDescent="0.25">
      <c r="C31" s="19" t="s">
        <v>55</v>
      </c>
      <c r="D31" s="22"/>
      <c r="E31" s="22"/>
      <c r="F31" s="22"/>
      <c r="G31" s="22">
        <v>4.8</v>
      </c>
      <c r="H31" s="22">
        <v>7.8</v>
      </c>
    </row>
    <row r="33" spans="3:11" x14ac:dyDescent="0.25">
      <c r="C33" s="33" t="s">
        <v>56</v>
      </c>
      <c r="D33" s="33"/>
      <c r="E33" s="33"/>
      <c r="F33" s="33"/>
      <c r="G33" s="33"/>
      <c r="H33" s="33"/>
      <c r="I33" s="33"/>
      <c r="J33" s="33"/>
      <c r="K33" s="33"/>
    </row>
    <row r="35" spans="3:11" x14ac:dyDescent="0.25">
      <c r="C35" s="19" t="s">
        <v>47</v>
      </c>
      <c r="D35" s="19" t="s">
        <v>57</v>
      </c>
      <c r="E35" s="19" t="s">
        <v>58</v>
      </c>
    </row>
    <row r="36" spans="3:11" x14ac:dyDescent="0.25">
      <c r="D36" s="20">
        <v>50000</v>
      </c>
      <c r="E36" s="20">
        <f>D30</f>
        <v>5.0999999999999996</v>
      </c>
    </row>
    <row r="37" spans="3:11" x14ac:dyDescent="0.25">
      <c r="D37" s="20">
        <v>60000</v>
      </c>
      <c r="E37" s="20">
        <f>E30</f>
        <v>6.6</v>
      </c>
    </row>
    <row r="38" spans="3:11" x14ac:dyDescent="0.25">
      <c r="D38" s="20">
        <f>D25</f>
        <v>16000</v>
      </c>
      <c r="E38" s="20">
        <v>0</v>
      </c>
    </row>
    <row r="40" spans="3:11" x14ac:dyDescent="0.25">
      <c r="C40" s="19" t="s">
        <v>48</v>
      </c>
      <c r="D40" s="19" t="s">
        <v>57</v>
      </c>
      <c r="E40" s="19" t="s">
        <v>58</v>
      </c>
    </row>
    <row r="41" spans="3:11" x14ac:dyDescent="0.25">
      <c r="D41" s="20">
        <v>50000</v>
      </c>
      <c r="E41" s="20">
        <f>G31</f>
        <v>4.8</v>
      </c>
    </row>
    <row r="42" spans="3:11" x14ac:dyDescent="0.25">
      <c r="D42" s="20">
        <v>60000</v>
      </c>
      <c r="E42" s="20">
        <f>H31</f>
        <v>7.8</v>
      </c>
    </row>
    <row r="43" spans="3:11" x14ac:dyDescent="0.25">
      <c r="D43" s="20">
        <f>G25</f>
        <v>34000</v>
      </c>
      <c r="E43" s="20">
        <v>0</v>
      </c>
    </row>
    <row r="45" spans="3:11" x14ac:dyDescent="0.25">
      <c r="C45" s="33" t="s">
        <v>59</v>
      </c>
      <c r="D45" s="33"/>
      <c r="E45" s="33"/>
      <c r="F45" s="33"/>
      <c r="G45" s="33"/>
      <c r="H45" s="33"/>
      <c r="I45" s="33"/>
      <c r="J45" s="33"/>
      <c r="K45" s="33"/>
    </row>
    <row r="65" spans="3:11" x14ac:dyDescent="0.25">
      <c r="C65" s="33" t="s">
        <v>60</v>
      </c>
      <c r="D65" s="33"/>
      <c r="E65" s="33"/>
      <c r="F65" s="33"/>
      <c r="G65" s="33"/>
      <c r="H65" s="33"/>
      <c r="I65" s="33"/>
      <c r="J65" s="33"/>
      <c r="K65" s="33"/>
    </row>
    <row r="76" spans="3:11" x14ac:dyDescent="0.25">
      <c r="E76" s="19" t="s">
        <v>41</v>
      </c>
      <c r="F76" s="20">
        <v>52000</v>
      </c>
      <c r="H76" s="19" t="s">
        <v>61</v>
      </c>
    </row>
    <row r="77" spans="3:11" x14ac:dyDescent="0.25">
      <c r="H77" s="19" t="s">
        <v>62</v>
      </c>
    </row>
    <row r="78" spans="3:11" x14ac:dyDescent="0.25">
      <c r="H78" s="19" t="s">
        <v>63</v>
      </c>
    </row>
    <row r="81" spans="3:11" x14ac:dyDescent="0.25">
      <c r="C81" s="33" t="s">
        <v>64</v>
      </c>
      <c r="D81" s="33"/>
      <c r="E81" s="33"/>
      <c r="F81" s="33"/>
      <c r="G81" s="33"/>
      <c r="H81" s="33"/>
      <c r="I81" s="33"/>
      <c r="J81" s="33"/>
      <c r="K81" s="33"/>
    </row>
    <row r="83" spans="3:11" x14ac:dyDescent="0.25">
      <c r="D83" s="31" t="s">
        <v>47</v>
      </c>
      <c r="E83" s="31"/>
      <c r="G83" s="31" t="s">
        <v>48</v>
      </c>
      <c r="H83" s="31"/>
    </row>
    <row r="84" spans="3:11" x14ac:dyDescent="0.25">
      <c r="C84" s="19" t="s">
        <v>49</v>
      </c>
      <c r="D84" s="22">
        <v>50000</v>
      </c>
      <c r="E84" s="22">
        <v>60000</v>
      </c>
      <c r="F84" s="22"/>
      <c r="G84" s="22">
        <v>50000</v>
      </c>
      <c r="H84" s="22">
        <v>60000</v>
      </c>
    </row>
    <row r="85" spans="3:11" x14ac:dyDescent="0.25">
      <c r="C85" s="19" t="s">
        <v>50</v>
      </c>
      <c r="D85" s="22">
        <v>16000</v>
      </c>
      <c r="E85" s="22">
        <v>16000</v>
      </c>
      <c r="F85" s="22"/>
      <c r="G85" s="22">
        <v>34000</v>
      </c>
      <c r="H85" s="22">
        <v>34000</v>
      </c>
    </row>
    <row r="86" spans="3:11" x14ac:dyDescent="0.25">
      <c r="C86" s="19" t="s">
        <v>51</v>
      </c>
      <c r="D86" s="22">
        <v>34000</v>
      </c>
      <c r="E86" s="22">
        <v>44000</v>
      </c>
      <c r="F86" s="22"/>
      <c r="G86" s="22">
        <v>16000</v>
      </c>
      <c r="H86" s="22">
        <v>26000</v>
      </c>
    </row>
    <row r="87" spans="3:11" x14ac:dyDescent="0.25">
      <c r="C87" s="19" t="s">
        <v>52</v>
      </c>
      <c r="D87" s="22">
        <v>13600</v>
      </c>
      <c r="E87" s="22">
        <v>17600</v>
      </c>
      <c r="F87" s="22"/>
      <c r="G87" s="22">
        <v>6400</v>
      </c>
      <c r="H87" s="22">
        <v>10400</v>
      </c>
    </row>
    <row r="88" spans="3:11" x14ac:dyDescent="0.25">
      <c r="C88" s="19" t="s">
        <v>53</v>
      </c>
      <c r="D88" s="22">
        <v>20400</v>
      </c>
      <c r="E88" s="22">
        <v>26400</v>
      </c>
      <c r="F88" s="22"/>
      <c r="G88" s="22">
        <v>9600</v>
      </c>
      <c r="H88" s="22">
        <v>15600</v>
      </c>
    </row>
    <row r="90" spans="3:11" x14ac:dyDescent="0.25">
      <c r="C90" s="19" t="s">
        <v>42</v>
      </c>
      <c r="D90" s="21">
        <f>D84/(D84-D85)</f>
        <v>1.4705882352941178</v>
      </c>
      <c r="E90" s="21">
        <f t="shared" ref="E90:H90" si="0">E84/(E84-E85)</f>
        <v>1.3636363636363635</v>
      </c>
      <c r="F90" s="21"/>
      <c r="G90" s="21">
        <f t="shared" si="0"/>
        <v>3.125</v>
      </c>
      <c r="H90" s="21">
        <f t="shared" si="0"/>
        <v>2.3076923076923075</v>
      </c>
    </row>
    <row r="92" spans="3:11" x14ac:dyDescent="0.25">
      <c r="C92" s="32" t="s">
        <v>65</v>
      </c>
      <c r="D92" s="32"/>
      <c r="E92" s="32"/>
      <c r="F92" s="32"/>
      <c r="G92" s="32"/>
      <c r="H92" s="32"/>
    </row>
    <row r="93" spans="3:11" x14ac:dyDescent="0.25">
      <c r="C93" s="32"/>
      <c r="D93" s="32"/>
      <c r="E93" s="32"/>
      <c r="F93" s="32"/>
      <c r="G93" s="32"/>
      <c r="H93" s="32"/>
    </row>
    <row r="94" spans="3:11" x14ac:dyDescent="0.25">
      <c r="C94" s="32"/>
      <c r="D94" s="32"/>
      <c r="E94" s="32"/>
      <c r="F94" s="32"/>
      <c r="G94" s="32"/>
      <c r="H94" s="32"/>
    </row>
    <row r="96" spans="3:11" x14ac:dyDescent="0.25">
      <c r="C96" s="33" t="s">
        <v>66</v>
      </c>
      <c r="D96" s="33"/>
      <c r="E96" s="33"/>
      <c r="F96" s="33"/>
      <c r="G96" s="33"/>
      <c r="H96" s="33"/>
      <c r="I96" s="33"/>
      <c r="J96" s="33"/>
      <c r="K96" s="33"/>
    </row>
    <row r="98" spans="3:8" x14ac:dyDescent="0.25">
      <c r="C98" s="34" t="s">
        <v>67</v>
      </c>
      <c r="D98" s="34"/>
      <c r="E98" s="34"/>
      <c r="F98" s="34"/>
      <c r="G98" s="34"/>
      <c r="H98" s="34"/>
    </row>
    <row r="99" spans="3:8" x14ac:dyDescent="0.25">
      <c r="C99" s="34"/>
      <c r="D99" s="34"/>
      <c r="E99" s="34"/>
      <c r="F99" s="34"/>
      <c r="G99" s="34"/>
      <c r="H99" s="34"/>
    </row>
    <row r="100" spans="3:8" x14ac:dyDescent="0.25">
      <c r="C100" s="34"/>
      <c r="D100" s="34"/>
      <c r="E100" s="34"/>
      <c r="F100" s="34"/>
      <c r="G100" s="34"/>
      <c r="H100" s="34"/>
    </row>
  </sheetData>
  <mergeCells count="11">
    <mergeCell ref="C81:K81"/>
    <mergeCell ref="D23:E23"/>
    <mergeCell ref="G23:H23"/>
    <mergeCell ref="C33:K33"/>
    <mergeCell ref="C45:K45"/>
    <mergeCell ref="C65:K65"/>
    <mergeCell ref="D83:E83"/>
    <mergeCell ref="G83:H83"/>
    <mergeCell ref="C92:H94"/>
    <mergeCell ref="C96:K96"/>
    <mergeCell ref="C98:H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PROYECCIONES</vt:lpstr>
      <vt:lpstr>FORMULARIO</vt:lpstr>
      <vt:lpstr>Hoja4</vt:lpstr>
      <vt:lpstr>FORMULARIO (2)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2024-05-28T15:24:40Z</dcterms:created>
  <dcterms:modified xsi:type="dcterms:W3CDTF">2024-05-29T01:23:31Z</dcterms:modified>
</cp:coreProperties>
</file>