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24226"/>
  <mc:AlternateContent xmlns:mc="http://schemas.openxmlformats.org/markup-compatibility/2006">
    <mc:Choice Requires="x15">
      <x15ac:absPath xmlns:x15ac="http://schemas.microsoft.com/office/spreadsheetml/2010/11/ac" url="C:\Users\julio\Downloads\"/>
    </mc:Choice>
  </mc:AlternateContent>
  <xr:revisionPtr revIDLastSave="0" documentId="13_ncr:1_{DADB0BE0-0AF2-4B56-9127-BF62D954CEC9}" xr6:coauthVersionLast="47" xr6:coauthVersionMax="47" xr10:uidLastSave="{00000000-0000-0000-0000-000000000000}"/>
  <bookViews>
    <workbookView xWindow="-108" yWindow="-108" windowWidth="23256" windowHeight="12456" activeTab="3" xr2:uid="{00000000-000D-0000-FFFF-FFFF00000000}"/>
  </bookViews>
  <sheets>
    <sheet name="DATOS" sheetId="4" r:id="rId1"/>
    <sheet name="SOLUCIÓN" sheetId="1" r:id="rId2"/>
    <sheet name="RAZONES" sheetId="5" r:id="rId3"/>
    <sheet name="MATRIZ DUPONT" sheetId="6" r:id="rId4"/>
  </sheets>
  <definedNames>
    <definedName name="_xlnm.Print_Area" localSheetId="3">'MATRIZ DUPONT'!$A$1:$K$32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1" i="6" l="1"/>
  <c r="I39" i="1"/>
  <c r="G33" i="6"/>
  <c r="C28" i="6"/>
  <c r="C25" i="6"/>
  <c r="C22" i="6"/>
  <c r="C19" i="6"/>
  <c r="C16" i="6"/>
  <c r="C13" i="6"/>
  <c r="C10" i="6"/>
  <c r="C6" i="6"/>
  <c r="C3" i="6"/>
  <c r="E10" i="6"/>
  <c r="E22" i="6"/>
  <c r="E28" i="6"/>
  <c r="G28" i="6" s="1"/>
  <c r="I29" i="6" s="1"/>
  <c r="E25" i="6" l="1"/>
  <c r="G23" i="6" s="1"/>
  <c r="E7" i="6"/>
  <c r="G8" i="6" s="1"/>
  <c r="V22" i="1"/>
  <c r="T22" i="1"/>
  <c r="V18" i="1"/>
  <c r="T18" i="1"/>
  <c r="V15" i="1"/>
  <c r="T15" i="1"/>
  <c r="W18" i="1"/>
  <c r="K35" i="5"/>
  <c r="K36" i="5" s="1"/>
  <c r="I35" i="5"/>
  <c r="I36" i="5" s="1"/>
  <c r="M34" i="5"/>
  <c r="P33" i="5"/>
  <c r="M33" i="5"/>
  <c r="M32" i="5"/>
  <c r="M31" i="5"/>
  <c r="B30" i="5"/>
  <c r="P27" i="5" s="1"/>
  <c r="K29" i="5"/>
  <c r="I29" i="5"/>
  <c r="P28" i="5"/>
  <c r="M28" i="5"/>
  <c r="B27" i="5"/>
  <c r="K26" i="5"/>
  <c r="I26" i="5"/>
  <c r="M26" i="5" s="1"/>
  <c r="P25" i="5"/>
  <c r="P29" i="5" s="1"/>
  <c r="M25" i="5"/>
  <c r="P24" i="5"/>
  <c r="M24" i="5"/>
  <c r="M23" i="5"/>
  <c r="F19" i="5"/>
  <c r="E19" i="5"/>
  <c r="C19" i="5"/>
  <c r="M17" i="5"/>
  <c r="K16" i="5"/>
  <c r="I16" i="5"/>
  <c r="P19" i="5" s="1"/>
  <c r="P20" i="5" s="1"/>
  <c r="M15" i="5"/>
  <c r="F15" i="5"/>
  <c r="E15" i="5"/>
  <c r="C15" i="5"/>
  <c r="M14" i="5"/>
  <c r="D14" i="5"/>
  <c r="D16" i="5" s="1"/>
  <c r="P13" i="5"/>
  <c r="M13" i="5"/>
  <c r="D13" i="5"/>
  <c r="E13" i="5" s="1"/>
  <c r="B13" i="5"/>
  <c r="C13" i="5" s="1"/>
  <c r="P12" i="5"/>
  <c r="F12" i="5"/>
  <c r="E12" i="5"/>
  <c r="C12" i="5"/>
  <c r="M11" i="5"/>
  <c r="K11" i="5"/>
  <c r="I11" i="5"/>
  <c r="F11" i="5"/>
  <c r="E11" i="5"/>
  <c r="C11" i="5"/>
  <c r="P10" i="5"/>
  <c r="M10" i="5"/>
  <c r="F10" i="5"/>
  <c r="E10" i="5"/>
  <c r="C10" i="5"/>
  <c r="P9" i="5"/>
  <c r="M9" i="5"/>
  <c r="F9" i="5"/>
  <c r="E9" i="5"/>
  <c r="C9" i="5"/>
  <c r="P8" i="5"/>
  <c r="M8" i="5"/>
  <c r="M7" i="5"/>
  <c r="D7" i="5"/>
  <c r="F7" i="5" s="1"/>
  <c r="C7" i="5"/>
  <c r="B7" i="5"/>
  <c r="F6" i="5"/>
  <c r="E6" i="5"/>
  <c r="C6" i="5"/>
  <c r="F5" i="5"/>
  <c r="M24" i="1"/>
  <c r="M25" i="1"/>
  <c r="M28" i="1"/>
  <c r="M31" i="1"/>
  <c r="M32" i="1"/>
  <c r="M33" i="1"/>
  <c r="M34" i="1"/>
  <c r="M23" i="1"/>
  <c r="M8" i="1"/>
  <c r="M9" i="1"/>
  <c r="M10" i="1"/>
  <c r="M13" i="1"/>
  <c r="M14" i="1"/>
  <c r="M15" i="1"/>
  <c r="M17" i="1"/>
  <c r="M7" i="1"/>
  <c r="F6" i="1"/>
  <c r="F9" i="1"/>
  <c r="F10" i="1"/>
  <c r="F11" i="1"/>
  <c r="F12" i="1"/>
  <c r="F15" i="1"/>
  <c r="F19" i="1"/>
  <c r="F5" i="1"/>
  <c r="E9" i="1"/>
  <c r="E10" i="1"/>
  <c r="E11" i="1"/>
  <c r="E12" i="1"/>
  <c r="E15" i="1"/>
  <c r="E19" i="1"/>
  <c r="E6" i="1"/>
  <c r="C9" i="1"/>
  <c r="C10" i="1"/>
  <c r="C11" i="1"/>
  <c r="C12" i="1"/>
  <c r="C15" i="1"/>
  <c r="C19" i="1"/>
  <c r="C6" i="1"/>
  <c r="P28" i="1"/>
  <c r="P33" i="1"/>
  <c r="P25" i="1"/>
  <c r="P24" i="1"/>
  <c r="P13" i="1"/>
  <c r="P12" i="1"/>
  <c r="P10" i="1"/>
  <c r="P9" i="1"/>
  <c r="P8" i="1"/>
  <c r="B30" i="1"/>
  <c r="P27" i="1" s="1"/>
  <c r="B27" i="1"/>
  <c r="I17" i="6" l="1"/>
  <c r="K23" i="6" s="1"/>
  <c r="M36" i="5"/>
  <c r="E16" i="5"/>
  <c r="D17" i="5"/>
  <c r="E17" i="5" s="1"/>
  <c r="D18" i="5"/>
  <c r="E7" i="5"/>
  <c r="M16" i="5"/>
  <c r="F13" i="5"/>
  <c r="M35" i="5"/>
  <c r="M29" i="5"/>
  <c r="K18" i="5"/>
  <c r="E14" i="5"/>
  <c r="I18" i="5"/>
  <c r="B14" i="5"/>
  <c r="P29" i="1"/>
  <c r="K35" i="1"/>
  <c r="K29" i="1"/>
  <c r="K26" i="1"/>
  <c r="K16" i="1"/>
  <c r="K11" i="1"/>
  <c r="D13" i="1"/>
  <c r="E13" i="1" s="1"/>
  <c r="I35" i="1"/>
  <c r="I29" i="1"/>
  <c r="I26" i="1"/>
  <c r="M29" i="1" l="1"/>
  <c r="M35" i="1"/>
  <c r="V9" i="1"/>
  <c r="V6" i="1"/>
  <c r="M26" i="1"/>
  <c r="M18" i="5"/>
  <c r="I19" i="5"/>
  <c r="J18" i="5" s="1"/>
  <c r="C14" i="5"/>
  <c r="B16" i="5"/>
  <c r="F14" i="5"/>
  <c r="D20" i="5"/>
  <c r="E20" i="5" s="1"/>
  <c r="E18" i="5"/>
  <c r="K19" i="5"/>
  <c r="I36" i="1"/>
  <c r="K18" i="1"/>
  <c r="D7" i="1"/>
  <c r="E7" i="1" s="1"/>
  <c r="K36" i="1"/>
  <c r="I16" i="1"/>
  <c r="I11" i="1"/>
  <c r="B13" i="1"/>
  <c r="B7" i="1"/>
  <c r="C7" i="1" l="1"/>
  <c r="F7" i="1"/>
  <c r="C13" i="1"/>
  <c r="F13" i="1"/>
  <c r="M11" i="1"/>
  <c r="T6" i="1"/>
  <c r="T9" i="1"/>
  <c r="M16" i="1"/>
  <c r="K19" i="1"/>
  <c r="V25" i="1"/>
  <c r="L18" i="1"/>
  <c r="M36" i="1"/>
  <c r="L33" i="5"/>
  <c r="L9" i="5"/>
  <c r="L25" i="5"/>
  <c r="L17" i="5"/>
  <c r="L15" i="5"/>
  <c r="L13" i="5"/>
  <c r="L8" i="5"/>
  <c r="L10" i="5"/>
  <c r="L32" i="5"/>
  <c r="L28" i="5"/>
  <c r="L24" i="5"/>
  <c r="L31" i="5"/>
  <c r="L23" i="5"/>
  <c r="L7" i="5"/>
  <c r="L14" i="5"/>
  <c r="L34" i="5"/>
  <c r="L26" i="5"/>
  <c r="L35" i="5"/>
  <c r="L11" i="5"/>
  <c r="L29" i="5"/>
  <c r="L36" i="5"/>
  <c r="L16" i="5"/>
  <c r="J10" i="5"/>
  <c r="J7" i="5"/>
  <c r="J33" i="5"/>
  <c r="M19" i="5"/>
  <c r="J9" i="5"/>
  <c r="J25" i="5"/>
  <c r="J17" i="5"/>
  <c r="J23" i="5"/>
  <c r="J32" i="5"/>
  <c r="J14" i="5"/>
  <c r="J15" i="5"/>
  <c r="J13" i="5"/>
  <c r="J28" i="5"/>
  <c r="J24" i="5"/>
  <c r="J31" i="5"/>
  <c r="J8" i="5"/>
  <c r="J34" i="5"/>
  <c r="J29" i="5"/>
  <c r="J36" i="5"/>
  <c r="J16" i="5"/>
  <c r="J11" i="5"/>
  <c r="J26" i="5"/>
  <c r="J35" i="5"/>
  <c r="L18" i="5"/>
  <c r="B18" i="5"/>
  <c r="C16" i="5"/>
  <c r="B17" i="5"/>
  <c r="F16" i="5"/>
  <c r="P19" i="1"/>
  <c r="P20" i="1" s="1"/>
  <c r="B14" i="1"/>
  <c r="D14" i="1"/>
  <c r="I18" i="1"/>
  <c r="L32" i="1" l="1"/>
  <c r="L31" i="1"/>
  <c r="L17" i="1"/>
  <c r="L33" i="1"/>
  <c r="L15" i="1"/>
  <c r="L14" i="1"/>
  <c r="L23" i="1"/>
  <c r="L28" i="1"/>
  <c r="L34" i="1"/>
  <c r="L13" i="1"/>
  <c r="L10" i="1"/>
  <c r="L9" i="1"/>
  <c r="L8" i="1"/>
  <c r="L24" i="1"/>
  <c r="L25" i="1"/>
  <c r="V28" i="1"/>
  <c r="L7" i="1"/>
  <c r="L11" i="1"/>
  <c r="L35" i="1"/>
  <c r="L16" i="1"/>
  <c r="L26" i="1"/>
  <c r="V37" i="1"/>
  <c r="L29" i="1"/>
  <c r="L36" i="1"/>
  <c r="M18" i="1"/>
  <c r="T25" i="1"/>
  <c r="V48" i="1"/>
  <c r="V40" i="1"/>
  <c r="E14" i="1"/>
  <c r="T48" i="1"/>
  <c r="C14" i="1"/>
  <c r="T40" i="1"/>
  <c r="F14" i="1"/>
  <c r="P6" i="5"/>
  <c r="P14" i="5" s="1"/>
  <c r="P32" i="5" s="1"/>
  <c r="P34" i="5" s="1"/>
  <c r="B28" i="5"/>
  <c r="B29" i="5" s="1"/>
  <c r="B31" i="5" s="1"/>
  <c r="B33" i="5" s="1"/>
  <c r="F18" i="5"/>
  <c r="B20" i="5"/>
  <c r="C18" i="5"/>
  <c r="C17" i="5"/>
  <c r="F17" i="5"/>
  <c r="B16" i="1"/>
  <c r="I19" i="1"/>
  <c r="D16" i="1"/>
  <c r="E16" i="1" s="1"/>
  <c r="J23" i="1" l="1"/>
  <c r="J17" i="1"/>
  <c r="J31" i="1"/>
  <c r="J9" i="1"/>
  <c r="J10" i="1"/>
  <c r="J33" i="1"/>
  <c r="J34" i="1"/>
  <c r="J13" i="1"/>
  <c r="J15" i="1"/>
  <c r="J24" i="1"/>
  <c r="J25" i="1"/>
  <c r="J28" i="1"/>
  <c r="J7" i="1"/>
  <c r="J8" i="1"/>
  <c r="J32" i="1"/>
  <c r="M19" i="1"/>
  <c r="T28" i="1"/>
  <c r="J14" i="1"/>
  <c r="J35" i="1"/>
  <c r="T37" i="1"/>
  <c r="J26" i="1"/>
  <c r="J29" i="1"/>
  <c r="J11" i="1"/>
  <c r="J16" i="1"/>
  <c r="J36" i="1"/>
  <c r="C16" i="1"/>
  <c r="F16" i="1"/>
  <c r="J18" i="1"/>
  <c r="C20" i="5"/>
  <c r="F20" i="5"/>
  <c r="B17" i="1"/>
  <c r="D17" i="1"/>
  <c r="E17" i="1" s="1"/>
  <c r="C17" i="1" l="1"/>
  <c r="F17" i="1"/>
  <c r="B18" i="1"/>
  <c r="D18" i="1"/>
  <c r="E18" i="1" s="1"/>
  <c r="F18" i="1" l="1"/>
  <c r="C18" i="1"/>
  <c r="B20" i="1"/>
  <c r="B28" i="1"/>
  <c r="B29" i="1" s="1"/>
  <c r="B31" i="1" s="1"/>
  <c r="B33" i="1" s="1"/>
  <c r="P6" i="1"/>
  <c r="P14" i="1" s="1"/>
  <c r="P32" i="1" s="1"/>
  <c r="P34" i="1" s="1"/>
  <c r="D20" i="1"/>
  <c r="V54" i="1" l="1"/>
  <c r="V51" i="1"/>
  <c r="E20" i="1"/>
  <c r="V45" i="1"/>
  <c r="T45" i="1"/>
  <c r="F20" i="1"/>
  <c r="T51" i="1"/>
  <c r="C20" i="1"/>
  <c r="T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tc={1BF27C50-819B-430D-983E-3001893459D0}</author>
    <author>tc={96E78A73-302C-495E-A63A-ABF4BA253FF6}</author>
    <author>tc={11932808-88CC-4E10-9E23-0E21FF56B7A2}</author>
    <author>tc={5E4AD214-895F-456D-B712-96719FB8982E}</author>
    <author>Julio Ruiz Coto</author>
  </authors>
  <commentList>
    <comment ref="C4" authorId="0" shapeId="0" xr:uid="{1BF27C50-819B-430D-983E-3001893459D0}">
      <text>
        <t xml:space="preserve">[Comentario encadenado]
Tu versión de Excel te permite leer este comentario encadenado; sin embargo, las ediciones que se apliquen se quitarán si el archivo se abre en una versión más reciente de Excel. Más información: https://go.microsoft.com/fwlink/?linkid=870924
Comentario:
    Tamaño comun
</t>
      </text>
    </comment>
    <comment ref="F4" authorId="1" shapeId="0" xr:uid="{96E78A73-302C-495E-A63A-ABF4BA253FF6}">
      <text>
        <t>[Comentario encadenado]
Tu versión de Excel te permite leer este comentario encadenado; sin embargo, las ediciones que se apliquen se quitarán si el archivo se abre en una versión más reciente de Excel. Más información: https://go.microsoft.com/fwlink/?linkid=870924
Comentario:
    Analisis comparativo</t>
      </text>
    </comment>
    <comment ref="R19" authorId="2" shapeId="0" xr:uid="{11932808-88CC-4E10-9E23-0E21FF56B7A2}">
      <text>
        <t>[Comentario encadenado]
Tu versión de Excel te permite leer este comentario encadenado; sin embargo, las ediciones que se apliquen se quitarán si el archivo se abre en una versión más reciente de Excel. Más información: https://go.microsoft.com/fwlink/?linkid=870924
Comentario:
    Periodo promedio del inventario</t>
      </text>
    </comment>
    <comment ref="R23" authorId="3" shapeId="0" xr:uid="{5E4AD214-895F-456D-B712-96719FB8982E}">
      <text>
        <t xml:space="preserve">[Comentario encadenado]
Tu versión de Excel te permite leer este comentario encadenado; sin embargo, las ediciones que se apliquen se quitarán si el archivo se abre en una versión más reciente de Excel. Más información: https://go.microsoft.com/fwlink/?linkid=870924
Comentario:
    Periodo promedio del cobro </t>
      </text>
    </comment>
    <comment ref="S45" authorId="4" shapeId="0" xr:uid="{18A9C96A-15E5-46C1-91A0-A4EA8E485AD1}">
      <text>
        <r>
          <rPr>
            <b/>
            <sz val="9"/>
            <color indexed="81"/>
            <rFont val="Tahoma"/>
            <family val="2"/>
          </rPr>
          <t>Julio Ruiz Coto:</t>
        </r>
        <r>
          <rPr>
            <sz val="9"/>
            <color indexed="81"/>
            <rFont val="Tahoma"/>
            <family val="2"/>
          </rPr>
          <t xml:space="preserve">
UDAC</t>
        </r>
      </text>
    </comment>
    <comment ref="S59" authorId="4" shapeId="0" xr:uid="{C0FB14CD-B38A-40CB-A937-313C191EADE1}">
      <text>
        <r>
          <rPr>
            <b/>
            <sz val="9"/>
            <color indexed="81"/>
            <rFont val="Tahoma"/>
            <family val="2"/>
          </rPr>
          <t>Julio Ruiz Coto:</t>
        </r>
        <r>
          <rPr>
            <sz val="9"/>
            <color indexed="81"/>
            <rFont val="Tahoma"/>
            <family val="2"/>
          </rPr>
          <t xml:space="preserve">
Es el precio actual en el mercado 
</t>
        </r>
      </text>
    </comment>
    <comment ref="S60" authorId="4" shapeId="0" xr:uid="{83922DA2-76DC-45CD-85DF-769A846EB8A2}">
      <text>
        <r>
          <rPr>
            <b/>
            <sz val="9"/>
            <color indexed="81"/>
            <rFont val="Tahoma"/>
            <family val="2"/>
          </rPr>
          <t>Julio Ruiz Coto:</t>
        </r>
        <r>
          <rPr>
            <sz val="9"/>
            <color indexed="81"/>
            <rFont val="Tahoma"/>
            <family val="2"/>
          </rPr>
          <t xml:space="preserve">
Se calcula dividiendo la utilidad del periodo entre en el numero de acciones comunes
</t>
        </r>
      </text>
    </comment>
    <comment ref="S62" authorId="4" shapeId="0" xr:uid="{2DB3EF00-9150-4F1B-BA4A-E41E1D4333E8}">
      <text>
        <r>
          <rPr>
            <b/>
            <sz val="9"/>
            <color indexed="81"/>
            <rFont val="Tahoma"/>
            <family val="2"/>
          </rPr>
          <t>Julio Ruiz Coto:</t>
        </r>
        <r>
          <rPr>
            <sz val="9"/>
            <color indexed="81"/>
            <rFont val="Tahoma"/>
            <family val="2"/>
          </rPr>
          <t xml:space="preserve">
</t>
        </r>
      </text>
    </comment>
    <comment ref="S63" authorId="4" shapeId="0" xr:uid="{120112F3-11A4-4949-B4B8-4B01C26C664E}">
      <text>
        <r>
          <rPr>
            <b/>
            <sz val="9"/>
            <color indexed="81"/>
            <rFont val="Tahoma"/>
            <family val="2"/>
          </rPr>
          <t>Julio Ruiz Coto:</t>
        </r>
        <r>
          <rPr>
            <sz val="9"/>
            <color indexed="81"/>
            <rFont val="Tahoma"/>
            <family val="2"/>
          </rPr>
          <t xml:space="preserve">
se refiere al valor original de emision de las acciones comunes (el valor que se puede obtener en el balance general (dividiendo el total del capital comun / no. de acciones comunes))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tc={9E056270-4C75-4CB9-ABE6-314D04DA5549}</author>
    <author>tc={DEC9AC04-06F5-4E0F-99A2-FA45D54B6F5B}</author>
  </authors>
  <commentList>
    <comment ref="C4" authorId="0" shapeId="0" xr:uid="{9E056270-4C75-4CB9-ABE6-314D04DA5549}">
      <text>
        <t xml:space="preserve">[Comentario encadenado]
Tu versión de Excel te permite leer este comentario encadenado; sin embargo, las ediciones que se apliquen se quitarán si el archivo se abre en una versión más reciente de Excel. Más información: https://go.microsoft.com/fwlink/?linkid=870924
Comentario:
    Tamaño comun
</t>
      </text>
    </comment>
    <comment ref="F4" authorId="1" shapeId="0" xr:uid="{DEC9AC04-06F5-4E0F-99A2-FA45D54B6F5B}">
      <text>
        <t>[Comentario encadenado]
Tu versión de Excel te permite leer este comentario encadenado; sin embargo, las ediciones que se apliquen se quitarán si el archivo se abre en una versión más reciente de Excel. Más información: https://go.microsoft.com/fwlink/?linkid=870924
Comentario:
    Analisis comparativo</t>
      </text>
    </comment>
  </commentList>
</comments>
</file>

<file path=xl/sharedStrings.xml><?xml version="1.0" encoding="utf-8"?>
<sst xmlns="http://schemas.openxmlformats.org/spreadsheetml/2006/main" count="395" uniqueCount="173">
  <si>
    <t>Estado de Resultados</t>
  </si>
  <si>
    <t>Richard´s  Company, S.A.</t>
  </si>
  <si>
    <t>Ingresos por ventas</t>
  </si>
  <si>
    <t>(-) Costo de ventas</t>
  </si>
  <si>
    <t>Utilidad Bruta</t>
  </si>
  <si>
    <t>(-) Gastos Operativos</t>
  </si>
  <si>
    <t xml:space="preserve">      Gastos de ventas</t>
  </si>
  <si>
    <t xml:space="preserve">      Gastos generales y administrativos</t>
  </si>
  <si>
    <t xml:space="preserve">      Gastos de arrendamiento</t>
  </si>
  <si>
    <t xml:space="preserve">      Gastos por depreciación</t>
  </si>
  <si>
    <t xml:space="preserve">      Total de gastos operativos</t>
  </si>
  <si>
    <t>Utilidad Operativa</t>
  </si>
  <si>
    <t>(-) Intereses</t>
  </si>
  <si>
    <t>Utilidad neta antes de impuestos</t>
  </si>
  <si>
    <t>(-) Impuestos</t>
  </si>
  <si>
    <t>Utilidad neta después de impuestos</t>
  </si>
  <si>
    <t>(-) Dividendos Preferentes</t>
  </si>
  <si>
    <t>Ganancia disponible para accionistas comunes</t>
  </si>
  <si>
    <t>Balance General</t>
  </si>
  <si>
    <t>ACTIVOS</t>
  </si>
  <si>
    <t>Valores negociables</t>
  </si>
  <si>
    <t>Bancos</t>
  </si>
  <si>
    <t>Cuentas por cobrar</t>
  </si>
  <si>
    <t>Inventarios</t>
  </si>
  <si>
    <t>Total de activos corrientes</t>
  </si>
  <si>
    <t>Activo Corriente</t>
  </si>
  <si>
    <t>Activos No Corrientes</t>
  </si>
  <si>
    <t>Maquinaria y Equipo</t>
  </si>
  <si>
    <t>Mobiliario y Accesorios</t>
  </si>
  <si>
    <t>Terreno y Edificios</t>
  </si>
  <si>
    <t>Total de activos brutos</t>
  </si>
  <si>
    <t>(-) Depreciación Acumulada</t>
  </si>
  <si>
    <t>Total de activos no corrientes</t>
  </si>
  <si>
    <t>SUMA TOTAL DEL ACTIVO</t>
  </si>
  <si>
    <t>PASIVO Y PATRIMONIO</t>
  </si>
  <si>
    <t>Cuentas por Pagar</t>
  </si>
  <si>
    <t>Documentos por Pagar</t>
  </si>
  <si>
    <t>Deudas Acumuladas</t>
  </si>
  <si>
    <t>Pasivos Corrientes</t>
  </si>
  <si>
    <t>Total de pasivos corrientes</t>
  </si>
  <si>
    <t>Pasivos No Corrientes</t>
  </si>
  <si>
    <t>Deuda a largo plazo</t>
  </si>
  <si>
    <t>Total de pasivos No corrientes</t>
  </si>
  <si>
    <t>Capital</t>
  </si>
  <si>
    <t>Acciones Preferentes (25,000)</t>
  </si>
  <si>
    <t>Acciones Comunes (1 millón)</t>
  </si>
  <si>
    <t>Capital pagado en exceso del valor a la par</t>
  </si>
  <si>
    <t>Ganancias retenidas</t>
  </si>
  <si>
    <t>Total de Capital</t>
  </si>
  <si>
    <t>SUMA TOTAL DEL PASIVO + CAPITAL</t>
  </si>
  <si>
    <t>Estado de Utilidades Retenidas</t>
  </si>
  <si>
    <t>Utilidad Disponible para acciones preferentes y comunes</t>
  </si>
  <si>
    <t>(-) Pago de Acciones Preferentes</t>
  </si>
  <si>
    <t>Utilidad Disponible para acciones comunes</t>
  </si>
  <si>
    <t>(-) Pago de Acciones Comunes</t>
  </si>
  <si>
    <t>ACTIVIDADES DE OPERACIÓN</t>
  </si>
  <si>
    <t>Adiciones (Origen de Efectivo):</t>
  </si>
  <si>
    <t>Depreciación</t>
  </si>
  <si>
    <t>Incremento en Cuentas por Pagar</t>
  </si>
  <si>
    <t>Sustracciones (Aplicaciones de Efectivo):</t>
  </si>
  <si>
    <t>Incremento en Cuentas por Cobrar</t>
  </si>
  <si>
    <t>FNE por actividades de Operación</t>
  </si>
  <si>
    <t>ACTIVIDADES DE INVERSIÓN A LARGO PLAZO</t>
  </si>
  <si>
    <t>Aumento de Activos fijos brutos</t>
  </si>
  <si>
    <t>FNE por actividades de inversión</t>
  </si>
  <si>
    <t>ACTIVIDADES DE FINANCIAMIENTO</t>
  </si>
  <si>
    <t>Aumento de la Deuda a Largo plazo</t>
  </si>
  <si>
    <t>Pago dividendos preferentes</t>
  </si>
  <si>
    <t>FNE por actividades de Financiamiento</t>
  </si>
  <si>
    <t>Suma de FNE igual a Cambio de Efectivo</t>
  </si>
  <si>
    <t>Aumento en los inventarios</t>
  </si>
  <si>
    <t>Aumento en las Deudas Acumuladas</t>
  </si>
  <si>
    <t>Aumento de Documentos por Pagar</t>
  </si>
  <si>
    <t>Pago dividendos comunes</t>
  </si>
  <si>
    <t>RAZONES FINANCIERAS</t>
  </si>
  <si>
    <t>PROM. INDUSTRIA</t>
  </si>
  <si>
    <t>COMENTARIO</t>
  </si>
  <si>
    <t>RAZONES DE LIQUIDEZ</t>
  </si>
  <si>
    <t>Razón Rápida</t>
  </si>
  <si>
    <t>ADMINISTRACION DE ACTIVOS</t>
  </si>
  <si>
    <t>Rotación de Inventarios</t>
  </si>
  <si>
    <t>Ventas</t>
  </si>
  <si>
    <t xml:space="preserve">Días de venta Pendientes de Cobro </t>
  </si>
  <si>
    <t>Cuentas por Cobrar</t>
  </si>
  <si>
    <t>Rotación de los Activos Fijos</t>
  </si>
  <si>
    <t>Activos Fijos Netos</t>
  </si>
  <si>
    <t>Rotación de los activos Totales</t>
  </si>
  <si>
    <t>Activos Totales</t>
  </si>
  <si>
    <t>ADMINISTRACIÓN DE DEUDAS</t>
  </si>
  <si>
    <t>Deuda Total</t>
  </si>
  <si>
    <t>Rotación de Intereses</t>
  </si>
  <si>
    <t>Cargo por Intereses</t>
  </si>
  <si>
    <t>RENTABILIDAD</t>
  </si>
  <si>
    <t>Margen de Utilidad sobre Ventas</t>
  </si>
  <si>
    <t>Ingreso Neto para Acc. Comunes</t>
  </si>
  <si>
    <t>Generación Básica de Utilidades</t>
  </si>
  <si>
    <t>Rendimiento sobre Activos (ROA)</t>
  </si>
  <si>
    <t>Rendimiento sobre Capital Contable</t>
  </si>
  <si>
    <t>(ROE)</t>
  </si>
  <si>
    <t>Capital Contable Común</t>
  </si>
  <si>
    <t>VALOR DE MERCADO</t>
  </si>
  <si>
    <t>Precio/Utilidad   (P/E)</t>
  </si>
  <si>
    <t>Precio por Acción</t>
  </si>
  <si>
    <t>Utilidades por Acción</t>
  </si>
  <si>
    <t>Valor de Mercado/Valor en</t>
  </si>
  <si>
    <t>Precio de Mercado por Acción</t>
  </si>
  <si>
    <t>Libros</t>
  </si>
  <si>
    <t>Valor en Libros por Acción</t>
  </si>
  <si>
    <t>Ventas Anuales / 365</t>
  </si>
  <si>
    <t>Intereses</t>
  </si>
  <si>
    <t>Dividendos Preferentes</t>
  </si>
  <si>
    <t>Gastos de ventas</t>
  </si>
  <si>
    <t>Gastos generales y administrativos</t>
  </si>
  <si>
    <t>Gastos de arrendamiento</t>
  </si>
  <si>
    <t>Gastos por depreciación</t>
  </si>
  <si>
    <t>Costo de ventas</t>
  </si>
  <si>
    <t>Depreciación Acumulada</t>
  </si>
  <si>
    <t>Costo de Ventas</t>
  </si>
  <si>
    <t>% V</t>
  </si>
  <si>
    <t>%H</t>
  </si>
  <si>
    <t>*Usando como efectivo: Bancos y Valores Negociables</t>
  </si>
  <si>
    <t>AÑO 2022</t>
  </si>
  <si>
    <t>Razón Corriente</t>
  </si>
  <si>
    <t>Pasivo Corriente</t>
  </si>
  <si>
    <t>Activo Corriente - Inventarios</t>
  </si>
  <si>
    <t>(Prueba ácida)</t>
  </si>
  <si>
    <t>Días de Inventario</t>
  </si>
  <si>
    <t>Inventario</t>
  </si>
  <si>
    <t>(PPI)</t>
  </si>
  <si>
    <t>Costo de ventas / 365</t>
  </si>
  <si>
    <t>(PPC)</t>
  </si>
  <si>
    <t>(Activos No Corrientes)</t>
  </si>
  <si>
    <t>Nivel de Endeudamiento Total</t>
  </si>
  <si>
    <t>(Cobertura de Intereses)</t>
  </si>
  <si>
    <t>UAII</t>
  </si>
  <si>
    <t>UDAC</t>
  </si>
  <si>
    <t>(+) Efectivo al Final del Año 2021</t>
  </si>
  <si>
    <t>Efectivo al Final del Año 2022</t>
  </si>
  <si>
    <t>Utilidad Neta</t>
  </si>
  <si>
    <t>Días pendientes de Pago</t>
  </si>
  <si>
    <t>(PPP)</t>
  </si>
  <si>
    <t>Compras Anuales / 365</t>
  </si>
  <si>
    <t>Del 01 de enero al 31 de diciembre 2022-2023</t>
  </si>
  <si>
    <t>Del año 2023, que finaliza el 31 de diciembre</t>
  </si>
  <si>
    <t>Al 31 de diciembre 2022-2023</t>
  </si>
  <si>
    <t>Del 01 de enero al 31 de diciembre 2023</t>
  </si>
  <si>
    <t>AÑO 2022-2023</t>
  </si>
  <si>
    <t>AÑO 2023</t>
  </si>
  <si>
    <t>Saldo en Utilidades Retenidas Dic 2022</t>
  </si>
  <si>
    <t>(+) Utilidad Neta del Ejercicio del 2023</t>
  </si>
  <si>
    <t>Utilidad Retenida al 2023</t>
  </si>
  <si>
    <t>ESTADO DE FLUJOS DE EFECTIVO</t>
  </si>
  <si>
    <t>Capital Acciones Comunes</t>
  </si>
  <si>
    <t>Patromonio de los Accionistas</t>
  </si>
  <si>
    <t>Deuda a Largo Plazo</t>
  </si>
  <si>
    <t>divididas entre</t>
  </si>
  <si>
    <t>más</t>
  </si>
  <si>
    <t>Multiplicador de Apalancamiento Financiero (MAF)</t>
  </si>
  <si>
    <t>Total de Pasivos + Patrimonio = Total Activos</t>
  </si>
  <si>
    <t>Total de Pasivos</t>
  </si>
  <si>
    <t>Pasivos corrientes</t>
  </si>
  <si>
    <t>Total de Activos</t>
  </si>
  <si>
    <t>Retorno sobre el patromonio (ROE)</t>
  </si>
  <si>
    <t>multiplicado por</t>
  </si>
  <si>
    <t>Rotación de Activos Totales</t>
  </si>
  <si>
    <t>Activos Corrientes</t>
  </si>
  <si>
    <t>Dividendos Acc. Preferentes</t>
  </si>
  <si>
    <t>menos</t>
  </si>
  <si>
    <t>Rendimiento sobre los activos totales (ROA)</t>
  </si>
  <si>
    <t>Impuestos</t>
  </si>
  <si>
    <t>Gastos por Intereses</t>
  </si>
  <si>
    <t>Gastos Operativos</t>
  </si>
  <si>
    <t>Margen de Utilidad Neta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</si>
</sst>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Q-100A]* #,##0.00_);_([$Q-100A]* \(#,##0.00\);_([$Q-100A]* &quot;-&quot;??_);_(@_)"/>
    <numFmt numFmtId="165" formatCode="0.00000"/>
    <numFmt numFmtId="166" formatCode="0.0%"/>
    <numFmt numFmtId="170" formatCode="#,##0.0"/>
  </numFmts>
  <fonts count="18"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u val="singleAccounting"/>
      <sz val="11"/>
      <color theme="1"/>
      <name val="Calibri"/>
      <family val="2"/>
      <scheme val="minor"/>
    </font>
    <font>
      <sz val="11"/>
      <color rgb="FFFF0000"/>
      <name val="Calibri"/>
      <family val="2"/>
      <scheme val="minor"/>
    </font>
    <font>
      <b/>
      <sz val="11"/>
      <color rgb="FFFF0000"/>
      <name val="Calibri"/>
      <family val="2"/>
      <scheme val="minor"/>
    </font>
    <font>
      <i/>
      <sz val="11"/>
      <color rgb="FFFF0000"/>
      <name val="Calibri"/>
      <family val="2"/>
      <scheme val="minor"/>
    </font>
    <font>
      <sz val="11"/>
      <color theme="1"/>
      <name val="Calibri"/>
      <family val="2"/>
      <scheme val="minor"/>
    </font>
    <font>
      <sz val="11"/>
      <color rgb="FF000000"/>
      <name val="Calibri"/>
      <family val="2"/>
      <scheme val="minor"/>
    </font>
    <font>
      <sz val="9"/>
      <color indexed="81"/>
      <name val="Tahoma"/>
      <family val="2"/>
    </font>
    <font>
      <b/>
      <sz val="9"/>
      <color indexed="81"/>
      <name val="Tahoma"/>
      <family val="2"/>
    </font>
    <font>
      <sz val="11"/>
      <color theme="1"/>
      <name val="Century Gothic"/>
      <family val="2"/>
    </font>
    <font>
      <sz val="11"/>
      <name val="Century Gothic"/>
      <family val="2"/>
    </font>
    <font>
      <b/>
      <sz val="11"/>
      <color theme="1"/>
      <name val="Century Gothic"/>
      <family val="2"/>
    </font>
    <font>
      <b/>
      <sz val="11"/>
      <name val="Century Gothic"/>
      <family val="2"/>
    </font>
    <font>
      <sz val="11"/>
      <color theme="0"/>
      <name val="Century Gothic"/>
      <family val="2"/>
    </font>
    <font>
      <b/>
      <sz val="11"/>
      <color theme="0"/>
      <name val="Century Gothic"/>
      <family val="2"/>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39997558519241921"/>
        <bgColor indexed="64"/>
      </patternFill>
    </fill>
  </fills>
  <borders count="4">
    <border>
      <left/>
      <right/>
      <top/>
      <bottom/>
      <diagonal/>
    </border>
    <border>
      <left/>
      <right/>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s>
  <cellStyleXfs count="3">
    <xf numFmtId="164" fontId="0" fillId="0" borderId="0"/>
    <xf numFmtId="9" fontId="8" fillId="0" borderId="0" applyFont="0" applyFill="0" applyBorder="0" applyAlignment="0" applyProtection="0"/>
    <xf numFmtId="0" fontId="8" fillId="0" borderId="0"/>
  </cellStyleXfs>
  <cellXfs count="67">
    <xf numFmtId="164" fontId="0" fillId="0" borderId="0" xfId="0"/>
    <xf numFmtId="164" fontId="1" fillId="0" borderId="0" xfId="0" applyFont="1"/>
    <xf numFmtId="164" fontId="2" fillId="0" borderId="0" xfId="0" applyFont="1"/>
    <xf numFmtId="164" fontId="0" fillId="0" borderId="1" xfId="0" applyBorder="1"/>
    <xf numFmtId="164" fontId="1" fillId="0" borderId="2" xfId="0" applyFont="1" applyBorder="1"/>
    <xf numFmtId="164" fontId="3" fillId="0" borderId="0" xfId="0" applyFont="1"/>
    <xf numFmtId="164" fontId="4" fillId="0" borderId="0" xfId="0" applyFont="1"/>
    <xf numFmtId="164" fontId="5" fillId="0" borderId="0" xfId="0" applyFont="1"/>
    <xf numFmtId="164" fontId="6" fillId="0" borderId="0" xfId="0" applyFont="1"/>
    <xf numFmtId="164" fontId="5" fillId="0" borderId="1" xfId="0" applyFont="1" applyBorder="1"/>
    <xf numFmtId="164" fontId="6" fillId="0" borderId="2" xfId="0" applyFont="1" applyBorder="1"/>
    <xf numFmtId="164" fontId="7" fillId="0" borderId="0" xfId="0" applyFont="1"/>
    <xf numFmtId="37" fontId="1" fillId="0" borderId="0" xfId="0" applyNumberFormat="1" applyFont="1" applyAlignment="1">
      <alignment horizontal="center"/>
    </xf>
    <xf numFmtId="10" fontId="0" fillId="0" borderId="0" xfId="1" applyNumberFormat="1" applyFont="1"/>
    <xf numFmtId="165" fontId="0" fillId="0" borderId="0" xfId="0" applyNumberFormat="1"/>
    <xf numFmtId="164" fontId="1" fillId="3" borderId="0" xfId="0" applyFont="1" applyFill="1"/>
    <xf numFmtId="164" fontId="0" fillId="3" borderId="0" xfId="0" applyFill="1" applyAlignment="1">
      <alignment horizontal="center"/>
    </xf>
    <xf numFmtId="164" fontId="0" fillId="3" borderId="0" xfId="0" applyFill="1"/>
    <xf numFmtId="164" fontId="1" fillId="3" borderId="0" xfId="0" applyFont="1" applyFill="1" applyAlignment="1">
      <alignment horizontal="center"/>
    </xf>
    <xf numFmtId="164" fontId="1" fillId="2" borderId="0" xfId="0" applyFont="1" applyFill="1" applyAlignment="1">
      <alignment horizontal="center" wrapText="1"/>
    </xf>
    <xf numFmtId="164" fontId="0" fillId="3" borderId="1" xfId="0" applyFill="1" applyBorder="1" applyAlignment="1">
      <alignment horizontal="center"/>
    </xf>
    <xf numFmtId="164" fontId="0" fillId="2" borderId="0" xfId="0" applyFill="1" applyAlignment="1">
      <alignment horizontal="center"/>
    </xf>
    <xf numFmtId="4" fontId="0" fillId="2" borderId="0" xfId="0" applyNumberFormat="1" applyFill="1" applyAlignment="1">
      <alignment horizontal="center"/>
    </xf>
    <xf numFmtId="164" fontId="0" fillId="3" borderId="0" xfId="0" applyFill="1" applyAlignment="1">
      <alignment horizontal="center" vertical="top"/>
    </xf>
    <xf numFmtId="10" fontId="0" fillId="2" borderId="0" xfId="0" applyNumberFormat="1" applyFill="1" applyAlignment="1">
      <alignment horizontal="center"/>
    </xf>
    <xf numFmtId="164" fontId="0" fillId="0" borderId="0" xfId="0" applyAlignment="1">
      <alignment horizontal="center"/>
    </xf>
    <xf numFmtId="2" fontId="0" fillId="2" borderId="0" xfId="0" applyNumberFormat="1" applyFill="1" applyAlignment="1">
      <alignment horizontal="center"/>
    </xf>
    <xf numFmtId="164" fontId="0" fillId="0" borderId="3" xfId="0" applyBorder="1"/>
    <xf numFmtId="0" fontId="0" fillId="0" borderId="0" xfId="0" applyNumberFormat="1"/>
    <xf numFmtId="43" fontId="0" fillId="0" borderId="0" xfId="0" applyNumberFormat="1"/>
    <xf numFmtId="9" fontId="5" fillId="0" borderId="0" xfId="1" applyFont="1" applyFill="1" applyBorder="1" applyAlignment="1">
      <alignment horizontal="center"/>
    </xf>
    <xf numFmtId="164" fontId="0" fillId="3" borderId="0" xfId="0" applyFill="1" applyAlignment="1">
      <alignment horizontal="left"/>
    </xf>
    <xf numFmtId="164" fontId="3" fillId="3" borderId="0" xfId="0" applyFont="1" applyFill="1" applyAlignment="1">
      <alignment horizontal="left"/>
    </xf>
    <xf numFmtId="164" fontId="7" fillId="3" borderId="0" xfId="0" applyFont="1" applyFill="1" applyAlignment="1">
      <alignment horizontal="left"/>
    </xf>
    <xf numFmtId="164" fontId="7" fillId="3" borderId="0" xfId="0" applyFont="1" applyFill="1" applyAlignment="1">
      <alignment horizontal="center"/>
    </xf>
    <xf numFmtId="37" fontId="1" fillId="4" borderId="0" xfId="0" applyNumberFormat="1" applyFont="1" applyFill="1" applyAlignment="1">
      <alignment horizontal="center"/>
    </xf>
    <xf numFmtId="37" fontId="1" fillId="4" borderId="3" xfId="0" applyNumberFormat="1" applyFont="1" applyFill="1" applyBorder="1" applyAlignment="1">
      <alignment horizontal="center"/>
    </xf>
    <xf numFmtId="164" fontId="9" fillId="0" borderId="3" xfId="0" applyFont="1" applyBorder="1" applyAlignment="1">
      <alignment vertical="center"/>
    </xf>
    <xf numFmtId="37" fontId="6" fillId="0" borderId="0" xfId="0" applyNumberFormat="1" applyFont="1" applyAlignment="1">
      <alignment horizontal="center"/>
    </xf>
    <xf numFmtId="166" fontId="5" fillId="0" borderId="0" xfId="1" applyNumberFormat="1" applyFont="1" applyFill="1" applyBorder="1" applyAlignment="1">
      <alignment horizontal="center"/>
    </xf>
    <xf numFmtId="10" fontId="5" fillId="0" borderId="0" xfId="0" applyNumberFormat="1" applyFont="1"/>
    <xf numFmtId="39" fontId="0" fillId="3" borderId="0" xfId="0" applyNumberFormat="1" applyFill="1" applyAlignment="1">
      <alignment horizontal="center"/>
    </xf>
    <xf numFmtId="2" fontId="0" fillId="3" borderId="0" xfId="0" applyNumberFormat="1" applyFill="1" applyAlignment="1">
      <alignment horizontal="center"/>
    </xf>
    <xf numFmtId="2" fontId="5" fillId="2" borderId="0" xfId="0" applyNumberFormat="1" applyFont="1" applyFill="1" applyAlignment="1">
      <alignment horizontal="center"/>
    </xf>
    <xf numFmtId="10" fontId="0" fillId="3" borderId="0" xfId="0" applyNumberFormat="1" applyFill="1" applyAlignment="1">
      <alignment horizontal="center"/>
    </xf>
    <xf numFmtId="0" fontId="8" fillId="0" borderId="0" xfId="2"/>
    <xf numFmtId="0" fontId="12" fillId="0" borderId="0" xfId="2" applyFont="1"/>
    <xf numFmtId="3" fontId="12" fillId="5" borderId="0" xfId="1" applyNumberFormat="1" applyFont="1" applyFill="1" applyAlignment="1">
      <alignment horizontal="center"/>
    </xf>
    <xf numFmtId="3" fontId="13" fillId="6" borderId="0" xfId="2" applyNumberFormat="1" applyFont="1" applyFill="1" applyAlignment="1">
      <alignment horizontal="center" wrapText="1"/>
    </xf>
    <xf numFmtId="3" fontId="12" fillId="7" borderId="0" xfId="2" applyNumberFormat="1" applyFont="1" applyFill="1" applyAlignment="1">
      <alignment horizontal="center"/>
    </xf>
    <xf numFmtId="0" fontId="14" fillId="5" borderId="0" xfId="2" applyFont="1" applyFill="1" applyAlignment="1">
      <alignment horizontal="center" wrapText="1"/>
    </xf>
    <xf numFmtId="0" fontId="15" fillId="6" borderId="0" xfId="2" applyFont="1" applyFill="1" applyAlignment="1">
      <alignment horizontal="center" wrapText="1"/>
    </xf>
    <xf numFmtId="0" fontId="14" fillId="7" borderId="0" xfId="2" applyFont="1" applyFill="1" applyAlignment="1">
      <alignment horizontal="center" wrapText="1"/>
    </xf>
    <xf numFmtId="2" fontId="16" fillId="8" borderId="0" xfId="1" applyNumberFormat="1" applyFont="1" applyFill="1" applyAlignment="1">
      <alignment horizontal="center"/>
    </xf>
    <xf numFmtId="0" fontId="12" fillId="0" borderId="0" xfId="2" applyFont="1" applyAlignment="1">
      <alignment horizontal="center"/>
    </xf>
    <xf numFmtId="0" fontId="17" fillId="8" borderId="0" xfId="2" applyFont="1" applyFill="1" applyAlignment="1">
      <alignment horizontal="center" wrapText="1"/>
    </xf>
    <xf numFmtId="0" fontId="14" fillId="0" borderId="0" xfId="2" applyFont="1" applyAlignment="1">
      <alignment horizontal="center" wrapText="1"/>
    </xf>
    <xf numFmtId="10" fontId="16" fillId="8" borderId="0" xfId="1" applyNumberFormat="1" applyFont="1" applyFill="1" applyAlignment="1">
      <alignment horizontal="center"/>
    </xf>
    <xf numFmtId="2" fontId="12" fillId="5" borderId="0" xfId="1" applyNumberFormat="1" applyFont="1" applyFill="1" applyAlignment="1">
      <alignment horizontal="center"/>
    </xf>
    <xf numFmtId="0" fontId="12" fillId="0" borderId="0" xfId="2" applyFont="1" applyAlignment="1">
      <alignment horizontal="right"/>
    </xf>
    <xf numFmtId="170" fontId="12" fillId="7" borderId="0" xfId="2" applyNumberFormat="1" applyFont="1" applyFill="1" applyAlignment="1">
      <alignment horizontal="center"/>
    </xf>
    <xf numFmtId="10" fontId="12" fillId="5" borderId="0" xfId="1" applyNumberFormat="1" applyFont="1" applyFill="1" applyAlignment="1">
      <alignment horizontal="center"/>
    </xf>
    <xf numFmtId="0" fontId="12" fillId="0" borderId="0" xfId="2" applyFont="1" applyAlignment="1">
      <alignment vertical="center"/>
    </xf>
    <xf numFmtId="170" fontId="13" fillId="6" borderId="0" xfId="2" applyNumberFormat="1" applyFont="1" applyFill="1" applyAlignment="1">
      <alignment horizontal="center" wrapText="1"/>
    </xf>
    <xf numFmtId="0" fontId="14" fillId="0" borderId="0" xfId="2" applyFont="1"/>
    <xf numFmtId="0" fontId="14" fillId="7" borderId="0" xfId="2" applyFont="1" applyFill="1" applyAlignment="1">
      <alignment horizontal="center"/>
    </xf>
    <xf numFmtId="164" fontId="12" fillId="0" borderId="0" xfId="2" applyNumberFormat="1" applyFont="1"/>
  </cellXfs>
  <cellStyles count="3">
    <cellStyle name="Normal" xfId="0" builtinId="0"/>
    <cellStyle name="Normal 2" xfId="2" xr:uid="{646A0C39-3E9E-4913-888C-7F2578F85808}"/>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GT"/>
              <a:t>COMPOSICION DEL AC 2023</a:t>
            </a:r>
          </a:p>
        </c:rich>
      </c:tx>
      <c:layout>
        <c:manualLayout>
          <c:xMode val="edge"/>
          <c:yMode val="edge"/>
          <c:x val="0.36450443694538182"/>
          <c:y val="1.66805671392827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GT"/>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E1D-43BA-B9AD-C77B4D4ACC1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0E1D-43BA-B9AD-C77B4D4ACC1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57B-463B-9F1E-977EF761914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E1D-43BA-B9AD-C77B4D4ACC1B}"/>
              </c:ext>
            </c:extLst>
          </c:dPt>
          <c:dLbls>
            <c:dLbl>
              <c:idx val="0"/>
              <c:layout>
                <c:manualLayout>
                  <c:x val="-3.6446886446886449E-2"/>
                  <c:y val="7.167609053038510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E1D-43BA-B9AD-C77B4D4ACC1B}"/>
                </c:ext>
              </c:extLst>
            </c:dLbl>
            <c:dLbl>
              <c:idx val="1"/>
              <c:layout>
                <c:manualLayout>
                  <c:x val="-0.11006300494489478"/>
                  <c:y val="0.11592665804180649"/>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E1D-43BA-B9AD-C77B4D4ACC1B}"/>
                </c:ext>
              </c:extLst>
            </c:dLbl>
            <c:dLbl>
              <c:idx val="3"/>
              <c:layout>
                <c:manualLayout>
                  <c:x val="0.12083842083842082"/>
                  <c:y val="0.13986830670353029"/>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E1D-43BA-B9AD-C77B4D4ACC1B}"/>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GT"/>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SOLUCIÓN!$H$7:$H$10</c:f>
              <c:strCache>
                <c:ptCount val="4"/>
                <c:pt idx="0">
                  <c:v> Bancos </c:v>
                </c:pt>
                <c:pt idx="1">
                  <c:v> Valores negociables </c:v>
                </c:pt>
                <c:pt idx="2">
                  <c:v> Cuentas por cobrar </c:v>
                </c:pt>
                <c:pt idx="3">
                  <c:v> Inventarios </c:v>
                </c:pt>
              </c:strCache>
            </c:strRef>
          </c:cat>
          <c:val>
            <c:numRef>
              <c:f>SOLUCIÓN!$I$7:$I$10</c:f>
              <c:numCache>
                <c:formatCode>_([$Q-100A]* #,##0.00_);_([$Q-100A]* \(#,##0.00\);_([$Q-100A]* "-"??_);_(@_)</c:formatCode>
                <c:ptCount val="4"/>
                <c:pt idx="0">
                  <c:v>1000000</c:v>
                </c:pt>
                <c:pt idx="1">
                  <c:v>3000000</c:v>
                </c:pt>
                <c:pt idx="2">
                  <c:v>12000000</c:v>
                </c:pt>
                <c:pt idx="3">
                  <c:v>7500000</c:v>
                </c:pt>
              </c:numCache>
            </c:numRef>
          </c:val>
          <c:extLst>
            <c:ext xmlns:c16="http://schemas.microsoft.com/office/drawing/2014/chart" uri="{C3380CC4-5D6E-409C-BE32-E72D297353CC}">
              <c16:uniqueId val="{00000000-0E1D-43BA-B9AD-C77B4D4ACC1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23</xdr:col>
      <xdr:colOff>53340</xdr:colOff>
      <xdr:row>4</xdr:row>
      <xdr:rowOff>22860</xdr:rowOff>
    </xdr:from>
    <xdr:to>
      <xdr:col>30</xdr:col>
      <xdr:colOff>144780</xdr:colOff>
      <xdr:row>13</xdr:row>
      <xdr:rowOff>30480</xdr:rowOff>
    </xdr:to>
    <xdr:sp macro="" textlink="">
      <xdr:nvSpPr>
        <xdr:cNvPr id="2" name="CuadroTexto 1">
          <a:extLst>
            <a:ext uri="{FF2B5EF4-FFF2-40B4-BE49-F238E27FC236}">
              <a16:creationId xmlns:a16="http://schemas.microsoft.com/office/drawing/2014/main" id="{0970C240-F934-1FEF-8571-9FEB8C89BDBC}"/>
            </a:ext>
          </a:extLst>
        </xdr:cNvPr>
        <xdr:cNvSpPr txBox="1"/>
      </xdr:nvSpPr>
      <xdr:spPr>
        <a:xfrm>
          <a:off x="27302460" y="937260"/>
          <a:ext cx="8130540" cy="1653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La</a:t>
          </a:r>
          <a:r>
            <a:rPr lang="es-GT" sz="1100" baseline="0"/>
            <a:t> empresa si posee suficiente liquidez en el 2022 y en el 2023, aunque esta era mayor en el 2022 por que usando todos uss activos corrientes si  le alcanza para pagar sus deudas de corto plazo. En el año 2023 se puede cubrir Q1.42 veces las deudas de corto plazo con estos activos. por cada quetzal que la empresa debe en el 2023 tiene Q1.42 para cubrir esa deuda. La competencia mostro mas liquidez de corto al tener 80 centavos disponibles (no comprometidos) por cada quetzal de deuda menor a un año. </a:t>
          </a:r>
          <a:br>
            <a:rPr lang="es-GT" sz="1100" baseline="0"/>
          </a:br>
          <a:br>
            <a:rPr lang="es-GT" sz="1100" baseline="0"/>
          </a:br>
          <a:r>
            <a:rPr lang="es-GT" sz="1100" baseline="0"/>
            <a:t>si no se logra vender inventario no posee suficiente efectivo para cubrir sus deudas de corto plazo (en ninguno de los dos años analizados) Le faltan 3 centavos por cada quetzales que debe en el 2023. Esto significa que el inventario representa un valor significativo dentro de los activos corrientes  (32% EN EL 2023).  Cabe mencionar que tambien necesita cobrar a sus clientes para poder hacer frente a esos compromisos de corto plazo</a:t>
          </a:r>
        </a:p>
        <a:p>
          <a:endParaRPr lang="es-GT" sz="1100"/>
        </a:p>
      </xdr:txBody>
    </xdr:sp>
    <xdr:clientData/>
  </xdr:twoCellAnchor>
  <xdr:twoCellAnchor>
    <xdr:from>
      <xdr:col>30</xdr:col>
      <xdr:colOff>441960</xdr:colOff>
      <xdr:row>3</xdr:row>
      <xdr:rowOff>300990</xdr:rowOff>
    </xdr:from>
    <xdr:to>
      <xdr:col>38</xdr:col>
      <xdr:colOff>403860</xdr:colOff>
      <xdr:row>28</xdr:row>
      <xdr:rowOff>60960</xdr:rowOff>
    </xdr:to>
    <xdr:graphicFrame macro="">
      <xdr:nvGraphicFramePr>
        <xdr:cNvPr id="4" name="Gráfico 3">
          <a:extLst>
            <a:ext uri="{FF2B5EF4-FFF2-40B4-BE49-F238E27FC236}">
              <a16:creationId xmlns:a16="http://schemas.microsoft.com/office/drawing/2014/main" id="{8C38BA0A-A58B-9763-4D8E-21EAFA1E1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83820</xdr:colOff>
      <xdr:row>14</xdr:row>
      <xdr:rowOff>30480</xdr:rowOff>
    </xdr:from>
    <xdr:to>
      <xdr:col>29</xdr:col>
      <xdr:colOff>99060</xdr:colOff>
      <xdr:row>18</xdr:row>
      <xdr:rowOff>167640</xdr:rowOff>
    </xdr:to>
    <xdr:sp macro="" textlink="">
      <xdr:nvSpPr>
        <xdr:cNvPr id="3" name="CuadroTexto 2">
          <a:extLst>
            <a:ext uri="{FF2B5EF4-FFF2-40B4-BE49-F238E27FC236}">
              <a16:creationId xmlns:a16="http://schemas.microsoft.com/office/drawing/2014/main" id="{F8117DD4-8B8E-1C69-D1D6-1866C2A1F423}"/>
            </a:ext>
          </a:extLst>
        </xdr:cNvPr>
        <xdr:cNvSpPr txBox="1"/>
      </xdr:nvSpPr>
      <xdr:spPr>
        <a:xfrm>
          <a:off x="27332940" y="2773680"/>
          <a:ext cx="7269480" cy="891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La adminsitracion del inventario no es correcta,</a:t>
          </a:r>
          <a:r>
            <a:rPr lang="es-GT" sz="1100" baseline="0"/>
            <a:t> tanto en el 2022 como en el 2023. Apenas se logra vaciar las bodegas al rededor de tres veces en el año por lo que pasa mas de 130 dias almacenado los productos antes de lograr venderse. la competencia lo hacen en 46 dias. Esto representa un alto costo de oportunidad para la empresa, por tener recursos invertidos mas timpo del necesario.</a:t>
          </a:r>
          <a:endParaRPr lang="es-GT" sz="1100"/>
        </a:p>
      </xdr:txBody>
    </xdr:sp>
    <xdr:clientData/>
  </xdr:twoCellAnchor>
  <xdr:twoCellAnchor>
    <xdr:from>
      <xdr:col>23</xdr:col>
      <xdr:colOff>106680</xdr:colOff>
      <xdr:row>19</xdr:row>
      <xdr:rowOff>175260</xdr:rowOff>
    </xdr:from>
    <xdr:to>
      <xdr:col>29</xdr:col>
      <xdr:colOff>7620</xdr:colOff>
      <xdr:row>23</xdr:row>
      <xdr:rowOff>160020</xdr:rowOff>
    </xdr:to>
    <xdr:sp macro="" textlink="">
      <xdr:nvSpPr>
        <xdr:cNvPr id="5" name="CuadroTexto 4">
          <a:extLst>
            <a:ext uri="{FF2B5EF4-FFF2-40B4-BE49-F238E27FC236}">
              <a16:creationId xmlns:a16="http://schemas.microsoft.com/office/drawing/2014/main" id="{2F8877EB-8A1B-6905-D356-F5D4CF9E9F30}"/>
            </a:ext>
          </a:extLst>
        </xdr:cNvPr>
        <xdr:cNvSpPr txBox="1"/>
      </xdr:nvSpPr>
      <xdr:spPr>
        <a:xfrm>
          <a:off x="27355800" y="3863340"/>
          <a:ext cx="7155180" cy="739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Los clientes</a:t>
          </a:r>
          <a:r>
            <a:rPr lang="es-GT" sz="1100" baseline="0"/>
            <a:t> en el 2023 se tardan en promedio 146 dias para pagar una compra al credito. En el 2022 se tardaban 52 dias menos. representan un alto costo de oportunidad para la empresa, por tener recursos inveritdos mas tiempo del necesario.</a:t>
          </a:r>
          <a:endParaRPr lang="es-GT" sz="1100"/>
        </a:p>
      </xdr:txBody>
    </xdr:sp>
    <xdr:clientData/>
  </xdr:twoCellAnchor>
  <xdr:twoCellAnchor>
    <xdr:from>
      <xdr:col>23</xdr:col>
      <xdr:colOff>152400</xdr:colOff>
      <xdr:row>25</xdr:row>
      <xdr:rowOff>38100</xdr:rowOff>
    </xdr:from>
    <xdr:to>
      <xdr:col>29</xdr:col>
      <xdr:colOff>15240</xdr:colOff>
      <xdr:row>30</xdr:row>
      <xdr:rowOff>0</xdr:rowOff>
    </xdr:to>
    <xdr:sp macro="" textlink="">
      <xdr:nvSpPr>
        <xdr:cNvPr id="6" name="CuadroTexto 5">
          <a:extLst>
            <a:ext uri="{FF2B5EF4-FFF2-40B4-BE49-F238E27FC236}">
              <a16:creationId xmlns:a16="http://schemas.microsoft.com/office/drawing/2014/main" id="{073324FC-48C9-4CE9-361E-67A8982E3050}"/>
            </a:ext>
          </a:extLst>
        </xdr:cNvPr>
        <xdr:cNvSpPr txBox="1"/>
      </xdr:nvSpPr>
      <xdr:spPr>
        <a:xfrm>
          <a:off x="27401520" y="4846320"/>
          <a:ext cx="7117080"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Esta empresa es mas ineficiente que su competencia</a:t>
          </a:r>
          <a:r>
            <a:rPr lang="es-GT" sz="1100" baseline="0"/>
            <a:t> en el aprovechamiento de sus activos para generar ventas. En el 2023 por cada quetzal que tiene invertido en activos logra generar 1.13 quetzales, bajando a 0.60 centavos cuando se toma en cuenta el uso de todos sus activos. En el 2022 tenia un mejor aprovechamiento de los  mismos.</a:t>
          </a:r>
          <a:endParaRPr lang="es-GT" sz="1100"/>
        </a:p>
      </xdr:txBody>
    </xdr:sp>
    <xdr:clientData/>
  </xdr:twoCellAnchor>
  <xdr:twoCellAnchor>
    <xdr:from>
      <xdr:col>23</xdr:col>
      <xdr:colOff>152400</xdr:colOff>
      <xdr:row>34</xdr:row>
      <xdr:rowOff>99060</xdr:rowOff>
    </xdr:from>
    <xdr:to>
      <xdr:col>28</xdr:col>
      <xdr:colOff>518160</xdr:colOff>
      <xdr:row>39</xdr:row>
      <xdr:rowOff>167640</xdr:rowOff>
    </xdr:to>
    <xdr:sp macro="" textlink="">
      <xdr:nvSpPr>
        <xdr:cNvPr id="7" name="CuadroTexto 6">
          <a:extLst>
            <a:ext uri="{FF2B5EF4-FFF2-40B4-BE49-F238E27FC236}">
              <a16:creationId xmlns:a16="http://schemas.microsoft.com/office/drawing/2014/main" id="{D1DC2B11-6F58-E56A-9DFC-3FBC14AE1873}"/>
            </a:ext>
          </a:extLst>
        </xdr:cNvPr>
        <xdr:cNvSpPr txBox="1"/>
      </xdr:nvSpPr>
      <xdr:spPr>
        <a:xfrm>
          <a:off x="27401520" y="6576060"/>
          <a:ext cx="6835140" cy="1005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El nivel de riesgo</a:t>
          </a:r>
          <a:r>
            <a:rPr lang="es-GT" sz="1100" baseline="0"/>
            <a:t> de la empresa es muy alto, ya que su nivel de endeudamiento alcanzo el 73 % en el 2023, loc ual significa que si la empresa tuviera que liquidarse el dia de hoy solamente le quedaria un 27% a los accionistas. En cuanto a su capacidad de pago de los intereses por deuda, la empresa posee el triple de lo necesario en el 2023, pero en el 2022, tenia una mayor capacidad pues podia cubrilos hasta 7 veces.</a:t>
          </a:r>
        </a:p>
        <a:p>
          <a:endParaRPr lang="es-GT" sz="1100"/>
        </a:p>
      </xdr:txBody>
    </xdr:sp>
    <xdr:clientData/>
  </xdr:twoCellAnchor>
  <xdr:twoCellAnchor>
    <xdr:from>
      <xdr:col>23</xdr:col>
      <xdr:colOff>144780</xdr:colOff>
      <xdr:row>41</xdr:row>
      <xdr:rowOff>140970</xdr:rowOff>
    </xdr:from>
    <xdr:to>
      <xdr:col>28</xdr:col>
      <xdr:colOff>518160</xdr:colOff>
      <xdr:row>48</xdr:row>
      <xdr:rowOff>137160</xdr:rowOff>
    </xdr:to>
    <xdr:sp macro="" textlink="">
      <xdr:nvSpPr>
        <xdr:cNvPr id="8" name="CuadroTexto 7">
          <a:extLst>
            <a:ext uri="{FF2B5EF4-FFF2-40B4-BE49-F238E27FC236}">
              <a16:creationId xmlns:a16="http://schemas.microsoft.com/office/drawing/2014/main" id="{E9175A3F-5400-9C40-66CC-2D9CE8AAB87B}"/>
            </a:ext>
          </a:extLst>
        </xdr:cNvPr>
        <xdr:cNvSpPr txBox="1"/>
      </xdr:nvSpPr>
      <xdr:spPr>
        <a:xfrm>
          <a:off x="27393900" y="7920990"/>
          <a:ext cx="6842760" cy="127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Por cada quetzal vendido en el 2023 los accionistas comunes obtuvieron de ganancia caso 5 centavos</a:t>
          </a:r>
          <a:r>
            <a:rPr lang="es-GT" sz="1100" baseline="0"/>
            <a:t> , en el 2022 lograban casi 7 centavos. En cuanto al aprovechamiento de los activos para generar ganancias, en el 2023 bajo muchisimo ya que por cada quetzal invertido en activos no logran ni 3 centavos de ganacia. La empresa tampoco esta aprovechando en capital invertido por los accionistas comunes para generar ganancias, ya que luego de haber tenido casi 24 centavos de ganancia por cada quetzal invertido, este bajo a casi 13 centavos.</a:t>
          </a:r>
          <a:endParaRPr lang="es-G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171450</xdr:colOff>
      <xdr:row>1</xdr:row>
      <xdr:rowOff>38100</xdr:rowOff>
    </xdr:from>
    <xdr:to>
      <xdr:col>1</xdr:col>
      <xdr:colOff>417256</xdr:colOff>
      <xdr:row>19</xdr:row>
      <xdr:rowOff>76200</xdr:rowOff>
    </xdr:to>
    <xdr:sp macro="" textlink="">
      <xdr:nvSpPr>
        <xdr:cNvPr id="2" name="1 Abrir llave">
          <a:extLst>
            <a:ext uri="{FF2B5EF4-FFF2-40B4-BE49-F238E27FC236}">
              <a16:creationId xmlns:a16="http://schemas.microsoft.com/office/drawing/2014/main" id="{6DDB0ECA-A458-42FA-BB37-E67B2D6257E6}"/>
            </a:ext>
          </a:extLst>
        </xdr:cNvPr>
        <xdr:cNvSpPr/>
      </xdr:nvSpPr>
      <xdr:spPr>
        <a:xfrm>
          <a:off x="796290" y="220980"/>
          <a:ext cx="245806" cy="3329940"/>
        </a:xfrm>
        <a:prstGeom prst="leftBrace">
          <a:avLst>
            <a:gd name="adj1" fmla="val 8333"/>
            <a:gd name="adj2" fmla="val 50131"/>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3</xdr:col>
      <xdr:colOff>133350</xdr:colOff>
      <xdr:row>1</xdr:row>
      <xdr:rowOff>49531</xdr:rowOff>
    </xdr:from>
    <xdr:to>
      <xdr:col>3</xdr:col>
      <xdr:colOff>445770</xdr:colOff>
      <xdr:row>19</xdr:row>
      <xdr:rowOff>97156</xdr:rowOff>
    </xdr:to>
    <xdr:sp macro="" textlink="">
      <xdr:nvSpPr>
        <xdr:cNvPr id="3" name="2 Cerrar llave">
          <a:extLst>
            <a:ext uri="{FF2B5EF4-FFF2-40B4-BE49-F238E27FC236}">
              <a16:creationId xmlns:a16="http://schemas.microsoft.com/office/drawing/2014/main" id="{ED9DF202-ECEC-434F-8D34-AD8106840227}"/>
            </a:ext>
          </a:extLst>
        </xdr:cNvPr>
        <xdr:cNvSpPr/>
      </xdr:nvSpPr>
      <xdr:spPr>
        <a:xfrm>
          <a:off x="2007870" y="232411"/>
          <a:ext cx="312420" cy="3339465"/>
        </a:xfrm>
        <a:prstGeom prst="rightBrace">
          <a:avLst>
            <a:gd name="adj1" fmla="val 8333"/>
            <a:gd name="adj2" fmla="val 31869"/>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5</xdr:col>
      <xdr:colOff>76200</xdr:colOff>
      <xdr:row>5</xdr:row>
      <xdr:rowOff>318135</xdr:rowOff>
    </xdr:from>
    <xdr:to>
      <xdr:col>5</xdr:col>
      <xdr:colOff>405858</xdr:colOff>
      <xdr:row>9</xdr:row>
      <xdr:rowOff>144790</xdr:rowOff>
    </xdr:to>
    <xdr:sp macro="" textlink="">
      <xdr:nvSpPr>
        <xdr:cNvPr id="4" name="3 Cerrar llave">
          <a:extLst>
            <a:ext uri="{FF2B5EF4-FFF2-40B4-BE49-F238E27FC236}">
              <a16:creationId xmlns:a16="http://schemas.microsoft.com/office/drawing/2014/main" id="{96412470-D210-4390-A122-98DAB138C7BC}"/>
            </a:ext>
          </a:extLst>
        </xdr:cNvPr>
        <xdr:cNvSpPr/>
      </xdr:nvSpPr>
      <xdr:spPr>
        <a:xfrm>
          <a:off x="3200400" y="1095375"/>
          <a:ext cx="329658" cy="69533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3</xdr:col>
      <xdr:colOff>171450</xdr:colOff>
      <xdr:row>20</xdr:row>
      <xdr:rowOff>211455</xdr:rowOff>
    </xdr:from>
    <xdr:to>
      <xdr:col>3</xdr:col>
      <xdr:colOff>472646</xdr:colOff>
      <xdr:row>24</xdr:row>
      <xdr:rowOff>144780</xdr:rowOff>
    </xdr:to>
    <xdr:sp macro="" textlink="">
      <xdr:nvSpPr>
        <xdr:cNvPr id="5" name="4 Cerrar llave">
          <a:extLst>
            <a:ext uri="{FF2B5EF4-FFF2-40B4-BE49-F238E27FC236}">
              <a16:creationId xmlns:a16="http://schemas.microsoft.com/office/drawing/2014/main" id="{9264EAF4-A3CC-49C7-9AB4-0986E6F54813}"/>
            </a:ext>
          </a:extLst>
        </xdr:cNvPr>
        <xdr:cNvSpPr/>
      </xdr:nvSpPr>
      <xdr:spPr>
        <a:xfrm>
          <a:off x="2045970" y="3838575"/>
          <a:ext cx="301196" cy="695325"/>
        </a:xfrm>
        <a:prstGeom prst="rightBrace">
          <a:avLst>
            <a:gd name="adj1" fmla="val 8333"/>
            <a:gd name="adj2" fmla="val 74779"/>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5</xdr:col>
      <xdr:colOff>169545</xdr:colOff>
      <xdr:row>20</xdr:row>
      <xdr:rowOff>173355</xdr:rowOff>
    </xdr:from>
    <xdr:to>
      <xdr:col>5</xdr:col>
      <xdr:colOff>455295</xdr:colOff>
      <xdr:row>23</xdr:row>
      <xdr:rowOff>346722</xdr:rowOff>
    </xdr:to>
    <xdr:sp macro="" textlink="">
      <xdr:nvSpPr>
        <xdr:cNvPr id="6" name="5 Cerrar llave">
          <a:extLst>
            <a:ext uri="{FF2B5EF4-FFF2-40B4-BE49-F238E27FC236}">
              <a16:creationId xmlns:a16="http://schemas.microsoft.com/office/drawing/2014/main" id="{FAD6CD32-E358-4721-9BEC-D4E28B5E2E35}"/>
            </a:ext>
          </a:extLst>
        </xdr:cNvPr>
        <xdr:cNvSpPr/>
      </xdr:nvSpPr>
      <xdr:spPr>
        <a:xfrm>
          <a:off x="3293745" y="3830955"/>
          <a:ext cx="285750" cy="554367"/>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5</xdr:col>
      <xdr:colOff>114300</xdr:colOff>
      <xdr:row>26</xdr:row>
      <xdr:rowOff>173355</xdr:rowOff>
    </xdr:from>
    <xdr:to>
      <xdr:col>5</xdr:col>
      <xdr:colOff>443958</xdr:colOff>
      <xdr:row>29</xdr:row>
      <xdr:rowOff>356235</xdr:rowOff>
    </xdr:to>
    <xdr:sp macro="" textlink="">
      <xdr:nvSpPr>
        <xdr:cNvPr id="7" name="6 Cerrar llave">
          <a:extLst>
            <a:ext uri="{FF2B5EF4-FFF2-40B4-BE49-F238E27FC236}">
              <a16:creationId xmlns:a16="http://schemas.microsoft.com/office/drawing/2014/main" id="{1543448F-6A17-4CC7-A2F0-EE65EBA9CD1C}"/>
            </a:ext>
          </a:extLst>
        </xdr:cNvPr>
        <xdr:cNvSpPr/>
      </xdr:nvSpPr>
      <xdr:spPr>
        <a:xfrm>
          <a:off x="3238500" y="4928235"/>
          <a:ext cx="329658" cy="556260"/>
        </a:xfrm>
        <a:prstGeom prst="rightBrace">
          <a:avLst>
            <a:gd name="adj1" fmla="val 8333"/>
            <a:gd name="adj2" fmla="val 21667"/>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7</xdr:col>
      <xdr:colOff>207645</xdr:colOff>
      <xdr:row>26</xdr:row>
      <xdr:rowOff>230505</xdr:rowOff>
    </xdr:from>
    <xdr:to>
      <xdr:col>7</xdr:col>
      <xdr:colOff>360045</xdr:colOff>
      <xdr:row>29</xdr:row>
      <xdr:rowOff>306705</xdr:rowOff>
    </xdr:to>
    <xdr:sp macro="" textlink="">
      <xdr:nvSpPr>
        <xdr:cNvPr id="8" name="7 Cerrar llave">
          <a:extLst>
            <a:ext uri="{FF2B5EF4-FFF2-40B4-BE49-F238E27FC236}">
              <a16:creationId xmlns:a16="http://schemas.microsoft.com/office/drawing/2014/main" id="{7D702522-9BA2-4CD1-813B-B5F927AF9422}"/>
            </a:ext>
          </a:extLst>
        </xdr:cNvPr>
        <xdr:cNvSpPr/>
      </xdr:nvSpPr>
      <xdr:spPr>
        <a:xfrm>
          <a:off x="4581525" y="4939665"/>
          <a:ext cx="152400" cy="54864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7</xdr:col>
      <xdr:colOff>93346</xdr:colOff>
      <xdr:row>6</xdr:row>
      <xdr:rowOff>314324</xdr:rowOff>
    </xdr:from>
    <xdr:to>
      <xdr:col>7</xdr:col>
      <xdr:colOff>531496</xdr:colOff>
      <xdr:row>21</xdr:row>
      <xdr:rowOff>295275</xdr:rowOff>
    </xdr:to>
    <xdr:sp macro="" textlink="">
      <xdr:nvSpPr>
        <xdr:cNvPr id="9" name="8 Cerrar llave">
          <a:extLst>
            <a:ext uri="{FF2B5EF4-FFF2-40B4-BE49-F238E27FC236}">
              <a16:creationId xmlns:a16="http://schemas.microsoft.com/office/drawing/2014/main" id="{6AD03031-993F-4F6B-BAF0-E5D2FD89ACE6}"/>
            </a:ext>
          </a:extLst>
        </xdr:cNvPr>
        <xdr:cNvSpPr/>
      </xdr:nvSpPr>
      <xdr:spPr>
        <a:xfrm>
          <a:off x="4467226" y="1282064"/>
          <a:ext cx="438150" cy="273939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9</xdr:col>
      <xdr:colOff>133350</xdr:colOff>
      <xdr:row>15</xdr:row>
      <xdr:rowOff>255270</xdr:rowOff>
    </xdr:from>
    <xdr:to>
      <xdr:col>9</xdr:col>
      <xdr:colOff>417248</xdr:colOff>
      <xdr:row>27</xdr:row>
      <xdr:rowOff>365858</xdr:rowOff>
    </xdr:to>
    <xdr:sp macro="" textlink="">
      <xdr:nvSpPr>
        <xdr:cNvPr id="10" name="9 Cerrar llave">
          <a:extLst>
            <a:ext uri="{FF2B5EF4-FFF2-40B4-BE49-F238E27FC236}">
              <a16:creationId xmlns:a16="http://schemas.microsoft.com/office/drawing/2014/main" id="{D1D0B81A-62FB-46BC-AA89-23087BF5EF86}"/>
            </a:ext>
          </a:extLst>
        </xdr:cNvPr>
        <xdr:cNvSpPr/>
      </xdr:nvSpPr>
      <xdr:spPr>
        <a:xfrm>
          <a:off x="5756910" y="2922270"/>
          <a:ext cx="283898" cy="219846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3</xdr:col>
      <xdr:colOff>133350</xdr:colOff>
      <xdr:row>26</xdr:row>
      <xdr:rowOff>230505</xdr:rowOff>
    </xdr:from>
    <xdr:to>
      <xdr:col>3</xdr:col>
      <xdr:colOff>388739</xdr:colOff>
      <xdr:row>29</xdr:row>
      <xdr:rowOff>280057</xdr:rowOff>
    </xdr:to>
    <xdr:sp macro="" textlink="">
      <xdr:nvSpPr>
        <xdr:cNvPr id="11" name="10 Cerrar llave">
          <a:extLst>
            <a:ext uri="{FF2B5EF4-FFF2-40B4-BE49-F238E27FC236}">
              <a16:creationId xmlns:a16="http://schemas.microsoft.com/office/drawing/2014/main" id="{6613BB59-3C49-4FD8-B30F-0636DF31ED65}"/>
            </a:ext>
          </a:extLst>
        </xdr:cNvPr>
        <xdr:cNvSpPr/>
      </xdr:nvSpPr>
      <xdr:spPr>
        <a:xfrm>
          <a:off x="2007870" y="4939665"/>
          <a:ext cx="255389" cy="544852"/>
        </a:xfrm>
        <a:prstGeom prst="rightBrace">
          <a:avLst>
            <a:gd name="adj1" fmla="val 8333"/>
            <a:gd name="adj2" fmla="val 19863"/>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1</xdr:col>
      <xdr:colOff>171450</xdr:colOff>
      <xdr:row>20</xdr:row>
      <xdr:rowOff>85725</xdr:rowOff>
    </xdr:from>
    <xdr:to>
      <xdr:col>1</xdr:col>
      <xdr:colOff>379168</xdr:colOff>
      <xdr:row>30</xdr:row>
      <xdr:rowOff>125743</xdr:rowOff>
    </xdr:to>
    <xdr:sp macro="" textlink="">
      <xdr:nvSpPr>
        <xdr:cNvPr id="12" name="11 Abrir llave">
          <a:extLst>
            <a:ext uri="{FF2B5EF4-FFF2-40B4-BE49-F238E27FC236}">
              <a16:creationId xmlns:a16="http://schemas.microsoft.com/office/drawing/2014/main" id="{2AB55367-98EB-47AD-9CAD-0409F82ECDCC}"/>
            </a:ext>
          </a:extLst>
        </xdr:cNvPr>
        <xdr:cNvSpPr/>
      </xdr:nvSpPr>
      <xdr:spPr>
        <a:xfrm>
          <a:off x="796290" y="3743325"/>
          <a:ext cx="207718" cy="186881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oneCellAnchor>
    <xdr:from>
      <xdr:col>10</xdr:col>
      <xdr:colOff>0</xdr:colOff>
      <xdr:row>7</xdr:row>
      <xdr:rowOff>82434</xdr:rowOff>
    </xdr:from>
    <xdr:ext cx="9161034" cy="572593"/>
    <mc:AlternateContent xmlns:mc="http://schemas.openxmlformats.org/markup-compatibility/2006">
      <mc:Choice xmlns:a14="http://schemas.microsoft.com/office/drawing/2010/main" Requires="a14">
        <xdr:sp macro="" textlink="">
          <xdr:nvSpPr>
            <xdr:cNvPr id="13" name="CuadroTexto 12">
              <a:extLst>
                <a:ext uri="{FF2B5EF4-FFF2-40B4-BE49-F238E27FC236}">
                  <a16:creationId xmlns:a16="http://schemas.microsoft.com/office/drawing/2014/main" id="{0005B6C4-B1C5-4BB0-90EE-BCF5996AA0E2}"/>
                </a:ext>
              </a:extLst>
            </xdr:cNvPr>
            <xdr:cNvSpPr txBox="1"/>
          </xdr:nvSpPr>
          <xdr:spPr>
            <a:xfrm>
              <a:off x="6248400" y="1362594"/>
              <a:ext cx="9161034" cy="572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800" b="0" i="1">
                        <a:latin typeface="Cambria Math" panose="02040503050406030204" pitchFamily="18" charset="0"/>
                      </a:rPr>
                      <m:t>𝐸𝑐𝑢𝑎𝑐𝑖</m:t>
                    </m:r>
                    <m:r>
                      <a:rPr lang="es-MX" sz="1800" b="0" i="1">
                        <a:latin typeface="Cambria Math" panose="02040503050406030204" pitchFamily="18" charset="0"/>
                      </a:rPr>
                      <m:t>ó</m:t>
                    </m:r>
                    <m:r>
                      <a:rPr lang="es-MX" sz="1800" b="0" i="1">
                        <a:latin typeface="Cambria Math" panose="02040503050406030204" pitchFamily="18" charset="0"/>
                      </a:rPr>
                      <m:t>𝑛</m:t>
                    </m:r>
                    <m:r>
                      <a:rPr lang="es-MX" sz="1800" b="0" i="1">
                        <a:latin typeface="Cambria Math" panose="02040503050406030204" pitchFamily="18" charset="0"/>
                      </a:rPr>
                      <m:t> </m:t>
                    </m:r>
                    <m:r>
                      <a:rPr lang="es-MX" sz="1800" b="0" i="1">
                        <a:latin typeface="Cambria Math" panose="02040503050406030204" pitchFamily="18" charset="0"/>
                      </a:rPr>
                      <m:t>𝑑𝑒𝑙</m:t>
                    </m:r>
                    <m:r>
                      <a:rPr lang="es-MX" sz="1800" b="0" i="1">
                        <a:latin typeface="Cambria Math" panose="02040503050406030204" pitchFamily="18" charset="0"/>
                      </a:rPr>
                      <m:t> </m:t>
                    </m:r>
                    <m:r>
                      <a:rPr lang="es-MX" sz="1800" b="0" i="1">
                        <a:latin typeface="Cambria Math" panose="02040503050406030204" pitchFamily="18" charset="0"/>
                      </a:rPr>
                      <m:t>𝑆𝑖𝑠𝑡𝑒𝑚𝑎</m:t>
                    </m:r>
                    <m:r>
                      <a:rPr lang="es-MX" sz="1800" b="0" i="1">
                        <a:latin typeface="Cambria Math" panose="02040503050406030204" pitchFamily="18" charset="0"/>
                      </a:rPr>
                      <m:t> </m:t>
                    </m:r>
                    <m:r>
                      <a:rPr lang="es-MX" sz="1800" b="0" i="1">
                        <a:latin typeface="Cambria Math" panose="02040503050406030204" pitchFamily="18" charset="0"/>
                      </a:rPr>
                      <m:t>𝐷𝑢𝑝𝑜𝑛𝑡</m:t>
                    </m:r>
                    <m:r>
                      <a:rPr lang="es-MX" sz="1800" b="0" i="1">
                        <a:latin typeface="Cambria Math" panose="02040503050406030204" pitchFamily="18" charset="0"/>
                      </a:rPr>
                      <m:t>(</m:t>
                    </m:r>
                    <m:r>
                      <a:rPr lang="es-MX" sz="1800" b="0" i="1">
                        <a:latin typeface="Cambria Math" panose="02040503050406030204" pitchFamily="18" charset="0"/>
                      </a:rPr>
                      <m:t>𝑅𝑂𝐸</m:t>
                    </m:r>
                    <m:r>
                      <a:rPr lang="es-MX" sz="1800" b="0" i="1">
                        <a:latin typeface="Cambria Math" panose="02040503050406030204" pitchFamily="18" charset="0"/>
                      </a:rPr>
                      <m:t>)= </m:t>
                    </m:r>
                    <m:f>
                      <m:fPr>
                        <m:ctrlPr>
                          <a:rPr lang="es-MX" sz="1800" b="0" i="1">
                            <a:latin typeface="Cambria Math" panose="02040503050406030204" pitchFamily="18" charset="0"/>
                          </a:rPr>
                        </m:ctrlPr>
                      </m:fPr>
                      <m:num>
                        <m:r>
                          <a:rPr lang="es-MX" sz="1800" b="0" i="1">
                            <a:latin typeface="Cambria Math" panose="02040503050406030204" pitchFamily="18" charset="0"/>
                          </a:rPr>
                          <m:t>𝑈𝐷𝐴𝐶</m:t>
                        </m:r>
                      </m:num>
                      <m:den>
                        <m:r>
                          <a:rPr lang="es-MX" sz="1800" b="0" i="1">
                            <a:latin typeface="Cambria Math" panose="02040503050406030204" pitchFamily="18" charset="0"/>
                          </a:rPr>
                          <m:t>𝑉𝑒𝑛𝑡𝑎𝑠</m:t>
                        </m:r>
                      </m:den>
                    </m:f>
                    <m:r>
                      <a:rPr lang="es-MX" sz="1800" b="0" i="1">
                        <a:latin typeface="Cambria Math" panose="02040503050406030204" pitchFamily="18" charset="0"/>
                      </a:rPr>
                      <m:t>∗</m:t>
                    </m:r>
                    <m:f>
                      <m:fPr>
                        <m:ctrlPr>
                          <a:rPr lang="es-MX" sz="1800" b="0" i="1">
                            <a:latin typeface="Cambria Math" panose="02040503050406030204" pitchFamily="18" charset="0"/>
                          </a:rPr>
                        </m:ctrlPr>
                      </m:fPr>
                      <m:num>
                        <m:r>
                          <a:rPr lang="es-MX" sz="1800" b="0" i="1">
                            <a:latin typeface="Cambria Math" panose="02040503050406030204" pitchFamily="18" charset="0"/>
                          </a:rPr>
                          <m:t>𝑉𝑒𝑛𝑡𝑎𝑠</m:t>
                        </m:r>
                      </m:num>
                      <m:den>
                        <m:r>
                          <a:rPr lang="es-MX" sz="1800" b="0" i="1">
                            <a:latin typeface="Cambria Math" panose="02040503050406030204" pitchFamily="18" charset="0"/>
                          </a:rPr>
                          <m:t>𝐴𝑐𝑡𝑖𝑣𝑜𝑠</m:t>
                        </m:r>
                        <m:r>
                          <a:rPr lang="es-MX" sz="1800" b="0" i="1">
                            <a:latin typeface="Cambria Math" panose="02040503050406030204" pitchFamily="18" charset="0"/>
                          </a:rPr>
                          <m:t> </m:t>
                        </m:r>
                        <m:r>
                          <a:rPr lang="es-MX" sz="1800" b="0" i="1">
                            <a:latin typeface="Cambria Math" panose="02040503050406030204" pitchFamily="18" charset="0"/>
                          </a:rPr>
                          <m:t>𝑡𝑜𝑡𝑎𝑙</m:t>
                        </m:r>
                      </m:den>
                    </m:f>
                    <m:r>
                      <a:rPr lang="es-MX" sz="1800" b="0" i="0">
                        <a:latin typeface="Cambria Math" panose="02040503050406030204" pitchFamily="18" charset="0"/>
                      </a:rPr>
                      <m:t>∗</m:t>
                    </m:r>
                    <m:f>
                      <m:fPr>
                        <m:ctrlPr>
                          <a:rPr lang="es-MX" sz="1800" b="0" i="1">
                            <a:latin typeface="Cambria Math" panose="02040503050406030204" pitchFamily="18" charset="0"/>
                          </a:rPr>
                        </m:ctrlPr>
                      </m:fPr>
                      <m:num>
                        <m:r>
                          <a:rPr lang="es-MX" sz="1800" b="0" i="1">
                            <a:latin typeface="Cambria Math" panose="02040503050406030204" pitchFamily="18" charset="0"/>
                          </a:rPr>
                          <m:t>𝐴𝑐𝑡𝑖𝑣𝑜</m:t>
                        </m:r>
                        <m:r>
                          <a:rPr lang="es-MX" sz="1800" b="0" i="1">
                            <a:latin typeface="Cambria Math" panose="02040503050406030204" pitchFamily="18" charset="0"/>
                          </a:rPr>
                          <m:t> </m:t>
                        </m:r>
                        <m:r>
                          <a:rPr lang="es-MX" sz="1800" b="0" i="1">
                            <a:latin typeface="Cambria Math" panose="02040503050406030204" pitchFamily="18" charset="0"/>
                          </a:rPr>
                          <m:t>𝑇𝑜𝑡𝑎𝑙</m:t>
                        </m:r>
                      </m:num>
                      <m:den>
                        <m:r>
                          <a:rPr lang="es-MX" sz="1800" b="0" i="1">
                            <a:latin typeface="Cambria Math" panose="02040503050406030204" pitchFamily="18" charset="0"/>
                          </a:rPr>
                          <m:t>𝐶𝑎𝑝𝑖𝑡𝑎𝑙</m:t>
                        </m:r>
                        <m:r>
                          <a:rPr lang="es-MX" sz="1800" b="0" i="1">
                            <a:latin typeface="Cambria Math" panose="02040503050406030204" pitchFamily="18" charset="0"/>
                          </a:rPr>
                          <m:t> </m:t>
                        </m:r>
                        <m:r>
                          <a:rPr lang="es-MX" sz="1800" b="0" i="1">
                            <a:latin typeface="Cambria Math" panose="02040503050406030204" pitchFamily="18" charset="0"/>
                          </a:rPr>
                          <m:t>𝑐𝑜𝑛𝑡𝑎𝑏𝑙𝑒</m:t>
                        </m:r>
                        <m:r>
                          <a:rPr lang="es-MX" sz="1800" b="0" i="1">
                            <a:latin typeface="Cambria Math" panose="02040503050406030204" pitchFamily="18" charset="0"/>
                          </a:rPr>
                          <m:t> </m:t>
                        </m:r>
                        <m:r>
                          <a:rPr lang="es-MX" sz="1800" b="0" i="1">
                            <a:latin typeface="Cambria Math" panose="02040503050406030204" pitchFamily="18" charset="0"/>
                          </a:rPr>
                          <m:t>𝑐𝑜𝑚</m:t>
                        </m:r>
                        <m:r>
                          <a:rPr lang="es-MX" sz="1800" b="0" i="1">
                            <a:latin typeface="Cambria Math" panose="02040503050406030204" pitchFamily="18" charset="0"/>
                          </a:rPr>
                          <m:t>ú</m:t>
                        </m:r>
                        <m:r>
                          <a:rPr lang="es-MX" sz="1800" b="0" i="1">
                            <a:latin typeface="Cambria Math" panose="02040503050406030204" pitchFamily="18" charset="0"/>
                          </a:rPr>
                          <m:t>𝑛</m:t>
                        </m:r>
                      </m:den>
                    </m:f>
                  </m:oMath>
                </m:oMathPara>
              </a14:m>
              <a:endParaRPr lang="es-GT" sz="1800"/>
            </a:p>
          </xdr:txBody>
        </xdr:sp>
      </mc:Choice>
      <mc:Fallback>
        <xdr:sp macro="" textlink="">
          <xdr:nvSpPr>
            <xdr:cNvPr id="13" name="CuadroTexto 12">
              <a:extLst>
                <a:ext uri="{FF2B5EF4-FFF2-40B4-BE49-F238E27FC236}">
                  <a16:creationId xmlns:a16="http://schemas.microsoft.com/office/drawing/2014/main" id="{0005B6C4-B1C5-4BB0-90EE-BCF5996AA0E2}"/>
                </a:ext>
              </a:extLst>
            </xdr:cNvPr>
            <xdr:cNvSpPr txBox="1"/>
          </xdr:nvSpPr>
          <xdr:spPr>
            <a:xfrm>
              <a:off x="6248400" y="1362594"/>
              <a:ext cx="9161034" cy="572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800" b="0" i="0">
                  <a:latin typeface="Cambria Math" panose="02040503050406030204" pitchFamily="18" charset="0"/>
                </a:rPr>
                <a:t>𝐸𝑐𝑢𝑎𝑐𝑖ó𝑛 𝑑𝑒𝑙 𝑆𝑖𝑠𝑡𝑒𝑚𝑎 𝐷𝑢𝑝𝑜𝑛𝑡(𝑅𝑂𝐸)=  𝑈𝐷𝐴𝐶/𝑉𝑒𝑛𝑡𝑎𝑠∗𝑉𝑒𝑛𝑡𝑎𝑠/(𝐴𝑐𝑡𝑖𝑣𝑜𝑠 𝑡𝑜𝑡𝑎𝑙)∗(𝐴𝑐𝑡𝑖𝑣𝑜 𝑇𝑜𝑡𝑎𝑙)/(𝐶𝑎𝑝𝑖𝑡𝑎𝑙 𝑐𝑜𝑛𝑡𝑎𝑏𝑙𝑒 𝑐𝑜𝑚ú𝑛)</a:t>
              </a:r>
              <a:endParaRPr lang="es-GT" sz="1800"/>
            </a:p>
          </xdr:txBody>
        </xdr:sp>
      </mc:Fallback>
    </mc:AlternateContent>
    <xdr:clientData/>
  </xdr:oneCellAnchor>
  <xdr:twoCellAnchor>
    <xdr:from>
      <xdr:col>14</xdr:col>
      <xdr:colOff>573925</xdr:colOff>
      <xdr:row>10</xdr:row>
      <xdr:rowOff>119149</xdr:rowOff>
    </xdr:from>
    <xdr:to>
      <xdr:col>15</xdr:col>
      <xdr:colOff>276745</xdr:colOff>
      <xdr:row>11</xdr:row>
      <xdr:rowOff>352252</xdr:rowOff>
    </xdr:to>
    <xdr:sp macro="" textlink="">
      <xdr:nvSpPr>
        <xdr:cNvPr id="14" name="Flecha: hacia abajo 13">
          <a:extLst>
            <a:ext uri="{FF2B5EF4-FFF2-40B4-BE49-F238E27FC236}">
              <a16:creationId xmlns:a16="http://schemas.microsoft.com/office/drawing/2014/main" id="{5126E6BE-C867-4E5F-B8D6-00731C7BE352}"/>
            </a:ext>
          </a:extLst>
        </xdr:cNvPr>
        <xdr:cNvSpPr/>
      </xdr:nvSpPr>
      <xdr:spPr>
        <a:xfrm>
          <a:off x="9321685" y="1947949"/>
          <a:ext cx="327660" cy="24834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12</xdr:col>
      <xdr:colOff>559031</xdr:colOff>
      <xdr:row>12</xdr:row>
      <xdr:rowOff>99752</xdr:rowOff>
    </xdr:from>
    <xdr:to>
      <xdr:col>15</xdr:col>
      <xdr:colOff>603019</xdr:colOff>
      <xdr:row>14</xdr:row>
      <xdr:rowOff>136813</xdr:rowOff>
    </xdr:to>
    <xdr:sp macro="" textlink="">
      <xdr:nvSpPr>
        <xdr:cNvPr id="15" name="CuadroTexto 14">
          <a:extLst>
            <a:ext uri="{FF2B5EF4-FFF2-40B4-BE49-F238E27FC236}">
              <a16:creationId xmlns:a16="http://schemas.microsoft.com/office/drawing/2014/main" id="{755EB0DB-FB24-4AAB-A4DE-70391DB4A0C4}"/>
            </a:ext>
          </a:extLst>
        </xdr:cNvPr>
        <xdr:cNvSpPr txBox="1"/>
      </xdr:nvSpPr>
      <xdr:spPr>
        <a:xfrm>
          <a:off x="8057111" y="2294312"/>
          <a:ext cx="1918508" cy="40282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400"/>
            <a:t>Eficiencia económica</a:t>
          </a:r>
        </a:p>
      </xdr:txBody>
    </xdr:sp>
    <xdr:clientData/>
  </xdr:twoCellAnchor>
  <xdr:twoCellAnchor>
    <xdr:from>
      <xdr:col>17</xdr:col>
      <xdr:colOff>228254</xdr:colOff>
      <xdr:row>10</xdr:row>
      <xdr:rowOff>142009</xdr:rowOff>
    </xdr:from>
    <xdr:to>
      <xdr:col>17</xdr:col>
      <xdr:colOff>554528</xdr:colOff>
      <xdr:row>12</xdr:row>
      <xdr:rowOff>15932</xdr:rowOff>
    </xdr:to>
    <xdr:sp macro="" textlink="">
      <xdr:nvSpPr>
        <xdr:cNvPr id="16" name="Flecha: hacia abajo 15">
          <a:extLst>
            <a:ext uri="{FF2B5EF4-FFF2-40B4-BE49-F238E27FC236}">
              <a16:creationId xmlns:a16="http://schemas.microsoft.com/office/drawing/2014/main" id="{A3DFDBE5-0EC3-4DCE-86EC-C2FA77B18AC9}"/>
            </a:ext>
          </a:extLst>
        </xdr:cNvPr>
        <xdr:cNvSpPr/>
      </xdr:nvSpPr>
      <xdr:spPr>
        <a:xfrm>
          <a:off x="10850534" y="1970809"/>
          <a:ext cx="326274" cy="23968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16</xdr:col>
      <xdr:colOff>107719</xdr:colOff>
      <xdr:row>12</xdr:row>
      <xdr:rowOff>137852</xdr:rowOff>
    </xdr:from>
    <xdr:to>
      <xdr:col>19</xdr:col>
      <xdr:colOff>149283</xdr:colOff>
      <xdr:row>14</xdr:row>
      <xdr:rowOff>174913</xdr:rowOff>
    </xdr:to>
    <xdr:sp macro="" textlink="">
      <xdr:nvSpPr>
        <xdr:cNvPr id="17" name="CuadroTexto 16">
          <a:extLst>
            <a:ext uri="{FF2B5EF4-FFF2-40B4-BE49-F238E27FC236}">
              <a16:creationId xmlns:a16="http://schemas.microsoft.com/office/drawing/2014/main" id="{A1CCAD42-3ED9-4F4B-B4B1-830080E0D0EA}"/>
            </a:ext>
          </a:extLst>
        </xdr:cNvPr>
        <xdr:cNvSpPr txBox="1"/>
      </xdr:nvSpPr>
      <xdr:spPr>
        <a:xfrm>
          <a:off x="10105159" y="2332412"/>
          <a:ext cx="1916084" cy="40282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GT" sz="1400"/>
            <a:t>Eficiencia operativa</a:t>
          </a:r>
        </a:p>
      </xdr:txBody>
    </xdr:sp>
    <xdr:clientData/>
  </xdr:twoCellAnchor>
  <xdr:twoCellAnchor>
    <xdr:from>
      <xdr:col>19</xdr:col>
      <xdr:colOff>582237</xdr:colOff>
      <xdr:row>10</xdr:row>
      <xdr:rowOff>126769</xdr:rowOff>
    </xdr:from>
    <xdr:to>
      <xdr:col>20</xdr:col>
      <xdr:colOff>285057</xdr:colOff>
      <xdr:row>12</xdr:row>
      <xdr:rowOff>1732</xdr:rowOff>
    </xdr:to>
    <xdr:sp macro="" textlink="">
      <xdr:nvSpPr>
        <xdr:cNvPr id="18" name="Flecha: hacia abajo 17">
          <a:extLst>
            <a:ext uri="{FF2B5EF4-FFF2-40B4-BE49-F238E27FC236}">
              <a16:creationId xmlns:a16="http://schemas.microsoft.com/office/drawing/2014/main" id="{1384AC02-FC09-4CD9-961A-78D509AA9EF5}"/>
            </a:ext>
          </a:extLst>
        </xdr:cNvPr>
        <xdr:cNvSpPr/>
      </xdr:nvSpPr>
      <xdr:spPr>
        <a:xfrm>
          <a:off x="12454197" y="1955569"/>
          <a:ext cx="327660" cy="2407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19</xdr:col>
      <xdr:colOff>338397</xdr:colOff>
      <xdr:row>12</xdr:row>
      <xdr:rowOff>107372</xdr:rowOff>
    </xdr:from>
    <xdr:to>
      <xdr:col>22</xdr:col>
      <xdr:colOff>379961</xdr:colOff>
      <xdr:row>14</xdr:row>
      <xdr:rowOff>144433</xdr:rowOff>
    </xdr:to>
    <xdr:sp macro="" textlink="">
      <xdr:nvSpPr>
        <xdr:cNvPr id="19" name="CuadroTexto 18">
          <a:extLst>
            <a:ext uri="{FF2B5EF4-FFF2-40B4-BE49-F238E27FC236}">
              <a16:creationId xmlns:a16="http://schemas.microsoft.com/office/drawing/2014/main" id="{67F54484-1893-4C85-90A9-DDFEC3EDE478}"/>
            </a:ext>
          </a:extLst>
        </xdr:cNvPr>
        <xdr:cNvSpPr txBox="1"/>
      </xdr:nvSpPr>
      <xdr:spPr>
        <a:xfrm>
          <a:off x="12210357" y="2301932"/>
          <a:ext cx="1916084" cy="402821"/>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GT" sz="1400"/>
            <a:t>Eficiencia financiera</a:t>
          </a:r>
        </a:p>
      </xdr:txBody>
    </xdr:sp>
    <xdr:clientData/>
  </xdr:twoCellAnchor>
  <xdr:twoCellAnchor>
    <xdr:from>
      <xdr:col>14</xdr:col>
      <xdr:colOff>566305</xdr:colOff>
      <xdr:row>5</xdr:row>
      <xdr:rowOff>485602</xdr:rowOff>
    </xdr:from>
    <xdr:to>
      <xdr:col>18</xdr:col>
      <xdr:colOff>423603</xdr:colOff>
      <xdr:row>6</xdr:row>
      <xdr:rowOff>307224</xdr:rowOff>
    </xdr:to>
    <xdr:sp macro="" textlink="">
      <xdr:nvSpPr>
        <xdr:cNvPr id="20" name="Cerrar llave 19">
          <a:extLst>
            <a:ext uri="{FF2B5EF4-FFF2-40B4-BE49-F238E27FC236}">
              <a16:creationId xmlns:a16="http://schemas.microsoft.com/office/drawing/2014/main" id="{2A0BF7AA-1D72-4169-ADC6-A69FDD1FF791}"/>
            </a:ext>
          </a:extLst>
        </xdr:cNvPr>
        <xdr:cNvSpPr/>
      </xdr:nvSpPr>
      <xdr:spPr>
        <a:xfrm rot="16200000">
          <a:off x="10398703" y="10564"/>
          <a:ext cx="187382" cy="235665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GT" sz="1100"/>
        </a:p>
      </xdr:txBody>
    </xdr:sp>
    <xdr:clientData/>
  </xdr:twoCellAnchor>
  <xdr:twoCellAnchor>
    <xdr:from>
      <xdr:col>15</xdr:col>
      <xdr:colOff>192925</xdr:colOff>
      <xdr:row>5</xdr:row>
      <xdr:rowOff>91440</xdr:rowOff>
    </xdr:from>
    <xdr:to>
      <xdr:col>18</xdr:col>
      <xdr:colOff>234488</xdr:colOff>
      <xdr:row>5</xdr:row>
      <xdr:rowOff>401782</xdr:rowOff>
    </xdr:to>
    <xdr:sp macro="" textlink="">
      <xdr:nvSpPr>
        <xdr:cNvPr id="21" name="CuadroTexto 20">
          <a:extLst>
            <a:ext uri="{FF2B5EF4-FFF2-40B4-BE49-F238E27FC236}">
              <a16:creationId xmlns:a16="http://schemas.microsoft.com/office/drawing/2014/main" id="{FEEE9BA7-7112-445F-874F-FF1A2EB6B7F6}"/>
            </a:ext>
          </a:extLst>
        </xdr:cNvPr>
        <xdr:cNvSpPr txBox="1"/>
      </xdr:nvSpPr>
      <xdr:spPr>
        <a:xfrm>
          <a:off x="9565525" y="1005840"/>
          <a:ext cx="1916083" cy="89362"/>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GT" sz="1400"/>
            <a:t>ROA</a:t>
          </a:r>
        </a:p>
      </xdr:txBody>
    </xdr:sp>
    <xdr:clientData/>
  </xdr:twoCellAnchor>
  <xdr:oneCellAnchor>
    <xdr:from>
      <xdr:col>11</xdr:col>
      <xdr:colOff>457200</xdr:colOff>
      <xdr:row>15</xdr:row>
      <xdr:rowOff>487680</xdr:rowOff>
    </xdr:from>
    <xdr:ext cx="4026615" cy="281808"/>
    <mc:AlternateContent xmlns:mc="http://schemas.openxmlformats.org/markup-compatibility/2006">
      <mc:Choice xmlns:a14="http://schemas.microsoft.com/office/drawing/2010/main" Requires="a14">
        <xdr:sp macro="" textlink="">
          <xdr:nvSpPr>
            <xdr:cNvPr id="22" name="CuadroTexto 21">
              <a:extLst>
                <a:ext uri="{FF2B5EF4-FFF2-40B4-BE49-F238E27FC236}">
                  <a16:creationId xmlns:a16="http://schemas.microsoft.com/office/drawing/2014/main" id="{78D047A8-87C9-4AEB-BA31-61E0DC003999}"/>
                </a:ext>
              </a:extLst>
            </xdr:cNvPr>
            <xdr:cNvSpPr txBox="1"/>
          </xdr:nvSpPr>
          <xdr:spPr>
            <a:xfrm>
              <a:off x="7330440" y="2926080"/>
              <a:ext cx="4026615" cy="281808"/>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800" b="0" i="1">
                        <a:latin typeface="Cambria Math" panose="02040503050406030204" pitchFamily="18" charset="0"/>
                      </a:rPr>
                      <m:t>𝐸𝑐𝑢𝑎𝑐𝑖</m:t>
                    </m:r>
                    <m:r>
                      <a:rPr lang="es-MX" sz="1800" b="0" i="1">
                        <a:latin typeface="Cambria Math" panose="02040503050406030204" pitchFamily="18" charset="0"/>
                      </a:rPr>
                      <m:t>ó</m:t>
                    </m:r>
                    <m:r>
                      <a:rPr lang="es-MX" sz="1800" b="0" i="1">
                        <a:latin typeface="Cambria Math" panose="02040503050406030204" pitchFamily="18" charset="0"/>
                      </a:rPr>
                      <m:t>𝑛</m:t>
                    </m:r>
                    <m:r>
                      <a:rPr lang="es-MX" sz="1800" b="0" i="1">
                        <a:latin typeface="Cambria Math" panose="02040503050406030204" pitchFamily="18" charset="0"/>
                      </a:rPr>
                      <m:t> </m:t>
                    </m:r>
                    <m:r>
                      <a:rPr lang="es-MX" sz="1800" b="0" i="1">
                        <a:latin typeface="Cambria Math" panose="02040503050406030204" pitchFamily="18" charset="0"/>
                      </a:rPr>
                      <m:t>𝑑𝑒𝑙</m:t>
                    </m:r>
                    <m:r>
                      <a:rPr lang="es-MX" sz="1800" b="0" i="1">
                        <a:latin typeface="Cambria Math" panose="02040503050406030204" pitchFamily="18" charset="0"/>
                      </a:rPr>
                      <m:t> </m:t>
                    </m:r>
                    <m:r>
                      <a:rPr lang="es-MX" sz="1800" b="0" i="1">
                        <a:latin typeface="Cambria Math" panose="02040503050406030204" pitchFamily="18" charset="0"/>
                      </a:rPr>
                      <m:t>𝑆𝑖𝑠𝑡𝑒𝑚𝑎</m:t>
                    </m:r>
                    <m:r>
                      <a:rPr lang="es-MX" sz="1800" b="0" i="1">
                        <a:latin typeface="Cambria Math" panose="02040503050406030204" pitchFamily="18" charset="0"/>
                      </a:rPr>
                      <m:t> </m:t>
                    </m:r>
                    <m:r>
                      <a:rPr lang="es-MX" sz="1800" b="0" i="1">
                        <a:latin typeface="Cambria Math" panose="02040503050406030204" pitchFamily="18" charset="0"/>
                      </a:rPr>
                      <m:t>𝐷𝑢𝑝𝑜𝑛𝑡</m:t>
                    </m:r>
                    <m:d>
                      <m:dPr>
                        <m:ctrlPr>
                          <a:rPr lang="es-MX" sz="1800" b="0" i="1">
                            <a:latin typeface="Cambria Math" panose="02040503050406030204" pitchFamily="18" charset="0"/>
                          </a:rPr>
                        </m:ctrlPr>
                      </m:dPr>
                      <m:e>
                        <m:r>
                          <a:rPr lang="es-MX" sz="1800" b="0" i="1">
                            <a:latin typeface="Cambria Math" panose="02040503050406030204" pitchFamily="18" charset="0"/>
                          </a:rPr>
                          <m:t>𝑅𝑂𝐸</m:t>
                        </m:r>
                      </m:e>
                    </m:d>
                    <m:r>
                      <a:rPr lang="es-MX" sz="1800" b="0" i="1">
                        <a:latin typeface="Cambria Math" panose="02040503050406030204" pitchFamily="18" charset="0"/>
                      </a:rPr>
                      <m:t>= </m:t>
                    </m:r>
                  </m:oMath>
                </m:oMathPara>
              </a14:m>
              <a:endParaRPr lang="es-GT" sz="1800"/>
            </a:p>
          </xdr:txBody>
        </xdr:sp>
      </mc:Choice>
      <mc:Fallback>
        <xdr:sp macro="" textlink="">
          <xdr:nvSpPr>
            <xdr:cNvPr id="22" name="CuadroTexto 21">
              <a:extLst>
                <a:ext uri="{FF2B5EF4-FFF2-40B4-BE49-F238E27FC236}">
                  <a16:creationId xmlns:a16="http://schemas.microsoft.com/office/drawing/2014/main" id="{78D047A8-87C9-4AEB-BA31-61E0DC003999}"/>
                </a:ext>
              </a:extLst>
            </xdr:cNvPr>
            <xdr:cNvSpPr txBox="1"/>
          </xdr:nvSpPr>
          <xdr:spPr>
            <a:xfrm>
              <a:off x="7330440" y="2926080"/>
              <a:ext cx="4026615" cy="281808"/>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800" b="0" i="0">
                  <a:latin typeface="Cambria Math" panose="02040503050406030204" pitchFamily="18" charset="0"/>
                </a:rPr>
                <a:t>𝐸𝑐𝑢𝑎𝑐𝑖ó𝑛 𝑑𝑒𝑙 𝑆𝑖𝑠𝑡𝑒𝑚𝑎 𝐷𝑢𝑝𝑜𝑛𝑡(𝑅𝑂𝐸)= </a:t>
              </a:r>
              <a:endParaRPr lang="es-GT" sz="1800"/>
            </a:p>
          </xdr:txBody>
        </xdr:sp>
      </mc:Fallback>
    </mc:AlternateContent>
    <xdr:clientData/>
  </xdr:oneCellAnchor>
  <xdr:twoCellAnchor>
    <xdr:from>
      <xdr:col>19</xdr:col>
      <xdr:colOff>236220</xdr:colOff>
      <xdr:row>5</xdr:row>
      <xdr:rowOff>541020</xdr:rowOff>
    </xdr:from>
    <xdr:to>
      <xdr:col>23</xdr:col>
      <xdr:colOff>93518</xdr:colOff>
      <xdr:row>6</xdr:row>
      <xdr:rowOff>362642</xdr:rowOff>
    </xdr:to>
    <xdr:sp macro="" textlink="">
      <xdr:nvSpPr>
        <xdr:cNvPr id="23" name="Cerrar llave 22">
          <a:extLst>
            <a:ext uri="{FF2B5EF4-FFF2-40B4-BE49-F238E27FC236}">
              <a16:creationId xmlns:a16="http://schemas.microsoft.com/office/drawing/2014/main" id="{C9713E32-6B20-4980-98E0-D90BA34AAB51}"/>
            </a:ext>
          </a:extLst>
        </xdr:cNvPr>
        <xdr:cNvSpPr/>
      </xdr:nvSpPr>
      <xdr:spPr>
        <a:xfrm rot="16200000">
          <a:off x="13196628" y="8832"/>
          <a:ext cx="179762" cy="235665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GT" sz="1100"/>
        </a:p>
      </xdr:txBody>
    </xdr:sp>
    <xdr:clientData/>
  </xdr:twoCellAnchor>
  <xdr:twoCellAnchor>
    <xdr:from>
      <xdr:col>19</xdr:col>
      <xdr:colOff>434340</xdr:colOff>
      <xdr:row>5</xdr:row>
      <xdr:rowOff>91440</xdr:rowOff>
    </xdr:from>
    <xdr:to>
      <xdr:col>22</xdr:col>
      <xdr:colOff>475903</xdr:colOff>
      <xdr:row>5</xdr:row>
      <xdr:rowOff>401782</xdr:rowOff>
    </xdr:to>
    <xdr:sp macro="" textlink="">
      <xdr:nvSpPr>
        <xdr:cNvPr id="24" name="CuadroTexto 23">
          <a:extLst>
            <a:ext uri="{FF2B5EF4-FFF2-40B4-BE49-F238E27FC236}">
              <a16:creationId xmlns:a16="http://schemas.microsoft.com/office/drawing/2014/main" id="{5EF40F12-3C1D-480F-B1E2-2CCB642BF69D}"/>
            </a:ext>
          </a:extLst>
        </xdr:cNvPr>
        <xdr:cNvSpPr txBox="1"/>
      </xdr:nvSpPr>
      <xdr:spPr>
        <a:xfrm>
          <a:off x="12306300" y="1005840"/>
          <a:ext cx="1916083" cy="89362"/>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GT" sz="1400"/>
            <a:t>MAF</a:t>
          </a:r>
        </a:p>
      </xdr:txBody>
    </xdr:sp>
    <xdr:clientData/>
  </xdr:twoCellAnchor>
</xdr:wsDr>
</file>

<file path=xl/persons/person.xml><?xml version="1.0" encoding="utf-8"?>
<personList xmlns="http://schemas.microsoft.com/office/spreadsheetml/2018/threadedcomments" xmlns:x="http://schemas.openxmlformats.org/spreadsheetml/2006/main">
  <person displayName="Julio Ruiz Coto" id="{5763A399-4227-46D3-A15F-5CAE415A28EA}" userId="Julio Ruiz Coto"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4" dT="2024-01-31T00:26:41.14" personId="{5763A399-4227-46D3-A15F-5CAE415A28EA}" id="{1BF27C50-819B-430D-983E-3001893459D0}">
    <text xml:space="preserve">Tamaño comun
</text>
  </threadedComment>
  <threadedComment ref="F4" dT="2024-01-31T00:26:55.40" personId="{5763A399-4227-46D3-A15F-5CAE415A28EA}" id="{96E78A73-302C-495E-A63A-ABF4BA253FF6}">
    <text>Analisis comparativo</text>
  </threadedComment>
  <threadedComment ref="R19" dT="2024-02-02T00:13:22.73" personId="{5763A399-4227-46D3-A15F-5CAE415A28EA}" id="{11932808-88CC-4E10-9E23-0E21FF56B7A2}">
    <text>Periodo promedio del inventario</text>
  </threadedComment>
  <threadedComment ref="R23" dT="2024-02-02T00:14:39.91" personId="{5763A399-4227-46D3-A15F-5CAE415A28EA}" id="{5E4AD214-895F-456D-B712-96719FB8982E}">
    <text xml:space="preserve">Periodo promedio del cobro </text>
  </threadedComment>
</ThreadedComments>
</file>

<file path=xl/threadedComments/threadedComment2.xml><?xml version="1.0" encoding="utf-8"?>
<ThreadedComments xmlns="http://schemas.microsoft.com/office/spreadsheetml/2018/threadedcomments" xmlns:x="http://schemas.openxmlformats.org/spreadsheetml/2006/main">
  <threadedComment ref="C4" dT="2024-01-31T00:26:41.14" personId="{5763A399-4227-46D3-A15F-5CAE415A28EA}" id="{9E056270-4C75-4CB9-ABE6-314D04DA5549}">
    <text xml:space="preserve">Tamaño comun
</text>
  </threadedComment>
  <threadedComment ref="F4" dT="2024-01-31T00:26:55.40" personId="{5763A399-4227-46D3-A15F-5CAE415A28EA}" id="{DEC9AC04-06F5-4E0F-99A2-FA45D54B6F5B}">
    <text>Analisis comparativo</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workbookViewId="0">
      <selection activeCell="F5" sqref="F5"/>
    </sheetView>
  </sheetViews>
  <sheetFormatPr baseColWidth="10" defaultColWidth="11.44140625" defaultRowHeight="14.4" x14ac:dyDescent="0.3"/>
  <cols>
    <col min="1" max="1" width="52.33203125" customWidth="1"/>
    <col min="2" max="2" width="16.44140625" customWidth="1"/>
    <col min="3" max="3" width="17.33203125" customWidth="1"/>
    <col min="4" max="4" width="6.33203125" customWidth="1"/>
  </cols>
  <sheetData>
    <row r="1" spans="1:4" x14ac:dyDescent="0.3">
      <c r="A1" s="1" t="s">
        <v>1</v>
      </c>
    </row>
    <row r="2" spans="1:4" x14ac:dyDescent="0.3">
      <c r="B2" s="36">
        <v>2023</v>
      </c>
      <c r="C2" s="36">
        <v>2022</v>
      </c>
    </row>
    <row r="3" spans="1:4" x14ac:dyDescent="0.3">
      <c r="A3" s="27" t="s">
        <v>45</v>
      </c>
      <c r="B3" s="27">
        <v>5000000</v>
      </c>
      <c r="C3" s="37">
        <v>5000000</v>
      </c>
    </row>
    <row r="4" spans="1:4" x14ac:dyDescent="0.3">
      <c r="A4" s="27" t="s">
        <v>44</v>
      </c>
      <c r="B4" s="27">
        <v>2500000</v>
      </c>
      <c r="C4" s="37">
        <v>2500000</v>
      </c>
    </row>
    <row r="5" spans="1:4" x14ac:dyDescent="0.3">
      <c r="A5" s="27" t="s">
        <v>21</v>
      </c>
      <c r="B5" s="27">
        <v>1000000</v>
      </c>
      <c r="C5" s="37">
        <v>1375000</v>
      </c>
    </row>
    <row r="6" spans="1:4" x14ac:dyDescent="0.3">
      <c r="A6" s="27" t="s">
        <v>46</v>
      </c>
      <c r="B6" s="27">
        <v>4000000</v>
      </c>
      <c r="C6" s="37">
        <v>4000000</v>
      </c>
    </row>
    <row r="7" spans="1:4" x14ac:dyDescent="0.3">
      <c r="A7" s="27" t="s">
        <v>115</v>
      </c>
      <c r="B7" s="27">
        <v>21000000</v>
      </c>
      <c r="C7" s="37">
        <v>23065000</v>
      </c>
    </row>
    <row r="8" spans="1:4" x14ac:dyDescent="0.3">
      <c r="A8" s="27" t="s">
        <v>22</v>
      </c>
      <c r="B8" s="27">
        <v>12000000</v>
      </c>
      <c r="C8" s="37">
        <v>9000000</v>
      </c>
    </row>
    <row r="9" spans="1:4" x14ac:dyDescent="0.3">
      <c r="A9" s="27" t="s">
        <v>35</v>
      </c>
      <c r="B9" s="27">
        <v>8000000</v>
      </c>
      <c r="C9" s="37">
        <v>5500000</v>
      </c>
    </row>
    <row r="10" spans="1:4" x14ac:dyDescent="0.3">
      <c r="A10" s="27" t="s">
        <v>116</v>
      </c>
      <c r="B10" s="27">
        <v>13000000</v>
      </c>
      <c r="C10" s="37">
        <v>12000000</v>
      </c>
    </row>
    <row r="11" spans="1:4" x14ac:dyDescent="0.3">
      <c r="A11" s="27" t="s">
        <v>41</v>
      </c>
      <c r="B11" s="27">
        <v>20000000</v>
      </c>
      <c r="C11" s="37">
        <v>17000000</v>
      </c>
    </row>
    <row r="12" spans="1:4" x14ac:dyDescent="0.3">
      <c r="A12" s="27" t="s">
        <v>37</v>
      </c>
      <c r="B12" s="27">
        <v>500000</v>
      </c>
      <c r="C12" s="37">
        <v>475000</v>
      </c>
    </row>
    <row r="13" spans="1:4" x14ac:dyDescent="0.3">
      <c r="A13" s="27" t="s">
        <v>110</v>
      </c>
      <c r="B13" s="27">
        <v>100000</v>
      </c>
      <c r="C13" s="37">
        <v>100000</v>
      </c>
    </row>
    <row r="14" spans="1:4" x14ac:dyDescent="0.3">
      <c r="A14" s="27" t="s">
        <v>36</v>
      </c>
      <c r="B14" s="27">
        <v>8000000</v>
      </c>
      <c r="C14" s="37">
        <v>6000000</v>
      </c>
    </row>
    <row r="15" spans="1:4" x14ac:dyDescent="0.3">
      <c r="A15" s="27" t="s">
        <v>47</v>
      </c>
      <c r="B15" s="27">
        <v>2000000</v>
      </c>
      <c r="C15" s="37">
        <v>900000</v>
      </c>
      <c r="D15" s="13"/>
    </row>
    <row r="16" spans="1:4" x14ac:dyDescent="0.3">
      <c r="A16" s="27" t="s">
        <v>113</v>
      </c>
      <c r="B16" s="27">
        <v>200000</v>
      </c>
      <c r="C16" s="37">
        <v>210000</v>
      </c>
      <c r="D16" s="14"/>
    </row>
    <row r="17" spans="1:4" x14ac:dyDescent="0.3">
      <c r="A17" s="27" t="s">
        <v>111</v>
      </c>
      <c r="B17" s="27">
        <v>3000000</v>
      </c>
      <c r="C17" s="37">
        <v>4445000</v>
      </c>
      <c r="D17" s="14"/>
    </row>
    <row r="18" spans="1:4" x14ac:dyDescent="0.3">
      <c r="A18" s="27" t="s">
        <v>112</v>
      </c>
      <c r="B18" s="27">
        <v>1800000</v>
      </c>
      <c r="C18" s="37">
        <v>2205000</v>
      </c>
      <c r="D18" s="13"/>
    </row>
    <row r="19" spans="1:4" x14ac:dyDescent="0.3">
      <c r="A19" s="27" t="s">
        <v>114</v>
      </c>
      <c r="B19" s="27">
        <v>1000000</v>
      </c>
      <c r="C19" s="37">
        <v>1260000</v>
      </c>
      <c r="D19" s="13"/>
    </row>
    <row r="20" spans="1:4" x14ac:dyDescent="0.3">
      <c r="A20" s="27" t="s">
        <v>2</v>
      </c>
      <c r="B20" s="27">
        <v>30000000</v>
      </c>
      <c r="C20" s="37">
        <v>35000000</v>
      </c>
    </row>
    <row r="21" spans="1:4" x14ac:dyDescent="0.3">
      <c r="A21" s="27" t="s">
        <v>109</v>
      </c>
      <c r="B21" s="27">
        <v>1000000</v>
      </c>
      <c r="C21" s="37">
        <v>525000</v>
      </c>
    </row>
    <row r="22" spans="1:4" x14ac:dyDescent="0.3">
      <c r="A22" s="27" t="s">
        <v>23</v>
      </c>
      <c r="B22" s="27">
        <v>7500000</v>
      </c>
      <c r="C22" s="37">
        <v>6500000</v>
      </c>
    </row>
    <row r="23" spans="1:4" x14ac:dyDescent="0.3">
      <c r="A23" s="27" t="s">
        <v>27</v>
      </c>
      <c r="B23" s="27">
        <v>20500000</v>
      </c>
      <c r="C23" s="37">
        <v>17500000</v>
      </c>
    </row>
    <row r="24" spans="1:4" x14ac:dyDescent="0.3">
      <c r="A24" s="27" t="s">
        <v>28</v>
      </c>
      <c r="B24" s="27">
        <v>8000000</v>
      </c>
      <c r="C24" s="37">
        <v>7000000</v>
      </c>
    </row>
    <row r="25" spans="1:4" x14ac:dyDescent="0.3">
      <c r="A25" s="27" t="s">
        <v>29</v>
      </c>
      <c r="B25" s="27">
        <v>11000000</v>
      </c>
      <c r="C25" s="37">
        <v>11000000</v>
      </c>
    </row>
    <row r="26" spans="1:4" x14ac:dyDescent="0.3">
      <c r="A26" s="27" t="s">
        <v>20</v>
      </c>
      <c r="B26" s="27">
        <v>3000000</v>
      </c>
      <c r="C26" s="37">
        <v>1000000</v>
      </c>
    </row>
    <row r="27" spans="1:4" x14ac:dyDescent="0.3">
      <c r="A27" s="7"/>
      <c r="B27" s="7"/>
    </row>
  </sheetData>
  <sortState xmlns:xlrd2="http://schemas.microsoft.com/office/spreadsheetml/2017/richdata2" ref="A5:C28">
    <sortCondition ref="A5:A28"/>
  </sortState>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4"/>
  <sheetViews>
    <sheetView topLeftCell="D15" zoomScaleNormal="100" workbookViewId="0">
      <selection activeCell="I39" sqref="I39"/>
    </sheetView>
  </sheetViews>
  <sheetFormatPr baseColWidth="10" defaultColWidth="11.44140625" defaultRowHeight="14.4" x14ac:dyDescent="0.3"/>
  <cols>
    <col min="1" max="1" width="52.33203125" customWidth="1"/>
    <col min="2" max="2" width="16.44140625" customWidth="1"/>
    <col min="3" max="3" width="9" customWidth="1"/>
    <col min="4" max="4" width="17.33203125" customWidth="1"/>
    <col min="5" max="6" width="9.5546875" customWidth="1"/>
    <col min="7" max="7" width="6.33203125" customWidth="1"/>
    <col min="8" max="8" width="39.33203125" customWidth="1"/>
    <col min="9" max="9" width="19.44140625" customWidth="1"/>
    <col min="10" max="10" width="8.5546875" customWidth="1"/>
    <col min="11" max="11" width="19.44140625" customWidth="1"/>
    <col min="12" max="12" width="9" customWidth="1"/>
    <col min="13" max="13" width="10.109375" customWidth="1"/>
    <col min="14" max="14" width="7.109375" customWidth="1"/>
    <col min="15" max="15" width="39.33203125" customWidth="1"/>
    <col min="16" max="16" width="16.44140625" customWidth="1"/>
    <col min="17" max="17" width="8.109375" customWidth="1"/>
    <col min="18" max="18" width="32.44140625" customWidth="1"/>
    <col min="19" max="19" width="28.6640625" style="25" customWidth="1"/>
    <col min="20" max="20" width="11.44140625" style="25" customWidth="1"/>
    <col min="21" max="21" width="2.33203125" style="25" customWidth="1"/>
    <col min="22" max="22" width="12.33203125" style="25" customWidth="1"/>
    <col min="23" max="23" width="12.6640625" style="25" customWidth="1"/>
    <col min="24" max="24" width="48.5546875" style="25" customWidth="1"/>
  </cols>
  <sheetData>
    <row r="1" spans="1:24" x14ac:dyDescent="0.3">
      <c r="A1" s="1" t="s">
        <v>1</v>
      </c>
      <c r="H1" s="1" t="s">
        <v>1</v>
      </c>
      <c r="O1" s="1" t="s">
        <v>1</v>
      </c>
      <c r="P1" s="7"/>
      <c r="R1" s="15" t="s">
        <v>74</v>
      </c>
      <c r="S1" s="16"/>
      <c r="T1" s="16"/>
      <c r="U1" s="16"/>
      <c r="V1" s="16"/>
      <c r="W1" s="16"/>
      <c r="X1" s="16"/>
    </row>
    <row r="2" spans="1:24" x14ac:dyDescent="0.3">
      <c r="A2" s="2" t="s">
        <v>0</v>
      </c>
      <c r="H2" s="2" t="s">
        <v>18</v>
      </c>
      <c r="O2" s="2" t="s">
        <v>151</v>
      </c>
      <c r="P2" s="7"/>
      <c r="R2" s="1" t="s">
        <v>1</v>
      </c>
      <c r="S2" s="16"/>
      <c r="T2" s="16"/>
      <c r="U2" s="16"/>
      <c r="V2" s="16"/>
      <c r="W2" s="16"/>
      <c r="X2" s="16"/>
    </row>
    <row r="3" spans="1:24" x14ac:dyDescent="0.3">
      <c r="A3" s="1" t="s">
        <v>142</v>
      </c>
      <c r="H3" s="1" t="s">
        <v>144</v>
      </c>
      <c r="O3" s="1" t="s">
        <v>145</v>
      </c>
      <c r="P3" s="7"/>
      <c r="R3" s="17" t="s">
        <v>146</v>
      </c>
      <c r="S3" s="16"/>
      <c r="T3" s="16"/>
      <c r="U3" s="16"/>
      <c r="V3" s="16"/>
      <c r="W3" s="16"/>
      <c r="X3" s="16"/>
    </row>
    <row r="4" spans="1:24" ht="28.8" x14ac:dyDescent="0.3">
      <c r="B4" s="35">
        <v>2023</v>
      </c>
      <c r="C4" s="38" t="s">
        <v>118</v>
      </c>
      <c r="D4" s="35">
        <v>2022</v>
      </c>
      <c r="E4" s="38" t="s">
        <v>118</v>
      </c>
      <c r="F4" s="38" t="s">
        <v>119</v>
      </c>
      <c r="I4" s="12">
        <v>2023</v>
      </c>
      <c r="J4" s="38" t="s">
        <v>118</v>
      </c>
      <c r="K4" s="12">
        <v>2022</v>
      </c>
      <c r="L4" s="38" t="s">
        <v>118</v>
      </c>
      <c r="M4" s="38" t="s">
        <v>119</v>
      </c>
      <c r="O4" s="7"/>
      <c r="P4" s="7"/>
      <c r="R4" s="17"/>
      <c r="S4" s="16"/>
      <c r="T4" s="18" t="s">
        <v>147</v>
      </c>
      <c r="U4" s="18"/>
      <c r="V4" s="18" t="s">
        <v>121</v>
      </c>
      <c r="W4" s="19" t="s">
        <v>75</v>
      </c>
      <c r="X4" s="18" t="s">
        <v>76</v>
      </c>
    </row>
    <row r="5" spans="1:24" x14ac:dyDescent="0.3">
      <c r="A5" t="s">
        <v>2</v>
      </c>
      <c r="B5">
        <v>30000000</v>
      </c>
      <c r="C5" s="39">
        <v>1</v>
      </c>
      <c r="D5">
        <v>35000000</v>
      </c>
      <c r="E5" s="30">
        <v>1</v>
      </c>
      <c r="F5" s="39">
        <f>(B5-D5)/D5</f>
        <v>-0.14285714285714285</v>
      </c>
      <c r="H5" s="1" t="s">
        <v>19</v>
      </c>
      <c r="M5" s="30"/>
      <c r="O5" s="9" t="s">
        <v>55</v>
      </c>
      <c r="P5" s="7"/>
      <c r="R5" s="15" t="s">
        <v>77</v>
      </c>
      <c r="S5" s="16"/>
      <c r="T5" s="18"/>
      <c r="U5" s="18"/>
      <c r="V5" s="18"/>
      <c r="W5" s="19"/>
      <c r="X5" s="18"/>
    </row>
    <row r="6" spans="1:24" x14ac:dyDescent="0.3">
      <c r="A6" t="s">
        <v>3</v>
      </c>
      <c r="B6" s="3">
        <v>21000000</v>
      </c>
      <c r="C6" s="39">
        <f>B6/B$5</f>
        <v>0.7</v>
      </c>
      <c r="D6" s="3">
        <v>23065000</v>
      </c>
      <c r="E6" s="39">
        <f>D6/D$5</f>
        <v>0.65900000000000003</v>
      </c>
      <c r="F6" s="39">
        <f t="shared" ref="F6:F20" si="0">(B6-D6)/D6</f>
        <v>-8.9529590288315627E-2</v>
      </c>
      <c r="H6" s="5" t="s">
        <v>25</v>
      </c>
      <c r="O6" s="7" t="s">
        <v>138</v>
      </c>
      <c r="P6" s="7">
        <f>B18</f>
        <v>1500000</v>
      </c>
      <c r="R6" s="17" t="s">
        <v>122</v>
      </c>
      <c r="S6" s="20" t="s">
        <v>25</v>
      </c>
      <c r="T6" s="41">
        <f>I11/I26</f>
        <v>1.4242424242424243</v>
      </c>
      <c r="U6" s="16"/>
      <c r="V6" s="41">
        <f>K11/K26</f>
        <v>1.4926931106471817</v>
      </c>
      <c r="W6" s="26">
        <v>1.8</v>
      </c>
      <c r="X6" s="33"/>
    </row>
    <row r="7" spans="1:24" x14ac:dyDescent="0.3">
      <c r="A7" t="s">
        <v>4</v>
      </c>
      <c r="B7">
        <f>B5-B6</f>
        <v>9000000</v>
      </c>
      <c r="C7" s="39">
        <f t="shared" ref="C7:C20" si="1">B7/B$5</f>
        <v>0.3</v>
      </c>
      <c r="D7">
        <f>D5-D6</f>
        <v>11935000</v>
      </c>
      <c r="E7" s="39">
        <f t="shared" ref="E7:E20" si="2">D7/D$5</f>
        <v>0.34100000000000003</v>
      </c>
      <c r="F7" s="39">
        <f t="shared" si="0"/>
        <v>-0.24591537494763302</v>
      </c>
      <c r="H7" t="s">
        <v>21</v>
      </c>
      <c r="I7">
        <v>1000000</v>
      </c>
      <c r="J7" s="40">
        <f>I7/I$19</f>
        <v>0.02</v>
      </c>
      <c r="K7">
        <v>1375000</v>
      </c>
      <c r="L7" s="40">
        <f>K7/K$19</f>
        <v>3.3232628398791542E-2</v>
      </c>
      <c r="M7" s="40">
        <f>(I7-K7)/K7</f>
        <v>-0.27272727272727271</v>
      </c>
      <c r="O7" s="11" t="s">
        <v>56</v>
      </c>
      <c r="P7" s="7"/>
      <c r="R7" s="17"/>
      <c r="S7" s="16" t="s">
        <v>123</v>
      </c>
      <c r="T7" s="16"/>
      <c r="U7" s="16"/>
      <c r="V7" s="16"/>
      <c r="W7" s="26"/>
      <c r="X7" s="33"/>
    </row>
    <row r="8" spans="1:24" x14ac:dyDescent="0.3">
      <c r="A8" t="s">
        <v>5</v>
      </c>
      <c r="C8" s="39"/>
      <c r="E8" s="39"/>
      <c r="F8" s="39"/>
      <c r="H8" t="s">
        <v>20</v>
      </c>
      <c r="I8">
        <v>3000000</v>
      </c>
      <c r="J8" s="40">
        <f t="shared" ref="J8:L18" si="3">I8/I$19</f>
        <v>0.06</v>
      </c>
      <c r="K8">
        <v>1000000</v>
      </c>
      <c r="L8" s="40">
        <f t="shared" si="3"/>
        <v>2.4169184290030211E-2</v>
      </c>
      <c r="M8" s="40">
        <f t="shared" ref="M8:M19" si="4">(I8-K8)/K8</f>
        <v>2</v>
      </c>
      <c r="O8" s="7" t="s">
        <v>57</v>
      </c>
      <c r="P8" s="7">
        <f>B12</f>
        <v>1000000</v>
      </c>
      <c r="R8" s="17"/>
      <c r="S8" s="16"/>
      <c r="T8" s="16"/>
      <c r="U8" s="16"/>
      <c r="V8" s="16"/>
      <c r="W8" s="26"/>
      <c r="X8" s="33"/>
    </row>
    <row r="9" spans="1:24" x14ac:dyDescent="0.3">
      <c r="A9" t="s">
        <v>6</v>
      </c>
      <c r="B9">
        <v>3000000</v>
      </c>
      <c r="C9" s="39">
        <f t="shared" si="1"/>
        <v>0.1</v>
      </c>
      <c r="D9">
        <v>4445000</v>
      </c>
      <c r="E9" s="39">
        <f t="shared" si="2"/>
        <v>0.127</v>
      </c>
      <c r="F9" s="39">
        <f t="shared" si="0"/>
        <v>-0.32508436445444322</v>
      </c>
      <c r="H9" t="s">
        <v>22</v>
      </c>
      <c r="I9">
        <v>12000000</v>
      </c>
      <c r="J9" s="40">
        <f t="shared" si="3"/>
        <v>0.24</v>
      </c>
      <c r="K9">
        <v>9000000</v>
      </c>
      <c r="L9" s="40">
        <f t="shared" si="3"/>
        <v>0.2175226586102719</v>
      </c>
      <c r="M9" s="40">
        <f t="shared" si="4"/>
        <v>0.33333333333333331</v>
      </c>
      <c r="O9" s="7" t="s">
        <v>58</v>
      </c>
      <c r="P9" s="7">
        <f>I23-K23</f>
        <v>2500000</v>
      </c>
      <c r="R9" s="17" t="s">
        <v>78</v>
      </c>
      <c r="S9" s="20" t="s">
        <v>124</v>
      </c>
      <c r="T9" s="42">
        <f>(I11-I10)/I26</f>
        <v>0.96969696969696972</v>
      </c>
      <c r="U9" s="42"/>
      <c r="V9" s="42">
        <f>(K11-K10)/K26</f>
        <v>0.94989561586638827</v>
      </c>
      <c r="W9" s="26">
        <v>1.5</v>
      </c>
      <c r="X9" s="32"/>
    </row>
    <row r="10" spans="1:24" x14ac:dyDescent="0.3">
      <c r="A10" t="s">
        <v>7</v>
      </c>
      <c r="B10">
        <v>1800000</v>
      </c>
      <c r="C10" s="39">
        <f t="shared" si="1"/>
        <v>0.06</v>
      </c>
      <c r="D10">
        <v>2205000</v>
      </c>
      <c r="E10" s="39">
        <f t="shared" si="2"/>
        <v>6.3E-2</v>
      </c>
      <c r="F10" s="39">
        <f t="shared" si="0"/>
        <v>-0.18367346938775511</v>
      </c>
      <c r="H10" t="s">
        <v>23</v>
      </c>
      <c r="I10" s="3">
        <v>7500000</v>
      </c>
      <c r="J10" s="40">
        <f t="shared" si="3"/>
        <v>0.15</v>
      </c>
      <c r="K10" s="3">
        <v>6500000</v>
      </c>
      <c r="L10" s="40">
        <f t="shared" si="3"/>
        <v>0.15709969788519637</v>
      </c>
      <c r="M10" s="40">
        <f t="shared" si="4"/>
        <v>0.15384615384615385</v>
      </c>
      <c r="O10" s="7" t="s">
        <v>71</v>
      </c>
      <c r="P10" s="7">
        <f>I25-K25</f>
        <v>25000</v>
      </c>
      <c r="R10" s="17" t="s">
        <v>125</v>
      </c>
      <c r="S10" s="16" t="s">
        <v>123</v>
      </c>
      <c r="T10" s="42"/>
      <c r="U10" s="42"/>
      <c r="V10" s="42"/>
      <c r="W10" s="26"/>
      <c r="X10" s="31"/>
    </row>
    <row r="11" spans="1:24" x14ac:dyDescent="0.3">
      <c r="A11" t="s">
        <v>8</v>
      </c>
      <c r="B11">
        <v>200000</v>
      </c>
      <c r="C11" s="39">
        <f t="shared" si="1"/>
        <v>6.6666666666666671E-3</v>
      </c>
      <c r="D11">
        <v>210000</v>
      </c>
      <c r="E11" s="39">
        <f t="shared" si="2"/>
        <v>6.0000000000000001E-3</v>
      </c>
      <c r="F11" s="39">
        <f t="shared" si="0"/>
        <v>-4.7619047619047616E-2</v>
      </c>
      <c r="H11" s="5" t="s">
        <v>24</v>
      </c>
      <c r="I11" s="5">
        <f>SUM(I7:I10)</f>
        <v>23500000</v>
      </c>
      <c r="J11" s="40">
        <f t="shared" si="3"/>
        <v>0.47</v>
      </c>
      <c r="K11" s="5">
        <f>SUM(K7:K10)</f>
        <v>17875000</v>
      </c>
      <c r="L11" s="40">
        <f t="shared" si="3"/>
        <v>0.43202416918429004</v>
      </c>
      <c r="M11" s="40">
        <f t="shared" si="4"/>
        <v>0.31468531468531469</v>
      </c>
      <c r="O11" s="11" t="s">
        <v>59</v>
      </c>
      <c r="P11" s="7"/>
      <c r="R11" s="17"/>
      <c r="S11" s="16"/>
      <c r="T11" s="42"/>
      <c r="U11" s="42"/>
      <c r="V11" s="42"/>
      <c r="W11" s="26"/>
      <c r="X11" s="31"/>
    </row>
    <row r="12" spans="1:24" x14ac:dyDescent="0.3">
      <c r="A12" t="s">
        <v>9</v>
      </c>
      <c r="B12" s="3">
        <v>1000000</v>
      </c>
      <c r="C12" s="39">
        <f t="shared" si="1"/>
        <v>3.3333333333333333E-2</v>
      </c>
      <c r="D12" s="3">
        <v>1260000</v>
      </c>
      <c r="E12" s="39">
        <f t="shared" si="2"/>
        <v>3.5999999999999997E-2</v>
      </c>
      <c r="F12" s="39">
        <f t="shared" si="0"/>
        <v>-0.20634920634920634</v>
      </c>
      <c r="H12" s="5" t="s">
        <v>26</v>
      </c>
      <c r="J12" s="40"/>
      <c r="L12" s="40"/>
      <c r="M12" s="40"/>
      <c r="O12" s="7" t="s">
        <v>60</v>
      </c>
      <c r="P12" s="7">
        <f>(I9-K9)*-1</f>
        <v>-3000000</v>
      </c>
      <c r="R12" s="17"/>
      <c r="S12" s="16"/>
      <c r="T12" s="42"/>
      <c r="U12" s="42"/>
      <c r="V12" s="42"/>
      <c r="W12" s="26"/>
      <c r="X12" s="16"/>
    </row>
    <row r="13" spans="1:24" x14ac:dyDescent="0.3">
      <c r="A13" t="s">
        <v>10</v>
      </c>
      <c r="B13">
        <f>SUM(B9:B12)</f>
        <v>6000000</v>
      </c>
      <c r="C13" s="39">
        <f t="shared" si="1"/>
        <v>0.2</v>
      </c>
      <c r="D13">
        <f>SUM(D9:D12)</f>
        <v>8120000</v>
      </c>
      <c r="E13" s="39">
        <f t="shared" si="2"/>
        <v>0.23200000000000001</v>
      </c>
      <c r="F13" s="39">
        <f t="shared" si="0"/>
        <v>-0.26108374384236455</v>
      </c>
      <c r="H13" t="s">
        <v>29</v>
      </c>
      <c r="I13">
        <v>11000000</v>
      </c>
      <c r="J13" s="40">
        <f t="shared" si="3"/>
        <v>0.22</v>
      </c>
      <c r="K13">
        <v>11000000</v>
      </c>
      <c r="L13" s="40">
        <f t="shared" si="3"/>
        <v>0.26586102719033233</v>
      </c>
      <c r="M13" s="40">
        <f t="shared" si="4"/>
        <v>0</v>
      </c>
      <c r="O13" s="7" t="s">
        <v>70</v>
      </c>
      <c r="P13" s="7">
        <f>(I10-K10)*-1</f>
        <v>-1000000</v>
      </c>
      <c r="R13" s="15" t="s">
        <v>79</v>
      </c>
      <c r="S13" s="16"/>
      <c r="T13" s="42"/>
      <c r="U13" s="42"/>
      <c r="V13" s="42"/>
      <c r="W13" s="26"/>
      <c r="X13" s="16"/>
    </row>
    <row r="14" spans="1:24" x14ac:dyDescent="0.3">
      <c r="A14" t="s">
        <v>11</v>
      </c>
      <c r="B14">
        <f>B7-B13</f>
        <v>3000000</v>
      </c>
      <c r="C14" s="39">
        <f t="shared" si="1"/>
        <v>0.1</v>
      </c>
      <c r="D14">
        <f>D7-D13</f>
        <v>3815000</v>
      </c>
      <c r="E14" s="39">
        <f t="shared" si="2"/>
        <v>0.109</v>
      </c>
      <c r="F14" s="39">
        <f t="shared" si="0"/>
        <v>-0.21363040629095675</v>
      </c>
      <c r="H14" t="s">
        <v>27</v>
      </c>
      <c r="I14">
        <v>20500000</v>
      </c>
      <c r="J14" s="40">
        <f t="shared" si="3"/>
        <v>0.41</v>
      </c>
      <c r="K14">
        <v>17500000</v>
      </c>
      <c r="L14" s="40">
        <f t="shared" si="3"/>
        <v>0.42296072507552868</v>
      </c>
      <c r="M14" s="40">
        <f t="shared" si="4"/>
        <v>0.17142857142857143</v>
      </c>
      <c r="O14" s="7" t="s">
        <v>61</v>
      </c>
      <c r="P14" s="7">
        <f>SUM(P6:P13)</f>
        <v>1025000</v>
      </c>
      <c r="R14" s="17"/>
      <c r="S14" s="16"/>
      <c r="T14" s="42"/>
      <c r="U14" s="42"/>
      <c r="V14" s="42"/>
      <c r="W14" s="26"/>
      <c r="X14" s="16"/>
    </row>
    <row r="15" spans="1:24" ht="16.2" x14ac:dyDescent="0.45">
      <c r="A15" t="s">
        <v>12</v>
      </c>
      <c r="B15" s="3">
        <v>1000000</v>
      </c>
      <c r="C15" s="39">
        <f t="shared" si="1"/>
        <v>3.3333333333333333E-2</v>
      </c>
      <c r="D15" s="3">
        <v>525000</v>
      </c>
      <c r="E15" s="39">
        <f t="shared" si="2"/>
        <v>1.4999999999999999E-2</v>
      </c>
      <c r="F15" s="39">
        <f t="shared" si="0"/>
        <v>0.90476190476190477</v>
      </c>
      <c r="H15" t="s">
        <v>28</v>
      </c>
      <c r="I15" s="6">
        <v>8000000</v>
      </c>
      <c r="J15" s="40">
        <f t="shared" si="3"/>
        <v>0.16</v>
      </c>
      <c r="K15" s="6">
        <v>7000000</v>
      </c>
      <c r="L15" s="40">
        <f t="shared" si="3"/>
        <v>0.16918429003021149</v>
      </c>
      <c r="M15" s="40">
        <f t="shared" si="4"/>
        <v>0.14285714285714285</v>
      </c>
      <c r="R15" s="17" t="s">
        <v>80</v>
      </c>
      <c r="S15" s="20" t="s">
        <v>117</v>
      </c>
      <c r="T15" s="42">
        <f>B6/I10</f>
        <v>2.8</v>
      </c>
      <c r="U15" s="42"/>
      <c r="V15" s="42">
        <f>D6/K10</f>
        <v>3.5484615384615386</v>
      </c>
      <c r="W15" s="26">
        <v>8</v>
      </c>
      <c r="X15" s="33"/>
    </row>
    <row r="16" spans="1:24" x14ac:dyDescent="0.3">
      <c r="A16" t="s">
        <v>13</v>
      </c>
      <c r="B16">
        <f>B14-B15</f>
        <v>2000000</v>
      </c>
      <c r="C16" s="39">
        <f t="shared" si="1"/>
        <v>6.6666666666666666E-2</v>
      </c>
      <c r="D16">
        <f>D14-D15</f>
        <v>3290000</v>
      </c>
      <c r="E16" s="39">
        <f t="shared" si="2"/>
        <v>9.4E-2</v>
      </c>
      <c r="F16" s="39">
        <f t="shared" si="0"/>
        <v>-0.39209726443769</v>
      </c>
      <c r="H16" t="s">
        <v>30</v>
      </c>
      <c r="I16" s="5">
        <f>SUM(I13:I15)</f>
        <v>39500000</v>
      </c>
      <c r="J16" s="40">
        <f t="shared" si="3"/>
        <v>0.79</v>
      </c>
      <c r="K16" s="5">
        <f>SUM(K13:K15)</f>
        <v>35500000</v>
      </c>
      <c r="L16" s="40">
        <f t="shared" si="3"/>
        <v>0.85800604229607247</v>
      </c>
      <c r="M16" s="40">
        <f t="shared" si="4"/>
        <v>0.11267605633802817</v>
      </c>
      <c r="O16" s="7"/>
      <c r="P16" s="7"/>
      <c r="R16" s="17"/>
      <c r="S16" s="16" t="s">
        <v>23</v>
      </c>
      <c r="T16" s="42"/>
      <c r="U16" s="42"/>
      <c r="V16" s="42"/>
      <c r="W16" s="26"/>
      <c r="X16" s="33"/>
    </row>
    <row r="17" spans="1:24" x14ac:dyDescent="0.3">
      <c r="A17" t="s">
        <v>14</v>
      </c>
      <c r="B17" s="3">
        <f>B16*0.25</f>
        <v>500000</v>
      </c>
      <c r="C17" s="39">
        <f t="shared" si="1"/>
        <v>1.6666666666666666E-2</v>
      </c>
      <c r="D17" s="3">
        <f>D16*0.25</f>
        <v>822500</v>
      </c>
      <c r="E17" s="39">
        <f t="shared" si="2"/>
        <v>2.35E-2</v>
      </c>
      <c r="F17" s="39">
        <f t="shared" si="0"/>
        <v>-0.39209726443769</v>
      </c>
      <c r="G17" s="13"/>
      <c r="H17" t="s">
        <v>31</v>
      </c>
      <c r="I17" s="3">
        <v>13000000</v>
      </c>
      <c r="J17" s="40">
        <f t="shared" si="3"/>
        <v>0.26</v>
      </c>
      <c r="K17" s="3">
        <v>12000000</v>
      </c>
      <c r="L17" s="40">
        <f t="shared" si="3"/>
        <v>0.29003021148036257</v>
      </c>
      <c r="M17" s="40">
        <f t="shared" si="4"/>
        <v>8.3333333333333329E-2</v>
      </c>
      <c r="O17" s="9" t="s">
        <v>62</v>
      </c>
      <c r="P17" s="7"/>
      <c r="R17" s="17"/>
      <c r="S17" s="16"/>
      <c r="T17" s="42"/>
      <c r="U17" s="42"/>
      <c r="V17" s="42"/>
      <c r="W17" s="26"/>
      <c r="X17" s="33"/>
    </row>
    <row r="18" spans="1:24" x14ac:dyDescent="0.3">
      <c r="A18" t="s">
        <v>15</v>
      </c>
      <c r="B18">
        <f>B16-B17</f>
        <v>1500000</v>
      </c>
      <c r="C18" s="39">
        <f t="shared" si="1"/>
        <v>0.05</v>
      </c>
      <c r="D18">
        <f>D16-D17</f>
        <v>2467500</v>
      </c>
      <c r="E18" s="39">
        <f t="shared" si="2"/>
        <v>7.0499999999999993E-2</v>
      </c>
      <c r="F18" s="39">
        <f t="shared" si="0"/>
        <v>-0.39209726443769</v>
      </c>
      <c r="G18" s="14"/>
      <c r="H18" s="5" t="s">
        <v>32</v>
      </c>
      <c r="I18">
        <f>I16-I17</f>
        <v>26500000</v>
      </c>
      <c r="J18" s="40">
        <f t="shared" si="3"/>
        <v>0.53</v>
      </c>
      <c r="K18">
        <f>K16-K17</f>
        <v>23500000</v>
      </c>
      <c r="L18" s="40">
        <f t="shared" si="3"/>
        <v>0.56797583081571001</v>
      </c>
      <c r="M18" s="40">
        <f t="shared" si="4"/>
        <v>0.1276595744680851</v>
      </c>
      <c r="O18" s="11" t="s">
        <v>59</v>
      </c>
      <c r="P18" s="7"/>
      <c r="R18" s="17" t="s">
        <v>126</v>
      </c>
      <c r="S18" s="20" t="s">
        <v>127</v>
      </c>
      <c r="T18" s="42">
        <f>I10/(B6/365)</f>
        <v>130.35714285714286</v>
      </c>
      <c r="U18" s="42"/>
      <c r="V18" s="42">
        <f>K10/(D6/365)</f>
        <v>102.86147843052242</v>
      </c>
      <c r="W18" s="43">
        <f>365/W15</f>
        <v>45.625</v>
      </c>
      <c r="X18" s="16"/>
    </row>
    <row r="19" spans="1:24" ht="15" thickBot="1" x14ac:dyDescent="0.35">
      <c r="A19" t="s">
        <v>16</v>
      </c>
      <c r="B19" s="3">
        <v>100000</v>
      </c>
      <c r="C19" s="39">
        <f t="shared" si="1"/>
        <v>3.3333333333333335E-3</v>
      </c>
      <c r="D19" s="3">
        <v>100000</v>
      </c>
      <c r="E19" s="39">
        <f t="shared" si="2"/>
        <v>2.8571428571428571E-3</v>
      </c>
      <c r="F19" s="39">
        <f t="shared" si="0"/>
        <v>0</v>
      </c>
      <c r="G19" s="14"/>
      <c r="H19" t="s">
        <v>33</v>
      </c>
      <c r="I19" s="4">
        <f>I18+I11</f>
        <v>50000000</v>
      </c>
      <c r="J19" s="39">
        <v>1</v>
      </c>
      <c r="K19" s="4">
        <f>K18+K11</f>
        <v>41375000</v>
      </c>
      <c r="L19" s="39">
        <v>1</v>
      </c>
      <c r="M19" s="40">
        <f t="shared" si="4"/>
        <v>0.20845921450151059</v>
      </c>
      <c r="O19" s="7" t="s">
        <v>63</v>
      </c>
      <c r="P19" s="7">
        <f>(I16-K16)*-1</f>
        <v>-4000000</v>
      </c>
      <c r="R19" s="17" t="s">
        <v>128</v>
      </c>
      <c r="S19" s="16" t="s">
        <v>129</v>
      </c>
      <c r="T19" s="42"/>
      <c r="U19" s="42"/>
      <c r="V19" s="42"/>
      <c r="W19" s="26"/>
      <c r="X19" s="16"/>
    </row>
    <row r="20" spans="1:24" ht="15.6" thickTop="1" thickBot="1" x14ac:dyDescent="0.35">
      <c r="A20" t="s">
        <v>17</v>
      </c>
      <c r="B20" s="4">
        <f>B18-B19</f>
        <v>1400000</v>
      </c>
      <c r="C20" s="39">
        <f t="shared" si="1"/>
        <v>4.6666666666666669E-2</v>
      </c>
      <c r="D20" s="4">
        <f>D18-D19</f>
        <v>2367500</v>
      </c>
      <c r="E20" s="39">
        <f t="shared" si="2"/>
        <v>6.7642857142857143E-2</v>
      </c>
      <c r="F20" s="39">
        <f t="shared" si="0"/>
        <v>-0.40865892291446676</v>
      </c>
      <c r="G20" s="13"/>
      <c r="O20" s="7" t="s">
        <v>64</v>
      </c>
      <c r="P20" s="7">
        <f>SUM(P18:P19)</f>
        <v>-4000000</v>
      </c>
      <c r="R20" s="17"/>
      <c r="S20" s="16"/>
      <c r="T20" s="42"/>
      <c r="U20" s="42"/>
      <c r="V20" s="42"/>
      <c r="W20" s="26"/>
      <c r="X20" s="16"/>
    </row>
    <row r="21" spans="1:24" ht="15" thickTop="1" x14ac:dyDescent="0.3">
      <c r="E21" s="7"/>
      <c r="F21" s="7"/>
      <c r="G21" s="13"/>
      <c r="H21" s="1" t="s">
        <v>34</v>
      </c>
      <c r="O21" s="7"/>
      <c r="P21" s="7"/>
      <c r="R21" s="17"/>
      <c r="S21" s="16"/>
      <c r="T21" s="42"/>
      <c r="U21" s="42"/>
      <c r="V21" s="42"/>
      <c r="W21" s="26"/>
      <c r="X21" s="16"/>
    </row>
    <row r="22" spans="1:24" x14ac:dyDescent="0.3">
      <c r="H22" s="5" t="s">
        <v>38</v>
      </c>
      <c r="O22" s="9" t="s">
        <v>65</v>
      </c>
      <c r="P22" s="7"/>
      <c r="R22" s="17" t="s">
        <v>82</v>
      </c>
      <c r="S22" s="20" t="s">
        <v>83</v>
      </c>
      <c r="T22" s="42">
        <f>I9/(B5/365)</f>
        <v>146</v>
      </c>
      <c r="U22" s="42"/>
      <c r="V22" s="42">
        <f>K9/(D5/365)</f>
        <v>93.857142857142861</v>
      </c>
      <c r="W22" s="26">
        <v>90</v>
      </c>
      <c r="X22" s="32"/>
    </row>
    <row r="23" spans="1:24" x14ac:dyDescent="0.3">
      <c r="A23" s="8" t="s">
        <v>1</v>
      </c>
      <c r="B23" s="7"/>
      <c r="C23" s="7"/>
      <c r="H23" t="s">
        <v>35</v>
      </c>
      <c r="I23">
        <v>8000000</v>
      </c>
      <c r="J23" s="40">
        <f t="shared" ref="J23:L36" si="5">I23/I$19</f>
        <v>0.16</v>
      </c>
      <c r="K23">
        <v>5500000</v>
      </c>
      <c r="L23" s="40">
        <f t="shared" si="5"/>
        <v>0.13293051359516617</v>
      </c>
      <c r="M23" s="40">
        <f t="shared" ref="M23:M36" si="6">(I23-K23)/K23</f>
        <v>0.45454545454545453</v>
      </c>
      <c r="O23" s="11" t="s">
        <v>56</v>
      </c>
      <c r="P23" s="7"/>
      <c r="R23" s="17" t="s">
        <v>130</v>
      </c>
      <c r="S23" s="16" t="s">
        <v>108</v>
      </c>
      <c r="T23" s="42"/>
      <c r="U23" s="42"/>
      <c r="V23" s="42"/>
      <c r="W23" s="22"/>
      <c r="X23" s="32"/>
    </row>
    <row r="24" spans="1:24" x14ac:dyDescent="0.3">
      <c r="A24" s="8" t="s">
        <v>50</v>
      </c>
      <c r="B24" s="7"/>
      <c r="C24" s="7"/>
      <c r="H24" t="s">
        <v>36</v>
      </c>
      <c r="I24">
        <v>8000000</v>
      </c>
      <c r="J24" s="40">
        <f t="shared" si="5"/>
        <v>0.16</v>
      </c>
      <c r="K24">
        <v>6000000</v>
      </c>
      <c r="L24" s="40">
        <f t="shared" ref="L24" si="7">K24/K$19</f>
        <v>0.14501510574018128</v>
      </c>
      <c r="M24" s="40">
        <f t="shared" si="6"/>
        <v>0.33333333333333331</v>
      </c>
      <c r="O24" s="7" t="s">
        <v>66</v>
      </c>
      <c r="P24" s="7">
        <f>I28-K28</f>
        <v>3000000</v>
      </c>
      <c r="R24" s="17"/>
      <c r="S24" s="16"/>
      <c r="T24" s="42"/>
      <c r="U24" s="42"/>
      <c r="V24" s="42"/>
      <c r="W24" s="22"/>
      <c r="X24" s="16"/>
    </row>
    <row r="25" spans="1:24" x14ac:dyDescent="0.3">
      <c r="A25" s="8" t="s">
        <v>143</v>
      </c>
      <c r="B25" s="7"/>
      <c r="C25" s="7"/>
      <c r="H25" t="s">
        <v>37</v>
      </c>
      <c r="I25" s="3">
        <v>500000</v>
      </c>
      <c r="J25" s="40">
        <f t="shared" si="5"/>
        <v>0.01</v>
      </c>
      <c r="K25" s="3">
        <v>475000</v>
      </c>
      <c r="L25" s="40">
        <f t="shared" ref="L25" si="8">K25/K$19</f>
        <v>1.1480362537764351E-2</v>
      </c>
      <c r="M25" s="40">
        <f t="shared" si="6"/>
        <v>5.2631578947368418E-2</v>
      </c>
      <c r="O25" s="7" t="s">
        <v>72</v>
      </c>
      <c r="P25" s="7">
        <f>I24-K24</f>
        <v>2000000</v>
      </c>
      <c r="R25" s="17" t="s">
        <v>84</v>
      </c>
      <c r="S25" s="20" t="s">
        <v>81</v>
      </c>
      <c r="T25" s="42">
        <f>B5/I18</f>
        <v>1.1320754716981132</v>
      </c>
      <c r="U25" s="42"/>
      <c r="V25" s="42">
        <f>D5/K18</f>
        <v>1.4893617021276595</v>
      </c>
      <c r="W25" s="22">
        <v>1.2</v>
      </c>
      <c r="X25" s="33"/>
    </row>
    <row r="26" spans="1:24" x14ac:dyDescent="0.3">
      <c r="A26" s="7"/>
      <c r="B26" s="7"/>
      <c r="C26" s="7"/>
      <c r="H26" s="5" t="s">
        <v>39</v>
      </c>
      <c r="I26" s="5">
        <f>SUM(I23:I25)</f>
        <v>16500000</v>
      </c>
      <c r="J26" s="40">
        <f t="shared" si="5"/>
        <v>0.33</v>
      </c>
      <c r="K26" s="5">
        <f>SUM(K23:K25)</f>
        <v>11975000</v>
      </c>
      <c r="L26" s="40">
        <f t="shared" ref="L26" si="9">K26/K$19</f>
        <v>0.2894259818731118</v>
      </c>
      <c r="M26" s="40">
        <f t="shared" si="6"/>
        <v>0.37787056367432148</v>
      </c>
      <c r="O26" s="11" t="s">
        <v>59</v>
      </c>
      <c r="P26" s="7"/>
      <c r="R26" s="17" t="s">
        <v>131</v>
      </c>
      <c r="S26" s="16" t="s">
        <v>85</v>
      </c>
      <c r="T26" s="42"/>
      <c r="U26" s="42"/>
      <c r="V26" s="42"/>
      <c r="W26" s="22"/>
      <c r="X26" s="33"/>
    </row>
    <row r="27" spans="1:24" x14ac:dyDescent="0.3">
      <c r="A27" s="7" t="s">
        <v>148</v>
      </c>
      <c r="B27" s="7">
        <f>K34</f>
        <v>900000</v>
      </c>
      <c r="C27" s="7"/>
      <c r="H27" s="5" t="s">
        <v>40</v>
      </c>
      <c r="J27" s="40"/>
      <c r="L27" s="40"/>
      <c r="M27" s="40"/>
      <c r="O27" s="7" t="s">
        <v>67</v>
      </c>
      <c r="P27" s="7">
        <f>B30*-1</f>
        <v>-100000</v>
      </c>
      <c r="R27" s="17"/>
      <c r="S27" s="16"/>
      <c r="T27" s="42"/>
      <c r="U27" s="42"/>
      <c r="V27" s="42"/>
      <c r="W27" s="22"/>
      <c r="X27" s="34"/>
    </row>
    <row r="28" spans="1:24" x14ac:dyDescent="0.3">
      <c r="A28" s="7" t="s">
        <v>149</v>
      </c>
      <c r="B28" s="9">
        <f>B18</f>
        <v>1500000</v>
      </c>
      <c r="C28" s="7"/>
      <c r="H28" t="s">
        <v>41</v>
      </c>
      <c r="I28" s="3">
        <v>20000000</v>
      </c>
      <c r="J28" s="40">
        <f t="shared" si="5"/>
        <v>0.4</v>
      </c>
      <c r="K28" s="3">
        <v>17000000</v>
      </c>
      <c r="L28" s="40">
        <f t="shared" ref="L28" si="10">K28/K$19</f>
        <v>0.41087613293051362</v>
      </c>
      <c r="M28" s="40">
        <f t="shared" si="6"/>
        <v>0.17647058823529413</v>
      </c>
      <c r="O28" s="7" t="s">
        <v>73</v>
      </c>
      <c r="P28" s="7">
        <f>B32*-1</f>
        <v>-300000</v>
      </c>
      <c r="R28" s="17" t="s">
        <v>86</v>
      </c>
      <c r="S28" s="20" t="s">
        <v>81</v>
      </c>
      <c r="T28" s="42">
        <f>B5/I19</f>
        <v>0.6</v>
      </c>
      <c r="U28" s="42"/>
      <c r="V28" s="42">
        <f>D5/K19</f>
        <v>0.84592145015105735</v>
      </c>
      <c r="W28" s="22">
        <v>1</v>
      </c>
      <c r="X28" s="32"/>
    </row>
    <row r="29" spans="1:24" x14ac:dyDescent="0.3">
      <c r="A29" s="7" t="s">
        <v>51</v>
      </c>
      <c r="B29" s="7">
        <f>B27+B28</f>
        <v>2400000</v>
      </c>
      <c r="C29" s="7"/>
      <c r="H29" s="5" t="s">
        <v>42</v>
      </c>
      <c r="I29" s="5">
        <f>I28</f>
        <v>20000000</v>
      </c>
      <c r="J29" s="40">
        <f t="shared" si="5"/>
        <v>0.4</v>
      </c>
      <c r="K29" s="5">
        <f>K28</f>
        <v>17000000</v>
      </c>
      <c r="L29" s="40">
        <f t="shared" ref="L29" si="11">K29/K$19</f>
        <v>0.41087613293051362</v>
      </c>
      <c r="M29" s="40">
        <f t="shared" si="6"/>
        <v>0.17647058823529413</v>
      </c>
      <c r="O29" s="7" t="s">
        <v>68</v>
      </c>
      <c r="P29" s="7">
        <f>SUM(P24:P28)</f>
        <v>4600000</v>
      </c>
      <c r="R29" s="17"/>
      <c r="S29" s="23" t="s">
        <v>87</v>
      </c>
      <c r="T29" s="42"/>
      <c r="U29" s="42"/>
      <c r="V29" s="42"/>
      <c r="W29" s="22"/>
      <c r="X29" s="32"/>
    </row>
    <row r="30" spans="1:24" x14ac:dyDescent="0.3">
      <c r="A30" s="7" t="s">
        <v>52</v>
      </c>
      <c r="B30" s="9">
        <f>B19</f>
        <v>100000</v>
      </c>
      <c r="C30" s="7"/>
      <c r="H30" s="5" t="s">
        <v>43</v>
      </c>
      <c r="J30" s="40"/>
      <c r="L30" s="40"/>
      <c r="M30" s="40"/>
      <c r="R30" s="17"/>
      <c r="S30" s="16"/>
      <c r="T30" s="42"/>
      <c r="U30" s="42"/>
      <c r="V30" s="42"/>
      <c r="W30" s="22"/>
      <c r="X30" s="16"/>
    </row>
    <row r="31" spans="1:24" x14ac:dyDescent="0.3">
      <c r="A31" s="7" t="s">
        <v>53</v>
      </c>
      <c r="B31" s="7">
        <f>B29-B30</f>
        <v>2300000</v>
      </c>
      <c r="C31" s="7"/>
      <c r="H31" t="s">
        <v>44</v>
      </c>
      <c r="I31">
        <v>2500000</v>
      </c>
      <c r="J31" s="40">
        <f t="shared" si="5"/>
        <v>0.05</v>
      </c>
      <c r="K31">
        <v>2500000</v>
      </c>
      <c r="L31" s="40">
        <f t="shared" ref="L31" si="12">K31/K$19</f>
        <v>6.0422960725075532E-2</v>
      </c>
      <c r="M31" s="40">
        <f t="shared" si="6"/>
        <v>0</v>
      </c>
      <c r="O31" s="7"/>
      <c r="P31" s="7"/>
      <c r="R31" s="17"/>
      <c r="S31" s="16"/>
      <c r="U31" s="42"/>
      <c r="V31" s="42"/>
      <c r="W31" s="22"/>
      <c r="X31" s="16"/>
    </row>
    <row r="32" spans="1:24" x14ac:dyDescent="0.3">
      <c r="A32" s="7" t="s">
        <v>54</v>
      </c>
      <c r="B32" s="7">
        <v>300000</v>
      </c>
      <c r="C32" s="7"/>
      <c r="H32" t="s">
        <v>45</v>
      </c>
      <c r="I32">
        <v>5000000</v>
      </c>
      <c r="J32" s="40">
        <f t="shared" si="5"/>
        <v>0.1</v>
      </c>
      <c r="K32">
        <v>5000000</v>
      </c>
      <c r="L32" s="40">
        <f t="shared" ref="L32" si="13">K32/K$19</f>
        <v>0.12084592145015106</v>
      </c>
      <c r="M32" s="40">
        <f t="shared" si="6"/>
        <v>0</v>
      </c>
      <c r="N32" s="13"/>
      <c r="O32" s="7" t="s">
        <v>69</v>
      </c>
      <c r="P32" s="7">
        <f>P14+P20+P29</f>
        <v>1625000</v>
      </c>
      <c r="R32" s="17" t="s">
        <v>139</v>
      </c>
      <c r="S32" s="20" t="s">
        <v>35</v>
      </c>
      <c r="T32" s="42"/>
      <c r="U32" s="42"/>
      <c r="V32" s="42"/>
      <c r="W32" s="22"/>
      <c r="X32" s="33"/>
    </row>
    <row r="33" spans="1:24" ht="15" thickBot="1" x14ac:dyDescent="0.35">
      <c r="A33" s="8" t="s">
        <v>150</v>
      </c>
      <c r="B33" s="10">
        <f>B31-B32</f>
        <v>2000000</v>
      </c>
      <c r="C33" s="8"/>
      <c r="H33" t="s">
        <v>46</v>
      </c>
      <c r="I33">
        <v>4000000</v>
      </c>
      <c r="J33" s="40">
        <f t="shared" si="5"/>
        <v>0.08</v>
      </c>
      <c r="K33">
        <v>4000000</v>
      </c>
      <c r="L33" s="40">
        <f t="shared" ref="L33" si="14">K33/K$19</f>
        <v>9.6676737160120846E-2</v>
      </c>
      <c r="M33" s="40">
        <f t="shared" si="6"/>
        <v>0</v>
      </c>
      <c r="O33" s="7" t="s">
        <v>136</v>
      </c>
      <c r="P33" s="7">
        <f>K7+K8</f>
        <v>2375000</v>
      </c>
      <c r="R33" s="17" t="s">
        <v>140</v>
      </c>
      <c r="S33" s="16" t="s">
        <v>141</v>
      </c>
      <c r="T33" s="42"/>
      <c r="U33" s="42"/>
      <c r="V33" s="42"/>
      <c r="W33" s="22"/>
      <c r="X33" s="33"/>
    </row>
    <row r="34" spans="1:24" ht="15.6" thickTop="1" thickBot="1" x14ac:dyDescent="0.35">
      <c r="H34" t="s">
        <v>47</v>
      </c>
      <c r="I34" s="3">
        <v>2000000</v>
      </c>
      <c r="J34" s="40">
        <f t="shared" si="5"/>
        <v>0.04</v>
      </c>
      <c r="K34" s="3">
        <v>900000</v>
      </c>
      <c r="L34" s="40">
        <f t="shared" ref="L34" si="15">K34/K$19</f>
        <v>2.175226586102719E-2</v>
      </c>
      <c r="M34" s="40">
        <f t="shared" si="6"/>
        <v>1.2222222222222223</v>
      </c>
      <c r="O34" s="8" t="s">
        <v>137</v>
      </c>
      <c r="P34" s="10">
        <f>P32+P33</f>
        <v>4000000</v>
      </c>
      <c r="R34" s="17"/>
      <c r="S34" s="16"/>
      <c r="T34" s="42"/>
      <c r="U34" s="42"/>
      <c r="V34" s="42"/>
      <c r="W34" s="22"/>
      <c r="X34" s="33"/>
    </row>
    <row r="35" spans="1:24" ht="15" thickTop="1" x14ac:dyDescent="0.3">
      <c r="H35" s="5" t="s">
        <v>48</v>
      </c>
      <c r="I35" s="5">
        <f>SUM(I31:I34)</f>
        <v>13500000</v>
      </c>
      <c r="J35" s="40">
        <f t="shared" si="5"/>
        <v>0.27</v>
      </c>
      <c r="K35" s="5">
        <f>SUM(K31:K34)</f>
        <v>12400000</v>
      </c>
      <c r="L35" s="40">
        <f t="shared" ref="L35" si="16">K35/K$19</f>
        <v>0.29969788519637464</v>
      </c>
      <c r="M35" s="40">
        <f t="shared" si="6"/>
        <v>8.8709677419354843E-2</v>
      </c>
      <c r="R35" s="17"/>
      <c r="S35" s="16"/>
      <c r="T35" s="42"/>
      <c r="U35" s="42"/>
      <c r="V35" s="42"/>
      <c r="W35" s="22"/>
      <c r="X35" s="32"/>
    </row>
    <row r="36" spans="1:24" ht="15" thickBot="1" x14ac:dyDescent="0.35">
      <c r="H36" t="s">
        <v>49</v>
      </c>
      <c r="I36" s="4">
        <f>I35+I29+I26</f>
        <v>50000000</v>
      </c>
      <c r="J36" s="40">
        <f t="shared" si="5"/>
        <v>1</v>
      </c>
      <c r="K36" s="4">
        <f>K35+K29+K26</f>
        <v>41375000</v>
      </c>
      <c r="L36" s="40">
        <f t="shared" ref="L36" si="17">K36/K$19</f>
        <v>1</v>
      </c>
      <c r="M36" s="40">
        <f t="shared" si="6"/>
        <v>0.20845921450151059</v>
      </c>
      <c r="O36" s="7" t="s">
        <v>120</v>
      </c>
      <c r="R36" s="15" t="s">
        <v>88</v>
      </c>
      <c r="S36" s="16"/>
      <c r="T36" s="42"/>
      <c r="U36" s="42"/>
      <c r="V36" s="42"/>
      <c r="W36" s="22"/>
      <c r="X36" s="32"/>
    </row>
    <row r="37" spans="1:24" ht="15" thickTop="1" x14ac:dyDescent="0.3">
      <c r="R37" s="17" t="s">
        <v>132</v>
      </c>
      <c r="S37" s="20" t="s">
        <v>89</v>
      </c>
      <c r="T37" s="44">
        <f>(I26+I29)/I19</f>
        <v>0.73</v>
      </c>
      <c r="U37" s="42"/>
      <c r="V37" s="44">
        <f>(K26+K29)/K19</f>
        <v>0.70030211480362536</v>
      </c>
      <c r="W37" s="24">
        <v>0.4</v>
      </c>
      <c r="X37" s="32"/>
    </row>
    <row r="38" spans="1:24" x14ac:dyDescent="0.3">
      <c r="R38" s="17"/>
      <c r="S38" s="16" t="s">
        <v>87</v>
      </c>
      <c r="T38" s="42"/>
      <c r="U38" s="42"/>
      <c r="V38" s="42"/>
      <c r="W38" s="22"/>
      <c r="X38" s="16"/>
    </row>
    <row r="39" spans="1:24" x14ac:dyDescent="0.3">
      <c r="I39">
        <f>SUM(I32:I34)</f>
        <v>11000000</v>
      </c>
      <c r="R39" s="17"/>
      <c r="S39" s="16"/>
      <c r="T39" s="42"/>
      <c r="U39" s="42"/>
      <c r="V39" s="42"/>
      <c r="W39" s="22"/>
      <c r="X39" s="16"/>
    </row>
    <row r="40" spans="1:24" x14ac:dyDescent="0.3">
      <c r="H40" s="28"/>
      <c r="R40" s="17" t="s">
        <v>90</v>
      </c>
      <c r="S40" s="20" t="s">
        <v>134</v>
      </c>
      <c r="T40" s="42">
        <f>B14/B15</f>
        <v>3</v>
      </c>
      <c r="U40" s="42"/>
      <c r="V40" s="42">
        <f>D14/D15</f>
        <v>7.2666666666666666</v>
      </c>
      <c r="W40" s="22">
        <v>6</v>
      </c>
      <c r="X40" s="33"/>
    </row>
    <row r="41" spans="1:24" x14ac:dyDescent="0.3">
      <c r="H41" s="28"/>
      <c r="I41" s="29"/>
      <c r="K41" s="29"/>
      <c r="R41" s="17" t="s">
        <v>133</v>
      </c>
      <c r="S41" s="16" t="s">
        <v>91</v>
      </c>
      <c r="T41" s="42"/>
      <c r="U41" s="42"/>
      <c r="V41" s="42"/>
      <c r="W41" s="22"/>
      <c r="X41" s="33"/>
    </row>
    <row r="42" spans="1:24" x14ac:dyDescent="0.3">
      <c r="R42" s="17"/>
      <c r="S42" s="16"/>
      <c r="T42" s="42"/>
      <c r="U42" s="42"/>
      <c r="V42" s="42"/>
      <c r="W42" s="22"/>
      <c r="X42" s="33"/>
    </row>
    <row r="43" spans="1:24" x14ac:dyDescent="0.3">
      <c r="R43" s="17"/>
      <c r="S43" s="16"/>
      <c r="T43" s="42"/>
      <c r="U43" s="42"/>
      <c r="V43" s="42"/>
      <c r="W43" s="22"/>
      <c r="X43" s="32"/>
    </row>
    <row r="44" spans="1:24" x14ac:dyDescent="0.3">
      <c r="R44" s="15" t="s">
        <v>92</v>
      </c>
      <c r="S44" s="16"/>
      <c r="T44" s="42"/>
      <c r="U44" s="42"/>
      <c r="V44" s="42"/>
      <c r="W44" s="22"/>
      <c r="X44" s="32"/>
    </row>
    <row r="45" spans="1:24" x14ac:dyDescent="0.3">
      <c r="R45" s="17" t="s">
        <v>93</v>
      </c>
      <c r="S45" s="20" t="s">
        <v>94</v>
      </c>
      <c r="T45" s="44">
        <f>B20/B5</f>
        <v>4.6666666666666669E-2</v>
      </c>
      <c r="U45" s="42"/>
      <c r="V45" s="44">
        <f>D20/D5</f>
        <v>6.7642857142857143E-2</v>
      </c>
      <c r="W45" s="24">
        <v>0.05</v>
      </c>
      <c r="X45" s="32"/>
    </row>
    <row r="46" spans="1:24" x14ac:dyDescent="0.3">
      <c r="R46" s="17"/>
      <c r="S46" s="16" t="s">
        <v>81</v>
      </c>
      <c r="T46" s="42"/>
      <c r="U46" s="42"/>
      <c r="V46" s="42"/>
      <c r="W46" s="22"/>
      <c r="X46" s="32"/>
    </row>
    <row r="47" spans="1:24" x14ac:dyDescent="0.3">
      <c r="R47" s="17"/>
      <c r="S47" s="16"/>
      <c r="T47" s="42"/>
      <c r="U47" s="42"/>
      <c r="V47" s="42"/>
      <c r="W47" s="21"/>
      <c r="X47" s="32"/>
    </row>
    <row r="48" spans="1:24" x14ac:dyDescent="0.3">
      <c r="R48" s="17" t="s">
        <v>95</v>
      </c>
      <c r="S48" s="20" t="s">
        <v>134</v>
      </c>
      <c r="T48" s="44">
        <f>B14/I19</f>
        <v>0.06</v>
      </c>
      <c r="U48" s="42"/>
      <c r="V48" s="44">
        <f>D14/K19</f>
        <v>9.2205438066465251E-2</v>
      </c>
      <c r="W48" s="24">
        <v>0.12</v>
      </c>
      <c r="X48" s="32"/>
    </row>
    <row r="49" spans="18:24" x14ac:dyDescent="0.3">
      <c r="R49" s="17"/>
      <c r="S49" s="16" t="s">
        <v>87</v>
      </c>
      <c r="T49" s="42"/>
      <c r="U49" s="42"/>
      <c r="V49" s="42"/>
      <c r="W49" s="21"/>
      <c r="X49" s="33"/>
    </row>
    <row r="50" spans="18:24" x14ac:dyDescent="0.3">
      <c r="R50" s="17"/>
      <c r="S50" s="16"/>
      <c r="T50" s="42"/>
      <c r="U50" s="42"/>
      <c r="V50" s="42"/>
      <c r="W50" s="21"/>
      <c r="X50" s="33"/>
    </row>
    <row r="51" spans="18:24" x14ac:dyDescent="0.3">
      <c r="R51" s="17" t="s">
        <v>96</v>
      </c>
      <c r="S51" s="20" t="s">
        <v>135</v>
      </c>
      <c r="T51" s="44">
        <f>B20/I19</f>
        <v>2.8000000000000001E-2</v>
      </c>
      <c r="U51" s="42"/>
      <c r="V51" s="44">
        <f>D20/K19</f>
        <v>5.7220543806646526E-2</v>
      </c>
      <c r="W51" s="24">
        <v>0.08</v>
      </c>
      <c r="X51" s="33"/>
    </row>
    <row r="52" spans="18:24" x14ac:dyDescent="0.3">
      <c r="R52" s="17"/>
      <c r="S52" s="16" t="s">
        <v>87</v>
      </c>
      <c r="T52" s="42"/>
      <c r="U52" s="42"/>
      <c r="V52" s="42"/>
      <c r="W52" s="21"/>
      <c r="X52" s="16"/>
    </row>
    <row r="53" spans="18:24" x14ac:dyDescent="0.3">
      <c r="R53" s="17"/>
      <c r="S53" s="16"/>
      <c r="T53" s="42"/>
      <c r="U53" s="42"/>
      <c r="V53" s="42"/>
      <c r="W53" s="21"/>
      <c r="X53" s="16"/>
    </row>
    <row r="54" spans="18:24" x14ac:dyDescent="0.3">
      <c r="R54" s="17" t="s">
        <v>97</v>
      </c>
      <c r="S54" s="20" t="s">
        <v>135</v>
      </c>
      <c r="T54" s="44">
        <f>B20/(I35-I31)</f>
        <v>0.12727272727272726</v>
      </c>
      <c r="U54" s="42"/>
      <c r="V54" s="44">
        <f>D20/(K35-K31)</f>
        <v>0.23914141414141415</v>
      </c>
      <c r="W54" s="24">
        <v>0.18</v>
      </c>
      <c r="X54" s="16"/>
    </row>
    <row r="55" spans="18:24" x14ac:dyDescent="0.3">
      <c r="R55" s="17" t="s">
        <v>98</v>
      </c>
      <c r="S55" s="16" t="s">
        <v>99</v>
      </c>
      <c r="T55" s="42"/>
      <c r="U55" s="42"/>
      <c r="V55" s="42"/>
      <c r="W55" s="21"/>
      <c r="X55" s="16"/>
    </row>
    <row r="56" spans="18:24" x14ac:dyDescent="0.3">
      <c r="R56" s="17"/>
      <c r="S56" s="16"/>
      <c r="T56" s="42"/>
      <c r="U56" s="42"/>
      <c r="V56" s="42"/>
      <c r="W56" s="21"/>
      <c r="X56" s="16"/>
    </row>
    <row r="57" spans="18:24" x14ac:dyDescent="0.3">
      <c r="R57" s="17"/>
      <c r="S57" s="16"/>
      <c r="T57" s="42"/>
      <c r="U57" s="42"/>
      <c r="V57" s="42"/>
      <c r="W57" s="21"/>
      <c r="X57" s="16"/>
    </row>
    <row r="58" spans="18:24" x14ac:dyDescent="0.3">
      <c r="R58" s="15" t="s">
        <v>100</v>
      </c>
      <c r="S58" s="16"/>
      <c r="T58" s="42"/>
      <c r="U58" s="42"/>
      <c r="V58" s="42"/>
      <c r="W58" s="21"/>
      <c r="X58" s="16"/>
    </row>
    <row r="59" spans="18:24" x14ac:dyDescent="0.3">
      <c r="R59" s="17" t="s">
        <v>101</v>
      </c>
      <c r="S59" s="20" t="s">
        <v>102</v>
      </c>
      <c r="T59" s="42"/>
      <c r="U59" s="42"/>
      <c r="V59" s="42"/>
      <c r="W59" s="22"/>
      <c r="X59" s="16"/>
    </row>
    <row r="60" spans="18:24" x14ac:dyDescent="0.3">
      <c r="R60" s="17"/>
      <c r="S60" s="16" t="s">
        <v>103</v>
      </c>
      <c r="T60" s="42"/>
      <c r="U60" s="42"/>
      <c r="V60" s="42"/>
      <c r="W60" s="22"/>
    </row>
    <row r="61" spans="18:24" x14ac:dyDescent="0.3">
      <c r="R61" s="17"/>
      <c r="S61" s="16"/>
      <c r="T61" s="42"/>
      <c r="U61" s="42"/>
      <c r="V61" s="42"/>
      <c r="W61" s="22"/>
    </row>
    <row r="62" spans="18:24" x14ac:dyDescent="0.3">
      <c r="R62" s="17" t="s">
        <v>104</v>
      </c>
      <c r="S62" s="20" t="s">
        <v>105</v>
      </c>
      <c r="T62" s="42"/>
      <c r="U62" s="42"/>
      <c r="V62" s="42"/>
      <c r="W62" s="22"/>
    </row>
    <row r="63" spans="18:24" x14ac:dyDescent="0.3">
      <c r="R63" s="17" t="s">
        <v>106</v>
      </c>
      <c r="S63" s="16" t="s">
        <v>107</v>
      </c>
      <c r="T63" s="42"/>
      <c r="U63" s="42"/>
      <c r="V63" s="42"/>
      <c r="W63" s="22"/>
    </row>
    <row r="64" spans="18:24" x14ac:dyDescent="0.3">
      <c r="R64" s="17"/>
      <c r="S64" s="16"/>
      <c r="T64" s="42"/>
      <c r="U64" s="42"/>
      <c r="V64" s="42"/>
      <c r="W64" s="16"/>
    </row>
  </sheetData>
  <pageMargins left="0.7" right="0.7" top="0.75" bottom="0.75" header="0.3" footer="0.3"/>
  <pageSetup scale="53" orientation="landscape" horizontalDpi="4294967293" r:id="rId1"/>
  <colBreaks count="1" manualBreakCount="1">
    <brk id="13" max="1048575" man="1"/>
  </colBreaks>
  <ignoredErrors>
    <ignoredError sqref="D17 B17 D7 D16 D18 D20 D13:D14" 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D9DDF-536B-425F-999C-DC42A4C992DF}">
  <dimension ref="A1:X64"/>
  <sheetViews>
    <sheetView topLeftCell="K1" zoomScaleNormal="100" workbookViewId="0">
      <selection activeCell="T7" sqref="T7"/>
    </sheetView>
  </sheetViews>
  <sheetFormatPr baseColWidth="10" defaultColWidth="11.44140625" defaultRowHeight="14.4" x14ac:dyDescent="0.3"/>
  <cols>
    <col min="1" max="1" width="52.33203125" customWidth="1"/>
    <col min="2" max="2" width="16.44140625" customWidth="1"/>
    <col min="3" max="3" width="9" customWidth="1"/>
    <col min="4" max="4" width="17.33203125" customWidth="1"/>
    <col min="5" max="6" width="9.5546875" customWidth="1"/>
    <col min="7" max="7" width="6.33203125" customWidth="1"/>
    <col min="8" max="8" width="39.33203125" customWidth="1"/>
    <col min="9" max="9" width="19.44140625" customWidth="1"/>
    <col min="10" max="10" width="8.5546875" customWidth="1"/>
    <col min="11" max="11" width="19.44140625" customWidth="1"/>
    <col min="12" max="12" width="9" customWidth="1"/>
    <col min="13" max="13" width="10.109375" customWidth="1"/>
    <col min="14" max="14" width="7.109375" customWidth="1"/>
    <col min="15" max="15" width="39.33203125" customWidth="1"/>
    <col min="16" max="16" width="16.44140625" customWidth="1"/>
    <col min="17" max="17" width="8.109375" customWidth="1"/>
    <col min="18" max="18" width="32.44140625" customWidth="1"/>
    <col min="19" max="19" width="28.6640625" style="25" customWidth="1"/>
    <col min="20" max="20" width="11.44140625" style="25" customWidth="1"/>
    <col min="21" max="21" width="2.33203125" style="25" customWidth="1"/>
    <col min="22" max="22" width="12.33203125" style="25" customWidth="1"/>
    <col min="23" max="23" width="12.6640625" style="25" customWidth="1"/>
    <col min="24" max="24" width="48.5546875" style="25" customWidth="1"/>
  </cols>
  <sheetData>
    <row r="1" spans="1:24" x14ac:dyDescent="0.3">
      <c r="A1" s="1" t="s">
        <v>1</v>
      </c>
      <c r="H1" s="1" t="s">
        <v>1</v>
      </c>
      <c r="O1" s="1" t="s">
        <v>1</v>
      </c>
      <c r="P1" s="7"/>
      <c r="R1" s="15" t="s">
        <v>74</v>
      </c>
      <c r="S1" s="16"/>
      <c r="T1" s="16"/>
      <c r="U1" s="16"/>
      <c r="V1" s="16"/>
      <c r="W1" s="16"/>
      <c r="X1" s="16"/>
    </row>
    <row r="2" spans="1:24" x14ac:dyDescent="0.3">
      <c r="A2" s="2" t="s">
        <v>0</v>
      </c>
      <c r="H2" s="2" t="s">
        <v>18</v>
      </c>
      <c r="O2" s="2" t="s">
        <v>151</v>
      </c>
      <c r="P2" s="7"/>
      <c r="R2" s="1" t="s">
        <v>1</v>
      </c>
      <c r="S2" s="16"/>
      <c r="T2" s="16"/>
      <c r="U2" s="16"/>
      <c r="V2" s="16"/>
      <c r="W2" s="16"/>
      <c r="X2" s="16"/>
    </row>
    <row r="3" spans="1:24" x14ac:dyDescent="0.3">
      <c r="A3" s="1" t="s">
        <v>142</v>
      </c>
      <c r="H3" s="1" t="s">
        <v>144</v>
      </c>
      <c r="O3" s="1" t="s">
        <v>145</v>
      </c>
      <c r="P3" s="7"/>
      <c r="R3" s="17" t="s">
        <v>146</v>
      </c>
      <c r="S3" s="16"/>
      <c r="T3" s="16"/>
      <c r="U3" s="16"/>
      <c r="V3" s="16"/>
      <c r="W3" s="16"/>
      <c r="X3" s="16"/>
    </row>
    <row r="4" spans="1:24" ht="28.8" x14ac:dyDescent="0.3">
      <c r="B4" s="35">
        <v>2023</v>
      </c>
      <c r="C4" s="38" t="s">
        <v>118</v>
      </c>
      <c r="D4" s="35">
        <v>2022</v>
      </c>
      <c r="E4" s="38" t="s">
        <v>118</v>
      </c>
      <c r="F4" s="38" t="s">
        <v>119</v>
      </c>
      <c r="I4" s="12">
        <v>2023</v>
      </c>
      <c r="J4" s="38" t="s">
        <v>118</v>
      </c>
      <c r="K4" s="12">
        <v>2022</v>
      </c>
      <c r="L4" s="38" t="s">
        <v>118</v>
      </c>
      <c r="M4" s="38" t="s">
        <v>119</v>
      </c>
      <c r="O4" s="7"/>
      <c r="P4" s="7"/>
      <c r="R4" s="17"/>
      <c r="S4" s="16"/>
      <c r="T4" s="18" t="s">
        <v>147</v>
      </c>
      <c r="U4" s="18"/>
      <c r="V4" s="18" t="s">
        <v>121</v>
      </c>
      <c r="W4" s="19" t="s">
        <v>75</v>
      </c>
      <c r="X4" s="18" t="s">
        <v>76</v>
      </c>
    </row>
    <row r="5" spans="1:24" x14ac:dyDescent="0.3">
      <c r="A5" t="s">
        <v>2</v>
      </c>
      <c r="B5">
        <v>30000000</v>
      </c>
      <c r="C5" s="39">
        <v>1</v>
      </c>
      <c r="D5">
        <v>35000000</v>
      </c>
      <c r="E5" s="30">
        <v>1</v>
      </c>
      <c r="F5" s="39">
        <f>(B5-D5)/D5</f>
        <v>-0.14285714285714285</v>
      </c>
      <c r="H5" s="1" t="s">
        <v>19</v>
      </c>
      <c r="M5" s="30"/>
      <c r="O5" s="9" t="s">
        <v>55</v>
      </c>
      <c r="P5" s="7"/>
      <c r="R5" s="15" t="s">
        <v>77</v>
      </c>
      <c r="S5" s="16"/>
      <c r="T5" s="18"/>
      <c r="U5" s="18"/>
      <c r="V5" s="18"/>
      <c r="W5" s="19"/>
      <c r="X5" s="18"/>
    </row>
    <row r="6" spans="1:24" x14ac:dyDescent="0.3">
      <c r="A6" t="s">
        <v>3</v>
      </c>
      <c r="B6" s="3">
        <v>21000000</v>
      </c>
      <c r="C6" s="39">
        <f>B6/B$5</f>
        <v>0.7</v>
      </c>
      <c r="D6" s="3">
        <v>23065000</v>
      </c>
      <c r="E6" s="39">
        <f>D6/D$5</f>
        <v>0.65900000000000003</v>
      </c>
      <c r="F6" s="39">
        <f t="shared" ref="F6:F20" si="0">(B6-D6)/D6</f>
        <v>-8.9529590288315627E-2</v>
      </c>
      <c r="H6" s="5" t="s">
        <v>25</v>
      </c>
      <c r="O6" s="7" t="s">
        <v>138</v>
      </c>
      <c r="P6" s="7">
        <f>B18</f>
        <v>1500000</v>
      </c>
      <c r="R6" s="17" t="s">
        <v>122</v>
      </c>
      <c r="S6" s="20" t="s">
        <v>25</v>
      </c>
      <c r="T6" s="16"/>
      <c r="U6" s="16"/>
      <c r="V6" s="16"/>
      <c r="W6" s="26">
        <v>1.8</v>
      </c>
      <c r="X6" s="33"/>
    </row>
    <row r="7" spans="1:24" x14ac:dyDescent="0.3">
      <c r="A7" t="s">
        <v>4</v>
      </c>
      <c r="B7">
        <f>B5-B6</f>
        <v>9000000</v>
      </c>
      <c r="C7" s="39">
        <f t="shared" ref="C7:C20" si="1">B7/B$5</f>
        <v>0.3</v>
      </c>
      <c r="D7">
        <f>D5-D6</f>
        <v>11935000</v>
      </c>
      <c r="E7" s="39">
        <f t="shared" ref="E7:E20" si="2">D7/D$5</f>
        <v>0.34100000000000003</v>
      </c>
      <c r="F7" s="39">
        <f t="shared" si="0"/>
        <v>-0.24591537494763302</v>
      </c>
      <c r="H7" t="s">
        <v>21</v>
      </c>
      <c r="I7">
        <v>1000000</v>
      </c>
      <c r="J7" s="40">
        <f>I7/I$19</f>
        <v>0.02</v>
      </c>
      <c r="K7">
        <v>1375000</v>
      </c>
      <c r="L7" s="40">
        <f>K7/K$19</f>
        <v>3.3232628398791542E-2</v>
      </c>
      <c r="M7" s="40">
        <f>(I7-K7)/K7</f>
        <v>-0.27272727272727271</v>
      </c>
      <c r="O7" s="11" t="s">
        <v>56</v>
      </c>
      <c r="P7" s="7"/>
      <c r="R7" s="17"/>
      <c r="S7" s="16" t="s">
        <v>123</v>
      </c>
      <c r="T7" s="16"/>
      <c r="U7" s="16"/>
      <c r="V7" s="16"/>
      <c r="W7" s="26"/>
      <c r="X7" s="33"/>
    </row>
    <row r="8" spans="1:24" x14ac:dyDescent="0.3">
      <c r="A8" t="s">
        <v>5</v>
      </c>
      <c r="C8" s="39"/>
      <c r="E8" s="39"/>
      <c r="F8" s="39"/>
      <c r="H8" t="s">
        <v>20</v>
      </c>
      <c r="I8">
        <v>3000000</v>
      </c>
      <c r="J8" s="40">
        <f t="shared" ref="J8:L18" si="3">I8/I$19</f>
        <v>0.06</v>
      </c>
      <c r="K8">
        <v>1000000</v>
      </c>
      <c r="L8" s="40">
        <f t="shared" si="3"/>
        <v>2.4169184290030211E-2</v>
      </c>
      <c r="M8" s="40">
        <f t="shared" ref="M8:M19" si="4">(I8-K8)/K8</f>
        <v>2</v>
      </c>
      <c r="O8" s="7" t="s">
        <v>57</v>
      </c>
      <c r="P8" s="7">
        <f>B12</f>
        <v>1000000</v>
      </c>
      <c r="R8" s="17"/>
      <c r="S8" s="16"/>
      <c r="T8" s="16"/>
      <c r="U8" s="16"/>
      <c r="V8" s="16"/>
      <c r="W8" s="26"/>
      <c r="X8" s="33"/>
    </row>
    <row r="9" spans="1:24" x14ac:dyDescent="0.3">
      <c r="A9" t="s">
        <v>6</v>
      </c>
      <c r="B9">
        <v>3000000</v>
      </c>
      <c r="C9" s="39">
        <f t="shared" si="1"/>
        <v>0.1</v>
      </c>
      <c r="D9">
        <v>4445000</v>
      </c>
      <c r="E9" s="39">
        <f t="shared" si="2"/>
        <v>0.127</v>
      </c>
      <c r="F9" s="39">
        <f t="shared" si="0"/>
        <v>-0.32508436445444322</v>
      </c>
      <c r="H9" t="s">
        <v>22</v>
      </c>
      <c r="I9">
        <v>12000000</v>
      </c>
      <c r="J9" s="40">
        <f t="shared" si="3"/>
        <v>0.24</v>
      </c>
      <c r="K9">
        <v>9000000</v>
      </c>
      <c r="L9" s="40">
        <f t="shared" si="3"/>
        <v>0.2175226586102719</v>
      </c>
      <c r="M9" s="40">
        <f t="shared" si="4"/>
        <v>0.33333333333333331</v>
      </c>
      <c r="O9" s="7" t="s">
        <v>58</v>
      </c>
      <c r="P9" s="7">
        <f>I23-K23</f>
        <v>2500000</v>
      </c>
      <c r="R9" s="17" t="s">
        <v>78</v>
      </c>
      <c r="S9" s="20" t="s">
        <v>124</v>
      </c>
      <c r="T9" s="16"/>
      <c r="U9" s="16"/>
      <c r="V9" s="16"/>
      <c r="W9" s="26">
        <v>1.5</v>
      </c>
      <c r="X9" s="32"/>
    </row>
    <row r="10" spans="1:24" x14ac:dyDescent="0.3">
      <c r="A10" t="s">
        <v>7</v>
      </c>
      <c r="B10">
        <v>1800000</v>
      </c>
      <c r="C10" s="39">
        <f t="shared" si="1"/>
        <v>0.06</v>
      </c>
      <c r="D10">
        <v>2205000</v>
      </c>
      <c r="E10" s="39">
        <f t="shared" si="2"/>
        <v>6.3E-2</v>
      </c>
      <c r="F10" s="39">
        <f t="shared" si="0"/>
        <v>-0.18367346938775511</v>
      </c>
      <c r="H10" t="s">
        <v>23</v>
      </c>
      <c r="I10" s="3">
        <v>7500000</v>
      </c>
      <c r="J10" s="40">
        <f t="shared" si="3"/>
        <v>0.15</v>
      </c>
      <c r="K10" s="3">
        <v>6500000</v>
      </c>
      <c r="L10" s="40">
        <f t="shared" si="3"/>
        <v>0.15709969788519637</v>
      </c>
      <c r="M10" s="40">
        <f t="shared" si="4"/>
        <v>0.15384615384615385</v>
      </c>
      <c r="O10" s="7" t="s">
        <v>71</v>
      </c>
      <c r="P10" s="7">
        <f>I25-K25</f>
        <v>25000</v>
      </c>
      <c r="R10" s="17" t="s">
        <v>125</v>
      </c>
      <c r="S10" s="16" t="s">
        <v>123</v>
      </c>
      <c r="T10" s="16"/>
      <c r="U10" s="16"/>
      <c r="V10" s="16"/>
      <c r="W10" s="26"/>
      <c r="X10" s="31"/>
    </row>
    <row r="11" spans="1:24" x14ac:dyDescent="0.3">
      <c r="A11" t="s">
        <v>8</v>
      </c>
      <c r="B11">
        <v>200000</v>
      </c>
      <c r="C11" s="39">
        <f t="shared" si="1"/>
        <v>6.6666666666666671E-3</v>
      </c>
      <c r="D11">
        <v>210000</v>
      </c>
      <c r="E11" s="39">
        <f t="shared" si="2"/>
        <v>6.0000000000000001E-3</v>
      </c>
      <c r="F11" s="39">
        <f t="shared" si="0"/>
        <v>-4.7619047619047616E-2</v>
      </c>
      <c r="H11" s="5" t="s">
        <v>24</v>
      </c>
      <c r="I11" s="5">
        <f>SUM(I7:I10)</f>
        <v>23500000</v>
      </c>
      <c r="J11" s="40">
        <f t="shared" si="3"/>
        <v>0.47</v>
      </c>
      <c r="K11" s="5">
        <f>SUM(K7:K10)</f>
        <v>17875000</v>
      </c>
      <c r="L11" s="40">
        <f t="shared" si="3"/>
        <v>0.43202416918429004</v>
      </c>
      <c r="M11" s="40">
        <f t="shared" si="4"/>
        <v>0.31468531468531469</v>
      </c>
      <c r="O11" s="11" t="s">
        <v>59</v>
      </c>
      <c r="P11" s="7"/>
      <c r="R11" s="17"/>
      <c r="S11" s="16"/>
      <c r="T11" s="16"/>
      <c r="U11" s="16"/>
      <c r="V11" s="16"/>
      <c r="W11" s="26"/>
      <c r="X11" s="31"/>
    </row>
    <row r="12" spans="1:24" x14ac:dyDescent="0.3">
      <c r="A12" t="s">
        <v>9</v>
      </c>
      <c r="B12" s="3">
        <v>1000000</v>
      </c>
      <c r="C12" s="39">
        <f t="shared" si="1"/>
        <v>3.3333333333333333E-2</v>
      </c>
      <c r="D12" s="3">
        <v>1260000</v>
      </c>
      <c r="E12" s="39">
        <f t="shared" si="2"/>
        <v>3.5999999999999997E-2</v>
      </c>
      <c r="F12" s="39">
        <f t="shared" si="0"/>
        <v>-0.20634920634920634</v>
      </c>
      <c r="H12" s="5" t="s">
        <v>26</v>
      </c>
      <c r="J12" s="40"/>
      <c r="L12" s="40"/>
      <c r="M12" s="40"/>
      <c r="O12" s="7" t="s">
        <v>60</v>
      </c>
      <c r="P12" s="7">
        <f>(I9-K9)*-1</f>
        <v>-3000000</v>
      </c>
      <c r="R12" s="17"/>
      <c r="S12" s="16"/>
      <c r="T12" s="16"/>
      <c r="U12" s="16"/>
      <c r="V12" s="16"/>
      <c r="W12" s="26"/>
      <c r="X12" s="16"/>
    </row>
    <row r="13" spans="1:24" x14ac:dyDescent="0.3">
      <c r="A13" t="s">
        <v>10</v>
      </c>
      <c r="B13">
        <f>SUM(B9:B12)</f>
        <v>6000000</v>
      </c>
      <c r="C13" s="39">
        <f t="shared" si="1"/>
        <v>0.2</v>
      </c>
      <c r="D13">
        <f>SUM(D9:D12)</f>
        <v>8120000</v>
      </c>
      <c r="E13" s="39">
        <f t="shared" si="2"/>
        <v>0.23200000000000001</v>
      </c>
      <c r="F13" s="39">
        <f t="shared" si="0"/>
        <v>-0.26108374384236455</v>
      </c>
      <c r="H13" t="s">
        <v>29</v>
      </c>
      <c r="I13">
        <v>11000000</v>
      </c>
      <c r="J13" s="40">
        <f t="shared" si="3"/>
        <v>0.22</v>
      </c>
      <c r="K13">
        <v>11000000</v>
      </c>
      <c r="L13" s="40">
        <f t="shared" si="3"/>
        <v>0.26586102719033233</v>
      </c>
      <c r="M13" s="40">
        <f t="shared" si="4"/>
        <v>0</v>
      </c>
      <c r="O13" s="7" t="s">
        <v>70</v>
      </c>
      <c r="P13" s="7">
        <f>(I10-K10)*-1</f>
        <v>-1000000</v>
      </c>
      <c r="R13" s="15" t="s">
        <v>79</v>
      </c>
      <c r="S13" s="16"/>
      <c r="T13" s="16"/>
      <c r="U13" s="16"/>
      <c r="V13" s="16"/>
      <c r="W13" s="26"/>
      <c r="X13" s="16"/>
    </row>
    <row r="14" spans="1:24" x14ac:dyDescent="0.3">
      <c r="A14" t="s">
        <v>11</v>
      </c>
      <c r="B14">
        <f>B7-B13</f>
        <v>3000000</v>
      </c>
      <c r="C14" s="39">
        <f t="shared" si="1"/>
        <v>0.1</v>
      </c>
      <c r="D14">
        <f>D7-D13</f>
        <v>3815000</v>
      </c>
      <c r="E14" s="39">
        <f t="shared" si="2"/>
        <v>0.109</v>
      </c>
      <c r="F14" s="39">
        <f t="shared" si="0"/>
        <v>-0.21363040629095675</v>
      </c>
      <c r="H14" t="s">
        <v>27</v>
      </c>
      <c r="I14">
        <v>20500000</v>
      </c>
      <c r="J14" s="40">
        <f t="shared" si="3"/>
        <v>0.41</v>
      </c>
      <c r="K14">
        <v>17500000</v>
      </c>
      <c r="L14" s="40">
        <f t="shared" si="3"/>
        <v>0.42296072507552868</v>
      </c>
      <c r="M14" s="40">
        <f t="shared" si="4"/>
        <v>0.17142857142857143</v>
      </c>
      <c r="O14" s="7" t="s">
        <v>61</v>
      </c>
      <c r="P14" s="7">
        <f>SUM(P6:P13)</f>
        <v>1025000</v>
      </c>
      <c r="R14" s="17"/>
      <c r="S14" s="16"/>
      <c r="T14" s="16"/>
      <c r="U14" s="16"/>
      <c r="V14" s="16"/>
      <c r="W14" s="26"/>
      <c r="X14" s="16"/>
    </row>
    <row r="15" spans="1:24" ht="16.2" x14ac:dyDescent="0.45">
      <c r="A15" t="s">
        <v>12</v>
      </c>
      <c r="B15" s="3">
        <v>1000000</v>
      </c>
      <c r="C15" s="39">
        <f t="shared" si="1"/>
        <v>3.3333333333333333E-2</v>
      </c>
      <c r="D15" s="3">
        <v>525000</v>
      </c>
      <c r="E15" s="39">
        <f t="shared" si="2"/>
        <v>1.4999999999999999E-2</v>
      </c>
      <c r="F15" s="39">
        <f t="shared" si="0"/>
        <v>0.90476190476190477</v>
      </c>
      <c r="H15" t="s">
        <v>28</v>
      </c>
      <c r="I15" s="6">
        <v>8000000</v>
      </c>
      <c r="J15" s="40">
        <f t="shared" si="3"/>
        <v>0.16</v>
      </c>
      <c r="K15" s="6">
        <v>7000000</v>
      </c>
      <c r="L15" s="40">
        <f t="shared" si="3"/>
        <v>0.16918429003021149</v>
      </c>
      <c r="M15" s="40">
        <f t="shared" si="4"/>
        <v>0.14285714285714285</v>
      </c>
      <c r="R15" s="17" t="s">
        <v>80</v>
      </c>
      <c r="S15" s="20" t="s">
        <v>117</v>
      </c>
      <c r="T15" s="16"/>
      <c r="U15" s="16"/>
      <c r="V15" s="16"/>
      <c r="W15" s="26">
        <v>8</v>
      </c>
      <c r="X15" s="33"/>
    </row>
    <row r="16" spans="1:24" x14ac:dyDescent="0.3">
      <c r="A16" t="s">
        <v>13</v>
      </c>
      <c r="B16">
        <f>B14-B15</f>
        <v>2000000</v>
      </c>
      <c r="C16" s="39">
        <f t="shared" si="1"/>
        <v>6.6666666666666666E-2</v>
      </c>
      <c r="D16">
        <f>D14-D15</f>
        <v>3290000</v>
      </c>
      <c r="E16" s="39">
        <f t="shared" si="2"/>
        <v>9.4E-2</v>
      </c>
      <c r="F16" s="39">
        <f t="shared" si="0"/>
        <v>-0.39209726443769</v>
      </c>
      <c r="H16" t="s">
        <v>30</v>
      </c>
      <c r="I16" s="5">
        <f>SUM(I13:I15)</f>
        <v>39500000</v>
      </c>
      <c r="J16" s="40">
        <f t="shared" si="3"/>
        <v>0.79</v>
      </c>
      <c r="K16" s="5">
        <f>SUM(K13:K15)</f>
        <v>35500000</v>
      </c>
      <c r="L16" s="40">
        <f t="shared" si="3"/>
        <v>0.85800604229607247</v>
      </c>
      <c r="M16" s="40">
        <f t="shared" si="4"/>
        <v>0.11267605633802817</v>
      </c>
      <c r="O16" s="7"/>
      <c r="P16" s="7"/>
      <c r="R16" s="17"/>
      <c r="S16" s="16" t="s">
        <v>23</v>
      </c>
      <c r="T16" s="16"/>
      <c r="U16" s="16"/>
      <c r="V16" s="16"/>
      <c r="W16" s="26"/>
      <c r="X16" s="33"/>
    </row>
    <row r="17" spans="1:24" x14ac:dyDescent="0.3">
      <c r="A17" t="s">
        <v>14</v>
      </c>
      <c r="B17" s="3">
        <f>B16*0.25</f>
        <v>500000</v>
      </c>
      <c r="C17" s="39">
        <f t="shared" si="1"/>
        <v>1.6666666666666666E-2</v>
      </c>
      <c r="D17" s="3">
        <f>D16*0.25</f>
        <v>822500</v>
      </c>
      <c r="E17" s="39">
        <f t="shared" si="2"/>
        <v>2.35E-2</v>
      </c>
      <c r="F17" s="39">
        <f t="shared" si="0"/>
        <v>-0.39209726443769</v>
      </c>
      <c r="G17" s="13"/>
      <c r="H17" t="s">
        <v>31</v>
      </c>
      <c r="I17" s="3">
        <v>13000000</v>
      </c>
      <c r="J17" s="40">
        <f t="shared" si="3"/>
        <v>0.26</v>
      </c>
      <c r="K17" s="3">
        <v>12000000</v>
      </c>
      <c r="L17" s="40">
        <f t="shared" si="3"/>
        <v>0.29003021148036257</v>
      </c>
      <c r="M17" s="40">
        <f t="shared" si="4"/>
        <v>8.3333333333333329E-2</v>
      </c>
      <c r="O17" s="9" t="s">
        <v>62</v>
      </c>
      <c r="P17" s="7"/>
      <c r="R17" s="17"/>
      <c r="S17" s="16"/>
      <c r="T17" s="16"/>
      <c r="U17" s="16"/>
      <c r="V17" s="16"/>
      <c r="W17" s="26"/>
      <c r="X17" s="33"/>
    </row>
    <row r="18" spans="1:24" x14ac:dyDescent="0.3">
      <c r="A18" t="s">
        <v>15</v>
      </c>
      <c r="B18">
        <f>B16-B17</f>
        <v>1500000</v>
      </c>
      <c r="C18" s="39">
        <f t="shared" si="1"/>
        <v>0.05</v>
      </c>
      <c r="D18">
        <f>D16-D17</f>
        <v>2467500</v>
      </c>
      <c r="E18" s="39">
        <f t="shared" si="2"/>
        <v>7.0499999999999993E-2</v>
      </c>
      <c r="F18" s="39">
        <f t="shared" si="0"/>
        <v>-0.39209726443769</v>
      </c>
      <c r="G18" s="14"/>
      <c r="H18" s="5" t="s">
        <v>32</v>
      </c>
      <c r="I18">
        <f>I16-I17</f>
        <v>26500000</v>
      </c>
      <c r="J18" s="40">
        <f t="shared" si="3"/>
        <v>0.53</v>
      </c>
      <c r="K18">
        <f>K16-K17</f>
        <v>23500000</v>
      </c>
      <c r="L18" s="40">
        <f t="shared" si="3"/>
        <v>0.56797583081571001</v>
      </c>
      <c r="M18" s="40">
        <f t="shared" si="4"/>
        <v>0.1276595744680851</v>
      </c>
      <c r="O18" s="11" t="s">
        <v>59</v>
      </c>
      <c r="P18" s="7"/>
      <c r="R18" s="17" t="s">
        <v>126</v>
      </c>
      <c r="S18" s="20" t="s">
        <v>127</v>
      </c>
      <c r="T18" s="16"/>
      <c r="U18" s="16"/>
      <c r="V18" s="16"/>
      <c r="W18" s="26"/>
      <c r="X18" s="16"/>
    </row>
    <row r="19" spans="1:24" ht="15" thickBot="1" x14ac:dyDescent="0.35">
      <c r="A19" t="s">
        <v>16</v>
      </c>
      <c r="B19" s="3">
        <v>100000</v>
      </c>
      <c r="C19" s="39">
        <f t="shared" si="1"/>
        <v>3.3333333333333335E-3</v>
      </c>
      <c r="D19" s="3">
        <v>100000</v>
      </c>
      <c r="E19" s="39">
        <f t="shared" si="2"/>
        <v>2.8571428571428571E-3</v>
      </c>
      <c r="F19" s="39">
        <f t="shared" si="0"/>
        <v>0</v>
      </c>
      <c r="G19" s="14"/>
      <c r="H19" t="s">
        <v>33</v>
      </c>
      <c r="I19" s="4">
        <f>I18+I11</f>
        <v>50000000</v>
      </c>
      <c r="J19" s="39">
        <v>1</v>
      </c>
      <c r="K19" s="4">
        <f>K18+K11</f>
        <v>41375000</v>
      </c>
      <c r="L19" s="39">
        <v>1</v>
      </c>
      <c r="M19" s="40">
        <f t="shared" si="4"/>
        <v>0.20845921450151059</v>
      </c>
      <c r="O19" s="7" t="s">
        <v>63</v>
      </c>
      <c r="P19" s="7">
        <f>(I16-K16)*-1</f>
        <v>-4000000</v>
      </c>
      <c r="R19" s="17" t="s">
        <v>128</v>
      </c>
      <c r="S19" s="16" t="s">
        <v>129</v>
      </c>
      <c r="T19" s="16"/>
      <c r="U19" s="16"/>
      <c r="V19" s="16"/>
      <c r="W19" s="26"/>
      <c r="X19" s="16"/>
    </row>
    <row r="20" spans="1:24" ht="15.6" thickTop="1" thickBot="1" x14ac:dyDescent="0.35">
      <c r="A20" t="s">
        <v>17</v>
      </c>
      <c r="B20" s="4">
        <f>B18-B19</f>
        <v>1400000</v>
      </c>
      <c r="C20" s="39">
        <f t="shared" si="1"/>
        <v>4.6666666666666669E-2</v>
      </c>
      <c r="D20" s="4">
        <f>D18-D19</f>
        <v>2367500</v>
      </c>
      <c r="E20" s="39">
        <f t="shared" si="2"/>
        <v>6.7642857142857143E-2</v>
      </c>
      <c r="F20" s="39">
        <f t="shared" si="0"/>
        <v>-0.40865892291446676</v>
      </c>
      <c r="G20" s="13"/>
      <c r="O20" s="7" t="s">
        <v>64</v>
      </c>
      <c r="P20" s="7">
        <f>SUM(P18:P19)</f>
        <v>-4000000</v>
      </c>
      <c r="R20" s="17"/>
      <c r="S20" s="16"/>
      <c r="T20" s="16"/>
      <c r="U20" s="16"/>
      <c r="V20" s="16"/>
      <c r="W20" s="26"/>
      <c r="X20" s="16"/>
    </row>
    <row r="21" spans="1:24" ht="15" thickTop="1" x14ac:dyDescent="0.3">
      <c r="E21" s="7"/>
      <c r="F21" s="7"/>
      <c r="G21" s="13"/>
      <c r="H21" s="1" t="s">
        <v>34</v>
      </c>
      <c r="O21" s="7"/>
      <c r="P21" s="7"/>
      <c r="R21" s="17"/>
      <c r="S21" s="16"/>
      <c r="T21" s="16"/>
      <c r="U21" s="16"/>
      <c r="V21" s="16"/>
      <c r="W21" s="26"/>
      <c r="X21" s="16"/>
    </row>
    <row r="22" spans="1:24" x14ac:dyDescent="0.3">
      <c r="H22" s="5" t="s">
        <v>38</v>
      </c>
      <c r="O22" s="9" t="s">
        <v>65</v>
      </c>
      <c r="P22" s="7"/>
      <c r="R22" s="17" t="s">
        <v>82</v>
      </c>
      <c r="S22" s="20" t="s">
        <v>83</v>
      </c>
      <c r="T22" s="16"/>
      <c r="U22" s="16"/>
      <c r="V22" s="16"/>
      <c r="W22" s="26">
        <v>90</v>
      </c>
      <c r="X22" s="32"/>
    </row>
    <row r="23" spans="1:24" x14ac:dyDescent="0.3">
      <c r="A23" s="8" t="s">
        <v>1</v>
      </c>
      <c r="B23" s="7"/>
      <c r="C23" s="7"/>
      <c r="H23" t="s">
        <v>35</v>
      </c>
      <c r="I23">
        <v>8000000</v>
      </c>
      <c r="J23" s="40">
        <f t="shared" ref="J23:L36" si="5">I23/I$19</f>
        <v>0.16</v>
      </c>
      <c r="K23">
        <v>5500000</v>
      </c>
      <c r="L23" s="40">
        <f t="shared" si="5"/>
        <v>0.13293051359516617</v>
      </c>
      <c r="M23" s="40">
        <f t="shared" ref="M23:M36" si="6">(I23-K23)/K23</f>
        <v>0.45454545454545453</v>
      </c>
      <c r="O23" s="11" t="s">
        <v>56</v>
      </c>
      <c r="P23" s="7"/>
      <c r="R23" s="17" t="s">
        <v>130</v>
      </c>
      <c r="S23" s="16" t="s">
        <v>108</v>
      </c>
      <c r="T23" s="16"/>
      <c r="U23" s="16"/>
      <c r="V23" s="16"/>
      <c r="W23" s="22"/>
      <c r="X23" s="32"/>
    </row>
    <row r="24" spans="1:24" x14ac:dyDescent="0.3">
      <c r="A24" s="8" t="s">
        <v>50</v>
      </c>
      <c r="B24" s="7"/>
      <c r="C24" s="7"/>
      <c r="H24" t="s">
        <v>36</v>
      </c>
      <c r="I24">
        <v>8000000</v>
      </c>
      <c r="J24" s="40">
        <f t="shared" si="5"/>
        <v>0.16</v>
      </c>
      <c r="K24">
        <v>6000000</v>
      </c>
      <c r="L24" s="40">
        <f t="shared" si="5"/>
        <v>0.14501510574018128</v>
      </c>
      <c r="M24" s="40">
        <f t="shared" si="6"/>
        <v>0.33333333333333331</v>
      </c>
      <c r="O24" s="7" t="s">
        <v>66</v>
      </c>
      <c r="P24" s="7">
        <f>I28-K28</f>
        <v>3000000</v>
      </c>
      <c r="R24" s="17"/>
      <c r="S24" s="16"/>
      <c r="T24" s="16"/>
      <c r="U24" s="16"/>
      <c r="V24" s="16"/>
      <c r="W24" s="22"/>
      <c r="X24" s="16"/>
    </row>
    <row r="25" spans="1:24" x14ac:dyDescent="0.3">
      <c r="A25" s="8" t="s">
        <v>143</v>
      </c>
      <c r="B25" s="7"/>
      <c r="C25" s="7"/>
      <c r="H25" t="s">
        <v>37</v>
      </c>
      <c r="I25" s="3">
        <v>500000</v>
      </c>
      <c r="J25" s="40">
        <f t="shared" si="5"/>
        <v>0.01</v>
      </c>
      <c r="K25" s="3">
        <v>475000</v>
      </c>
      <c r="L25" s="40">
        <f t="shared" si="5"/>
        <v>1.1480362537764351E-2</v>
      </c>
      <c r="M25" s="40">
        <f t="shared" si="6"/>
        <v>5.2631578947368418E-2</v>
      </c>
      <c r="O25" s="7" t="s">
        <v>72</v>
      </c>
      <c r="P25" s="7">
        <f>I24-K24</f>
        <v>2000000</v>
      </c>
      <c r="R25" s="17" t="s">
        <v>84</v>
      </c>
      <c r="S25" s="20" t="s">
        <v>81</v>
      </c>
      <c r="T25" s="16"/>
      <c r="U25" s="16"/>
      <c r="V25" s="16"/>
      <c r="W25" s="22">
        <v>1.2</v>
      </c>
      <c r="X25" s="33"/>
    </row>
    <row r="26" spans="1:24" x14ac:dyDescent="0.3">
      <c r="A26" s="7"/>
      <c r="B26" s="7"/>
      <c r="C26" s="7"/>
      <c r="H26" s="5" t="s">
        <v>39</v>
      </c>
      <c r="I26" s="5">
        <f>SUM(I23:I25)</f>
        <v>16500000</v>
      </c>
      <c r="J26" s="40">
        <f t="shared" si="5"/>
        <v>0.33</v>
      </c>
      <c r="K26" s="5">
        <f>SUM(K23:K25)</f>
        <v>11975000</v>
      </c>
      <c r="L26" s="40">
        <f t="shared" si="5"/>
        <v>0.2894259818731118</v>
      </c>
      <c r="M26" s="40">
        <f t="shared" si="6"/>
        <v>0.37787056367432148</v>
      </c>
      <c r="O26" s="11" t="s">
        <v>59</v>
      </c>
      <c r="P26" s="7"/>
      <c r="R26" s="17" t="s">
        <v>131</v>
      </c>
      <c r="S26" s="16" t="s">
        <v>85</v>
      </c>
      <c r="T26" s="16"/>
      <c r="U26" s="16"/>
      <c r="V26" s="16"/>
      <c r="W26" s="22"/>
      <c r="X26" s="33"/>
    </row>
    <row r="27" spans="1:24" x14ac:dyDescent="0.3">
      <c r="A27" s="7" t="s">
        <v>148</v>
      </c>
      <c r="B27" s="7">
        <f>K34</f>
        <v>900000</v>
      </c>
      <c r="C27" s="7"/>
      <c r="H27" s="5" t="s">
        <v>40</v>
      </c>
      <c r="J27" s="40"/>
      <c r="L27" s="40"/>
      <c r="M27" s="40"/>
      <c r="O27" s="7" t="s">
        <v>67</v>
      </c>
      <c r="P27" s="7">
        <f>B30*-1</f>
        <v>-100000</v>
      </c>
      <c r="R27" s="17"/>
      <c r="S27" s="16"/>
      <c r="T27" s="16"/>
      <c r="U27" s="16"/>
      <c r="V27" s="16"/>
      <c r="W27" s="22"/>
      <c r="X27" s="34"/>
    </row>
    <row r="28" spans="1:24" x14ac:dyDescent="0.3">
      <c r="A28" s="7" t="s">
        <v>149</v>
      </c>
      <c r="B28" s="9">
        <f>B18</f>
        <v>1500000</v>
      </c>
      <c r="C28" s="7"/>
      <c r="H28" t="s">
        <v>41</v>
      </c>
      <c r="I28" s="3">
        <v>20000000</v>
      </c>
      <c r="J28" s="40">
        <f t="shared" si="5"/>
        <v>0.4</v>
      </c>
      <c r="K28" s="3">
        <v>17000000</v>
      </c>
      <c r="L28" s="40">
        <f t="shared" ref="L28:L29" si="7">K28/K$19</f>
        <v>0.41087613293051362</v>
      </c>
      <c r="M28" s="40">
        <f t="shared" si="6"/>
        <v>0.17647058823529413</v>
      </c>
      <c r="O28" s="7" t="s">
        <v>73</v>
      </c>
      <c r="P28" s="7">
        <f>B32*-1</f>
        <v>-300000</v>
      </c>
      <c r="R28" s="17" t="s">
        <v>86</v>
      </c>
      <c r="S28" s="20" t="s">
        <v>81</v>
      </c>
      <c r="T28" s="16"/>
      <c r="U28" s="16"/>
      <c r="V28" s="16"/>
      <c r="W28" s="22">
        <v>1</v>
      </c>
      <c r="X28" s="32"/>
    </row>
    <row r="29" spans="1:24" x14ac:dyDescent="0.3">
      <c r="A29" s="7" t="s">
        <v>51</v>
      </c>
      <c r="B29" s="7">
        <f>B27+B28</f>
        <v>2400000</v>
      </c>
      <c r="C29" s="7"/>
      <c r="H29" s="5" t="s">
        <v>42</v>
      </c>
      <c r="I29" s="5">
        <f>I28</f>
        <v>20000000</v>
      </c>
      <c r="J29" s="40">
        <f t="shared" si="5"/>
        <v>0.4</v>
      </c>
      <c r="K29" s="5">
        <f>K28</f>
        <v>17000000</v>
      </c>
      <c r="L29" s="40">
        <f t="shared" si="7"/>
        <v>0.41087613293051362</v>
      </c>
      <c r="M29" s="40">
        <f t="shared" si="6"/>
        <v>0.17647058823529413</v>
      </c>
      <c r="O29" s="7" t="s">
        <v>68</v>
      </c>
      <c r="P29" s="7">
        <f>SUM(P24:P28)</f>
        <v>4600000</v>
      </c>
      <c r="R29" s="17"/>
      <c r="S29" s="23" t="s">
        <v>87</v>
      </c>
      <c r="T29" s="16"/>
      <c r="U29" s="16"/>
      <c r="V29" s="16"/>
      <c r="W29" s="22"/>
      <c r="X29" s="32"/>
    </row>
    <row r="30" spans="1:24" x14ac:dyDescent="0.3">
      <c r="A30" s="7" t="s">
        <v>52</v>
      </c>
      <c r="B30" s="9">
        <f>B19</f>
        <v>100000</v>
      </c>
      <c r="C30" s="7"/>
      <c r="H30" s="5" t="s">
        <v>43</v>
      </c>
      <c r="J30" s="40"/>
      <c r="L30" s="40"/>
      <c r="M30" s="40"/>
      <c r="R30" s="17"/>
      <c r="S30" s="16"/>
      <c r="T30" s="16"/>
      <c r="U30" s="16"/>
      <c r="V30" s="16"/>
      <c r="W30" s="22"/>
      <c r="X30" s="16"/>
    </row>
    <row r="31" spans="1:24" x14ac:dyDescent="0.3">
      <c r="A31" s="7" t="s">
        <v>53</v>
      </c>
      <c r="B31" s="7">
        <f>B29-B30</f>
        <v>2300000</v>
      </c>
      <c r="C31" s="7"/>
      <c r="H31" t="s">
        <v>44</v>
      </c>
      <c r="I31">
        <v>2500000</v>
      </c>
      <c r="J31" s="40">
        <f t="shared" si="5"/>
        <v>0.05</v>
      </c>
      <c r="K31">
        <v>2500000</v>
      </c>
      <c r="L31" s="40">
        <f t="shared" ref="L31:L36" si="8">K31/K$19</f>
        <v>6.0422960725075532E-2</v>
      </c>
      <c r="M31" s="40">
        <f t="shared" si="6"/>
        <v>0</v>
      </c>
      <c r="O31" s="7"/>
      <c r="P31" s="7"/>
      <c r="R31" s="17"/>
      <c r="S31" s="16"/>
      <c r="T31" s="16"/>
      <c r="U31" s="16"/>
      <c r="V31" s="16"/>
      <c r="W31" s="22"/>
      <c r="X31" s="16"/>
    </row>
    <row r="32" spans="1:24" x14ac:dyDescent="0.3">
      <c r="A32" s="7" t="s">
        <v>54</v>
      </c>
      <c r="B32" s="7">
        <v>300000</v>
      </c>
      <c r="C32" s="7"/>
      <c r="H32" t="s">
        <v>45</v>
      </c>
      <c r="I32">
        <v>5000000</v>
      </c>
      <c r="J32" s="40">
        <f t="shared" si="5"/>
        <v>0.1</v>
      </c>
      <c r="K32">
        <v>5000000</v>
      </c>
      <c r="L32" s="40">
        <f t="shared" si="8"/>
        <v>0.12084592145015106</v>
      </c>
      <c r="M32" s="40">
        <f t="shared" si="6"/>
        <v>0</v>
      </c>
      <c r="N32" s="13"/>
      <c r="O32" s="7" t="s">
        <v>69</v>
      </c>
      <c r="P32" s="7">
        <f>P14+P20+P29</f>
        <v>1625000</v>
      </c>
      <c r="R32" s="17" t="s">
        <v>139</v>
      </c>
      <c r="S32" s="16" t="s">
        <v>35</v>
      </c>
      <c r="T32" s="16"/>
      <c r="U32" s="16"/>
      <c r="V32" s="16"/>
      <c r="W32" s="22"/>
      <c r="X32" s="33"/>
    </row>
    <row r="33" spans="1:24" ht="15" thickBot="1" x14ac:dyDescent="0.35">
      <c r="A33" s="8" t="s">
        <v>150</v>
      </c>
      <c r="B33" s="10">
        <f>B31-B32</f>
        <v>2000000</v>
      </c>
      <c r="C33" s="8"/>
      <c r="H33" t="s">
        <v>46</v>
      </c>
      <c r="I33">
        <v>4000000</v>
      </c>
      <c r="J33" s="40">
        <f t="shared" si="5"/>
        <v>0.08</v>
      </c>
      <c r="K33">
        <v>4000000</v>
      </c>
      <c r="L33" s="40">
        <f t="shared" si="8"/>
        <v>9.6676737160120846E-2</v>
      </c>
      <c r="M33" s="40">
        <f t="shared" si="6"/>
        <v>0</v>
      </c>
      <c r="O33" s="7" t="s">
        <v>136</v>
      </c>
      <c r="P33" s="7">
        <f>K7+K8</f>
        <v>2375000</v>
      </c>
      <c r="R33" s="17" t="s">
        <v>140</v>
      </c>
      <c r="S33" s="16" t="s">
        <v>141</v>
      </c>
      <c r="T33" s="16"/>
      <c r="U33" s="16"/>
      <c r="V33" s="16"/>
      <c r="W33" s="22"/>
      <c r="X33" s="33"/>
    </row>
    <row r="34" spans="1:24" ht="15.6" thickTop="1" thickBot="1" x14ac:dyDescent="0.35">
      <c r="H34" t="s">
        <v>47</v>
      </c>
      <c r="I34" s="3">
        <v>2000000</v>
      </c>
      <c r="J34" s="40">
        <f t="shared" si="5"/>
        <v>0.04</v>
      </c>
      <c r="K34" s="3">
        <v>900000</v>
      </c>
      <c r="L34" s="40">
        <f t="shared" si="8"/>
        <v>2.175226586102719E-2</v>
      </c>
      <c r="M34" s="40">
        <f t="shared" si="6"/>
        <v>1.2222222222222223</v>
      </c>
      <c r="O34" s="8" t="s">
        <v>137</v>
      </c>
      <c r="P34" s="10">
        <f>P32+P33</f>
        <v>4000000</v>
      </c>
      <c r="R34" s="17"/>
      <c r="S34" s="16"/>
      <c r="T34" s="16"/>
      <c r="U34" s="16"/>
      <c r="V34" s="16"/>
      <c r="W34" s="22"/>
      <c r="X34" s="33"/>
    </row>
    <row r="35" spans="1:24" ht="15" thickTop="1" x14ac:dyDescent="0.3">
      <c r="H35" s="5" t="s">
        <v>48</v>
      </c>
      <c r="I35" s="5">
        <f>SUM(I31:I34)</f>
        <v>13500000</v>
      </c>
      <c r="J35" s="40">
        <f t="shared" si="5"/>
        <v>0.27</v>
      </c>
      <c r="K35" s="5">
        <f>SUM(K31:K34)</f>
        <v>12400000</v>
      </c>
      <c r="L35" s="40">
        <f t="shared" si="8"/>
        <v>0.29969788519637464</v>
      </c>
      <c r="M35" s="40">
        <f t="shared" si="6"/>
        <v>8.8709677419354843E-2</v>
      </c>
      <c r="R35" s="17"/>
      <c r="S35" s="16"/>
      <c r="T35" s="16"/>
      <c r="U35" s="16"/>
      <c r="V35" s="16"/>
      <c r="W35" s="22"/>
      <c r="X35" s="32"/>
    </row>
    <row r="36" spans="1:24" ht="15" thickBot="1" x14ac:dyDescent="0.35">
      <c r="H36" t="s">
        <v>49</v>
      </c>
      <c r="I36" s="4">
        <f>I35+I29+I26</f>
        <v>50000000</v>
      </c>
      <c r="J36" s="40">
        <f t="shared" si="5"/>
        <v>1</v>
      </c>
      <c r="K36" s="4">
        <f>K35+K29+K26</f>
        <v>41375000</v>
      </c>
      <c r="L36" s="40">
        <f t="shared" si="8"/>
        <v>1</v>
      </c>
      <c r="M36" s="40">
        <f t="shared" si="6"/>
        <v>0.20845921450151059</v>
      </c>
      <c r="O36" s="7" t="s">
        <v>120</v>
      </c>
      <c r="R36" s="15" t="s">
        <v>88</v>
      </c>
      <c r="S36" s="16"/>
      <c r="T36" s="16"/>
      <c r="U36" s="16"/>
      <c r="V36" s="16"/>
      <c r="W36" s="22"/>
      <c r="X36" s="32"/>
    </row>
    <row r="37" spans="1:24" ht="15" thickTop="1" x14ac:dyDescent="0.3">
      <c r="R37" s="17" t="s">
        <v>132</v>
      </c>
      <c r="S37" s="20" t="s">
        <v>89</v>
      </c>
      <c r="T37" s="16"/>
      <c r="U37" s="16"/>
      <c r="V37" s="16"/>
      <c r="W37" s="24">
        <v>0.4</v>
      </c>
      <c r="X37" s="32"/>
    </row>
    <row r="38" spans="1:24" x14ac:dyDescent="0.3">
      <c r="R38" s="17"/>
      <c r="S38" s="16" t="s">
        <v>87</v>
      </c>
      <c r="T38" s="16"/>
      <c r="U38" s="16"/>
      <c r="V38" s="16"/>
      <c r="W38" s="22"/>
      <c r="X38" s="16"/>
    </row>
    <row r="39" spans="1:24" x14ac:dyDescent="0.3">
      <c r="R39" s="17"/>
      <c r="S39" s="16"/>
      <c r="T39" s="16"/>
      <c r="U39" s="16"/>
      <c r="V39" s="16"/>
      <c r="W39" s="22"/>
      <c r="X39" s="16"/>
    </row>
    <row r="40" spans="1:24" x14ac:dyDescent="0.3">
      <c r="H40" s="28"/>
      <c r="R40" s="17" t="s">
        <v>90</v>
      </c>
      <c r="S40" s="20" t="s">
        <v>134</v>
      </c>
      <c r="T40" s="16"/>
      <c r="U40" s="16"/>
      <c r="V40" s="16"/>
      <c r="W40" s="22">
        <v>6</v>
      </c>
      <c r="X40" s="33"/>
    </row>
    <row r="41" spans="1:24" x14ac:dyDescent="0.3">
      <c r="H41" s="28"/>
      <c r="I41" s="29"/>
      <c r="K41" s="29"/>
      <c r="R41" s="17" t="s">
        <v>133</v>
      </c>
      <c r="S41" s="16" t="s">
        <v>91</v>
      </c>
      <c r="T41" s="16"/>
      <c r="U41" s="16"/>
      <c r="V41" s="16"/>
      <c r="W41" s="22"/>
      <c r="X41" s="33"/>
    </row>
    <row r="42" spans="1:24" x14ac:dyDescent="0.3">
      <c r="R42" s="17"/>
      <c r="S42" s="16"/>
      <c r="T42" s="16"/>
      <c r="U42" s="16"/>
      <c r="V42" s="16"/>
      <c r="W42" s="22"/>
      <c r="X42" s="33"/>
    </row>
    <row r="43" spans="1:24" x14ac:dyDescent="0.3">
      <c r="R43" s="17"/>
      <c r="S43" s="16"/>
      <c r="T43" s="16"/>
      <c r="U43" s="16"/>
      <c r="V43" s="16"/>
      <c r="W43" s="22"/>
      <c r="X43" s="32"/>
    </row>
    <row r="44" spans="1:24" x14ac:dyDescent="0.3">
      <c r="R44" s="15" t="s">
        <v>92</v>
      </c>
      <c r="S44" s="16"/>
      <c r="T44" s="16"/>
      <c r="U44" s="16"/>
      <c r="V44" s="16"/>
      <c r="W44" s="22"/>
      <c r="X44" s="32"/>
    </row>
    <row r="45" spans="1:24" x14ac:dyDescent="0.3">
      <c r="R45" s="17" t="s">
        <v>93</v>
      </c>
      <c r="S45" s="20" t="s">
        <v>94</v>
      </c>
      <c r="T45" s="16"/>
      <c r="U45" s="16"/>
      <c r="V45" s="16"/>
      <c r="W45" s="24">
        <v>0.05</v>
      </c>
      <c r="X45" s="32"/>
    </row>
    <row r="46" spans="1:24" x14ac:dyDescent="0.3">
      <c r="R46" s="17"/>
      <c r="S46" s="16" t="s">
        <v>81</v>
      </c>
      <c r="T46" s="16"/>
      <c r="U46" s="16"/>
      <c r="V46" s="16"/>
      <c r="W46" s="22"/>
      <c r="X46" s="32"/>
    </row>
    <row r="47" spans="1:24" x14ac:dyDescent="0.3">
      <c r="R47" s="17"/>
      <c r="S47" s="16"/>
      <c r="T47" s="16"/>
      <c r="U47" s="16"/>
      <c r="V47" s="16"/>
      <c r="W47" s="21"/>
      <c r="X47" s="32"/>
    </row>
    <row r="48" spans="1:24" x14ac:dyDescent="0.3">
      <c r="R48" s="17" t="s">
        <v>95</v>
      </c>
      <c r="S48" s="20" t="s">
        <v>134</v>
      </c>
      <c r="T48" s="16"/>
      <c r="U48" s="16"/>
      <c r="V48" s="16"/>
      <c r="W48" s="24">
        <v>0.12</v>
      </c>
      <c r="X48" s="32"/>
    </row>
    <row r="49" spans="18:24" x14ac:dyDescent="0.3">
      <c r="R49" s="17"/>
      <c r="S49" s="16" t="s">
        <v>87</v>
      </c>
      <c r="T49" s="16"/>
      <c r="U49" s="16"/>
      <c r="V49" s="16"/>
      <c r="W49" s="21"/>
      <c r="X49" s="33"/>
    </row>
    <row r="50" spans="18:24" x14ac:dyDescent="0.3">
      <c r="R50" s="17"/>
      <c r="S50" s="16"/>
      <c r="T50" s="16"/>
      <c r="U50" s="16"/>
      <c r="V50" s="16"/>
      <c r="W50" s="21"/>
      <c r="X50" s="33"/>
    </row>
    <row r="51" spans="18:24" x14ac:dyDescent="0.3">
      <c r="R51" s="17" t="s">
        <v>96</v>
      </c>
      <c r="S51" s="20" t="s">
        <v>135</v>
      </c>
      <c r="T51" s="16"/>
      <c r="U51" s="16"/>
      <c r="V51" s="16"/>
      <c r="W51" s="24">
        <v>0.08</v>
      </c>
      <c r="X51" s="33"/>
    </row>
    <row r="52" spans="18:24" x14ac:dyDescent="0.3">
      <c r="R52" s="17"/>
      <c r="S52" s="16" t="s">
        <v>87</v>
      </c>
      <c r="T52" s="16"/>
      <c r="U52" s="16"/>
      <c r="V52" s="16"/>
      <c r="W52" s="21"/>
      <c r="X52" s="16"/>
    </row>
    <row r="53" spans="18:24" x14ac:dyDescent="0.3">
      <c r="R53" s="17"/>
      <c r="S53" s="16"/>
      <c r="T53" s="16"/>
      <c r="U53" s="16"/>
      <c r="V53" s="16"/>
      <c r="W53" s="21"/>
      <c r="X53" s="16"/>
    </row>
    <row r="54" spans="18:24" x14ac:dyDescent="0.3">
      <c r="R54" s="17" t="s">
        <v>97</v>
      </c>
      <c r="S54" s="20" t="s">
        <v>135</v>
      </c>
      <c r="T54" s="16"/>
      <c r="U54" s="16"/>
      <c r="V54" s="16"/>
      <c r="W54" s="24">
        <v>0.18</v>
      </c>
      <c r="X54" s="16"/>
    </row>
    <row r="55" spans="18:24" x14ac:dyDescent="0.3">
      <c r="R55" s="17" t="s">
        <v>98</v>
      </c>
      <c r="S55" s="16" t="s">
        <v>99</v>
      </c>
      <c r="T55" s="16"/>
      <c r="U55" s="16"/>
      <c r="V55" s="16"/>
      <c r="W55" s="21"/>
      <c r="X55" s="16"/>
    </row>
    <row r="56" spans="18:24" x14ac:dyDescent="0.3">
      <c r="R56" s="17"/>
      <c r="S56" s="16"/>
      <c r="T56" s="16"/>
      <c r="U56" s="16"/>
      <c r="V56" s="16"/>
      <c r="W56" s="21"/>
      <c r="X56" s="16"/>
    </row>
    <row r="57" spans="18:24" x14ac:dyDescent="0.3">
      <c r="R57" s="17"/>
      <c r="S57" s="16"/>
      <c r="T57" s="16"/>
      <c r="U57" s="16"/>
      <c r="V57" s="16"/>
      <c r="W57" s="21"/>
      <c r="X57" s="16"/>
    </row>
    <row r="58" spans="18:24" x14ac:dyDescent="0.3">
      <c r="R58" s="15" t="s">
        <v>100</v>
      </c>
      <c r="S58" s="16"/>
      <c r="T58" s="16"/>
      <c r="U58" s="16"/>
      <c r="V58" s="16"/>
      <c r="W58" s="21"/>
      <c r="X58" s="16"/>
    </row>
    <row r="59" spans="18:24" x14ac:dyDescent="0.3">
      <c r="R59" s="17" t="s">
        <v>101</v>
      </c>
      <c r="S59" s="20" t="s">
        <v>102</v>
      </c>
      <c r="T59" s="16"/>
      <c r="U59" s="16"/>
      <c r="V59" s="16"/>
      <c r="W59" s="22"/>
      <c r="X59" s="16"/>
    </row>
    <row r="60" spans="18:24" x14ac:dyDescent="0.3">
      <c r="R60" s="17"/>
      <c r="S60" s="16" t="s">
        <v>103</v>
      </c>
      <c r="T60" s="16"/>
      <c r="U60" s="16"/>
      <c r="V60" s="16"/>
      <c r="W60" s="22"/>
    </row>
    <row r="61" spans="18:24" x14ac:dyDescent="0.3">
      <c r="R61" s="17"/>
      <c r="S61" s="16"/>
      <c r="T61" s="16"/>
      <c r="U61" s="16"/>
      <c r="V61" s="16"/>
      <c r="W61" s="22"/>
    </row>
    <row r="62" spans="18:24" x14ac:dyDescent="0.3">
      <c r="R62" s="17" t="s">
        <v>104</v>
      </c>
      <c r="S62" s="20" t="s">
        <v>105</v>
      </c>
      <c r="T62" s="16"/>
      <c r="U62" s="16"/>
      <c r="V62" s="16"/>
      <c r="W62" s="22"/>
    </row>
    <row r="63" spans="18:24" x14ac:dyDescent="0.3">
      <c r="R63" s="17" t="s">
        <v>106</v>
      </c>
      <c r="S63" s="16" t="s">
        <v>107</v>
      </c>
      <c r="T63" s="16"/>
      <c r="U63" s="16"/>
      <c r="V63" s="16"/>
      <c r="W63" s="22"/>
    </row>
    <row r="64" spans="18:24" x14ac:dyDescent="0.3">
      <c r="R64" s="17"/>
      <c r="S64" s="16"/>
      <c r="T64" s="16"/>
      <c r="U64" s="16"/>
      <c r="V64" s="16"/>
      <c r="W64" s="16"/>
    </row>
  </sheetData>
  <pageMargins left="0.7" right="0.7" top="0.75" bottom="0.75" header="0.3" footer="0.3"/>
  <pageSetup scale="53" orientation="landscape" horizontalDpi="4294967293" r:id="rId1"/>
  <colBreaks count="1" manualBreakCount="1">
    <brk id="13" max="1048575"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7200C-6CF8-4602-817B-9847C2D39E20}">
  <sheetPr>
    <pageSetUpPr fitToPage="1"/>
  </sheetPr>
  <dimension ref="A1:L51"/>
  <sheetViews>
    <sheetView tabSelected="1" topLeftCell="A13" workbookViewId="0">
      <selection activeCell="G32" sqref="G32"/>
    </sheetView>
  </sheetViews>
  <sheetFormatPr baseColWidth="10" defaultColWidth="9.109375" defaultRowHeight="14.4" x14ac:dyDescent="0.3"/>
  <cols>
    <col min="1" max="1" width="12.109375" style="45" customWidth="1"/>
    <col min="2" max="2" width="9.109375" style="45" customWidth="1"/>
    <col min="3" max="3" width="14.6640625" style="45" customWidth="1"/>
    <col min="4" max="4" width="9.109375" style="45" customWidth="1"/>
    <col min="5" max="5" width="16.88671875" style="45" customWidth="1"/>
    <col min="6" max="6" width="9.109375" style="45" customWidth="1"/>
    <col min="7" max="7" width="17.109375" style="45" customWidth="1"/>
    <col min="8" max="8" width="9.109375" style="45" customWidth="1"/>
    <col min="9" max="9" width="20" style="45" customWidth="1"/>
    <col min="10" max="10" width="9.109375" style="45" customWidth="1"/>
    <col min="11" max="11" width="22.33203125" style="45" customWidth="1"/>
    <col min="12" max="16384" width="9.109375" style="45"/>
  </cols>
  <sheetData>
    <row r="1" spans="1:12" x14ac:dyDescent="0.3">
      <c r="A1" s="46"/>
      <c r="B1" s="46"/>
      <c r="C1" s="46"/>
      <c r="D1" s="46"/>
      <c r="E1" s="46"/>
      <c r="F1" s="46"/>
      <c r="G1" s="46"/>
      <c r="H1" s="46"/>
      <c r="I1" s="46"/>
      <c r="J1" s="46"/>
      <c r="K1" s="46"/>
      <c r="L1" s="46"/>
    </row>
    <row r="2" spans="1:12" ht="29.25" customHeight="1" x14ac:dyDescent="0.3">
      <c r="A2" s="46"/>
      <c r="B2" s="46"/>
      <c r="C2" s="65" t="s">
        <v>81</v>
      </c>
      <c r="D2" s="46"/>
      <c r="E2" s="46"/>
      <c r="F2" s="46"/>
      <c r="G2" s="46"/>
      <c r="H2" s="46"/>
      <c r="I2" s="46"/>
      <c r="J2" s="64"/>
      <c r="K2" s="46"/>
      <c r="L2" s="46"/>
    </row>
    <row r="3" spans="1:12" x14ac:dyDescent="0.3">
      <c r="A3" s="46"/>
      <c r="B3" s="46"/>
      <c r="C3" s="49">
        <f>SOLUCIÓN!B5</f>
        <v>30000000</v>
      </c>
      <c r="D3" s="46"/>
      <c r="E3" s="46"/>
      <c r="F3" s="46"/>
      <c r="G3" s="46"/>
      <c r="H3" s="46"/>
      <c r="I3" s="46"/>
      <c r="J3" s="64"/>
      <c r="K3" s="46"/>
      <c r="L3" s="46"/>
    </row>
    <row r="4" spans="1:12" x14ac:dyDescent="0.3">
      <c r="A4" s="46"/>
      <c r="B4" s="46"/>
      <c r="C4" s="54" t="s">
        <v>167</v>
      </c>
      <c r="D4" s="46"/>
      <c r="E4" s="46"/>
      <c r="F4" s="46"/>
      <c r="G4" s="46"/>
      <c r="H4" s="46"/>
      <c r="I4" s="46"/>
      <c r="J4" s="46"/>
      <c r="K4" s="46"/>
      <c r="L4" s="46"/>
    </row>
    <row r="5" spans="1:12" ht="28.5" customHeight="1" x14ac:dyDescent="0.3">
      <c r="A5" s="46"/>
      <c r="B5" s="46"/>
      <c r="C5" s="52" t="s">
        <v>117</v>
      </c>
      <c r="D5" s="46"/>
      <c r="E5" s="46"/>
      <c r="F5" s="46"/>
      <c r="G5" s="46"/>
      <c r="H5" s="46"/>
      <c r="I5" s="46"/>
      <c r="J5" s="46"/>
      <c r="K5" s="46"/>
      <c r="L5" s="46"/>
    </row>
    <row r="6" spans="1:12" ht="55.8" x14ac:dyDescent="0.3">
      <c r="A6" s="46"/>
      <c r="B6" s="46"/>
      <c r="C6" s="49">
        <f>SOLUCIÓN!B6</f>
        <v>21000000</v>
      </c>
      <c r="D6" s="46"/>
      <c r="E6" s="51" t="s">
        <v>17</v>
      </c>
      <c r="F6" s="46"/>
      <c r="G6" s="46"/>
      <c r="H6" s="46"/>
      <c r="I6" s="46"/>
      <c r="J6" s="46"/>
      <c r="K6" s="46"/>
      <c r="L6" s="46"/>
    </row>
    <row r="7" spans="1:12" ht="31.5" customHeight="1" x14ac:dyDescent="0.3">
      <c r="A7" s="46"/>
      <c r="B7" s="46"/>
      <c r="C7" s="54" t="s">
        <v>167</v>
      </c>
      <c r="D7" s="46"/>
      <c r="E7" s="63">
        <f>C3-C6-C10-C13-C16-C19</f>
        <v>1400000</v>
      </c>
      <c r="F7" s="46"/>
      <c r="G7" s="50" t="s">
        <v>172</v>
      </c>
      <c r="H7" s="46"/>
      <c r="I7" s="46"/>
      <c r="J7" s="46"/>
      <c r="K7" s="46"/>
      <c r="L7" s="46"/>
    </row>
    <row r="8" spans="1:12" x14ac:dyDescent="0.3">
      <c r="A8" s="46"/>
      <c r="B8" s="46"/>
      <c r="C8" s="54"/>
      <c r="D8" s="46"/>
      <c r="E8" s="62" t="s">
        <v>155</v>
      </c>
      <c r="F8" s="46"/>
      <c r="G8" s="61">
        <f>E7/E10</f>
        <v>4.6666666666666669E-2</v>
      </c>
      <c r="H8" s="46"/>
      <c r="I8" s="46"/>
      <c r="J8" s="46"/>
      <c r="K8" s="46"/>
      <c r="L8" s="46"/>
    </row>
    <row r="9" spans="1:12" ht="28.2" x14ac:dyDescent="0.3">
      <c r="A9" s="46"/>
      <c r="B9" s="46"/>
      <c r="C9" s="52" t="s">
        <v>171</v>
      </c>
      <c r="D9" s="46"/>
      <c r="E9" s="51" t="s">
        <v>81</v>
      </c>
      <c r="F9" s="46"/>
      <c r="G9" s="46"/>
      <c r="H9" s="46"/>
      <c r="I9" s="46"/>
      <c r="J9" s="46"/>
      <c r="K9" s="46"/>
      <c r="L9" s="46"/>
    </row>
    <row r="10" spans="1:12" x14ac:dyDescent="0.3">
      <c r="A10" s="46"/>
      <c r="B10" s="46"/>
      <c r="C10" s="60">
        <f>SOLUCIÓN!B13</f>
        <v>6000000</v>
      </c>
      <c r="D10" s="46"/>
      <c r="E10" s="48">
        <f>C3</f>
        <v>30000000</v>
      </c>
      <c r="F10" s="46"/>
      <c r="G10" s="46"/>
      <c r="H10" s="46"/>
      <c r="I10" s="46"/>
      <c r="J10" s="46"/>
      <c r="K10" s="46"/>
      <c r="L10" s="46"/>
    </row>
    <row r="11" spans="1:12" x14ac:dyDescent="0.3">
      <c r="A11" s="46"/>
      <c r="B11" s="46"/>
      <c r="C11" s="54" t="s">
        <v>167</v>
      </c>
      <c r="D11" s="46"/>
      <c r="E11" s="46"/>
      <c r="F11" s="46"/>
      <c r="G11" s="46"/>
      <c r="H11" s="46"/>
      <c r="I11" s="46"/>
      <c r="J11" s="46"/>
      <c r="K11" s="46"/>
      <c r="L11" s="46"/>
    </row>
    <row r="12" spans="1:12" ht="28.2" x14ac:dyDescent="0.3">
      <c r="A12" s="56" t="s">
        <v>0</v>
      </c>
      <c r="B12" s="46"/>
      <c r="C12" s="52" t="s">
        <v>170</v>
      </c>
      <c r="D12" s="46"/>
      <c r="E12" s="46"/>
      <c r="F12" s="46"/>
      <c r="G12" s="46"/>
      <c r="H12" s="46"/>
      <c r="I12" s="46"/>
      <c r="J12" s="46"/>
      <c r="K12" s="46"/>
      <c r="L12" s="46"/>
    </row>
    <row r="13" spans="1:12" x14ac:dyDescent="0.3">
      <c r="A13" s="46"/>
      <c r="B13" s="46"/>
      <c r="C13" s="49">
        <f>SOLUCIÓN!B12</f>
        <v>1000000</v>
      </c>
      <c r="D13" s="46"/>
      <c r="E13" s="46"/>
      <c r="F13" s="46"/>
      <c r="G13" s="46"/>
      <c r="H13" s="46"/>
      <c r="I13" s="46"/>
      <c r="J13" s="46"/>
      <c r="K13" s="46"/>
      <c r="L13" s="46"/>
    </row>
    <row r="14" spans="1:12" x14ac:dyDescent="0.3">
      <c r="A14" s="46"/>
      <c r="B14" s="46"/>
      <c r="C14" s="54" t="s">
        <v>167</v>
      </c>
      <c r="D14" s="46"/>
      <c r="E14" s="46"/>
      <c r="F14" s="46"/>
      <c r="G14" s="46"/>
      <c r="H14" s="46"/>
      <c r="I14" s="46"/>
      <c r="J14" s="46"/>
      <c r="K14" s="46"/>
      <c r="L14" s="46"/>
    </row>
    <row r="15" spans="1:12" x14ac:dyDescent="0.3">
      <c r="A15" s="46"/>
      <c r="B15" s="46"/>
      <c r="C15" s="52" t="s">
        <v>169</v>
      </c>
      <c r="D15" s="46"/>
      <c r="E15" s="46"/>
      <c r="F15" s="46"/>
      <c r="G15" s="46"/>
      <c r="H15" s="46"/>
      <c r="I15" s="46"/>
      <c r="J15" s="46"/>
      <c r="K15" s="46"/>
      <c r="L15" s="46"/>
    </row>
    <row r="16" spans="1:12" ht="42" x14ac:dyDescent="0.3">
      <c r="A16" s="46"/>
      <c r="B16" s="46"/>
      <c r="C16" s="60">
        <f>SOLUCIÓN!B17</f>
        <v>500000</v>
      </c>
      <c r="D16" s="46"/>
      <c r="E16" s="46"/>
      <c r="F16" s="46"/>
      <c r="G16" s="59" t="s">
        <v>163</v>
      </c>
      <c r="H16" s="46"/>
      <c r="I16" s="55" t="s">
        <v>168</v>
      </c>
      <c r="J16" s="46"/>
      <c r="K16" s="46"/>
      <c r="L16" s="46"/>
    </row>
    <row r="17" spans="1:12" x14ac:dyDescent="0.3">
      <c r="A17" s="46"/>
      <c r="B17" s="46"/>
      <c r="C17" s="54" t="s">
        <v>167</v>
      </c>
      <c r="D17" s="46"/>
      <c r="E17" s="46"/>
      <c r="F17" s="46"/>
      <c r="G17" s="46"/>
      <c r="H17" s="46"/>
      <c r="I17" s="57">
        <f>G8*G23</f>
        <v>2.8000000000000001E-2</v>
      </c>
      <c r="J17" s="46"/>
      <c r="K17" s="46"/>
      <c r="L17" s="46"/>
    </row>
    <row r="18" spans="1:12" ht="42" x14ac:dyDescent="0.3">
      <c r="A18" s="46"/>
      <c r="B18" s="46"/>
      <c r="C18" s="52" t="s">
        <v>166</v>
      </c>
      <c r="D18" s="46"/>
      <c r="E18" s="46"/>
      <c r="F18" s="46"/>
      <c r="G18" s="46"/>
      <c r="H18" s="46"/>
      <c r="I18" s="46"/>
      <c r="J18" s="46"/>
      <c r="K18" s="46"/>
      <c r="L18" s="46"/>
    </row>
    <row r="19" spans="1:12" x14ac:dyDescent="0.3">
      <c r="A19" s="46"/>
      <c r="B19" s="46"/>
      <c r="C19" s="49">
        <f>SOLUCIÓN!B19</f>
        <v>100000</v>
      </c>
      <c r="D19" s="46"/>
      <c r="E19" s="46"/>
      <c r="F19" s="46"/>
      <c r="G19" s="46"/>
      <c r="H19" s="46"/>
      <c r="I19" s="46"/>
      <c r="J19" s="46"/>
      <c r="K19" s="46"/>
      <c r="L19" s="46"/>
    </row>
    <row r="20" spans="1:12" x14ac:dyDescent="0.3">
      <c r="A20" s="46"/>
      <c r="B20" s="46"/>
      <c r="C20" s="46"/>
      <c r="D20" s="46"/>
      <c r="E20" s="46"/>
      <c r="F20" s="46"/>
      <c r="G20" s="46"/>
      <c r="H20" s="46"/>
      <c r="I20" s="46"/>
      <c r="J20" s="46"/>
      <c r="K20" s="46"/>
      <c r="L20" s="46"/>
    </row>
    <row r="21" spans="1:12" ht="28.2" x14ac:dyDescent="0.3">
      <c r="A21" s="46"/>
      <c r="B21" s="46"/>
      <c r="C21" s="52" t="s">
        <v>165</v>
      </c>
      <c r="D21" s="46"/>
      <c r="E21" s="51" t="s">
        <v>81</v>
      </c>
      <c r="F21" s="46"/>
      <c r="G21" s="46"/>
      <c r="H21" s="46"/>
      <c r="I21" s="46"/>
      <c r="J21" s="46"/>
      <c r="K21" s="46"/>
      <c r="L21" s="46"/>
    </row>
    <row r="22" spans="1:12" ht="35.25" customHeight="1" x14ac:dyDescent="0.3">
      <c r="A22" s="46"/>
      <c r="B22" s="46"/>
      <c r="C22" s="49">
        <f>SOLUCIÓN!I11</f>
        <v>23500000</v>
      </c>
      <c r="D22" s="46"/>
      <c r="E22" s="48">
        <f>C3</f>
        <v>30000000</v>
      </c>
      <c r="F22" s="46"/>
      <c r="G22" s="50" t="s">
        <v>164</v>
      </c>
      <c r="H22" s="46"/>
      <c r="I22" s="59" t="s">
        <v>163</v>
      </c>
      <c r="J22" s="46"/>
      <c r="K22" s="55" t="s">
        <v>162</v>
      </c>
      <c r="L22" s="46"/>
    </row>
    <row r="23" spans="1:12" x14ac:dyDescent="0.3">
      <c r="A23" s="46"/>
      <c r="B23" s="46"/>
      <c r="C23" s="54" t="s">
        <v>156</v>
      </c>
      <c r="D23" s="46"/>
      <c r="E23" s="54" t="s">
        <v>155</v>
      </c>
      <c r="F23" s="46"/>
      <c r="G23" s="58">
        <f>E22/E25</f>
        <v>0.6</v>
      </c>
      <c r="H23" s="46"/>
      <c r="I23" s="46"/>
      <c r="J23" s="46"/>
      <c r="K23" s="57">
        <f>I17*I29</f>
        <v>4.2000000000000003E-2</v>
      </c>
      <c r="L23" s="46"/>
    </row>
    <row r="24" spans="1:12" ht="28.2" x14ac:dyDescent="0.3">
      <c r="A24" s="46"/>
      <c r="B24" s="46"/>
      <c r="C24" s="52" t="s">
        <v>85</v>
      </c>
      <c r="D24" s="46"/>
      <c r="E24" s="51" t="s">
        <v>161</v>
      </c>
      <c r="F24" s="46"/>
      <c r="G24" s="46"/>
      <c r="H24" s="46"/>
      <c r="I24" s="46"/>
      <c r="J24" s="46"/>
      <c r="K24" s="46">
        <v>12.73</v>
      </c>
      <c r="L24" s="46"/>
    </row>
    <row r="25" spans="1:12" x14ac:dyDescent="0.3">
      <c r="A25" s="46"/>
      <c r="B25" s="46"/>
      <c r="C25" s="49">
        <f>SOLUCIÓN!I18</f>
        <v>26500000</v>
      </c>
      <c r="D25" s="46"/>
      <c r="E25" s="48">
        <f>C22+C25</f>
        <v>50000000</v>
      </c>
      <c r="F25" s="46"/>
      <c r="G25" s="46"/>
      <c r="H25" s="46"/>
      <c r="I25" s="46"/>
      <c r="J25" s="46"/>
      <c r="K25" s="46"/>
      <c r="L25" s="46"/>
    </row>
    <row r="26" spans="1:12" x14ac:dyDescent="0.3">
      <c r="A26" s="46"/>
      <c r="B26" s="46"/>
      <c r="C26" s="46"/>
      <c r="D26" s="46"/>
      <c r="E26" s="46"/>
      <c r="F26" s="46"/>
      <c r="G26" s="46"/>
      <c r="H26" s="46"/>
      <c r="I26" s="46"/>
      <c r="J26" s="46"/>
      <c r="K26" s="46"/>
      <c r="L26" s="46"/>
    </row>
    <row r="27" spans="1:12" ht="42" x14ac:dyDescent="0.3">
      <c r="A27" s="56" t="s">
        <v>18</v>
      </c>
      <c r="B27" s="46"/>
      <c r="C27" s="52" t="s">
        <v>160</v>
      </c>
      <c r="D27" s="46"/>
      <c r="E27" s="51" t="s">
        <v>159</v>
      </c>
      <c r="F27" s="46"/>
      <c r="G27" s="50" t="s">
        <v>158</v>
      </c>
      <c r="H27" s="46"/>
      <c r="I27" s="46"/>
      <c r="J27" s="46"/>
      <c r="K27" s="46"/>
      <c r="L27" s="46"/>
    </row>
    <row r="28" spans="1:12" ht="42" x14ac:dyDescent="0.3">
      <c r="A28" s="46"/>
      <c r="B28" s="46"/>
      <c r="C28" s="49">
        <f>SOLUCIÓN!I26</f>
        <v>16500000</v>
      </c>
      <c r="D28" s="46"/>
      <c r="E28" s="48">
        <f>C28+C31</f>
        <v>16500000</v>
      </c>
      <c r="F28" s="46"/>
      <c r="G28" s="47">
        <f>E28+E31</f>
        <v>16500000</v>
      </c>
      <c r="H28" s="46"/>
      <c r="I28" s="55" t="s">
        <v>157</v>
      </c>
      <c r="J28" s="46"/>
      <c r="K28" s="46"/>
      <c r="L28" s="46"/>
    </row>
    <row r="29" spans="1:12" x14ac:dyDescent="0.3">
      <c r="A29" s="46"/>
      <c r="B29" s="46"/>
      <c r="C29" s="54" t="s">
        <v>156</v>
      </c>
      <c r="D29" s="46"/>
      <c r="E29" s="54" t="s">
        <v>156</v>
      </c>
      <c r="F29" s="46"/>
      <c r="G29" s="54" t="s">
        <v>155</v>
      </c>
      <c r="H29" s="46"/>
      <c r="I29" s="53">
        <f>G28/G31</f>
        <v>1.5</v>
      </c>
      <c r="J29" s="46"/>
      <c r="K29" s="46"/>
      <c r="L29" s="46"/>
    </row>
    <row r="30" spans="1:12" ht="42" x14ac:dyDescent="0.3">
      <c r="A30" s="46"/>
      <c r="B30" s="46"/>
      <c r="C30" s="52" t="s">
        <v>154</v>
      </c>
      <c r="D30" s="46"/>
      <c r="E30" s="51" t="s">
        <v>153</v>
      </c>
      <c r="F30" s="46"/>
      <c r="G30" s="50" t="s">
        <v>152</v>
      </c>
      <c r="H30" s="46"/>
      <c r="I30" s="46"/>
      <c r="J30" s="46"/>
      <c r="K30" s="46"/>
      <c r="L30" s="46"/>
    </row>
    <row r="31" spans="1:12" x14ac:dyDescent="0.3">
      <c r="A31" s="46"/>
      <c r="B31" s="46"/>
      <c r="C31" s="49"/>
      <c r="D31" s="46"/>
      <c r="E31" s="48"/>
      <c r="F31" s="46"/>
      <c r="G31" s="47">
        <f>SOLUCIÓN!I39</f>
        <v>11000000</v>
      </c>
      <c r="H31" s="46"/>
      <c r="I31" s="46"/>
      <c r="J31" s="46"/>
      <c r="K31" s="46"/>
      <c r="L31" s="46"/>
    </row>
    <row r="32" spans="1:12" x14ac:dyDescent="0.3">
      <c r="A32" s="46"/>
      <c r="B32" s="46"/>
      <c r="C32" s="46"/>
      <c r="D32" s="46"/>
      <c r="E32" s="46"/>
      <c r="F32" s="46"/>
      <c r="G32" s="46"/>
      <c r="H32" s="46"/>
      <c r="I32" s="46"/>
      <c r="J32" s="46"/>
      <c r="K32" s="46"/>
      <c r="L32" s="46"/>
    </row>
    <row r="33" spans="1:12" x14ac:dyDescent="0.3">
      <c r="A33" s="46"/>
      <c r="B33" s="46"/>
      <c r="C33" s="46"/>
      <c r="D33" s="46"/>
      <c r="E33" s="46"/>
      <c r="F33" s="46"/>
      <c r="G33" s="66">
        <f>SOLUCIÓN!I38</f>
        <v>0</v>
      </c>
      <c r="H33" s="46"/>
      <c r="I33" s="46"/>
      <c r="J33" s="46"/>
      <c r="K33" s="46"/>
      <c r="L33" s="46"/>
    </row>
    <row r="34" spans="1:12" x14ac:dyDescent="0.3">
      <c r="A34" s="46"/>
      <c r="B34" s="46"/>
      <c r="C34" s="46"/>
      <c r="D34" s="46"/>
      <c r="E34" s="46"/>
      <c r="F34" s="46"/>
      <c r="G34" s="46"/>
      <c r="H34" s="46"/>
      <c r="I34" s="46"/>
      <c r="J34" s="46"/>
      <c r="K34" s="46"/>
      <c r="L34" s="46"/>
    </row>
    <row r="35" spans="1:12" x14ac:dyDescent="0.3">
      <c r="A35" s="46"/>
      <c r="B35" s="46"/>
      <c r="C35" s="46"/>
      <c r="D35" s="46"/>
      <c r="E35" s="46"/>
      <c r="F35" s="46"/>
      <c r="G35" s="46"/>
      <c r="H35" s="46"/>
      <c r="I35" s="46"/>
      <c r="J35" s="46"/>
      <c r="K35" s="46"/>
      <c r="L35" s="46"/>
    </row>
    <row r="36" spans="1:12" x14ac:dyDescent="0.3">
      <c r="A36" s="46"/>
      <c r="B36" s="46"/>
      <c r="C36" s="46"/>
      <c r="D36" s="46"/>
      <c r="E36" s="46"/>
      <c r="F36" s="46"/>
      <c r="G36" s="46"/>
      <c r="H36" s="46"/>
      <c r="I36" s="46"/>
      <c r="J36" s="46"/>
      <c r="K36" s="46"/>
      <c r="L36" s="46"/>
    </row>
    <row r="37" spans="1:12" x14ac:dyDescent="0.3">
      <c r="A37" s="46"/>
      <c r="B37" s="46"/>
      <c r="C37" s="46"/>
      <c r="D37" s="46"/>
      <c r="E37" s="46"/>
      <c r="F37" s="46"/>
      <c r="G37" s="46"/>
      <c r="H37" s="46"/>
      <c r="I37" s="46"/>
      <c r="J37" s="46"/>
      <c r="K37" s="46"/>
      <c r="L37" s="46"/>
    </row>
    <row r="38" spans="1:12" x14ac:dyDescent="0.3">
      <c r="A38" s="46"/>
      <c r="B38" s="46"/>
      <c r="C38" s="46"/>
      <c r="D38" s="46"/>
      <c r="E38" s="46"/>
      <c r="F38" s="46"/>
      <c r="G38" s="46"/>
      <c r="H38" s="46"/>
      <c r="I38" s="46"/>
      <c r="J38" s="46"/>
      <c r="K38" s="46"/>
      <c r="L38" s="46"/>
    </row>
    <row r="39" spans="1:12" x14ac:dyDescent="0.3">
      <c r="A39" s="46"/>
      <c r="B39" s="46"/>
      <c r="C39" s="46"/>
      <c r="D39" s="46"/>
      <c r="E39" s="46"/>
      <c r="F39" s="46"/>
      <c r="G39" s="46"/>
      <c r="H39" s="46"/>
      <c r="I39" s="46"/>
      <c r="J39" s="46"/>
      <c r="K39" s="46"/>
      <c r="L39" s="46"/>
    </row>
    <row r="40" spans="1:12" x14ac:dyDescent="0.3">
      <c r="A40" s="46"/>
      <c r="B40" s="46"/>
      <c r="C40" s="46"/>
      <c r="D40" s="46"/>
      <c r="E40" s="46"/>
      <c r="F40" s="46"/>
      <c r="G40" s="46"/>
      <c r="H40" s="46"/>
      <c r="I40" s="46"/>
      <c r="J40" s="46"/>
      <c r="K40" s="46"/>
      <c r="L40" s="46"/>
    </row>
    <row r="41" spans="1:12" x14ac:dyDescent="0.3">
      <c r="A41" s="46"/>
      <c r="B41" s="46"/>
      <c r="C41" s="46"/>
      <c r="D41" s="46"/>
      <c r="E41" s="46"/>
      <c r="F41" s="46"/>
      <c r="G41" s="46"/>
      <c r="H41" s="46"/>
      <c r="I41" s="46"/>
      <c r="J41" s="46"/>
      <c r="K41" s="46"/>
      <c r="L41" s="46"/>
    </row>
    <row r="42" spans="1:12" x14ac:dyDescent="0.3">
      <c r="A42" s="46"/>
      <c r="B42" s="46"/>
      <c r="C42" s="46"/>
      <c r="D42" s="46"/>
      <c r="E42" s="46"/>
      <c r="F42" s="46"/>
      <c r="G42" s="46"/>
      <c r="H42" s="46"/>
      <c r="I42" s="46"/>
      <c r="J42" s="46"/>
      <c r="K42" s="46"/>
      <c r="L42" s="46"/>
    </row>
    <row r="43" spans="1:12" x14ac:dyDescent="0.3">
      <c r="A43" s="46"/>
      <c r="B43" s="46"/>
      <c r="C43" s="46"/>
      <c r="D43" s="46"/>
      <c r="E43" s="46"/>
      <c r="F43" s="46"/>
      <c r="G43" s="46"/>
      <c r="H43" s="46"/>
      <c r="I43" s="46"/>
      <c r="J43" s="46"/>
      <c r="K43" s="46"/>
      <c r="L43" s="46"/>
    </row>
    <row r="44" spans="1:12" x14ac:dyDescent="0.3">
      <c r="A44" s="46"/>
      <c r="B44" s="46"/>
      <c r="C44" s="46"/>
      <c r="D44" s="46"/>
      <c r="E44" s="46"/>
      <c r="F44" s="46"/>
      <c r="G44" s="46"/>
      <c r="H44" s="46"/>
      <c r="I44" s="46"/>
      <c r="J44" s="46"/>
      <c r="K44" s="46"/>
      <c r="L44" s="46"/>
    </row>
    <row r="45" spans="1:12" x14ac:dyDescent="0.3">
      <c r="A45" s="46"/>
      <c r="B45" s="46"/>
      <c r="C45" s="46"/>
      <c r="D45" s="46"/>
      <c r="E45" s="46"/>
      <c r="F45" s="46"/>
      <c r="G45" s="46"/>
      <c r="H45" s="46"/>
      <c r="I45" s="46"/>
      <c r="J45" s="46"/>
      <c r="K45" s="46"/>
      <c r="L45" s="46"/>
    </row>
    <row r="46" spans="1:12" x14ac:dyDescent="0.3">
      <c r="A46" s="46"/>
      <c r="B46" s="46"/>
      <c r="C46" s="46"/>
      <c r="D46" s="46"/>
      <c r="E46" s="46"/>
      <c r="F46" s="46"/>
      <c r="G46" s="46"/>
      <c r="H46" s="46"/>
      <c r="I46" s="46"/>
      <c r="J46" s="46"/>
      <c r="K46" s="46"/>
      <c r="L46" s="46"/>
    </row>
    <row r="47" spans="1:12" x14ac:dyDescent="0.3">
      <c r="A47" s="46"/>
      <c r="B47" s="46"/>
      <c r="C47" s="46"/>
      <c r="D47" s="46"/>
      <c r="E47" s="46"/>
      <c r="F47" s="46"/>
      <c r="G47" s="46"/>
      <c r="H47" s="46"/>
      <c r="I47" s="46"/>
      <c r="J47" s="46"/>
      <c r="K47" s="46"/>
      <c r="L47" s="46"/>
    </row>
    <row r="48" spans="1:12" x14ac:dyDescent="0.3">
      <c r="A48" s="46"/>
      <c r="B48" s="46"/>
      <c r="C48" s="46"/>
      <c r="D48" s="46"/>
      <c r="E48" s="46"/>
      <c r="F48" s="46"/>
      <c r="G48" s="46"/>
      <c r="H48" s="46"/>
      <c r="I48" s="46"/>
      <c r="J48" s="46"/>
      <c r="K48" s="46"/>
      <c r="L48" s="46"/>
    </row>
    <row r="49" spans="1:12" x14ac:dyDescent="0.3">
      <c r="A49" s="46"/>
      <c r="B49" s="46"/>
      <c r="C49" s="46"/>
      <c r="D49" s="46"/>
      <c r="E49" s="46"/>
      <c r="F49" s="46"/>
      <c r="G49" s="46"/>
      <c r="H49" s="46"/>
      <c r="I49" s="46"/>
      <c r="J49" s="46"/>
      <c r="K49" s="46"/>
      <c r="L49" s="46"/>
    </row>
    <row r="50" spans="1:12" x14ac:dyDescent="0.3">
      <c r="A50" s="46"/>
      <c r="B50" s="46"/>
      <c r="C50" s="46"/>
      <c r="D50" s="46"/>
      <c r="E50" s="46"/>
      <c r="F50" s="46"/>
      <c r="G50" s="46"/>
      <c r="H50" s="46"/>
      <c r="I50" s="46"/>
      <c r="J50" s="46"/>
      <c r="K50" s="46"/>
      <c r="L50" s="46"/>
    </row>
    <row r="51" spans="1:12" x14ac:dyDescent="0.3">
      <c r="A51" s="46"/>
      <c r="B51" s="46"/>
      <c r="C51" s="46"/>
      <c r="D51" s="46"/>
      <c r="E51" s="46"/>
      <c r="F51" s="46"/>
      <c r="G51" s="46"/>
      <c r="H51" s="46"/>
      <c r="I51" s="46"/>
      <c r="J51" s="46"/>
      <c r="K51" s="46"/>
      <c r="L51" s="46"/>
    </row>
  </sheetData>
  <pageMargins left="0.7" right="0.7" top="0.75" bottom="0.75" header="0.3" footer="0.3"/>
  <pageSetup scale="6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DATOS</vt:lpstr>
      <vt:lpstr>SOLUCIÓN</vt:lpstr>
      <vt:lpstr>RAZONES</vt:lpstr>
      <vt:lpstr>MATRIZ DUPONT</vt:lpstr>
      <vt:lpstr>'MATRIZ DUPONT'!Área_de_impresión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paz</dc:creator>
  <cp:lastModifiedBy>Julio Ruiz Coto</cp:lastModifiedBy>
  <cp:lastPrinted>2020-01-30T17:17:48Z</cp:lastPrinted>
  <dcterms:created xsi:type="dcterms:W3CDTF">2013-02-05T19:54:18Z</dcterms:created>
  <dcterms:modified xsi:type="dcterms:W3CDTF">2024-02-02T01:14:51Z</dcterms:modified>
</cp:coreProperties>
</file>