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arlo\Documents\University\URL\Fourth Year\8S\C\FMMA\Tests\1\G\"/>
    </mc:Choice>
  </mc:AlternateContent>
  <xr:revisionPtr revIDLastSave="0" documentId="8_{2FC54F57-5107-48EB-B0E6-206D77049724}" xr6:coauthVersionLast="47" xr6:coauthVersionMax="47" xr10:uidLastSave="{00000000-0000-0000-0000-000000000000}"/>
  <bookViews>
    <workbookView xWindow="-108" yWindow="-108" windowWidth="23256" windowHeight="12576" xr2:uid="{CD84DCD0-8714-4A93-A4CF-DCE0F943E218}"/>
  </bookViews>
  <sheets>
    <sheet name="Integrantes" sheetId="3" r:id="rId1"/>
    <sheet name="Caso 1" sheetId="1" r:id="rId2"/>
    <sheet name="Clasificación" sheetId="7" r:id="rId3"/>
    <sheet name="Estado Resultados C1" sheetId="4" r:id="rId4"/>
    <sheet name="Balance General C1" sheetId="5" r:id="rId5"/>
    <sheet name="Razones Fin. C1" sheetId="6" r:id="rId6"/>
    <sheet name="Recomendaciones C1" sheetId="14" r:id="rId7"/>
    <sheet name="Caso 2" sheetId="13" r:id="rId8"/>
    <sheet name="ER y BG % C2" sheetId="2" r:id="rId9"/>
    <sheet name="Estado UR C2" sheetId="8" r:id="rId10"/>
    <sheet name="Flujo de efectivo C2" sheetId="10" r:id="rId11"/>
  </sheets>
  <definedNames>
    <definedName name="_xlnm._FilterDatabase" localSheetId="2" hidden="1">Clasificación!$B$2:$F$20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7" l="1"/>
  <c r="C33" i="6"/>
  <c r="C41" i="10" l="1"/>
  <c r="C65" i="6"/>
  <c r="C19" i="6" l="1"/>
  <c r="C9" i="10"/>
  <c r="C30" i="6"/>
  <c r="C27" i="6"/>
  <c r="C25" i="6"/>
  <c r="D11" i="13" l="1"/>
  <c r="D12" i="13"/>
  <c r="D15" i="13"/>
  <c r="D23" i="13" s="1"/>
  <c r="D25" i="13" s="1"/>
  <c r="D16" i="13"/>
  <c r="G16" i="13"/>
  <c r="H16" i="13"/>
  <c r="G18" i="13"/>
  <c r="H18" i="13"/>
  <c r="D20" i="13"/>
  <c r="G28" i="13"/>
  <c r="H28" i="13"/>
  <c r="G32" i="13"/>
  <c r="G38" i="13" s="1"/>
  <c r="H32" i="13"/>
  <c r="H38" i="13" s="1"/>
  <c r="G37" i="13"/>
  <c r="H37" i="13"/>
  <c r="C11" i="6" l="1"/>
  <c r="C8" i="6"/>
  <c r="C5" i="6"/>
  <c r="D8" i="4" l="1"/>
  <c r="C14" i="6" s="1"/>
  <c r="C16" i="6" s="1"/>
  <c r="C29" i="5"/>
  <c r="C21" i="7"/>
  <c r="D21" i="7"/>
  <c r="C28" i="5"/>
  <c r="C35" i="5"/>
  <c r="C14" i="5"/>
  <c r="H8" i="2"/>
  <c r="G57" i="2"/>
  <c r="G58" i="2"/>
  <c r="G55" i="2"/>
  <c r="G54" i="2"/>
  <c r="G53" i="2"/>
  <c r="G50" i="2"/>
  <c r="G49" i="2"/>
  <c r="G46" i="2"/>
  <c r="G60" i="2"/>
  <c r="G45" i="2"/>
  <c r="H9" i="2"/>
  <c r="H10" i="2"/>
  <c r="H11" i="2"/>
  <c r="H12" i="2"/>
  <c r="H13" i="2"/>
  <c r="H14" i="2"/>
  <c r="H16" i="2"/>
  <c r="H22" i="2"/>
  <c r="H23" i="2"/>
  <c r="H24" i="2"/>
  <c r="H25" i="2"/>
  <c r="H26" i="2"/>
  <c r="H30" i="2"/>
  <c r="H33" i="2"/>
  <c r="H34" i="2"/>
  <c r="H35" i="2"/>
  <c r="C21" i="5" l="1"/>
  <c r="D10" i="4"/>
  <c r="J10" i="2"/>
  <c r="C11" i="10" s="1"/>
  <c r="J11" i="2"/>
  <c r="C12" i="10" s="1"/>
  <c r="J12" i="2"/>
  <c r="C27" i="10" s="1"/>
  <c r="J13" i="2"/>
  <c r="C13" i="10" s="1"/>
  <c r="J14" i="2"/>
  <c r="C14" i="10" s="1"/>
  <c r="J16" i="2"/>
  <c r="C26" i="10" s="1"/>
  <c r="J22" i="2"/>
  <c r="C35" i="10" s="1"/>
  <c r="J23" i="2"/>
  <c r="C15" i="10" s="1"/>
  <c r="J24" i="2"/>
  <c r="C24" i="10" s="1"/>
  <c r="J25" i="2"/>
  <c r="C16" i="10" s="1"/>
  <c r="J26" i="2"/>
  <c r="C17" i="10" s="1"/>
  <c r="J29" i="2"/>
  <c r="C32" i="10" s="1"/>
  <c r="J30" i="2"/>
  <c r="C25" i="10" s="1"/>
  <c r="J33" i="2"/>
  <c r="C33" i="10" s="1"/>
  <c r="J34" i="2"/>
  <c r="C34" i="10" s="1"/>
  <c r="J35" i="2"/>
  <c r="C10" i="8" s="1"/>
  <c r="C36" i="10" s="1"/>
  <c r="J9" i="2"/>
  <c r="C23" i="10" s="1"/>
  <c r="J8" i="2"/>
  <c r="C32" i="5"/>
  <c r="C7" i="8"/>
  <c r="C9" i="8" s="1"/>
  <c r="C11" i="8" s="1"/>
  <c r="F56" i="2"/>
  <c r="G56" i="2" s="1"/>
  <c r="F52" i="2"/>
  <c r="G52" i="2" s="1"/>
  <c r="D21" i="4"/>
  <c r="F48" i="2"/>
  <c r="G48" i="2" s="1"/>
  <c r="F47" i="2"/>
  <c r="F36" i="2"/>
  <c r="D36" i="2"/>
  <c r="H36" i="2" s="1"/>
  <c r="F27" i="2"/>
  <c r="D27" i="2"/>
  <c r="G7" i="4"/>
  <c r="F15" i="2"/>
  <c r="D15" i="2"/>
  <c r="H15" i="2" s="1"/>
  <c r="H27" i="2" l="1"/>
  <c r="C37" i="10"/>
  <c r="C28" i="10"/>
  <c r="D9" i="4"/>
  <c r="F51" i="2"/>
  <c r="G47" i="2"/>
  <c r="F17" i="2"/>
  <c r="G36" i="2" s="1"/>
  <c r="F31" i="2"/>
  <c r="G31" i="2" s="1"/>
  <c r="G27" i="2"/>
  <c r="J36" i="2"/>
  <c r="D17" i="2"/>
  <c r="J15" i="2"/>
  <c r="D31" i="2"/>
  <c r="H31" i="2" s="1"/>
  <c r="J27" i="2"/>
  <c r="C22" i="5"/>
  <c r="G15" i="2" l="1"/>
  <c r="F37" i="2"/>
  <c r="G37" i="2" s="1"/>
  <c r="H17" i="2"/>
  <c r="E8" i="2"/>
  <c r="G26" i="2"/>
  <c r="G22" i="2"/>
  <c r="D37" i="2"/>
  <c r="H37" i="2" s="1"/>
  <c r="D16" i="4"/>
  <c r="C37" i="6"/>
  <c r="F59" i="2"/>
  <c r="G51" i="2"/>
  <c r="J37" i="2"/>
  <c r="E37" i="2"/>
  <c r="J31" i="2"/>
  <c r="E31" i="2"/>
  <c r="J17" i="2"/>
  <c r="E23" i="2"/>
  <c r="E24" i="2"/>
  <c r="E25" i="2"/>
  <c r="E26" i="2"/>
  <c r="E29" i="2"/>
  <c r="E30" i="2"/>
  <c r="E33" i="2"/>
  <c r="E34" i="2"/>
  <c r="E35" i="2"/>
  <c r="E22" i="2"/>
  <c r="E9" i="2"/>
  <c r="E10" i="2"/>
  <c r="E11" i="2"/>
  <c r="E12" i="2"/>
  <c r="E13" i="2"/>
  <c r="E14" i="2"/>
  <c r="E16" i="2"/>
  <c r="E17" i="2"/>
  <c r="E15" i="2"/>
  <c r="E27" i="2"/>
  <c r="E36" i="2"/>
  <c r="G29" i="2"/>
  <c r="G23" i="2"/>
  <c r="G24" i="2"/>
  <c r="G25" i="2"/>
  <c r="G30" i="2"/>
  <c r="G33" i="2"/>
  <c r="G34" i="2"/>
  <c r="G35" i="2"/>
  <c r="G9" i="2"/>
  <c r="G10" i="2"/>
  <c r="G11" i="2"/>
  <c r="G12" i="2"/>
  <c r="G13" i="2"/>
  <c r="G14" i="2"/>
  <c r="G16" i="2"/>
  <c r="G17" i="2"/>
  <c r="G8" i="2"/>
  <c r="D18" i="4" l="1"/>
  <c r="D19" i="4" s="1"/>
  <c r="D20" i="4" s="1"/>
  <c r="C43" i="6"/>
  <c r="C39" i="6"/>
  <c r="F61" i="2"/>
  <c r="G59" i="2"/>
  <c r="C8" i="10" l="1"/>
  <c r="C18" i="10" s="1"/>
  <c r="C40" i="10" s="1"/>
  <c r="C42" i="10" s="1"/>
  <c r="G61" i="2"/>
  <c r="C41" i="6"/>
  <c r="C51" i="6"/>
  <c r="C55" i="6" s="1"/>
  <c r="C45" i="6"/>
  <c r="D22" i="4"/>
  <c r="D23" i="4"/>
  <c r="C38" i="5" s="1"/>
  <c r="C39" i="5" s="1"/>
  <c r="C63" i="6" l="1"/>
  <c r="C58" i="6" s="1"/>
  <c r="C48" i="6"/>
  <c r="C40" i="5"/>
</calcChain>
</file>

<file path=xl/sharedStrings.xml><?xml version="1.0" encoding="utf-8"?>
<sst xmlns="http://schemas.openxmlformats.org/spreadsheetml/2006/main" count="372" uniqueCount="247">
  <si>
    <t>Examen Parcial No. 1</t>
  </si>
  <si>
    <t>Integrantes</t>
  </si>
  <si>
    <t>Carlos Antonio Pop Arroyo #1069920</t>
  </si>
  <si>
    <t>Diego Andrés Gil Morales #1084720</t>
  </si>
  <si>
    <t>Rafael Andrés Alvarez Mazariegos #1018419</t>
  </si>
  <si>
    <t>Marcela Margarita Estrada Rodríguez #1010419</t>
  </si>
  <si>
    <t>A continuación, se le presenta el saldo de las cuentas del Balance General 2022 de la empresa Espumas S.A., la cual es una empresa nacional que se dedica a la producción y venta de jabones líquidos de manos, las cuales las vende y distribuye en Quetzaltenango.</t>
  </si>
  <si>
    <t>Amortización acumulada de derecho de llave</t>
  </si>
  <si>
    <t>Caja y Bancos</t>
  </si>
  <si>
    <t>Capital Pagado Común</t>
  </si>
  <si>
    <t>Capital Preferente</t>
  </si>
  <si>
    <t>Cuentas x Cobrar</t>
  </si>
  <si>
    <t>Proveedores</t>
  </si>
  <si>
    <t>Depreciación Acumulada</t>
  </si>
  <si>
    <t>Derecho de llave</t>
  </si>
  <si>
    <t>Documentos por pagar de corto plazo</t>
  </si>
  <si>
    <t>Instalaciones y planta</t>
  </si>
  <si>
    <t>Inventarios</t>
  </si>
  <si>
    <t>Inversiones en valores LP</t>
  </si>
  <si>
    <t>Inversiones temporales</t>
  </si>
  <si>
    <t>Otros Activos corrientes</t>
  </si>
  <si>
    <t>Préstamo Bancario de Largo plazo</t>
  </si>
  <si>
    <t>Reserva Legal</t>
  </si>
  <si>
    <t>Sueldos por pagar</t>
  </si>
  <si>
    <t>Utilidades retenidas de períodos anteriores</t>
  </si>
  <si>
    <t>Utilidad retenida del período</t>
  </si>
  <si>
    <t>¿?</t>
  </si>
  <si>
    <t>Notas del Estado de Resultados:</t>
  </si>
  <si>
    <t>a). La empresa cuenta con un capital autorizado por 120,000 acciones</t>
  </si>
  <si>
    <t>b). La empresa pagó Q 32,500 en concepto de intereses por el préstamo bancario que posee</t>
  </si>
  <si>
    <t>c). Las acciones de la compañía se cotizan en la Bolsa a Q24.00</t>
  </si>
  <si>
    <t>d). Las ventas tuvieron un movimiento record hasta llegar a un nivel de Q8,015,000.00 con un precio promedio por unidad de Q17.5</t>
  </si>
  <si>
    <t>e). El dividendo común que se declaró la junta de accionistas para el año 2022 fue de Q5.00 por acción</t>
  </si>
  <si>
    <t>f). Su margen de contribución se situó en el 50%</t>
  </si>
  <si>
    <t>g). Sus activos depreciables registraron un gasto por depreciación en el 2022 por Q 131,000 y la amortización del derecho de llave registro un gasto por amortización de Q 25,000 en ese mismo año.</t>
  </si>
  <si>
    <t>h). Los dividendos preferentes fueron establecidos en su emisión en 25%</t>
  </si>
  <si>
    <t>i). Se pagó en concepto de gastos por administración la suma de Q1,145,000 en total y por gastos de venta variables se registró un Q1.00 por unidad.</t>
  </si>
  <si>
    <t>j). Otros gastos operativos necesarios para mantener la operación de la fábrica sumaron un valor de Q 916,000.00</t>
  </si>
  <si>
    <t>k). La tasa impositiva aplicable en concepto de ISR es la vigente para Guatemala. Año calendario de 365 días.</t>
  </si>
  <si>
    <t>Cuentas</t>
  </si>
  <si>
    <t>Estado Financiero</t>
  </si>
  <si>
    <t>Clasificación</t>
  </si>
  <si>
    <t>Activo No Corriente</t>
  </si>
  <si>
    <t>Balance General</t>
  </si>
  <si>
    <t>Activo Corriente</t>
  </si>
  <si>
    <t>Pasivo No Corriente</t>
  </si>
  <si>
    <t>Pasivo Corriente</t>
  </si>
  <si>
    <t>Capital</t>
  </si>
  <si>
    <t>Paisvo No Corriente</t>
  </si>
  <si>
    <t xml:space="preserve">Unidades vendidas </t>
  </si>
  <si>
    <t>Espumas S.A.</t>
  </si>
  <si>
    <t>Estado de Resultados</t>
  </si>
  <si>
    <t>Del 01 de enero al 31 de diciembre 2022</t>
  </si>
  <si>
    <t>Expresado en quetzales</t>
  </si>
  <si>
    <t>Ventas</t>
  </si>
  <si>
    <t>(-) Costo de Ventas</t>
  </si>
  <si>
    <t>Utilidad bruta</t>
  </si>
  <si>
    <t>(-) Gastos de operación</t>
  </si>
  <si>
    <t>Gastos de venta</t>
  </si>
  <si>
    <t>Gastos de administración</t>
  </si>
  <si>
    <t>Gastos por depreciación</t>
  </si>
  <si>
    <t xml:space="preserve"> </t>
  </si>
  <si>
    <t>Gastos por amortización</t>
  </si>
  <si>
    <t>Otros gastos</t>
  </si>
  <si>
    <t>Utilidad antes de intereses e impuestos</t>
  </si>
  <si>
    <t xml:space="preserve">Intereses pagados </t>
  </si>
  <si>
    <t>Utilidad antes de impuestos</t>
  </si>
  <si>
    <t>ISR</t>
  </si>
  <si>
    <t>Utilidad neta del período</t>
  </si>
  <si>
    <t>Dividendos comunes declarados</t>
  </si>
  <si>
    <t>Dividendos preferentes declarados</t>
  </si>
  <si>
    <t>ACTIVO</t>
  </si>
  <si>
    <t>Total de Activo Corriente</t>
  </si>
  <si>
    <t>(-) Amortización acumulada de derecho de llave</t>
  </si>
  <si>
    <t>(-) Depreciación acumulada</t>
  </si>
  <si>
    <t>Total de Activo No Corriente</t>
  </si>
  <si>
    <t>TOTAL DEL ACTIVO</t>
  </si>
  <si>
    <t>PASIVO</t>
  </si>
  <si>
    <t>Total de Pasivo Corriente</t>
  </si>
  <si>
    <t>Total de Pasivo no Corriente</t>
  </si>
  <si>
    <t>PATRIMONIO</t>
  </si>
  <si>
    <t>Utilidades Retenidas del período anterior</t>
  </si>
  <si>
    <t>Utilidades Retenidas</t>
  </si>
  <si>
    <t>Total de Patrimonio</t>
  </si>
  <si>
    <t>TOTAL PASIVO + PATRIMONIO</t>
  </si>
  <si>
    <t>Análisis Financiero a través de Razones</t>
  </si>
  <si>
    <t>RAZONES DE LIQUIDEZ</t>
  </si>
  <si>
    <t>Liquidez corriente</t>
  </si>
  <si>
    <t>(Razón circulante)</t>
  </si>
  <si>
    <t>Prueba ácida</t>
  </si>
  <si>
    <t>(Razón rápida)</t>
  </si>
  <si>
    <t>Capital de Trabajo Neto</t>
  </si>
  <si>
    <t>RAZONES DE ACTIVIDAD</t>
  </si>
  <si>
    <t>Rotación de inventarios</t>
  </si>
  <si>
    <t>Período promedio del Inventario</t>
  </si>
  <si>
    <t>(PPI)</t>
  </si>
  <si>
    <t>Período promedio de cobro</t>
  </si>
  <si>
    <t>(PPC)</t>
  </si>
  <si>
    <t>Período promedio de pago</t>
  </si>
  <si>
    <t>-</t>
  </si>
  <si>
    <t>(PPP)</t>
  </si>
  <si>
    <t>Rotación de Activos Fijos</t>
  </si>
  <si>
    <t>Rotación de Activo Total</t>
  </si>
  <si>
    <t>RAZONES ADMINISTRACIÓN DE DEUDAS</t>
  </si>
  <si>
    <t>Razón de Deuda Total</t>
  </si>
  <si>
    <t>(Índice de endeudamiento)</t>
  </si>
  <si>
    <t>Rotación de Interéses</t>
  </si>
  <si>
    <t>(Cobertura de Intereses)</t>
  </si>
  <si>
    <t>RENTABILIDAD</t>
  </si>
  <si>
    <t>Margen de Utilidad Bruta</t>
  </si>
  <si>
    <t>Margen de Utilidad Operativa</t>
  </si>
  <si>
    <t>Margen de Utilidad Neta</t>
  </si>
  <si>
    <t>Generación Básica de Utilidades</t>
  </si>
  <si>
    <t>Rendimiento sobre Activos</t>
  </si>
  <si>
    <t>(ROA)</t>
  </si>
  <si>
    <t>Rendimiento sobre Capital Contable</t>
  </si>
  <si>
    <t>(ROE)</t>
  </si>
  <si>
    <t>Ganancias por Acción</t>
  </si>
  <si>
    <t>(Utilidades por Acción)</t>
  </si>
  <si>
    <t>VALOR DE MERCADO</t>
  </si>
  <si>
    <t>Precio/Utilidad</t>
  </si>
  <si>
    <t>(P/E)</t>
  </si>
  <si>
    <t>Valor de Mercado/Valor en Libros</t>
  </si>
  <si>
    <t>(VM/VL)</t>
  </si>
  <si>
    <t>Valor en Libros por Acción</t>
  </si>
  <si>
    <t>Valor de acciones en la bolsa</t>
  </si>
  <si>
    <t>CASO NO. 2: COMPAÑÍA ALISSON</t>
  </si>
  <si>
    <t>COMPAÑÍA ALLISON</t>
  </si>
  <si>
    <t>ESTADO DE RESULTADOS</t>
  </si>
  <si>
    <t>BALANCE GENERAL COMPARATIVO</t>
  </si>
  <si>
    <t>AÑO 2022</t>
  </si>
  <si>
    <t>Expresado en dólares</t>
  </si>
  <si>
    <t>ACTIVOS</t>
  </si>
  <si>
    <t>ACTIVOS CORRIENTES</t>
  </si>
  <si>
    <t>AÑO 2021</t>
  </si>
  <si>
    <t>Ventas netas</t>
  </si>
  <si>
    <t>Efectivo y equivalentes de efectivo</t>
  </si>
  <si>
    <t>(-) Costo de ventas</t>
  </si>
  <si>
    <t>Valores negociables</t>
  </si>
  <si>
    <t>Utilidad Bruta</t>
  </si>
  <si>
    <t>Documentos por cobrar</t>
  </si>
  <si>
    <t>(-) Gastos de Operación</t>
  </si>
  <si>
    <t>Cuentas por cobrar</t>
  </si>
  <si>
    <t>Gastos operativos (sin depreciación)</t>
  </si>
  <si>
    <t>Intereses por cobrar acumulados</t>
  </si>
  <si>
    <t>Depreciación</t>
  </si>
  <si>
    <t>Inventario</t>
  </si>
  <si>
    <t>Utilidad Operativa</t>
  </si>
  <si>
    <t>Gastos prepagados</t>
  </si>
  <si>
    <t>(+) Otros ingresos</t>
  </si>
  <si>
    <t>TOTAL ACTIVOS CORRIENTES</t>
  </si>
  <si>
    <t>Ingreso de dividendos</t>
  </si>
  <si>
    <t>PLANTA Y EQUIPO (NETO)</t>
  </si>
  <si>
    <t>Ingreso de intereses</t>
  </si>
  <si>
    <t>ACTIVO TOTAL</t>
  </si>
  <si>
    <t>Ganancia en venta de activos</t>
  </si>
  <si>
    <t>(-) Otros Gastos</t>
  </si>
  <si>
    <t>Gastos de intereses</t>
  </si>
  <si>
    <t>PASIVOS</t>
  </si>
  <si>
    <t>Pérdida en venta de valores</t>
  </si>
  <si>
    <t>PASIVOS CORRIENTES</t>
  </si>
  <si>
    <t>Documentos por pagar CP</t>
  </si>
  <si>
    <t>(-) ISR</t>
  </si>
  <si>
    <t>Cuentas por pagar (proveedores)</t>
  </si>
  <si>
    <t>Utilidad Neta</t>
  </si>
  <si>
    <t>Intereses por pagar</t>
  </si>
  <si>
    <t>ISR por pagar</t>
  </si>
  <si>
    <t>Otros gastos acumulados por pagar</t>
  </si>
  <si>
    <t>TOTAL PASIVOS CORRIENTES</t>
  </si>
  <si>
    <t>PASIVOS NO CORRIENTES</t>
  </si>
  <si>
    <t>Documentos por pagar LP</t>
  </si>
  <si>
    <t>Bonos por pagar</t>
  </si>
  <si>
    <t>TOTAL PASIVOS</t>
  </si>
  <si>
    <t>Capital en acciones</t>
  </si>
  <si>
    <t>Capital pagado adicional</t>
  </si>
  <si>
    <t>PATROMONIO TOTAL</t>
  </si>
  <si>
    <t>PASIVO + PATRIMONIO</t>
  </si>
  <si>
    <t xml:space="preserve">COMPAÑIA ALISSON </t>
  </si>
  <si>
    <t>%</t>
  </si>
  <si>
    <t>% Horizontal</t>
  </si>
  <si>
    <t xml:space="preserve">Efectivo y equivalentes de efectivo </t>
  </si>
  <si>
    <t xml:space="preserve">Documentos por cobrar </t>
  </si>
  <si>
    <t xml:space="preserve">Cuentas por cobrar </t>
  </si>
  <si>
    <t>OPERACIÓN</t>
  </si>
  <si>
    <t>Intereses por cobrar acumuladas</t>
  </si>
  <si>
    <t xml:space="preserve">Inventario </t>
  </si>
  <si>
    <t xml:space="preserve">Gastos prepagados </t>
  </si>
  <si>
    <t>Planta y equipo (NETO)</t>
  </si>
  <si>
    <t>INVERSIÓN</t>
  </si>
  <si>
    <t xml:space="preserve">ACTIVO TOTAL </t>
  </si>
  <si>
    <t>FINANCIAMIENTO</t>
  </si>
  <si>
    <t xml:space="preserve">Capital pagado adicional </t>
  </si>
  <si>
    <t xml:space="preserve">PATRIMONIO TOTAL </t>
  </si>
  <si>
    <t xml:space="preserve">ESTADO DE RESULTADOS </t>
  </si>
  <si>
    <t xml:space="preserve">(-) Gasto de Operación </t>
  </si>
  <si>
    <t>Gastos Operativos (sin depreciación)</t>
  </si>
  <si>
    <t xml:space="preserve">Depreciación </t>
  </si>
  <si>
    <t>Ingresos dividendos</t>
  </si>
  <si>
    <t>Ingresos de Intereses</t>
  </si>
  <si>
    <t xml:space="preserve">Ganancia en venta de activos </t>
  </si>
  <si>
    <t xml:space="preserve">(-) Otros Gastos </t>
  </si>
  <si>
    <t xml:space="preserve">Gasto de intereses </t>
  </si>
  <si>
    <t>Perdida en venta de valores</t>
  </si>
  <si>
    <t xml:space="preserve">Utillidad antes de impuesto </t>
  </si>
  <si>
    <t>Estado de Utilidades Retenidas</t>
  </si>
  <si>
    <t>Del  01 de enero al 31 de diciembre del 2022</t>
  </si>
  <si>
    <t>Saldo de UR al inicio del período ( 01 de enero del 2022 )</t>
  </si>
  <si>
    <t>(+) Utilidad neta</t>
  </si>
  <si>
    <t>Saldo disponible para accionistas comunes y preferentes</t>
  </si>
  <si>
    <t xml:space="preserve">(-) Pago de Dividendos Comunes </t>
  </si>
  <si>
    <t>Saldo de UR al final del período ( 31 de diciembre del 2022 )</t>
  </si>
  <si>
    <t>Estado de Flujos de Efectivo</t>
  </si>
  <si>
    <t>Del 1 de enero al 31 de diciembre del 2022</t>
  </si>
  <si>
    <t>Flujo de Efectivo por Actividades de Operación</t>
  </si>
  <si>
    <t>(+) Depreciación</t>
  </si>
  <si>
    <t>(-) Ganancia en venta de activos</t>
  </si>
  <si>
    <t>Aumento en Documentos por cobrar</t>
  </si>
  <si>
    <t>Aumento en Cuentas por cobrar</t>
  </si>
  <si>
    <t>Aumento en Inventario</t>
  </si>
  <si>
    <t>Aumento en Gastos prepagados</t>
  </si>
  <si>
    <t>Aumento en Cuentas por pagar (proveedores)</t>
  </si>
  <si>
    <t>Disminución en ISR por pagar</t>
  </si>
  <si>
    <t>Disminución en Otros gastos acumulados por pagar</t>
  </si>
  <si>
    <t>FNE por Actividades de Operación</t>
  </si>
  <si>
    <t>Flujo de Efectivo por Actividades de Inversión</t>
  </si>
  <si>
    <t>(+) Ganancia en venta de activos</t>
  </si>
  <si>
    <t>Aumento en Valores negociables</t>
  </si>
  <si>
    <t>Aumento en Intereses por pagar</t>
  </si>
  <si>
    <t>Aumento en Bonos por pagar</t>
  </si>
  <si>
    <t>Aumento en Planta y Equipo</t>
  </si>
  <si>
    <t>Disminución en Intereses por cobrar acumulados</t>
  </si>
  <si>
    <t>FNE por Actividades de Inversión</t>
  </si>
  <si>
    <t>Flujo de Efectivo por Actividades de Financiamiento</t>
  </si>
  <si>
    <t>Aumento en Documentos por pagar LP</t>
  </si>
  <si>
    <t>Aumento en Capital en acciones</t>
  </si>
  <si>
    <t>Aumento en Capital pagado adicional</t>
  </si>
  <si>
    <t>Disminución en Documentos por pagar CP</t>
  </si>
  <si>
    <t>Pago de Dividendos Comunes</t>
  </si>
  <si>
    <t>FNE por Actividades de Financiamiento</t>
  </si>
  <si>
    <t>Suma del FNE del Período</t>
  </si>
  <si>
    <t>(+) Saldo al Inicio del Período</t>
  </si>
  <si>
    <t>Saldo al Final del Período</t>
  </si>
  <si>
    <t>Fundamentos de Adminstración y Análisis Financiero Sec. 01</t>
  </si>
  <si>
    <r>
      <rPr>
        <b/>
        <sz val="12"/>
        <color theme="1"/>
        <rFont val="Times New Roman"/>
        <family val="1"/>
      </rPr>
      <t>Tareas a efectuar:</t>
    </r>
    <r>
      <rPr>
        <sz val="12"/>
        <color theme="1"/>
        <rFont val="Times New Roman"/>
        <family val="1"/>
      </rPr>
      <t xml:space="preserve">
- Estado de Utilidades Retenidas (10 puntos)
- Estado de Flujos de Efectivo (15 puntos)
- Análisis % vertical y horizontal (incluyendo breve interpretación, no solo cálculo de porcentajes) (15 puntos)</t>
    </r>
  </si>
  <si>
    <t>CASO NO. 1: ESPUMAS, S.A.</t>
  </si>
  <si>
    <r>
      <rPr>
        <b/>
        <sz val="12"/>
        <color theme="1"/>
        <rFont val="Times New Roman"/>
        <family val="1"/>
      </rPr>
      <t>Tareas a efectuar:</t>
    </r>
    <r>
      <rPr>
        <sz val="12"/>
        <color theme="1"/>
        <rFont val="Times New Roman"/>
        <family val="1"/>
      </rPr>
      <t xml:space="preserve">
1. Con las notas adjuntas elabore el Estado de Resultados 2022 y termínelo hasta obtener la utilidad retenida del período. (10 puntos)
2. Estructure y presente el Balance General 2023 (10 pts)
3. Calcule las siguientes razones, interprete qué quiere decir cada una de ellas y exprese su conclusión:
            -De liquidez: Prueba ácida (5 pts)
            -De administración de los inventarios y de las cuentas por cobrar (10 pts)
            -De Rentabilidad: ROE, ROA, Margen Neto (15 pts)
4. Siendo usted su asesor financiero cuál sería su recomendación (mínimo 2 recomendaciones fundamentadas) (10 pts)</t>
    </r>
  </si>
  <si>
    <t>COMPAÑÍA ALISSON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</si>
</sst>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100A]* #,##0.00_-;\-[$Q-100A]* #,##0.00_-;_-[$Q-100A]* &quot;-&quot;??_-;_-@_-"/>
    <numFmt numFmtId="165" formatCode="0.0%"/>
    <numFmt numFmtId="166" formatCode="0.0"/>
    <numFmt numFmtId="167" formatCode="&quot;Q&quot;#,##0.00"/>
    <numFmt numFmtId="168" formatCode="_([$$-409]* #,##0.00_);_([$$-409]* \(#,##0.00\);_([$$-409]* &quot;-&quot;??_);_(@_)"/>
  </numFmts>
  <fonts count="20" x14ac:knownFonts="1">
    <font>
      <sz val="11"/>
      <color theme="1"/>
      <name val="Calibri"/>
      <family val="2"/>
      <scheme val="minor"/>
    </font>
    <font>
      <sz val="11"/>
      <color theme="1"/>
      <name val="Calibri"/>
      <family val="2"/>
      <scheme val="minor"/>
    </font>
    <font>
      <b/>
      <u/>
      <sz val="12"/>
      <color theme="1"/>
      <name val="Times New Roman"/>
      <family val="1"/>
    </font>
    <font>
      <sz val="12"/>
      <color theme="1"/>
      <name val="Times New Roman"/>
      <family val="1"/>
    </font>
    <font>
      <b/>
      <sz val="12"/>
      <color theme="1"/>
      <name val="Times New Roman"/>
      <family val="1"/>
    </font>
    <font>
      <sz val="12"/>
      <name val="Times New Roman"/>
      <family val="1"/>
    </font>
    <font>
      <i/>
      <sz val="12"/>
      <color theme="1"/>
      <name val="Times New Roman"/>
      <family val="1"/>
    </font>
    <font>
      <i/>
      <sz val="12"/>
      <name val="Times New Roman"/>
      <family val="1"/>
    </font>
    <font>
      <b/>
      <sz val="12"/>
      <name val="Times New Roman"/>
      <family val="1"/>
    </font>
    <font>
      <sz val="12"/>
      <color theme="4"/>
      <name val="Times New Roman"/>
      <family val="1"/>
    </font>
    <font>
      <sz val="12"/>
      <color rgb="FFFF0000"/>
      <name val="Times New Roman"/>
      <family val="1"/>
    </font>
    <font>
      <b/>
      <sz val="12"/>
      <color theme="4"/>
      <name val="Times New Roman"/>
      <family val="1"/>
    </font>
    <font>
      <u/>
      <sz val="12"/>
      <color theme="1"/>
      <name val="Times New Roman"/>
      <family val="1"/>
    </font>
    <font>
      <b/>
      <sz val="16"/>
      <color theme="1"/>
      <name val="Times New Roman"/>
      <family val="1"/>
    </font>
    <font>
      <sz val="11"/>
      <color theme="1"/>
      <name val="Times New Roman"/>
      <family val="1"/>
    </font>
    <font>
      <b/>
      <sz val="11"/>
      <color theme="1"/>
      <name val="Times New Roman"/>
      <family val="1"/>
    </font>
    <font>
      <sz val="11"/>
      <name val="Times New Roman"/>
      <family val="1"/>
    </font>
    <font>
      <i/>
      <sz val="11"/>
      <color theme="1"/>
      <name val="Times New Roman"/>
      <family val="1"/>
    </font>
    <font>
      <b/>
      <sz val="14"/>
      <color theme="1"/>
      <name val="Times New Roman"/>
      <family val="1"/>
    </font>
    <font>
      <b/>
      <sz val="11"/>
      <color rgb="FF0070C0"/>
      <name val="Times New Roman"/>
      <family val="1"/>
    </font>
  </fonts>
  <fills count="6">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2">
    <xf numFmtId="0" fontId="0" fillId="0" borderId="0" xfId="0"/>
    <xf numFmtId="0" fontId="3" fillId="0" borderId="0" xfId="0" applyFont="1"/>
    <xf numFmtId="164" fontId="3" fillId="0" borderId="0" xfId="0" applyNumberFormat="1" applyFont="1"/>
    <xf numFmtId="0" fontId="4" fillId="0" borderId="0" xfId="0" applyFont="1" applyAlignment="1">
      <alignment horizontal="right"/>
    </xf>
    <xf numFmtId="0" fontId="3" fillId="0" borderId="0" xfId="0" applyFont="1" applyAlignment="1">
      <alignment horizontal="right"/>
    </xf>
    <xf numFmtId="0" fontId="6" fillId="0" borderId="0" xfId="0" applyFont="1"/>
    <xf numFmtId="0" fontId="4" fillId="0" borderId="0" xfId="0" applyFont="1"/>
    <xf numFmtId="0" fontId="3" fillId="0" borderId="0" xfId="0" applyFont="1" applyAlignment="1">
      <alignment horizontal="center"/>
    </xf>
    <xf numFmtId="0" fontId="4" fillId="0" borderId="3" xfId="0" applyFont="1" applyBorder="1" applyAlignment="1">
      <alignment horizontal="center"/>
    </xf>
    <xf numFmtId="164" fontId="3" fillId="0" borderId="0" xfId="0" applyNumberFormat="1" applyFont="1" applyAlignment="1">
      <alignment horizontal="center"/>
    </xf>
    <xf numFmtId="10" fontId="9" fillId="0" borderId="0" xfId="0" applyNumberFormat="1" applyFont="1" applyAlignment="1">
      <alignment horizontal="center"/>
    </xf>
    <xf numFmtId="10" fontId="10" fillId="0" borderId="0" xfId="0" applyNumberFormat="1" applyFont="1" applyAlignment="1">
      <alignment horizontal="center"/>
    </xf>
    <xf numFmtId="164" fontId="3" fillId="0" borderId="3" xfId="0" applyNumberFormat="1" applyFont="1" applyBorder="1" applyAlignment="1">
      <alignment horizontal="center"/>
    </xf>
    <xf numFmtId="164" fontId="9" fillId="0" borderId="0" xfId="0" applyNumberFormat="1" applyFont="1" applyAlignment="1">
      <alignment horizontal="center"/>
    </xf>
    <xf numFmtId="0" fontId="11" fillId="0" borderId="0" xfId="0" applyFont="1" applyAlignment="1">
      <alignment horizontal="center"/>
    </xf>
    <xf numFmtId="10" fontId="9"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left"/>
    </xf>
    <xf numFmtId="0" fontId="4" fillId="3" borderId="0" xfId="0" applyFont="1" applyFill="1"/>
    <xf numFmtId="0" fontId="4" fillId="2" borderId="0" xfId="0" applyFont="1" applyFill="1" applyAlignment="1">
      <alignment horizontal="center" vertical="center"/>
    </xf>
    <xf numFmtId="2" fontId="3" fillId="0" borderId="0" xfId="0" applyNumberFormat="1" applyFont="1" applyAlignment="1">
      <alignment horizontal="center" vertical="center"/>
    </xf>
    <xf numFmtId="0" fontId="6" fillId="0" borderId="0" xfId="0" applyFont="1" applyAlignment="1">
      <alignment horizontal="left"/>
    </xf>
    <xf numFmtId="165" fontId="3" fillId="0" borderId="0" xfId="1" applyNumberFormat="1" applyFont="1" applyAlignment="1">
      <alignment horizontal="center" vertical="center"/>
    </xf>
    <xf numFmtId="166" fontId="3" fillId="0" borderId="0" xfId="0" applyNumberFormat="1" applyFont="1" applyAlignment="1">
      <alignment horizontal="center" vertical="center"/>
    </xf>
    <xf numFmtId="0" fontId="12" fillId="0" borderId="0" xfId="0" applyFont="1"/>
    <xf numFmtId="164" fontId="3" fillId="0" borderId="0" xfId="0" applyNumberFormat="1" applyFont="1" applyAlignment="1">
      <alignment horizontal="right"/>
    </xf>
    <xf numFmtId="0" fontId="6" fillId="0" borderId="0" xfId="0" applyFont="1" applyAlignment="1">
      <alignment horizontal="right"/>
    </xf>
    <xf numFmtId="164" fontId="6" fillId="0" borderId="4" xfId="0" applyNumberFormat="1" applyFont="1" applyBorder="1" applyAlignment="1">
      <alignment horizontal="right"/>
    </xf>
    <xf numFmtId="164" fontId="3" fillId="0" borderId="5" xfId="0" applyNumberFormat="1" applyFont="1" applyBorder="1" applyAlignment="1">
      <alignment horizontal="right"/>
    </xf>
    <xf numFmtId="0" fontId="3" fillId="0" borderId="1" xfId="0" applyFont="1" applyBorder="1"/>
    <xf numFmtId="167" fontId="3" fillId="0" borderId="0" xfId="0" applyNumberFormat="1" applyFont="1"/>
    <xf numFmtId="167" fontId="3" fillId="0" borderId="4" xfId="0" applyNumberFormat="1" applyFont="1" applyBorder="1"/>
    <xf numFmtId="167" fontId="3" fillId="0" borderId="5" xfId="0" applyNumberFormat="1" applyFont="1" applyBorder="1"/>
    <xf numFmtId="0" fontId="3" fillId="0" borderId="1" xfId="0" applyFont="1" applyBorder="1" applyAlignment="1">
      <alignment horizontal="center"/>
    </xf>
    <xf numFmtId="164" fontId="3" fillId="0" borderId="1" xfId="0" applyNumberFormat="1" applyFont="1" applyBorder="1"/>
    <xf numFmtId="164" fontId="3" fillId="4" borderId="1" xfId="0" applyNumberFormat="1" applyFont="1" applyFill="1" applyBorder="1"/>
    <xf numFmtId="0" fontId="14" fillId="0" borderId="0" xfId="0" applyFont="1"/>
    <xf numFmtId="0" fontId="15" fillId="0" borderId="2" xfId="0" applyFont="1" applyBorder="1"/>
    <xf numFmtId="44" fontId="14" fillId="0" borderId="0" xfId="0" applyNumberFormat="1" applyFont="1"/>
    <xf numFmtId="0" fontId="15" fillId="0" borderId="0" xfId="0" applyFont="1" applyAlignment="1">
      <alignment horizontal="right"/>
    </xf>
    <xf numFmtId="44" fontId="16" fillId="0" borderId="4" xfId="0" applyNumberFormat="1" applyFont="1" applyBorder="1" applyAlignment="1">
      <alignment horizontal="center" vertical="center" wrapText="1"/>
    </xf>
    <xf numFmtId="44" fontId="16" fillId="0" borderId="0" xfId="0" applyNumberFormat="1" applyFont="1" applyAlignment="1">
      <alignment horizontal="center" vertical="center" wrapText="1"/>
    </xf>
    <xf numFmtId="0" fontId="14" fillId="0" borderId="0" xfId="0" applyFont="1" applyAlignment="1">
      <alignment horizontal="right"/>
    </xf>
    <xf numFmtId="44" fontId="16" fillId="0" borderId="5" xfId="0" applyNumberFormat="1" applyFont="1" applyBorder="1" applyAlignment="1">
      <alignment horizontal="center" vertical="center" wrapText="1"/>
    </xf>
    <xf numFmtId="37" fontId="15" fillId="0" borderId="0" xfId="0" applyNumberFormat="1" applyFont="1" applyAlignment="1">
      <alignment horizontal="center"/>
    </xf>
    <xf numFmtId="0" fontId="14" fillId="0" borderId="0" xfId="0" applyFont="1" applyAlignment="1">
      <alignment horizontal="center"/>
    </xf>
    <xf numFmtId="164" fontId="14" fillId="0" borderId="0" xfId="0" applyNumberFormat="1" applyFont="1"/>
    <xf numFmtId="0" fontId="17" fillId="0" borderId="0" xfId="0" applyFont="1"/>
    <xf numFmtId="0" fontId="15" fillId="0" borderId="0" xfId="0" applyFont="1"/>
    <xf numFmtId="0" fontId="19" fillId="0" borderId="0" xfId="0" applyFont="1"/>
    <xf numFmtId="0" fontId="15" fillId="0" borderId="2" xfId="0" applyFont="1" applyBorder="1" applyAlignment="1">
      <alignment horizontal="center"/>
    </xf>
    <xf numFmtId="44" fontId="14" fillId="0" borderId="4" xfId="0" applyNumberFormat="1" applyFont="1" applyBorder="1"/>
    <xf numFmtId="0" fontId="14" fillId="0" borderId="4" xfId="0" applyFont="1" applyBorder="1"/>
    <xf numFmtId="44" fontId="14" fillId="0" borderId="2" xfId="0" applyNumberFormat="1" applyFont="1" applyBorder="1"/>
    <xf numFmtId="44" fontId="15" fillId="0" borderId="0" xfId="0" applyNumberFormat="1" applyFont="1"/>
    <xf numFmtId="0" fontId="19" fillId="0" borderId="0" xfId="0" applyFont="1" applyAlignment="1">
      <alignment horizontal="right"/>
    </xf>
    <xf numFmtId="44" fontId="19" fillId="0" borderId="5" xfId="0" applyNumberFormat="1" applyFont="1" applyBorder="1"/>
    <xf numFmtId="44" fontId="15" fillId="0" borderId="4" xfId="0" applyNumberFormat="1" applyFont="1" applyBorder="1"/>
    <xf numFmtId="49" fontId="14" fillId="0" borderId="0" xfId="0" applyNumberFormat="1" applyFont="1"/>
    <xf numFmtId="44" fontId="5" fillId="0" borderId="0" xfId="0" applyNumberFormat="1" applyFont="1" applyAlignment="1">
      <alignment horizontal="center" vertical="center" wrapText="1"/>
    </xf>
    <xf numFmtId="44" fontId="5" fillId="0" borderId="2" xfId="0" applyNumberFormat="1" applyFont="1" applyBorder="1" applyAlignment="1">
      <alignment horizontal="center" vertical="center" wrapText="1"/>
    </xf>
    <xf numFmtId="44" fontId="7" fillId="0" borderId="0" xfId="0" applyNumberFormat="1" applyFont="1" applyAlignment="1">
      <alignment horizontal="center" vertical="center" wrapText="1"/>
    </xf>
    <xf numFmtId="44" fontId="8" fillId="0" borderId="5" xfId="0" applyNumberFormat="1" applyFont="1" applyBorder="1" applyAlignment="1">
      <alignment horizontal="center" vertical="center" wrapText="1"/>
    </xf>
    <xf numFmtId="44" fontId="3" fillId="0" borderId="0" xfId="0" applyNumberFormat="1" applyFont="1" applyAlignment="1">
      <alignment horizontal="center"/>
    </xf>
    <xf numFmtId="44" fontId="3" fillId="0" borderId="3" xfId="0" applyNumberFormat="1" applyFont="1" applyBorder="1" applyAlignment="1">
      <alignment horizontal="center"/>
    </xf>
    <xf numFmtId="44" fontId="4" fillId="0" borderId="0" xfId="0" applyNumberFormat="1" applyFont="1" applyAlignment="1">
      <alignment horizontal="center"/>
    </xf>
    <xf numFmtId="168" fontId="3" fillId="0" borderId="0" xfId="0" applyNumberFormat="1" applyFont="1" applyAlignment="1">
      <alignment horizontal="center"/>
    </xf>
    <xf numFmtId="168" fontId="3" fillId="0" borderId="3" xfId="0" applyNumberFormat="1" applyFont="1" applyBorder="1" applyAlignment="1">
      <alignment horizontal="center"/>
    </xf>
    <xf numFmtId="44" fontId="3" fillId="0" borderId="0" xfId="2" applyFont="1" applyAlignment="1">
      <alignment horizontal="center"/>
    </xf>
    <xf numFmtId="0" fontId="3" fillId="0" borderId="0" xfId="0" applyFont="1" applyAlignment="1">
      <alignment wrapText="1"/>
    </xf>
    <xf numFmtId="0" fontId="15" fillId="0" borderId="0" xfId="0" applyFont="1" applyAlignment="1">
      <alignment horizontal="center"/>
    </xf>
    <xf numFmtId="0" fontId="3" fillId="0" borderId="1" xfId="0" applyFont="1" applyBorder="1" applyAlignment="1">
      <alignment horizontal="center" vertical="center"/>
    </xf>
    <xf numFmtId="0" fontId="3" fillId="5" borderId="0" xfId="0" applyFont="1" applyFill="1" applyAlignment="1">
      <alignment horizontal="center"/>
    </xf>
    <xf numFmtId="0" fontId="18" fillId="0" borderId="0" xfId="0" applyFont="1" applyAlignment="1">
      <alignment horizontal="center"/>
    </xf>
    <xf numFmtId="0" fontId="13" fillId="4" borderId="0" xfId="0" applyFont="1" applyFill="1" applyAlignment="1">
      <alignment horizontal="center"/>
    </xf>
    <xf numFmtId="0" fontId="3" fillId="0" borderId="0" xfId="0" applyFont="1" applyAlignment="1">
      <alignment horizontal="center" wrapText="1"/>
    </xf>
    <xf numFmtId="0" fontId="2" fillId="0" borderId="0" xfId="0" applyFont="1" applyAlignment="1">
      <alignment horizontal="center"/>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6" xfId="0" applyFont="1" applyBorder="1" applyAlignment="1">
      <alignment horizontal="center"/>
    </xf>
    <xf numFmtId="0" fontId="3" fillId="0" borderId="7" xfId="0" applyFont="1" applyBorder="1" applyAlignment="1">
      <alignment horizontal="center"/>
    </xf>
    <xf numFmtId="0" fontId="4" fillId="0" borderId="0" xfId="0" applyFont="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670560</xdr:colOff>
      <xdr:row>3</xdr:row>
      <xdr:rowOff>152400</xdr:rowOff>
    </xdr:from>
    <xdr:to>
      <xdr:col>13</xdr:col>
      <xdr:colOff>7620</xdr:colOff>
      <xdr:row>11</xdr:row>
      <xdr:rowOff>68580</xdr:rowOff>
    </xdr:to>
    <xdr:sp macro="" textlink="">
      <xdr:nvSpPr>
        <xdr:cNvPr id="2" name="TextBox 1">
          <a:extLst>
            <a:ext uri="{FF2B5EF4-FFF2-40B4-BE49-F238E27FC236}">
              <a16:creationId xmlns:a16="http://schemas.microsoft.com/office/drawing/2014/main" id="{EECB72B2-8252-E7AF-61DA-CF76AF9A8E4F}"/>
            </a:ext>
          </a:extLst>
        </xdr:cNvPr>
        <xdr:cNvSpPr txBox="1"/>
      </xdr:nvSpPr>
      <xdr:spPr>
        <a:xfrm>
          <a:off x="5692140" y="746760"/>
          <a:ext cx="5501640" cy="1501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Esta</a:t>
          </a:r>
          <a:r>
            <a:rPr lang="en-US" sz="1100" baseline="0">
              <a:latin typeface="Times New Roman" panose="02020603050405020304" pitchFamily="18" charset="0"/>
              <a:cs typeface="Times New Roman" panose="02020603050405020304" pitchFamily="18" charset="0"/>
            </a:rPr>
            <a:t> empresa sí posee liquidez en el período analizado del 2022, debido a que el índice de liquidez corriente indica un valor mayor a 1, por lo que la empresa sí puede pagar sus deudas mientras se haga uso de la totalidad de activos en posesión, por lo que incluso sino vende sus inventarios, la empresa cuenta con 1.73 por cada quetzal de deuda, mientras que sí los vende tiene 4.68 por cada quetzal de deuda.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Además posee una buena cantidad de sus activos corrientes netos para realizar pagos inmediatos en espera de sus futuras ventas con la dependencia de venta del inventario.</a:t>
          </a:r>
        </a:p>
      </xdr:txBody>
    </xdr:sp>
    <xdr:clientData/>
  </xdr:twoCellAnchor>
  <xdr:twoCellAnchor>
    <xdr:from>
      <xdr:col>4</xdr:col>
      <xdr:colOff>3810</xdr:colOff>
      <xdr:row>28</xdr:row>
      <xdr:rowOff>5715</xdr:rowOff>
    </xdr:from>
    <xdr:to>
      <xdr:col>13</xdr:col>
      <xdr:colOff>15240</xdr:colOff>
      <xdr:row>35</xdr:row>
      <xdr:rowOff>30480</xdr:rowOff>
    </xdr:to>
    <xdr:sp macro="" textlink="">
      <xdr:nvSpPr>
        <xdr:cNvPr id="5" name="CuadroTexto 158">
          <a:extLst>
            <a:ext uri="{FF2B5EF4-FFF2-40B4-BE49-F238E27FC236}">
              <a16:creationId xmlns:a16="http://schemas.microsoft.com/office/drawing/2014/main" id="{7C437844-7639-0305-A974-4CE24D2F695E}"/>
            </a:ext>
          </a:extLst>
        </xdr:cNvPr>
        <xdr:cNvSpPr txBox="1"/>
      </xdr:nvSpPr>
      <xdr:spPr>
        <a:xfrm>
          <a:off x="5703570" y="5553075"/>
          <a:ext cx="5497830" cy="1411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Times New Roman" panose="02020603050405020304" pitchFamily="18" charset="0"/>
              <a:ea typeface="+mn-ea"/>
              <a:cs typeface="Times New Roman" panose="02020603050405020304" pitchFamily="18" charset="0"/>
            </a:rPr>
            <a:t>El 20% de sus bienes se encuentra en deuda lo que indica que no poseen una gran cantidad de deuda, aunque esta es significativa, poseen el restante (80%) sin deuda. Esto hace que los niveles de riesgo no son altos, ya que la mayoría de los activos pertenecen a la empresa</a:t>
          </a:r>
          <a:r>
            <a:rPr lang="es-GT" sz="1100" baseline="0">
              <a:solidFill>
                <a:schemeClr val="dk1"/>
              </a:solidFill>
              <a:effectLst/>
              <a:latin typeface="Times New Roman" panose="02020603050405020304" pitchFamily="18" charset="0"/>
              <a:ea typeface="+mn-ea"/>
              <a:cs typeface="Times New Roman" panose="02020603050405020304" pitchFamily="18" charset="0"/>
            </a:rPr>
            <a:t> y si tuviera que liquidarse la empresa, mantendrían casi todos sus activos.</a:t>
          </a:r>
        </a:p>
        <a:p>
          <a:pPr marL="0" marR="0" lvl="0" indent="0" defTabSz="914400" eaLnBrk="1" fontAlgn="auto" latinLnBrk="0" hangingPunct="1">
            <a:lnSpc>
              <a:spcPct val="100000"/>
            </a:lnSpc>
            <a:spcBef>
              <a:spcPts val="0"/>
            </a:spcBef>
            <a:spcAft>
              <a:spcPts val="0"/>
            </a:spcAft>
            <a:buClrTx/>
            <a:buSzTx/>
            <a:buFontTx/>
            <a:buNone/>
            <a:tabLst/>
            <a:defRPr/>
          </a:pPr>
          <a:endParaRPr lang="es-GT" sz="11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Times New Roman" panose="02020603050405020304" pitchFamily="18" charset="0"/>
              <a:ea typeface="+mn-ea"/>
              <a:cs typeface="Times New Roman" panose="02020603050405020304" pitchFamily="18" charset="0"/>
            </a:rPr>
            <a:t>Asimismo,</a:t>
          </a:r>
          <a:r>
            <a:rPr lang="es-GT" sz="1100" baseline="0">
              <a:solidFill>
                <a:schemeClr val="dk1"/>
              </a:solidFill>
              <a:effectLst/>
              <a:latin typeface="Times New Roman" panose="02020603050405020304" pitchFamily="18" charset="0"/>
              <a:ea typeface="+mn-ea"/>
              <a:cs typeface="Times New Roman" panose="02020603050405020304" pitchFamily="18" charset="0"/>
            </a:rPr>
            <a:t> la empresa presenta una gran capacidad de pago para los intereses a cancelar por deudas, donde posee 41 veces la capacidad a través de las utilidades que posee, por lo que no tienen problema para poder adquirir financiamiento sí lo necesitaran.</a:t>
          </a:r>
          <a:endParaRPr lang="es-GT" sz="1100">
            <a:solidFill>
              <a:schemeClr val="dk1"/>
            </a:solidFill>
            <a:effectLst/>
            <a:latin typeface="Times New Roman" panose="02020603050405020304" pitchFamily="18" charset="0"/>
            <a:ea typeface="+mn-ea"/>
            <a:cs typeface="Times New Roman" panose="02020603050405020304" pitchFamily="18" charset="0"/>
          </a:endParaRPr>
        </a:p>
        <a:p>
          <a:endParaRPr lang="es-GT" sz="1100">
            <a:latin typeface="Times New Roman" panose="02020603050405020304" pitchFamily="18" charset="0"/>
            <a:cs typeface="Times New Roman" panose="02020603050405020304" pitchFamily="18" charset="0"/>
          </a:endParaRPr>
        </a:p>
      </xdr:txBody>
    </xdr:sp>
    <xdr:clientData/>
  </xdr:twoCellAnchor>
  <xdr:twoCellAnchor>
    <xdr:from>
      <xdr:col>3</xdr:col>
      <xdr:colOff>670561</xdr:colOff>
      <xdr:row>36</xdr:row>
      <xdr:rowOff>8965</xdr:rowOff>
    </xdr:from>
    <xdr:to>
      <xdr:col>12</xdr:col>
      <xdr:colOff>601981</xdr:colOff>
      <xdr:row>52</xdr:row>
      <xdr:rowOff>7620</xdr:rowOff>
    </xdr:to>
    <xdr:sp macro="" textlink="">
      <xdr:nvSpPr>
        <xdr:cNvPr id="1705" name="TextBox 2">
          <a:extLst>
            <a:ext uri="{FF2B5EF4-FFF2-40B4-BE49-F238E27FC236}">
              <a16:creationId xmlns:a16="http://schemas.microsoft.com/office/drawing/2014/main" id="{976087CD-A5EF-7A72-3D7B-D52786A257FB}"/>
            </a:ext>
          </a:extLst>
        </xdr:cNvPr>
        <xdr:cNvSpPr txBox="1"/>
      </xdr:nvSpPr>
      <xdr:spPr>
        <a:xfrm>
          <a:off x="5692141" y="7141285"/>
          <a:ext cx="5486400" cy="3168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La</a:t>
          </a:r>
          <a:r>
            <a:rPr lang="en-US" sz="1100" baseline="0">
              <a:latin typeface="Times New Roman" panose="02020603050405020304" pitchFamily="18" charset="0"/>
              <a:cs typeface="Times New Roman" panose="02020603050405020304" pitchFamily="18" charset="0"/>
            </a:rPr>
            <a:t> empresa Espumas S.A, tiene un 4.7% más de utilidad generada por cada quetzal de ventas que tiene luego de pagar impuesto, por lo que muestra que le restan una pequeña cantidad de ganancia en el período de 2022. Asimismo, de la utilidad operativo, tiene un margen de un 50.0% para poder cubrir gastos que sean ajenos al costo de ventas de los productos que venden, lo cual no representa mucho pero se puede decir que suficiente para cubir los gastos ajenos, de los cuales los gastos operativos de la empresa representan un 16.6% de utilidad antes de impuestos.</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La capacidad de la empresa para generar utilidades a patir de sus activos para el período de 2022, es de 30 centavos de quetzal por cada unidad que invertía en sus activos, asimismo el rendimiento de la empresa para generar utilidades netas para sus accionistas comunes queda de aproximadamente 9 centavos de quetzal por cada activo que la empresa posee.</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De igual manera, al observar la rentabilidad del capital invertido por accionistas comunes, se tiene un 13.2% para el período del 2022 para poder generar ganancias a partir del capital propio, por lo que las ganancias por acción de la empresa para 2022 son de 3.13 quetzales, por lo que los accionistas estarán muy felices con su rendimiento para su retribución.</a:t>
          </a:r>
        </a:p>
        <a:p>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xdr:txBody>
    </xdr:sp>
    <xdr:clientData/>
  </xdr:twoCellAnchor>
  <xdr:twoCellAnchor>
    <xdr:from>
      <xdr:col>4</xdr:col>
      <xdr:colOff>6723</xdr:colOff>
      <xdr:row>12</xdr:row>
      <xdr:rowOff>108025</xdr:rowOff>
    </xdr:from>
    <xdr:to>
      <xdr:col>13</xdr:col>
      <xdr:colOff>0</xdr:colOff>
      <xdr:row>26</xdr:row>
      <xdr:rowOff>182880</xdr:rowOff>
    </xdr:to>
    <xdr:sp macro="" textlink="">
      <xdr:nvSpPr>
        <xdr:cNvPr id="4" name="TextBox 3">
          <a:extLst>
            <a:ext uri="{FF2B5EF4-FFF2-40B4-BE49-F238E27FC236}">
              <a16:creationId xmlns:a16="http://schemas.microsoft.com/office/drawing/2014/main" id="{D5E669F1-646E-D976-5B2F-572F1DC5C6DD}"/>
            </a:ext>
          </a:extLst>
        </xdr:cNvPr>
        <xdr:cNvSpPr txBox="1"/>
      </xdr:nvSpPr>
      <xdr:spPr>
        <a:xfrm>
          <a:off x="5706483" y="2485465"/>
          <a:ext cx="5479677" cy="2848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Al</a:t>
          </a:r>
          <a:r>
            <a:rPr lang="en-US" sz="1100" baseline="0">
              <a:latin typeface="Times New Roman" panose="02020603050405020304" pitchFamily="18" charset="0"/>
              <a:cs typeface="Times New Roman" panose="02020603050405020304" pitchFamily="18" charset="0"/>
            </a:rPr>
            <a:t> observar el manejo de inventario, solamente se puede hacer una preducción contando con un solo período de análisis, por lo que en el año de 2022 la empresa es capaz de vaciar sus almacenes con inventario aproximadamente 3 veces, teniendo un promedio de 149 días que mantiene ese inventario en bodegas, con lo que por el giro del negocio de venta de jabones, es correcto que los productos pasen un tiempo en la bodega, debido a no ser productos perecederos como alimentos.</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Asimismo, la empresa Espumas S.A tarda aproximadamente 34 días en cobrar una venta al crédito en el año 2022, por lo que se debe evaluar su política de créditos para ver sí estan operando sobre el margen normal o deben hacer cambios.</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Se logra observar que en el período de 2022, Espumas S.A aprovecha sus activos para generar ventas en 1.83 quetzales de venta, mientras que al analizar el aprovechamiento de los activos fijos en Propiedad, Planta y Equipo, la empresa hace provecho en una eficiencia de5.51 quetzales por venta por invertir en estos activos.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896</xdr:colOff>
      <xdr:row>53</xdr:row>
      <xdr:rowOff>182880</xdr:rowOff>
    </xdr:from>
    <xdr:to>
      <xdr:col>12</xdr:col>
      <xdr:colOff>609599</xdr:colOff>
      <xdr:row>60</xdr:row>
      <xdr:rowOff>56478</xdr:rowOff>
    </xdr:to>
    <xdr:sp macro="" textlink="">
      <xdr:nvSpPr>
        <xdr:cNvPr id="2191" name="TextBox 5">
          <a:extLst>
            <a:ext uri="{FF2B5EF4-FFF2-40B4-BE49-F238E27FC236}">
              <a16:creationId xmlns:a16="http://schemas.microsoft.com/office/drawing/2014/main" id="{9C2FFD48-CF66-F4D8-A194-3CCF973028A2}"/>
            </a:ext>
          </a:extLst>
        </xdr:cNvPr>
        <xdr:cNvSpPr txBox="1"/>
      </xdr:nvSpPr>
      <xdr:spPr>
        <a:xfrm>
          <a:off x="5700656" y="10683240"/>
          <a:ext cx="5485503" cy="1260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La evaluación de mercado actual de</a:t>
          </a:r>
          <a:r>
            <a:rPr lang="en-US" sz="1100" baseline="0">
              <a:latin typeface="Times New Roman" panose="02020603050405020304" pitchFamily="18" charset="0"/>
              <a:cs typeface="Times New Roman" panose="02020603050405020304" pitchFamily="18" charset="0"/>
            </a:rPr>
            <a:t> la acción basada en las ganancias de la empresa para 2022 es de 7.7 quetzales, lo que sería el precio al cual estaría dispuesto pagar un accionista por cada quetzal de ganancia en la empresa.</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De igual manera, la empresa para 2022 con base en su relación de valor de mercado y valor en libros, la empresa puede que haya aumentado su valor o se halla mantenido, dependiendo del rendimiento de períodos anteriores.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7620</xdr:colOff>
      <xdr:row>66</xdr:row>
      <xdr:rowOff>7618</xdr:rowOff>
    </xdr:from>
    <xdr:to>
      <xdr:col>12</xdr:col>
      <xdr:colOff>601980</xdr:colOff>
      <xdr:row>74</xdr:row>
      <xdr:rowOff>178486</xdr:rowOff>
    </xdr:to>
    <xdr:sp macro="" textlink="">
      <xdr:nvSpPr>
        <xdr:cNvPr id="3" name="TextBox 2">
          <a:extLst>
            <a:ext uri="{FF2B5EF4-FFF2-40B4-BE49-F238E27FC236}">
              <a16:creationId xmlns:a16="http://schemas.microsoft.com/office/drawing/2014/main" id="{D9D09403-72BA-8D6C-C029-B2FE08E97009}"/>
            </a:ext>
          </a:extLst>
        </xdr:cNvPr>
        <xdr:cNvSpPr txBox="1"/>
      </xdr:nvSpPr>
      <xdr:spPr>
        <a:xfrm>
          <a:off x="618593" y="13146969"/>
          <a:ext cx="10575873" cy="17635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Times New Roman" panose="02020603050405020304" pitchFamily="18" charset="0"/>
              <a:cs typeface="Times New Roman" panose="02020603050405020304" pitchFamily="18" charset="0"/>
            </a:rPr>
            <a:t>Conclusión</a:t>
          </a:r>
        </a:p>
        <a:p>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Espuma,</a:t>
          </a:r>
          <a:r>
            <a:rPr lang="en-US" sz="1100" baseline="0">
              <a:latin typeface="Times New Roman" panose="02020603050405020304" pitchFamily="18" charset="0"/>
              <a:cs typeface="Times New Roman" panose="02020603050405020304" pitchFamily="18" charset="0"/>
            </a:rPr>
            <a:t> S.A. es una empresa dedicada a la venta de jabones en Guatemala y venta en Quetzaltenango, por lo que a través de sus estados financieros y el análisis mediante razones, se puede concluir que para el período del año 2022, tuvo un buen desempeño, debido a que ciertos indicadores indican que la empresa ha sabido hacer un uso correcto y apropiado de sus recursos como activos, utilidades y capital, dando un beneficio a la empresa. A pesar de que la utilidad retenida se ha visto decrecido alarmantemente comparanda con el período anterior, con un valor de Q1,388,750.00 a Q131,250.00, sus índices de razón financiera indican que ha podido compensar en otros aspectos, incluso ha logrado mantener o agregar valor a la empresa en el mercado, además de contar con un buen manejo de sus recursos donde gran cantidad resta a patir de la utilidad bruta, han logrado cubir todos sus costos y gastos, además presentan buenos índices para poder cubir gastos extras, el pago de los prestamos actuales que tiene la empresa, tanto a corto y largo plazo que logran cubrir sin problema, además de ofrecer ganancias a sus accionistas y contar con una muy buena liquidez pero sobre todo una buena prueba ácida, donde el valor de sus propios activos son suficientes y con la venta de inventario son capaces de obtener mayor ganancia.</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596265</xdr:colOff>
      <xdr:row>5</xdr:row>
      <xdr:rowOff>116204</xdr:rowOff>
    </xdr:from>
    <xdr:to>
      <xdr:col>10</xdr:col>
      <xdr:colOff>440265</xdr:colOff>
      <xdr:row>14</xdr:row>
      <xdr:rowOff>68579</xdr:rowOff>
    </xdr:to>
    <xdr:sp macro="" textlink="">
      <xdr:nvSpPr>
        <xdr:cNvPr id="11" name="TextBox 1">
          <a:extLst>
            <a:ext uri="{FF2B5EF4-FFF2-40B4-BE49-F238E27FC236}">
              <a16:creationId xmlns:a16="http://schemas.microsoft.com/office/drawing/2014/main" id="{F5FA552A-8D71-0040-16C7-11601FA8ADD3}"/>
            </a:ext>
          </a:extLst>
        </xdr:cNvPr>
        <xdr:cNvSpPr txBox="1"/>
      </xdr:nvSpPr>
      <xdr:spPr>
        <a:xfrm>
          <a:off x="596265" y="1030604"/>
          <a:ext cx="5940000" cy="15982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dk1"/>
              </a:solidFill>
              <a:latin typeface="Times New Roman" panose="02020603050405020304" pitchFamily="18" charset="0"/>
              <a:cs typeface="Times New Roman" panose="02020603050405020304" pitchFamily="18" charset="0"/>
            </a:rPr>
            <a:t>Recomendación No. 1:</a:t>
          </a:r>
        </a:p>
        <a:p>
          <a:pPr marL="0" indent="0"/>
          <a:endParaRPr lang="en-US" sz="1100" b="0" i="0" u="none" strike="noStrike">
            <a:solidFill>
              <a:schemeClr val="dk1"/>
            </a:solidFill>
            <a:latin typeface="Times New Roman" panose="02020603050405020304" pitchFamily="18" charset="0"/>
            <a:cs typeface="Times New Roman" panose="02020603050405020304" pitchFamily="18" charset="0"/>
          </a:endParaRPr>
        </a:p>
        <a:p>
          <a:pPr marL="0" indent="0"/>
          <a:r>
            <a:rPr lang="en-US" sz="1100" b="0" i="0" u="none" strike="noStrike">
              <a:solidFill>
                <a:schemeClr val="dk1"/>
              </a:solidFill>
              <a:latin typeface="Times New Roman" panose="02020603050405020304" pitchFamily="18" charset="0"/>
              <a:cs typeface="Times New Roman" panose="02020603050405020304" pitchFamily="18" charset="0"/>
            </a:rPr>
            <a:t>Se</a:t>
          </a:r>
          <a:r>
            <a:rPr lang="en-US" sz="1100" b="0" i="0" u="none" strike="noStrike" baseline="0">
              <a:solidFill>
                <a:schemeClr val="dk1"/>
              </a:solidFill>
              <a:latin typeface="Times New Roman" panose="02020603050405020304" pitchFamily="18" charset="0"/>
              <a:cs typeface="Times New Roman" panose="02020603050405020304" pitchFamily="18" charset="0"/>
            </a:rPr>
            <a:t> recomienda</a:t>
          </a:r>
          <a:r>
            <a:rPr lang="en-US" sz="1100" b="0" i="0" u="none" strike="noStrike">
              <a:solidFill>
                <a:schemeClr val="dk1"/>
              </a:solidFill>
              <a:latin typeface="Times New Roman" panose="02020603050405020304" pitchFamily="18" charset="0"/>
              <a:cs typeface="Times New Roman" panose="02020603050405020304" pitchFamily="18" charset="0"/>
            </a:rPr>
            <a:t> llevar a cabo una exhaustiva revisión de la estructura de capital y pasivos de la empresa, dada la presencia tanto de capital común como preferente y de deudas a</a:t>
          </a:r>
          <a:r>
            <a:rPr lang="en-US" sz="1100" b="0" i="0" u="none" strike="noStrike" baseline="0">
              <a:solidFill>
                <a:schemeClr val="dk1"/>
              </a:solidFill>
              <a:latin typeface="Times New Roman" panose="02020603050405020304" pitchFamily="18" charset="0"/>
              <a:cs typeface="Times New Roman" panose="02020603050405020304" pitchFamily="18" charset="0"/>
            </a:rPr>
            <a:t> corto y largo plazo</a:t>
          </a:r>
          <a:r>
            <a:rPr lang="en-US" sz="1100" b="0" i="0" u="none" strike="noStrike">
              <a:solidFill>
                <a:schemeClr val="dk1"/>
              </a:solidFill>
              <a:latin typeface="Times New Roman" panose="02020603050405020304" pitchFamily="18" charset="0"/>
              <a:cs typeface="Times New Roman" panose="02020603050405020304" pitchFamily="18" charset="0"/>
            </a:rPr>
            <a:t>. Este análisis es fundamental para determinar la eficiencia en términos de costos y beneficios asociados. Una estructura de capital óptima y pasivos puede potenciar la rentabilidad para los accionistas y mitigar los costos de financiamiento. Asimismo, influye significativamente en la percepción de los inversionistas respecto a la solidez financiera de la empresa, particularmente en lo que respecta a la distribución de dividendos</a:t>
          </a:r>
        </a:p>
      </xdr:txBody>
    </xdr:sp>
    <xdr:clientData/>
  </xdr:twoCellAnchor>
  <xdr:twoCellAnchor>
    <xdr:from>
      <xdr:col>0</xdr:col>
      <xdr:colOff>581025</xdr:colOff>
      <xdr:row>14</xdr:row>
      <xdr:rowOff>161925</xdr:rowOff>
    </xdr:from>
    <xdr:to>
      <xdr:col>10</xdr:col>
      <xdr:colOff>425025</xdr:colOff>
      <xdr:row>23</xdr:row>
      <xdr:rowOff>129540</xdr:rowOff>
    </xdr:to>
    <xdr:sp macro="" textlink="">
      <xdr:nvSpPr>
        <xdr:cNvPr id="51" name="CuadroTexto 2">
          <a:extLst>
            <a:ext uri="{FF2B5EF4-FFF2-40B4-BE49-F238E27FC236}">
              <a16:creationId xmlns:a16="http://schemas.microsoft.com/office/drawing/2014/main" id="{593F6469-5A50-4DEE-873D-0F5E37DB5F75}"/>
            </a:ext>
            <a:ext uri="{147F2762-F138-4A5C-976F-8EAC2B608ADB}">
              <a16:predDERef xmlns:a16="http://schemas.microsoft.com/office/drawing/2014/main" pred="{F5FA552A-8D71-0040-16C7-11601FA8ADD3}"/>
            </a:ext>
          </a:extLst>
        </xdr:cNvPr>
        <xdr:cNvSpPr txBox="1"/>
      </xdr:nvSpPr>
      <xdr:spPr>
        <a:xfrm>
          <a:off x="581025" y="2722245"/>
          <a:ext cx="5940000" cy="161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b="0" i="0" u="none" strike="noStrike">
              <a:solidFill>
                <a:schemeClr val="dk1"/>
              </a:solidFill>
              <a:latin typeface="Times New Roman" panose="02020603050405020304" pitchFamily="18" charset="0"/>
              <a:cs typeface="Times New Roman" panose="02020603050405020304" pitchFamily="18" charset="0"/>
            </a:rPr>
            <a:t>Recomendación No. 2:</a:t>
          </a:r>
        </a:p>
        <a:p>
          <a:pPr marL="0" indent="0"/>
          <a:endParaRPr lang="en-US" sz="1100" b="0" i="0" u="none" strike="noStrike">
            <a:solidFill>
              <a:schemeClr val="dk1"/>
            </a:solidFill>
            <a:latin typeface="Times New Roman" panose="02020603050405020304" pitchFamily="18" charset="0"/>
            <a:cs typeface="Times New Roman" panose="02020603050405020304" pitchFamily="18" charset="0"/>
          </a:endParaRPr>
        </a:p>
        <a:p>
          <a:pPr marL="0" indent="0"/>
          <a:r>
            <a:rPr lang="en-US" sz="1100" b="0" i="0" u="none" strike="noStrike">
              <a:solidFill>
                <a:schemeClr val="dk1"/>
              </a:solidFill>
              <a:latin typeface="Times New Roman" panose="02020603050405020304" pitchFamily="18" charset="0"/>
              <a:cs typeface="Times New Roman" panose="02020603050405020304" pitchFamily="18" charset="0"/>
            </a:rPr>
            <a:t>Dado el volumen de inventarios y cuentas por cobrar, seria beneficioso aplciar estrategias de gestión más eficaces. Estas medias podrian ser desde la revision de los términos de crédito con los clientes hasta la negociación con proveedores para optimizar los niveles de inventario, también se recomienda la implemetacion de un sistema de gestión de inventarios que nos ayude a llevar un control más preciso, lo que nos ayudaria a una reducción de costos asociado. La implementación de una gestión más eficiente de inventarios y cuentas por cobrar tiene las ventajas de liberar liquidez y potenciar la solidez financiera de la empresa</a:t>
          </a:r>
        </a:p>
      </xdr:txBody>
    </xdr:sp>
    <xdr:clientData/>
  </xdr:twoCellAnchor>
  <xdr:twoCellAnchor>
    <xdr:from>
      <xdr:col>1</xdr:col>
      <xdr:colOff>9525</xdr:colOff>
      <xdr:row>24</xdr:row>
      <xdr:rowOff>47625</xdr:rowOff>
    </xdr:from>
    <xdr:to>
      <xdr:col>10</xdr:col>
      <xdr:colOff>463125</xdr:colOff>
      <xdr:row>32</xdr:row>
      <xdr:rowOff>7620</xdr:rowOff>
    </xdr:to>
    <xdr:sp macro="" textlink="">
      <xdr:nvSpPr>
        <xdr:cNvPr id="53" name="CuadroTexto 19">
          <a:extLst>
            <a:ext uri="{FF2B5EF4-FFF2-40B4-BE49-F238E27FC236}">
              <a16:creationId xmlns:a16="http://schemas.microsoft.com/office/drawing/2014/main" id="{E6C3E0DF-6596-B937-C942-87C30F344850}"/>
            </a:ext>
          </a:extLst>
        </xdr:cNvPr>
        <xdr:cNvSpPr txBox="1"/>
      </xdr:nvSpPr>
      <xdr:spPr>
        <a:xfrm>
          <a:off x="619125" y="4436745"/>
          <a:ext cx="5940000" cy="1423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latin typeface="Times New Roman" panose="02020603050405020304" pitchFamily="18" charset="0"/>
              <a:cs typeface="Times New Roman" panose="02020603050405020304" pitchFamily="18" charset="0"/>
            </a:rPr>
            <a:t>Recomendación</a:t>
          </a:r>
          <a:r>
            <a:rPr lang="es-GT" sz="1100" baseline="0">
              <a:latin typeface="Times New Roman" panose="02020603050405020304" pitchFamily="18" charset="0"/>
              <a:cs typeface="Times New Roman" panose="02020603050405020304" pitchFamily="18" charset="0"/>
            </a:rPr>
            <a:t> No. 3:</a:t>
          </a:r>
        </a:p>
        <a:p>
          <a:endParaRPr lang="es-GT" sz="1100" baseline="0">
            <a:latin typeface="Times New Roman" panose="02020603050405020304" pitchFamily="18" charset="0"/>
            <a:cs typeface="Times New Roman" panose="02020603050405020304" pitchFamily="18" charset="0"/>
          </a:endParaRPr>
        </a:p>
        <a:p>
          <a:r>
            <a:rPr lang="es-GT" sz="1100">
              <a:latin typeface="Times New Roman" panose="02020603050405020304" pitchFamily="18" charset="0"/>
              <a:cs typeface="Times New Roman" panose="02020603050405020304" pitchFamily="18" charset="0"/>
            </a:rPr>
            <a:t>Dado que los gastos operativos representan una parte significativa de los recursos que la empresa posee, con un total de Q2,675,00.00, sería prudente establecer un objetivo de reducción de costos. Se recomienda llevar a cabo un análisis exhaustivo de estos gastos para identificar áreas donde se pueda realizar recortes de manera eficiente. Esta medida podría contribuir a mejorar tanto la rentabilidad como la eficiencia operativa.</a:t>
          </a:r>
        </a:p>
        <a:p>
          <a:endParaRPr lang="es-GT" sz="1100">
            <a:latin typeface="Times New Roman" panose="02020603050405020304" pitchFamily="18" charset="0"/>
            <a:cs typeface="Times New Roman" panose="02020603050405020304" pitchFamily="18" charset="0"/>
          </a:endParaRPr>
        </a:p>
      </xdr:txBody>
    </xdr:sp>
    <xdr:clientData/>
  </xdr:twoCellAnchor>
  <xdr:twoCellAnchor>
    <xdr:from>
      <xdr:col>0</xdr:col>
      <xdr:colOff>590550</xdr:colOff>
      <xdr:row>32</xdr:row>
      <xdr:rowOff>104775</xdr:rowOff>
    </xdr:from>
    <xdr:to>
      <xdr:col>10</xdr:col>
      <xdr:colOff>434550</xdr:colOff>
      <xdr:row>39</xdr:row>
      <xdr:rowOff>38100</xdr:rowOff>
    </xdr:to>
    <xdr:sp macro="" textlink="">
      <xdr:nvSpPr>
        <xdr:cNvPr id="74" name="CuadroTexto 22">
          <a:extLst>
            <a:ext uri="{FF2B5EF4-FFF2-40B4-BE49-F238E27FC236}">
              <a16:creationId xmlns:a16="http://schemas.microsoft.com/office/drawing/2014/main" id="{49F70051-D68E-72A5-182D-54A39FD7A18A}"/>
            </a:ext>
          </a:extLst>
        </xdr:cNvPr>
        <xdr:cNvSpPr txBox="1"/>
      </xdr:nvSpPr>
      <xdr:spPr>
        <a:xfrm>
          <a:off x="590550" y="5956935"/>
          <a:ext cx="5940000" cy="12134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latin typeface="Times New Roman" panose="02020603050405020304" pitchFamily="18" charset="0"/>
              <a:cs typeface="Times New Roman" panose="02020603050405020304" pitchFamily="18" charset="0"/>
            </a:rPr>
            <a:t>Recomendación No. 4:</a:t>
          </a:r>
          <a:r>
            <a:rPr lang="es-GT" sz="1100" baseline="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s-GT" sz="11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Times New Roman" panose="02020603050405020304" pitchFamily="18" charset="0"/>
              <a:ea typeface="+mn-ea"/>
              <a:cs typeface="Times New Roman" panose="02020603050405020304" pitchFamily="18" charset="0"/>
            </a:rPr>
            <a:t>Debido a que la empresa posee gastos de intereses, resulta fundamental garantizar la sostenibilidad de la empresa para hacerse carga de la deuda. Por lo tanto, se recomienda que se contemple una estrategia para administrar y disminuir la deuda a largo plazo, en caso de ser viable.</a:t>
          </a:r>
        </a:p>
        <a:p>
          <a:endParaRPr lang="es-GT" sz="1100">
            <a:latin typeface="Times New Roman" panose="02020603050405020304" pitchFamily="18" charset="0"/>
            <a:cs typeface="Times New Roman" panose="02020603050405020304" pitchFamily="18" charset="0"/>
          </a:endParaRPr>
        </a:p>
      </xdr:txBody>
    </xdr:sp>
    <xdr:clientData/>
  </xdr:twoCellAnchor>
  <xdr:twoCellAnchor>
    <xdr:from>
      <xdr:col>1</xdr:col>
      <xdr:colOff>7620</xdr:colOff>
      <xdr:row>40</xdr:row>
      <xdr:rowOff>15240</xdr:rowOff>
    </xdr:from>
    <xdr:to>
      <xdr:col>10</xdr:col>
      <xdr:colOff>461220</xdr:colOff>
      <xdr:row>47</xdr:row>
      <xdr:rowOff>53340</xdr:rowOff>
    </xdr:to>
    <xdr:sp macro="" textlink="">
      <xdr:nvSpPr>
        <xdr:cNvPr id="75" name="TextBox 74">
          <a:extLst>
            <a:ext uri="{FF2B5EF4-FFF2-40B4-BE49-F238E27FC236}">
              <a16:creationId xmlns:a16="http://schemas.microsoft.com/office/drawing/2014/main" id="{2E6B9865-EB0E-038A-C61E-5DF610DCB1C6}"/>
            </a:ext>
          </a:extLst>
        </xdr:cNvPr>
        <xdr:cNvSpPr txBox="1"/>
      </xdr:nvSpPr>
      <xdr:spPr>
        <a:xfrm>
          <a:off x="617220" y="7330440"/>
          <a:ext cx="594000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Recomendación No.</a:t>
          </a:r>
          <a:r>
            <a:rPr lang="en-US" sz="1100" baseline="0">
              <a:latin typeface="Times New Roman" panose="02020603050405020304" pitchFamily="18" charset="0"/>
              <a:cs typeface="Times New Roman" panose="02020603050405020304" pitchFamily="18" charset="0"/>
            </a:rPr>
            <a:t> 5:</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Se recomienda hacer una revisión de la política de créditos de la empresa Espumas S.A, debido a que a que no se cuenta con el dato para validar sí la medida de 34 días aproximadamente de cobro por crédito obtenida en el 2022 es correcta o se necesita evaluar mecanismos para hacer eficientes los procesos de cobro o cualqueir otro aspecto que implique un retraso en los pagos por parte de los clientes.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601980</xdr:colOff>
      <xdr:row>1</xdr:row>
      <xdr:rowOff>0</xdr:rowOff>
    </xdr:from>
    <xdr:to>
      <xdr:col>10</xdr:col>
      <xdr:colOff>445980</xdr:colOff>
      <xdr:row>4</xdr:row>
      <xdr:rowOff>114300</xdr:rowOff>
    </xdr:to>
    <xdr:sp macro="" textlink="">
      <xdr:nvSpPr>
        <xdr:cNvPr id="76" name="TextBox 75">
          <a:extLst>
            <a:ext uri="{FF2B5EF4-FFF2-40B4-BE49-F238E27FC236}">
              <a16:creationId xmlns:a16="http://schemas.microsoft.com/office/drawing/2014/main" id="{6AB58CFD-D1C4-3DC5-D280-700A64F30264}"/>
            </a:ext>
          </a:extLst>
        </xdr:cNvPr>
        <xdr:cNvSpPr txBox="1"/>
      </xdr:nvSpPr>
      <xdr:spPr>
        <a:xfrm>
          <a:off x="601980" y="182880"/>
          <a:ext cx="594000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Como asesores financieros, según los datos obtenidos y</a:t>
          </a:r>
          <a:r>
            <a:rPr lang="en-US" sz="1100" baseline="0">
              <a:latin typeface="Times New Roman" panose="02020603050405020304" pitchFamily="18" charset="0"/>
              <a:cs typeface="Times New Roman" panose="02020603050405020304" pitchFamily="18" charset="0"/>
            </a:rPr>
            <a:t> resultados evaluados, se hacen las siguientes recomendaciones.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594360</xdr:colOff>
      <xdr:row>48</xdr:row>
      <xdr:rowOff>0</xdr:rowOff>
    </xdr:from>
    <xdr:to>
      <xdr:col>10</xdr:col>
      <xdr:colOff>438360</xdr:colOff>
      <xdr:row>55</xdr:row>
      <xdr:rowOff>53340</xdr:rowOff>
    </xdr:to>
    <xdr:sp macro="" textlink="">
      <xdr:nvSpPr>
        <xdr:cNvPr id="77" name="TextBox 76">
          <a:extLst>
            <a:ext uri="{FF2B5EF4-FFF2-40B4-BE49-F238E27FC236}">
              <a16:creationId xmlns:a16="http://schemas.microsoft.com/office/drawing/2014/main" id="{C2B10EEA-9D8D-68E4-B1E6-78C8F0B1EABA}"/>
            </a:ext>
          </a:extLst>
        </xdr:cNvPr>
        <xdr:cNvSpPr txBox="1"/>
      </xdr:nvSpPr>
      <xdr:spPr>
        <a:xfrm>
          <a:off x="594360" y="8778240"/>
          <a:ext cx="59400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Recomendación No. 6:</a:t>
          </a:r>
        </a:p>
        <a:p>
          <a:endParaRPr lang="en-US" sz="110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Debido</a:t>
          </a:r>
          <a:r>
            <a:rPr lang="en-US" sz="1100" baseline="0">
              <a:latin typeface="Times New Roman" panose="02020603050405020304" pitchFamily="18" charset="0"/>
              <a:cs typeface="Times New Roman" panose="02020603050405020304" pitchFamily="18" charset="0"/>
            </a:rPr>
            <a:t> a que según el análisis por razones financieras en los índices de administración de deudas, se determinó que la empresa Espumas, S.A., tiene la capacidad sin problema alguno de cubir pagos por deudas además que actualmente muy poco de la empresa (20%) conformaría parte de deuda. Por tanto, se recomienda que Espumas, S.A. pueda pagar en su totalidad o gran parte de los financiamientos que posee en documentos por pagar a largo y corto plazo, para reducir la deuda y aumentar las ganancias.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590550</xdr:colOff>
      <xdr:row>56</xdr:row>
      <xdr:rowOff>95250</xdr:rowOff>
    </xdr:from>
    <xdr:to>
      <xdr:col>10</xdr:col>
      <xdr:colOff>434550</xdr:colOff>
      <xdr:row>65</xdr:row>
      <xdr:rowOff>38100</xdr:rowOff>
    </xdr:to>
    <xdr:sp macro="" textlink="">
      <xdr:nvSpPr>
        <xdr:cNvPr id="111" name="CuadroTexto 1332">
          <a:extLst>
            <a:ext uri="{FF2B5EF4-FFF2-40B4-BE49-F238E27FC236}">
              <a16:creationId xmlns:a16="http://schemas.microsoft.com/office/drawing/2014/main" id="{50FB3554-E9C1-BB22-2023-269878C5250B}"/>
            </a:ext>
          </a:extLst>
        </xdr:cNvPr>
        <xdr:cNvSpPr txBox="1"/>
      </xdr:nvSpPr>
      <xdr:spPr>
        <a:xfrm>
          <a:off x="590550" y="10336530"/>
          <a:ext cx="5940000" cy="1588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latin typeface="Times New Roman" panose="02020603050405020304" pitchFamily="18" charset="0"/>
              <a:cs typeface="Times New Roman" panose="02020603050405020304" pitchFamily="18" charset="0"/>
            </a:rPr>
            <a:t>Recomendación</a:t>
          </a:r>
          <a:r>
            <a:rPr lang="es-GT" sz="1100" baseline="0">
              <a:latin typeface="Times New Roman" panose="02020603050405020304" pitchFamily="18" charset="0"/>
              <a:cs typeface="Times New Roman" panose="02020603050405020304" pitchFamily="18" charset="0"/>
            </a:rPr>
            <a:t> No. 7: </a:t>
          </a:r>
        </a:p>
        <a:p>
          <a:endParaRPr lang="es-GT" sz="1100" baseline="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Times New Roman" panose="02020603050405020304" pitchFamily="18" charset="0"/>
              <a:ea typeface="+mn-ea"/>
              <a:cs typeface="Times New Roman" panose="02020603050405020304" pitchFamily="18" charset="0"/>
            </a:rPr>
            <a:t>Dado que la empresa posee un patrimonio estable, se recomienda tener en cuenta la posibilidad de invertir en el crecimiento de la empresa, ya sea con la expansión de instalaciones desarrollo de nuevos productos, investigación para nuevos productos o expansión en infraestructura. Es una buena idea realizar alguna de estas tomando en cuenta siempre que se posee una deuda a largo plazo y además que cualquier inversión, se debe de analizar con cuidad y tener un plan bien estructurado para esto.</a:t>
          </a:r>
        </a:p>
      </xdr:txBody>
    </xdr:sp>
    <xdr:clientData/>
  </xdr:twoCellAnchor>
  <xdr:twoCellAnchor>
    <xdr:from>
      <xdr:col>0</xdr:col>
      <xdr:colOff>601980</xdr:colOff>
      <xdr:row>66</xdr:row>
      <xdr:rowOff>30480</xdr:rowOff>
    </xdr:from>
    <xdr:to>
      <xdr:col>10</xdr:col>
      <xdr:colOff>445980</xdr:colOff>
      <xdr:row>73</xdr:row>
      <xdr:rowOff>7620</xdr:rowOff>
    </xdr:to>
    <xdr:sp macro="" textlink="">
      <xdr:nvSpPr>
        <xdr:cNvPr id="112" name="TextBox 111">
          <a:extLst>
            <a:ext uri="{FF2B5EF4-FFF2-40B4-BE49-F238E27FC236}">
              <a16:creationId xmlns:a16="http://schemas.microsoft.com/office/drawing/2014/main" id="{3E7CBB01-68A5-3CDF-775E-7BFA155F41C4}"/>
            </a:ext>
          </a:extLst>
        </xdr:cNvPr>
        <xdr:cNvSpPr txBox="1"/>
      </xdr:nvSpPr>
      <xdr:spPr>
        <a:xfrm>
          <a:off x="601980" y="12100560"/>
          <a:ext cx="594000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Recomendación No. 8:</a:t>
          </a:r>
        </a:p>
        <a:p>
          <a:endParaRPr lang="en-US" sz="110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Debido a que según</a:t>
          </a:r>
          <a:r>
            <a:rPr lang="en-US" sz="1100" baseline="0">
              <a:latin typeface="Times New Roman" panose="02020603050405020304" pitchFamily="18" charset="0"/>
              <a:cs typeface="Times New Roman" panose="02020603050405020304" pitchFamily="18" charset="0"/>
            </a:rPr>
            <a:t> el análisis de los índices de razones financieras, se recomienda a la empresa Espumas, S.A. a mantener o mejorar el rendimiento actual, haciendo buen uso de sus activos, tanto circulantes como fijos y de su capacidad para cubrir gastos y deuda, además de agregar valor a la empresa y el precio por acción. De igual manera, se recomienda agrandar la Reserva Legal en caso la empresa lo necesite en un futuro.</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510540</xdr:colOff>
      <xdr:row>6</xdr:row>
      <xdr:rowOff>146684</xdr:rowOff>
    </xdr:from>
    <xdr:to>
      <xdr:col>19</xdr:col>
      <xdr:colOff>198120</xdr:colOff>
      <xdr:row>18</xdr:row>
      <xdr:rowOff>95249</xdr:rowOff>
    </xdr:to>
    <xdr:sp macro="" textlink="">
      <xdr:nvSpPr>
        <xdr:cNvPr id="820" name="CuadroTexto 2">
          <a:extLst>
            <a:ext uri="{FF2B5EF4-FFF2-40B4-BE49-F238E27FC236}">
              <a16:creationId xmlns:a16="http://schemas.microsoft.com/office/drawing/2014/main" id="{CE804BBE-FAB5-4E24-8277-5F2164C10F5A}"/>
            </a:ext>
            <a:ext uri="{147F2762-F138-4A5C-976F-8EAC2B608ADB}">
              <a16:predDERef xmlns:a16="http://schemas.microsoft.com/office/drawing/2014/main" pred="{48C2F0F2-91A0-EC16-3067-04C4B29FE60C}"/>
            </a:ext>
          </a:extLst>
        </xdr:cNvPr>
        <xdr:cNvSpPr txBox="1"/>
      </xdr:nvSpPr>
      <xdr:spPr>
        <a:xfrm>
          <a:off x="12273915" y="1727834"/>
          <a:ext cx="5383530" cy="2348865"/>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Análisis Activos</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El efectivo experimentó un incremento del 175% durante el año 2021, con un aumento del 2.60% al 5.56% en el 2022 mejorando la liquidez de la empresa. Esto implica un incremento en valores negociables del 32.8%, Documentos por Cobrar del 41.7% y Cuentas por Cobrar del 37.5%. Sin embargo, una disminución del 33.3% en los intereses por cobrar acumulados, indicando que los intereses ganadsos en el 2021 fueron más que en el 2022. Por otra parte, el Inventario aumentó en un 11.11% esto significa que la empresa logró</a:t>
          </a:r>
          <a:r>
            <a:rPr lang="en-US" sz="1100" b="0" i="0" u="none" strike="noStrike" baseline="0">
              <a:solidFill>
                <a:srgbClr val="000000"/>
              </a:solidFill>
              <a:latin typeface="Times New Roman" panose="02020603050405020304" pitchFamily="18" charset="0"/>
              <a:cs typeface="Times New Roman" panose="02020603050405020304" pitchFamily="18" charset="0"/>
            </a:rPr>
            <a:t> vender más en 2022 y necesitó de más materia prima para cumplir con su cometido</a:t>
          </a:r>
          <a:r>
            <a:rPr lang="en-US" sz="1100" b="0" i="0" u="none" strike="noStrike">
              <a:solidFill>
                <a:srgbClr val="000000"/>
              </a:solidFill>
              <a:latin typeface="Times New Roman" panose="02020603050405020304" pitchFamily="18" charset="0"/>
              <a:cs typeface="Times New Roman" panose="02020603050405020304" pitchFamily="18" charset="0"/>
            </a:rPr>
            <a:t>. Por último, los gastos prepagados experimentaron un aumento del 300%, lo que sugiere que la empresa ha comenzado a realizar pagos que serán beneficiarios en el futuro, anticipando beneficios económicos a lo largo del tiempo. La planta y equipo (NETO) aumento un 23.2% indicando que hay un crecimiento de su capacidad operativa,</a:t>
          </a:r>
          <a:r>
            <a:rPr lang="en-US" sz="1100" b="0" i="0" u="none" strike="noStrike" baseline="0">
              <a:solidFill>
                <a:srgbClr val="000000"/>
              </a:solidFill>
              <a:latin typeface="Times New Roman" panose="02020603050405020304" pitchFamily="18" charset="0"/>
              <a:cs typeface="Times New Roman" panose="02020603050405020304" pitchFamily="18" charset="0"/>
            </a:rPr>
            <a:t> tanto en inversión de esta o expasión de los mismos</a:t>
          </a:r>
          <a:r>
            <a:rPr lang="en-US" sz="1100" b="0" i="0" u="none" strike="noStrike">
              <a:solidFill>
                <a:srgbClr val="000000"/>
              </a:solidFill>
              <a:latin typeface="Times New Roman" panose="02020603050405020304" pitchFamily="18" charset="0"/>
              <a:cs typeface="Times New Roman" panose="02020603050405020304" pitchFamily="18" charset="0"/>
            </a:rPr>
            <a:t>.</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184785</xdr:colOff>
      <xdr:row>20</xdr:row>
      <xdr:rowOff>108585</xdr:rowOff>
    </xdr:from>
    <xdr:to>
      <xdr:col>20</xdr:col>
      <xdr:colOff>260985</xdr:colOff>
      <xdr:row>36</xdr:row>
      <xdr:rowOff>156210</xdr:rowOff>
    </xdr:to>
    <xdr:sp macro="" textlink="">
      <xdr:nvSpPr>
        <xdr:cNvPr id="81" name="CuadroTexto 3">
          <a:extLst>
            <a:ext uri="{FF2B5EF4-FFF2-40B4-BE49-F238E27FC236}">
              <a16:creationId xmlns:a16="http://schemas.microsoft.com/office/drawing/2014/main" id="{5EA367AE-ACFA-43F8-97AB-504D6324A4FD}"/>
            </a:ext>
            <a:ext uri="{147F2762-F138-4A5C-976F-8EAC2B608ADB}">
              <a16:predDERef xmlns:a16="http://schemas.microsoft.com/office/drawing/2014/main" pred="{CE804BBE-FAB5-4E24-8277-5F2164C10F5A}"/>
            </a:ext>
          </a:extLst>
        </xdr:cNvPr>
        <xdr:cNvSpPr txBox="1"/>
      </xdr:nvSpPr>
      <xdr:spPr>
        <a:xfrm>
          <a:off x="13275945" y="4451985"/>
          <a:ext cx="5562600" cy="3217545"/>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Análisis de Pasivos:</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Los documentos por pagar a corto plazo (CP) disminuyeron en un 18.2% con respecto al 2021, lo que indica que lograron reducir las deudas a corto plazo. En cuanto a las cuentas por pagar, hubo un aumento del 24.6%, lo que significa que la empresa está dependiendo más de financiamiento a través de créditos con proveedores. Los intereses por pagar aumentaron significativamente en un 46.7% en 2022, lo que indica un mayor nivel de deuda con intereses a pagar. El ISR por pagar disminuyó un 20%, pasando de Q10,000 en 2021 a Q8,000 en 2022. Por último, los otros gastos acumulados por pagar disminuyeron drásticamente en un 66.7%, indicando una reducción de provisiones para los gastos adicionales que la empresa debía.</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En cuanto a los documentos por pagar a largo plazo (LP) en el 2022, cuentan con Q40,000, lo que representa un 4.04% en el total del pasivo. Mientras que en el 2021 no tienen saldo, indicando que no había documentos por pagar LP en ese año y en el 2022 recurrieron a una nueva fuente de financiamiento, para poder sustentar</a:t>
          </a:r>
          <a:r>
            <a:rPr lang="en-US" sz="1100" b="0" i="0" u="none" strike="noStrike" baseline="0">
              <a:solidFill>
                <a:srgbClr val="000000"/>
              </a:solidFill>
              <a:latin typeface="Times New Roman" panose="02020603050405020304" pitchFamily="18" charset="0"/>
              <a:cs typeface="Times New Roman" panose="02020603050405020304" pitchFamily="18" charset="0"/>
            </a:rPr>
            <a:t> un inremento en operación</a:t>
          </a:r>
          <a:r>
            <a:rPr lang="en-US" sz="1100" b="0" i="0" u="none" strike="noStrike">
              <a:solidFill>
                <a:srgbClr val="000000"/>
              </a:solidFill>
              <a:latin typeface="Times New Roman" panose="02020603050405020304" pitchFamily="18" charset="0"/>
              <a:cs typeface="Times New Roman" panose="02020603050405020304" pitchFamily="18" charset="0"/>
            </a:rPr>
            <a:t>. Los bonos por pagar aumentaron un 33.33%, lo que indica que se emitieron más bonos en 2022 que en 2021. Por otro lado, se observa un aumento significativo en el porcentaje horizontal del capital en acciones y el capital pagado adicional, siendo del 20% y 40% respectivamente.</a:t>
          </a:r>
        </a:p>
      </xdr:txBody>
    </xdr:sp>
    <xdr:clientData/>
  </xdr:twoCellAnchor>
  <xdr:twoCellAnchor>
    <xdr:from>
      <xdr:col>8</xdr:col>
      <xdr:colOff>76200</xdr:colOff>
      <xdr:row>43</xdr:row>
      <xdr:rowOff>85725</xdr:rowOff>
    </xdr:from>
    <xdr:to>
      <xdr:col>12</xdr:col>
      <xdr:colOff>561975</xdr:colOff>
      <xdr:row>57</xdr:row>
      <xdr:rowOff>38100</xdr:rowOff>
    </xdr:to>
    <xdr:sp macro="" textlink="">
      <xdr:nvSpPr>
        <xdr:cNvPr id="19" name="CuadroTexto 1">
          <a:extLst>
            <a:ext uri="{FF2B5EF4-FFF2-40B4-BE49-F238E27FC236}">
              <a16:creationId xmlns:a16="http://schemas.microsoft.com/office/drawing/2014/main" id="{0F17433B-108C-41E1-88F5-96751CBF388E}"/>
            </a:ext>
            <a:ext uri="{147F2762-F138-4A5C-976F-8EAC2B608ADB}">
              <a16:predDERef xmlns:a16="http://schemas.microsoft.com/office/drawing/2014/main" pred="{5EA367AE-ACFA-43F8-97AB-504D6324A4FD}"/>
            </a:ext>
          </a:extLst>
        </xdr:cNvPr>
        <xdr:cNvSpPr txBox="1"/>
      </xdr:nvSpPr>
      <xdr:spPr>
        <a:xfrm>
          <a:off x="9382125" y="8467725"/>
          <a:ext cx="4191000" cy="2619375"/>
        </a:xfrm>
        <a:prstGeom prst="rect">
          <a:avLst/>
        </a:prstGeom>
        <a:solidFill>
          <a:schemeClr val="lt1"/>
        </a:solidFill>
        <a:ln w="9525" cmpd="sng">
          <a:solidFill>
            <a:schemeClr val="lt1">
              <a:shade val="50000"/>
            </a:schemeClr>
          </a:solidFill>
        </a:ln>
      </xdr:spPr>
      <xdr:txBody>
        <a:bodyPr spcFirstLastPara="0"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Análisis Estado de Resultados</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El análisis se hace unicamente en el año 2022, uno los indices es la utilidad neta que es representa con un 7.22% del total de ventas, esto nos indica que la empresa esta obteniendo una utilidad neta baja en comparación con el total de ingresos o gastos. </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La Utilidad Bruta nos indica en</a:t>
          </a:r>
          <a:r>
            <a:rPr lang="en-US" sz="1100" b="0" i="0" u="none" strike="noStrike" baseline="0">
              <a:solidFill>
                <a:srgbClr val="000000"/>
              </a:solidFill>
              <a:latin typeface="Times New Roman" panose="02020603050405020304" pitchFamily="18" charset="0"/>
              <a:cs typeface="Times New Roman" panose="02020603050405020304" pitchFamily="18" charset="0"/>
            </a:rPr>
            <a:t> el </a:t>
          </a:r>
          <a:r>
            <a:rPr lang="en-US" sz="1100" b="0" i="0" u="none" strike="noStrike">
              <a:solidFill>
                <a:srgbClr val="000000"/>
              </a:solidFill>
              <a:latin typeface="Times New Roman" panose="02020603050405020304" pitchFamily="18" charset="0"/>
              <a:cs typeface="Times New Roman" panose="02020603050405020304" pitchFamily="18" charset="0"/>
            </a:rPr>
            <a:t>% vertical que los ingresos totales son 44.44% esto nos indica</a:t>
          </a:r>
          <a:r>
            <a:rPr lang="en-US" sz="1100" b="0" i="0" u="none" strike="noStrike" baseline="0">
              <a:solidFill>
                <a:srgbClr val="000000"/>
              </a:solidFill>
              <a:latin typeface="Times New Roman" panose="02020603050405020304" pitchFamily="18" charset="0"/>
              <a:cs typeface="Times New Roman" panose="02020603050405020304" pitchFamily="18" charset="0"/>
            </a:rPr>
            <a:t> que </a:t>
          </a:r>
          <a:r>
            <a:rPr lang="en-US" sz="1100" b="0" i="0" u="none" strike="noStrike">
              <a:solidFill>
                <a:srgbClr val="000000"/>
              </a:solidFill>
              <a:latin typeface="Times New Roman" panose="02020603050405020304" pitchFamily="18" charset="0"/>
              <a:cs typeface="Times New Roman" panose="02020603050405020304" pitchFamily="18" charset="0"/>
            </a:rPr>
            <a:t>son tanto ingresos como margen bruto.</a:t>
          </a: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r>
            <a:rPr lang="en-US" sz="1100" b="0" i="0" u="none" strike="noStrike">
              <a:solidFill>
                <a:srgbClr val="000000"/>
              </a:solidFill>
              <a:latin typeface="Times New Roman" panose="02020603050405020304" pitchFamily="18" charset="0"/>
              <a:cs typeface="Times New Roman" panose="02020603050405020304" pitchFamily="18" charset="0"/>
            </a:rPr>
            <a:t>Asimismo</a:t>
          </a:r>
          <a:r>
            <a:rPr lang="en-US" sz="1100" b="0" i="0" u="none" strike="noStrike" baseline="0">
              <a:solidFill>
                <a:srgbClr val="000000"/>
              </a:solidFill>
              <a:latin typeface="Times New Roman" panose="02020603050405020304" pitchFamily="18" charset="0"/>
              <a:cs typeface="Times New Roman" panose="02020603050405020304" pitchFamily="18" charset="0"/>
            </a:rPr>
            <a:t>, los costos de venta representan una gran parte de las ventas, con un 55%, seguido de los gastos de operación con un 33.33%; donde sin contar la depreciación, conforman un 28.89% de las ventas. Siendo dos aspectos grandes que la Compañia Alisson debe cubrir y reduce su margen final de ganancia.</a:t>
          </a:r>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a:p>
          <a:pPr marL="0" indent="0" algn="l"/>
          <a:endParaRPr lang="en-US" sz="1100" b="0" i="0" u="none" strike="noStrike">
            <a:solidFill>
              <a:srgbClr val="00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57E8-60C8-4221-929C-D17D1000F0F5}">
  <dimension ref="B2:I10"/>
  <sheetViews>
    <sheetView tabSelected="1" workbookViewId="0"/>
  </sheetViews>
  <sheetFormatPr defaultColWidth="8.88671875" defaultRowHeight="15.6" x14ac:dyDescent="0.3"/>
  <cols>
    <col min="1" max="16384" width="8.88671875" style="1"/>
  </cols>
  <sheetData>
    <row r="2" spans="2:9" ht="17.399999999999999" x14ac:dyDescent="0.3">
      <c r="B2" s="73" t="s">
        <v>242</v>
      </c>
      <c r="C2" s="73"/>
      <c r="D2" s="73"/>
      <c r="E2" s="73"/>
      <c r="F2" s="73"/>
      <c r="G2" s="73"/>
      <c r="H2" s="73"/>
      <c r="I2" s="73"/>
    </row>
    <row r="4" spans="2:9" ht="20.399999999999999" x14ac:dyDescent="0.35">
      <c r="B4" s="74" t="s">
        <v>0</v>
      </c>
      <c r="C4" s="74"/>
      <c r="D4" s="74"/>
      <c r="E4" s="74"/>
      <c r="F4" s="74"/>
      <c r="G4" s="74"/>
      <c r="H4" s="74"/>
      <c r="I4" s="74"/>
    </row>
    <row r="5" spans="2:9" ht="14.4" customHeight="1" x14ac:dyDescent="0.3"/>
    <row r="6" spans="2:9" ht="14.4" customHeight="1" x14ac:dyDescent="0.3">
      <c r="B6" s="72" t="s">
        <v>1</v>
      </c>
      <c r="C6" s="72"/>
      <c r="D6" s="72"/>
      <c r="E6" s="72"/>
      <c r="F6" s="72"/>
      <c r="G6" s="72"/>
      <c r="H6" s="72"/>
      <c r="I6" s="72"/>
    </row>
    <row r="7" spans="2:9" ht="14.4" customHeight="1" x14ac:dyDescent="0.3">
      <c r="B7" s="72" t="s">
        <v>2</v>
      </c>
      <c r="C7" s="72"/>
      <c r="D7" s="72"/>
      <c r="E7" s="72"/>
      <c r="F7" s="72"/>
      <c r="G7" s="72"/>
      <c r="H7" s="72"/>
      <c r="I7" s="72"/>
    </row>
    <row r="8" spans="2:9" ht="14.4" customHeight="1" x14ac:dyDescent="0.3">
      <c r="B8" s="72" t="s">
        <v>3</v>
      </c>
      <c r="C8" s="72"/>
      <c r="D8" s="72"/>
      <c r="E8" s="72"/>
      <c r="F8" s="72"/>
      <c r="G8" s="72"/>
      <c r="H8" s="72"/>
      <c r="I8" s="72"/>
    </row>
    <row r="9" spans="2:9" ht="14.4" customHeight="1" x14ac:dyDescent="0.3">
      <c r="B9" s="72" t="s">
        <v>4</v>
      </c>
      <c r="C9" s="72"/>
      <c r="D9" s="72"/>
      <c r="E9" s="72"/>
      <c r="F9" s="72"/>
      <c r="G9" s="72"/>
      <c r="H9" s="72"/>
      <c r="I9" s="72"/>
    </row>
    <row r="10" spans="2:9" ht="14.4" customHeight="1" x14ac:dyDescent="0.3">
      <c r="B10" s="72" t="s">
        <v>5</v>
      </c>
      <c r="C10" s="72"/>
      <c r="D10" s="72"/>
      <c r="E10" s="72"/>
      <c r="F10" s="72"/>
      <c r="G10" s="72"/>
      <c r="H10" s="72"/>
      <c r="I10" s="72"/>
    </row>
  </sheetData>
  <mergeCells count="7">
    <mergeCell ref="B9:I9"/>
    <mergeCell ref="B10:I10"/>
    <mergeCell ref="B2:I2"/>
    <mergeCell ref="B4:I4"/>
    <mergeCell ref="B6:I6"/>
    <mergeCell ref="B7:I7"/>
    <mergeCell ref="B8:I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CAF45-7D34-4ACF-9962-7E6F4228534C}">
  <dimension ref="B2:C12"/>
  <sheetViews>
    <sheetView workbookViewId="0"/>
  </sheetViews>
  <sheetFormatPr defaultColWidth="8.88671875" defaultRowHeight="15.6" x14ac:dyDescent="0.3"/>
  <cols>
    <col min="1" max="1" width="8.88671875" style="1"/>
    <col min="2" max="2" width="67.5546875" style="1" bestFit="1" customWidth="1"/>
    <col min="3" max="3" width="16.109375" style="1" bestFit="1" customWidth="1"/>
    <col min="4" max="16384" width="8.88671875" style="1"/>
  </cols>
  <sheetData>
    <row r="2" spans="2:3" x14ac:dyDescent="0.3">
      <c r="B2" s="1" t="s">
        <v>177</v>
      </c>
    </row>
    <row r="3" spans="2:3" x14ac:dyDescent="0.3">
      <c r="B3" s="1" t="s">
        <v>204</v>
      </c>
    </row>
    <row r="4" spans="2:3" x14ac:dyDescent="0.3">
      <c r="B4" s="1" t="s">
        <v>205</v>
      </c>
    </row>
    <row r="5" spans="2:3" x14ac:dyDescent="0.3">
      <c r="B5" s="1" t="s">
        <v>131</v>
      </c>
    </row>
    <row r="7" spans="2:3" x14ac:dyDescent="0.3">
      <c r="B7" s="1" t="s">
        <v>206</v>
      </c>
      <c r="C7" s="59">
        <f>'ER y BG % C2'!F35</f>
        <v>170000</v>
      </c>
    </row>
    <row r="8" spans="2:3" x14ac:dyDescent="0.3">
      <c r="B8" s="1" t="s">
        <v>207</v>
      </c>
      <c r="C8" s="60">
        <v>65000</v>
      </c>
    </row>
    <row r="9" spans="2:3" x14ac:dyDescent="0.3">
      <c r="B9" s="5" t="s">
        <v>208</v>
      </c>
      <c r="C9" s="61">
        <f>C7+C8</f>
        <v>235000</v>
      </c>
    </row>
    <row r="10" spans="2:3" x14ac:dyDescent="0.3">
      <c r="B10" s="1" t="s">
        <v>209</v>
      </c>
      <c r="C10" s="60">
        <f>C8-'ER y BG % C2'!J35</f>
        <v>40000</v>
      </c>
    </row>
    <row r="11" spans="2:3" ht="16.2" thickBot="1" x14ac:dyDescent="0.35">
      <c r="B11" s="6" t="s">
        <v>210</v>
      </c>
      <c r="C11" s="62">
        <f>C9-C10</f>
        <v>195000</v>
      </c>
    </row>
    <row r="12" spans="2:3" ht="16.2" thickTop="1"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6CC7-A1E0-4D58-94CC-78F5F0112013}">
  <dimension ref="B2:L43"/>
  <sheetViews>
    <sheetView workbookViewId="0"/>
  </sheetViews>
  <sheetFormatPr defaultColWidth="8.88671875" defaultRowHeight="13.8" x14ac:dyDescent="0.25"/>
  <cols>
    <col min="1" max="1" width="8.88671875" style="36"/>
    <col min="2" max="2" width="47.21875" style="36" bestFit="1" customWidth="1"/>
    <col min="3" max="3" width="13.33203125" style="36" bestFit="1" customWidth="1"/>
    <col min="4" max="4" width="8.88671875" style="36" bestFit="1" customWidth="1"/>
    <col min="5" max="5" width="8.88671875" style="36" bestFit="1"/>
    <col min="6" max="6" width="12.109375" style="36" bestFit="1" customWidth="1"/>
    <col min="7" max="7" width="8.88671875" style="36" bestFit="1"/>
    <col min="8" max="8" width="11.44140625" style="36" bestFit="1" customWidth="1"/>
    <col min="9" max="16384" width="8.88671875" style="36"/>
  </cols>
  <sheetData>
    <row r="2" spans="2:3" x14ac:dyDescent="0.25">
      <c r="B2" s="36" t="s">
        <v>246</v>
      </c>
    </row>
    <row r="3" spans="2:3" x14ac:dyDescent="0.25">
      <c r="B3" s="36" t="s">
        <v>211</v>
      </c>
    </row>
    <row r="4" spans="2:3" x14ac:dyDescent="0.25">
      <c r="B4" s="36" t="s">
        <v>212</v>
      </c>
    </row>
    <row r="5" spans="2:3" x14ac:dyDescent="0.25">
      <c r="B5" s="36" t="s">
        <v>131</v>
      </c>
    </row>
    <row r="7" spans="2:3" x14ac:dyDescent="0.25">
      <c r="B7" s="37" t="s">
        <v>213</v>
      </c>
    </row>
    <row r="8" spans="2:3" x14ac:dyDescent="0.25">
      <c r="B8" s="36" t="s">
        <v>164</v>
      </c>
      <c r="C8" s="38">
        <f>'ER y BG % C2'!F61</f>
        <v>65000</v>
      </c>
    </row>
    <row r="9" spans="2:3" x14ac:dyDescent="0.25">
      <c r="B9" s="36" t="s">
        <v>214</v>
      </c>
      <c r="C9" s="38">
        <f>'ER y BG % C2'!D50</f>
        <v>40000</v>
      </c>
    </row>
    <row r="10" spans="2:3" hidden="1" x14ac:dyDescent="0.25">
      <c r="B10" s="36" t="s">
        <v>215</v>
      </c>
      <c r="C10" s="38">
        <v>-31000</v>
      </c>
    </row>
    <row r="11" spans="2:3" x14ac:dyDescent="0.25">
      <c r="B11" s="36" t="s">
        <v>216</v>
      </c>
      <c r="C11" s="38">
        <f>-'ER y BG % C2'!J10</f>
        <v>-5000</v>
      </c>
    </row>
    <row r="12" spans="2:3" x14ac:dyDescent="0.25">
      <c r="B12" s="36" t="s">
        <v>217</v>
      </c>
      <c r="C12" s="38">
        <f>-'ER y BG % C2'!J11</f>
        <v>-30000</v>
      </c>
    </row>
    <row r="13" spans="2:3" x14ac:dyDescent="0.25">
      <c r="B13" s="36" t="s">
        <v>218</v>
      </c>
      <c r="C13" s="38">
        <f>-'ER y BG % C2'!J13</f>
        <v>-10000</v>
      </c>
    </row>
    <row r="14" spans="2:3" x14ac:dyDescent="0.25">
      <c r="B14" s="36" t="s">
        <v>219</v>
      </c>
      <c r="C14" s="38">
        <f>-'ER y BG % C2'!J14</f>
        <v>-3000</v>
      </c>
    </row>
    <row r="15" spans="2:3" x14ac:dyDescent="0.25">
      <c r="B15" s="36" t="s">
        <v>220</v>
      </c>
      <c r="C15" s="38">
        <f>'ER y BG % C2'!J23</f>
        <v>15000</v>
      </c>
    </row>
    <row r="16" spans="2:3" x14ac:dyDescent="0.25">
      <c r="B16" s="36" t="s">
        <v>221</v>
      </c>
      <c r="C16" s="38">
        <f>'ER y BG % C2'!J25</f>
        <v>-2000</v>
      </c>
    </row>
    <row r="17" spans="2:12" x14ac:dyDescent="0.25">
      <c r="B17" s="36" t="s">
        <v>222</v>
      </c>
      <c r="C17" s="38">
        <f>'ER y BG % C2'!J26</f>
        <v>-6000</v>
      </c>
    </row>
    <row r="18" spans="2:12" x14ac:dyDescent="0.25">
      <c r="B18" s="39" t="s">
        <v>223</v>
      </c>
      <c r="C18" s="40">
        <f>SUM(C8:C17)</f>
        <v>33000</v>
      </c>
    </row>
    <row r="19" spans="2:12" ht="14.4" x14ac:dyDescent="0.3">
      <c r="H19"/>
      <c r="L19"/>
    </row>
    <row r="20" spans="2:12" ht="14.4" x14ac:dyDescent="0.3">
      <c r="H20"/>
    </row>
    <row r="21" spans="2:12" ht="14.4" x14ac:dyDescent="0.3">
      <c r="B21" s="37" t="s">
        <v>224</v>
      </c>
      <c r="H21"/>
    </row>
    <row r="22" spans="2:12" hidden="1" x14ac:dyDescent="0.25">
      <c r="B22" s="36" t="s">
        <v>225</v>
      </c>
      <c r="C22" s="38">
        <v>31000</v>
      </c>
    </row>
    <row r="23" spans="2:12" x14ac:dyDescent="0.25">
      <c r="B23" s="36" t="s">
        <v>226</v>
      </c>
      <c r="C23" s="38">
        <f>-'ER y BG % C2'!J9</f>
        <v>-21000</v>
      </c>
    </row>
    <row r="24" spans="2:12" x14ac:dyDescent="0.25">
      <c r="B24" s="36" t="s">
        <v>227</v>
      </c>
      <c r="C24" s="38">
        <f>'ER y BG % C2'!J24</f>
        <v>7000</v>
      </c>
    </row>
    <row r="25" spans="2:12" x14ac:dyDescent="0.25">
      <c r="B25" s="36" t="s">
        <v>228</v>
      </c>
      <c r="C25" s="38">
        <f>'ER y BG % C2'!J30</f>
        <v>100000</v>
      </c>
    </row>
    <row r="26" spans="2:12" x14ac:dyDescent="0.25">
      <c r="B26" s="36" t="s">
        <v>229</v>
      </c>
      <c r="C26" s="38">
        <f>-('ER y BG % C2'!J16+C9)</f>
        <v>-156000</v>
      </c>
    </row>
    <row r="27" spans="2:12" x14ac:dyDescent="0.25">
      <c r="B27" s="36" t="s">
        <v>230</v>
      </c>
      <c r="C27" s="38">
        <f>-'ER y BG % C2'!J12</f>
        <v>1000</v>
      </c>
    </row>
    <row r="28" spans="2:12" x14ac:dyDescent="0.25">
      <c r="B28" s="39" t="s">
        <v>231</v>
      </c>
      <c r="C28" s="40">
        <f>SUM(C22:C27)</f>
        <v>-38000</v>
      </c>
    </row>
    <row r="31" spans="2:12" x14ac:dyDescent="0.25">
      <c r="B31" s="37" t="s">
        <v>232</v>
      </c>
    </row>
    <row r="32" spans="2:12" x14ac:dyDescent="0.25">
      <c r="B32" s="36" t="s">
        <v>233</v>
      </c>
      <c r="C32" s="38">
        <f>'ER y BG % C2'!J29</f>
        <v>40000</v>
      </c>
    </row>
    <row r="33" spans="2:8" x14ac:dyDescent="0.25">
      <c r="B33" s="36" t="s">
        <v>234</v>
      </c>
      <c r="C33" s="38">
        <f>'ER y BG % C2'!J33</f>
        <v>10000</v>
      </c>
      <c r="H33" s="38"/>
    </row>
    <row r="34" spans="2:8" x14ac:dyDescent="0.25">
      <c r="B34" s="36" t="s">
        <v>235</v>
      </c>
      <c r="C34" s="38">
        <f>'ER y BG % C2'!J34</f>
        <v>40000</v>
      </c>
      <c r="H34" s="38"/>
    </row>
    <row r="35" spans="2:8" x14ac:dyDescent="0.25">
      <c r="B35" s="36" t="s">
        <v>236</v>
      </c>
      <c r="C35" s="38">
        <f>'ER y BG % C2'!J22</f>
        <v>-10000</v>
      </c>
    </row>
    <row r="36" spans="2:8" x14ac:dyDescent="0.25">
      <c r="B36" s="36" t="s">
        <v>237</v>
      </c>
      <c r="C36" s="38">
        <f>-'Estado UR C2'!C10</f>
        <v>-40000</v>
      </c>
    </row>
    <row r="37" spans="2:8" x14ac:dyDescent="0.25">
      <c r="B37" s="39" t="s">
        <v>238</v>
      </c>
      <c r="C37" s="40">
        <f>SUM(C32:C36)</f>
        <v>40000</v>
      </c>
    </row>
    <row r="40" spans="2:8" x14ac:dyDescent="0.25">
      <c r="B40" s="39" t="s">
        <v>239</v>
      </c>
      <c r="C40" s="41">
        <f>C18+C28+C37</f>
        <v>35000</v>
      </c>
      <c r="F40" s="38"/>
    </row>
    <row r="41" spans="2:8" x14ac:dyDescent="0.25">
      <c r="B41" s="42" t="s">
        <v>240</v>
      </c>
      <c r="C41" s="41">
        <f>'ER y BG % C2'!F8</f>
        <v>20000</v>
      </c>
    </row>
    <row r="42" spans="2:8" ht="14.4" thickBot="1" x14ac:dyDescent="0.3">
      <c r="B42" s="39" t="s">
        <v>241</v>
      </c>
      <c r="C42" s="43">
        <f>C40+C41</f>
        <v>55000</v>
      </c>
    </row>
    <row r="43" spans="2:8" ht="14.4" thickTop="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F803-B112-4DF0-8165-F9F0416948F9}">
  <dimension ref="B2:I61"/>
  <sheetViews>
    <sheetView topLeftCell="A13" workbookViewId="0">
      <selection activeCell="E26" sqref="E26"/>
    </sheetView>
  </sheetViews>
  <sheetFormatPr defaultColWidth="8.88671875" defaultRowHeight="15.6" x14ac:dyDescent="0.3"/>
  <cols>
    <col min="1" max="4" width="8.88671875" style="1"/>
    <col min="5" max="5" width="41.5546875" style="1" bestFit="1" customWidth="1"/>
    <col min="6" max="6" width="16.5546875" style="1" bestFit="1" customWidth="1"/>
    <col min="7" max="16384" width="8.88671875" style="1"/>
  </cols>
  <sheetData>
    <row r="2" spans="2:9" x14ac:dyDescent="0.3">
      <c r="B2" s="76" t="s">
        <v>244</v>
      </c>
      <c r="C2" s="76"/>
      <c r="D2" s="76"/>
      <c r="E2" s="76"/>
      <c r="F2" s="76"/>
      <c r="G2" s="76"/>
      <c r="H2" s="76"/>
      <c r="I2" s="76"/>
    </row>
    <row r="4" spans="2:9" x14ac:dyDescent="0.3">
      <c r="B4" s="75" t="s">
        <v>6</v>
      </c>
      <c r="C4" s="75"/>
      <c r="D4" s="75"/>
      <c r="E4" s="75"/>
      <c r="F4" s="75"/>
      <c r="G4" s="75"/>
      <c r="H4" s="75"/>
      <c r="I4" s="75"/>
    </row>
    <row r="5" spans="2:9" x14ac:dyDescent="0.3">
      <c r="B5" s="75"/>
      <c r="C5" s="75"/>
      <c r="D5" s="75"/>
      <c r="E5" s="75"/>
      <c r="F5" s="75"/>
      <c r="G5" s="75"/>
      <c r="H5" s="75"/>
      <c r="I5" s="75"/>
    </row>
    <row r="6" spans="2:9" x14ac:dyDescent="0.3">
      <c r="B6" s="75"/>
      <c r="C6" s="75"/>
      <c r="D6" s="75"/>
      <c r="E6" s="75"/>
      <c r="F6" s="75"/>
      <c r="G6" s="75"/>
      <c r="H6" s="75"/>
      <c r="I6" s="75"/>
    </row>
    <row r="8" spans="2:9" x14ac:dyDescent="0.3">
      <c r="E8" s="1" t="s">
        <v>7</v>
      </c>
      <c r="F8" s="2">
        <v>125000</v>
      </c>
    </row>
    <row r="9" spans="2:9" x14ac:dyDescent="0.3">
      <c r="E9" s="1" t="s">
        <v>8</v>
      </c>
      <c r="F9" s="2">
        <v>260000</v>
      </c>
    </row>
    <row r="10" spans="2:9" x14ac:dyDescent="0.3">
      <c r="E10" s="1" t="s">
        <v>9</v>
      </c>
      <c r="F10" s="2">
        <v>1200000</v>
      </c>
    </row>
    <row r="11" spans="2:9" x14ac:dyDescent="0.3">
      <c r="E11" s="1" t="s">
        <v>10</v>
      </c>
      <c r="F11" s="2">
        <v>650000</v>
      </c>
    </row>
    <row r="12" spans="2:9" x14ac:dyDescent="0.3">
      <c r="E12" s="1" t="s">
        <v>11</v>
      </c>
      <c r="F12" s="2">
        <v>750000</v>
      </c>
    </row>
    <row r="13" spans="2:9" x14ac:dyDescent="0.3">
      <c r="E13" s="1" t="s">
        <v>12</v>
      </c>
      <c r="F13" s="2">
        <v>225000</v>
      </c>
    </row>
    <row r="14" spans="2:9" x14ac:dyDescent="0.3">
      <c r="E14" s="1" t="s">
        <v>13</v>
      </c>
      <c r="F14" s="2">
        <v>100000</v>
      </c>
    </row>
    <row r="15" spans="2:9" x14ac:dyDescent="0.3">
      <c r="E15" s="1" t="s">
        <v>14</v>
      </c>
      <c r="F15" s="2">
        <v>350000</v>
      </c>
    </row>
    <row r="16" spans="2:9" x14ac:dyDescent="0.3">
      <c r="E16" s="1" t="s">
        <v>15</v>
      </c>
      <c r="F16" s="2">
        <v>245000</v>
      </c>
    </row>
    <row r="17" spans="2:9" x14ac:dyDescent="0.3">
      <c r="E17" s="1" t="s">
        <v>16</v>
      </c>
      <c r="F17" s="2">
        <v>655000</v>
      </c>
    </row>
    <row r="18" spans="2:9" x14ac:dyDescent="0.3">
      <c r="E18" s="1" t="s">
        <v>17</v>
      </c>
      <c r="F18" s="2">
        <v>1635000</v>
      </c>
    </row>
    <row r="19" spans="2:9" x14ac:dyDescent="0.3">
      <c r="E19" s="1" t="s">
        <v>18</v>
      </c>
      <c r="F19" s="2">
        <v>450000</v>
      </c>
    </row>
    <row r="20" spans="2:9" x14ac:dyDescent="0.3">
      <c r="E20" s="1" t="s">
        <v>19</v>
      </c>
      <c r="F20" s="2">
        <v>40000</v>
      </c>
    </row>
    <row r="21" spans="2:9" x14ac:dyDescent="0.3">
      <c r="E21" s="1" t="s">
        <v>20</v>
      </c>
      <c r="F21" s="2">
        <v>465000</v>
      </c>
    </row>
    <row r="22" spans="2:9" x14ac:dyDescent="0.3">
      <c r="E22" s="1" t="s">
        <v>21</v>
      </c>
      <c r="F22" s="2">
        <v>325000</v>
      </c>
    </row>
    <row r="23" spans="2:9" x14ac:dyDescent="0.3">
      <c r="E23" s="1" t="s">
        <v>22</v>
      </c>
      <c r="F23" s="2">
        <v>130000</v>
      </c>
    </row>
    <row r="24" spans="2:9" x14ac:dyDescent="0.3">
      <c r="E24" s="1" t="s">
        <v>23</v>
      </c>
      <c r="F24" s="2">
        <v>85000</v>
      </c>
    </row>
    <row r="25" spans="2:9" x14ac:dyDescent="0.3">
      <c r="E25" s="1" t="s">
        <v>24</v>
      </c>
      <c r="F25" s="2">
        <v>1388750</v>
      </c>
    </row>
    <row r="26" spans="2:9" x14ac:dyDescent="0.3">
      <c r="E26" s="1" t="s">
        <v>25</v>
      </c>
      <c r="F26" s="1" t="s">
        <v>26</v>
      </c>
    </row>
    <row r="30" spans="2:9" x14ac:dyDescent="0.3">
      <c r="B30" s="78" t="s">
        <v>27</v>
      </c>
      <c r="C30" s="78"/>
      <c r="D30" s="78"/>
      <c r="E30" s="78"/>
      <c r="F30" s="78"/>
      <c r="G30" s="78"/>
      <c r="H30" s="78"/>
      <c r="I30" s="78"/>
    </row>
    <row r="31" spans="2:9" x14ac:dyDescent="0.3">
      <c r="B31" s="78" t="s">
        <v>28</v>
      </c>
      <c r="C31" s="78"/>
      <c r="D31" s="78"/>
      <c r="E31" s="78"/>
      <c r="F31" s="78"/>
      <c r="G31" s="78"/>
      <c r="H31" s="78"/>
      <c r="I31" s="78"/>
    </row>
    <row r="32" spans="2:9" x14ac:dyDescent="0.3">
      <c r="B32" s="78" t="s">
        <v>29</v>
      </c>
      <c r="C32" s="78"/>
      <c r="D32" s="78"/>
      <c r="E32" s="78"/>
      <c r="F32" s="78"/>
      <c r="G32" s="78"/>
      <c r="H32" s="78"/>
      <c r="I32" s="78"/>
    </row>
    <row r="33" spans="2:9" x14ac:dyDescent="0.3">
      <c r="B33" s="78" t="s">
        <v>30</v>
      </c>
      <c r="C33" s="78"/>
      <c r="D33" s="78"/>
      <c r="E33" s="78"/>
      <c r="F33" s="78"/>
      <c r="G33" s="78"/>
      <c r="H33" s="78"/>
      <c r="I33" s="78"/>
    </row>
    <row r="34" spans="2:9" x14ac:dyDescent="0.3">
      <c r="B34" s="77" t="s">
        <v>31</v>
      </c>
      <c r="C34" s="77"/>
      <c r="D34" s="77"/>
      <c r="E34" s="77"/>
      <c r="F34" s="77"/>
      <c r="G34" s="77"/>
      <c r="H34" s="77"/>
      <c r="I34" s="77"/>
    </row>
    <row r="35" spans="2:9" x14ac:dyDescent="0.3">
      <c r="B35" s="77"/>
      <c r="C35" s="77"/>
      <c r="D35" s="77"/>
      <c r="E35" s="77"/>
      <c r="F35" s="77"/>
      <c r="G35" s="77"/>
      <c r="H35" s="77"/>
      <c r="I35" s="77"/>
    </row>
    <row r="36" spans="2:9" x14ac:dyDescent="0.3">
      <c r="B36" s="78" t="s">
        <v>32</v>
      </c>
      <c r="C36" s="78"/>
      <c r="D36" s="78"/>
      <c r="E36" s="78"/>
      <c r="F36" s="78"/>
      <c r="G36" s="78"/>
      <c r="H36" s="78"/>
      <c r="I36" s="78"/>
    </row>
    <row r="37" spans="2:9" x14ac:dyDescent="0.3">
      <c r="B37" s="78" t="s">
        <v>33</v>
      </c>
      <c r="C37" s="78"/>
      <c r="D37" s="78"/>
      <c r="E37" s="78"/>
      <c r="F37" s="78"/>
      <c r="G37" s="78"/>
      <c r="H37" s="78"/>
      <c r="I37" s="78"/>
    </row>
    <row r="38" spans="2:9" x14ac:dyDescent="0.3">
      <c r="B38" s="77" t="s">
        <v>34</v>
      </c>
      <c r="C38" s="77"/>
      <c r="D38" s="77"/>
      <c r="E38" s="77"/>
      <c r="F38" s="77"/>
      <c r="G38" s="77"/>
      <c r="H38" s="77"/>
      <c r="I38" s="77"/>
    </row>
    <row r="39" spans="2:9" x14ac:dyDescent="0.3">
      <c r="B39" s="77"/>
      <c r="C39" s="77"/>
      <c r="D39" s="77"/>
      <c r="E39" s="77"/>
      <c r="F39" s="77"/>
      <c r="G39" s="77"/>
      <c r="H39" s="77"/>
      <c r="I39" s="77"/>
    </row>
    <row r="40" spans="2:9" x14ac:dyDescent="0.3">
      <c r="B40" s="78" t="s">
        <v>35</v>
      </c>
      <c r="C40" s="78"/>
      <c r="D40" s="78"/>
      <c r="E40" s="78"/>
      <c r="F40" s="78"/>
      <c r="G40" s="78"/>
      <c r="H40" s="78"/>
      <c r="I40" s="78"/>
    </row>
    <row r="41" spans="2:9" x14ac:dyDescent="0.3">
      <c r="B41" s="77" t="s">
        <v>36</v>
      </c>
      <c r="C41" s="77"/>
      <c r="D41" s="77"/>
      <c r="E41" s="77"/>
      <c r="F41" s="77"/>
      <c r="G41" s="77"/>
      <c r="H41" s="77"/>
      <c r="I41" s="77"/>
    </row>
    <row r="42" spans="2:9" x14ac:dyDescent="0.3">
      <c r="B42" s="77"/>
      <c r="C42" s="77"/>
      <c r="D42" s="77"/>
      <c r="E42" s="77"/>
      <c r="F42" s="77"/>
      <c r="G42" s="77"/>
      <c r="H42" s="77"/>
      <c r="I42" s="77"/>
    </row>
    <row r="43" spans="2:9" x14ac:dyDescent="0.3">
      <c r="B43" s="78" t="s">
        <v>37</v>
      </c>
      <c r="C43" s="78"/>
      <c r="D43" s="78"/>
      <c r="E43" s="78"/>
      <c r="F43" s="78"/>
      <c r="G43" s="78"/>
      <c r="H43" s="78"/>
      <c r="I43" s="78"/>
    </row>
    <row r="44" spans="2:9" x14ac:dyDescent="0.3">
      <c r="B44" s="78"/>
      <c r="C44" s="78"/>
      <c r="D44" s="78"/>
      <c r="E44" s="78"/>
      <c r="F44" s="78"/>
      <c r="G44" s="78"/>
      <c r="H44" s="78"/>
      <c r="I44" s="78"/>
    </row>
    <row r="45" spans="2:9" x14ac:dyDescent="0.3">
      <c r="B45" s="78" t="s">
        <v>38</v>
      </c>
      <c r="C45" s="78"/>
      <c r="D45" s="78"/>
      <c r="E45" s="78"/>
      <c r="F45" s="78"/>
      <c r="G45" s="78"/>
      <c r="H45" s="78"/>
      <c r="I45" s="78"/>
    </row>
    <row r="47" spans="2:9" ht="15.6" customHeight="1" x14ac:dyDescent="0.3">
      <c r="B47" s="77" t="s">
        <v>245</v>
      </c>
      <c r="C47" s="77"/>
      <c r="D47" s="77"/>
      <c r="E47" s="77"/>
      <c r="F47" s="77"/>
      <c r="G47" s="77"/>
      <c r="H47" s="77"/>
      <c r="I47" s="77"/>
    </row>
    <row r="48" spans="2:9" x14ac:dyDescent="0.3">
      <c r="B48" s="77"/>
      <c r="C48" s="77"/>
      <c r="D48" s="77"/>
      <c r="E48" s="77"/>
      <c r="F48" s="77"/>
      <c r="G48" s="77"/>
      <c r="H48" s="77"/>
      <c r="I48" s="77"/>
    </row>
    <row r="49" spans="2:9" x14ac:dyDescent="0.3">
      <c r="B49" s="77"/>
      <c r="C49" s="77"/>
      <c r="D49" s="77"/>
      <c r="E49" s="77"/>
      <c r="F49" s="77"/>
      <c r="G49" s="77"/>
      <c r="H49" s="77"/>
      <c r="I49" s="77"/>
    </row>
    <row r="50" spans="2:9" x14ac:dyDescent="0.3">
      <c r="B50" s="77"/>
      <c r="C50" s="77"/>
      <c r="D50" s="77"/>
      <c r="E50" s="77"/>
      <c r="F50" s="77"/>
      <c r="G50" s="77"/>
      <c r="H50" s="77"/>
      <c r="I50" s="77"/>
    </row>
    <row r="51" spans="2:9" x14ac:dyDescent="0.3">
      <c r="B51" s="77"/>
      <c r="C51" s="77"/>
      <c r="D51" s="77"/>
      <c r="E51" s="77"/>
      <c r="F51" s="77"/>
      <c r="G51" s="77"/>
      <c r="H51" s="77"/>
      <c r="I51" s="77"/>
    </row>
    <row r="52" spans="2:9" x14ac:dyDescent="0.3">
      <c r="B52" s="77"/>
      <c r="C52" s="77"/>
      <c r="D52" s="77"/>
      <c r="E52" s="77"/>
      <c r="F52" s="77"/>
      <c r="G52" s="77"/>
      <c r="H52" s="77"/>
      <c r="I52" s="77"/>
    </row>
    <row r="53" spans="2:9" x14ac:dyDescent="0.3">
      <c r="B53" s="77"/>
      <c r="C53" s="77"/>
      <c r="D53" s="77"/>
      <c r="E53" s="77"/>
      <c r="F53" s="77"/>
      <c r="G53" s="77"/>
      <c r="H53" s="77"/>
      <c r="I53" s="77"/>
    </row>
    <row r="54" spans="2:9" x14ac:dyDescent="0.3">
      <c r="B54" s="77"/>
      <c r="C54" s="77"/>
      <c r="D54" s="77"/>
      <c r="E54" s="77"/>
      <c r="F54" s="77"/>
      <c r="G54" s="77"/>
      <c r="H54" s="77"/>
      <c r="I54" s="77"/>
    </row>
    <row r="55" spans="2:9" x14ac:dyDescent="0.3">
      <c r="B55" s="77"/>
      <c r="C55" s="77"/>
      <c r="D55" s="77"/>
      <c r="E55" s="77"/>
      <c r="F55" s="77"/>
      <c r="G55" s="77"/>
      <c r="H55" s="77"/>
      <c r="I55" s="77"/>
    </row>
    <row r="56" spans="2:9" x14ac:dyDescent="0.3">
      <c r="B56" s="77"/>
      <c r="C56" s="77"/>
      <c r="D56" s="77"/>
      <c r="E56" s="77"/>
      <c r="F56" s="77"/>
      <c r="G56" s="77"/>
      <c r="H56" s="77"/>
      <c r="I56" s="77"/>
    </row>
    <row r="57" spans="2:9" x14ac:dyDescent="0.3">
      <c r="B57" s="77"/>
      <c r="C57" s="77"/>
      <c r="D57" s="77"/>
      <c r="E57" s="77"/>
      <c r="F57" s="77"/>
      <c r="G57" s="77"/>
      <c r="H57" s="77"/>
      <c r="I57" s="77"/>
    </row>
    <row r="58" spans="2:9" x14ac:dyDescent="0.3">
      <c r="B58" s="77"/>
      <c r="C58" s="77"/>
      <c r="D58" s="77"/>
      <c r="E58" s="77"/>
      <c r="F58" s="77"/>
      <c r="G58" s="77"/>
      <c r="H58" s="77"/>
      <c r="I58" s="77"/>
    </row>
    <row r="59" spans="2:9" x14ac:dyDescent="0.3">
      <c r="B59" s="69"/>
      <c r="C59" s="69"/>
      <c r="D59" s="69"/>
      <c r="E59" s="69"/>
      <c r="F59" s="69"/>
      <c r="G59" s="69"/>
      <c r="H59" s="69"/>
      <c r="I59" s="69"/>
    </row>
    <row r="60" spans="2:9" x14ac:dyDescent="0.3">
      <c r="B60" s="69"/>
      <c r="C60" s="69"/>
      <c r="D60" s="69"/>
      <c r="E60" s="69"/>
      <c r="F60" s="69"/>
      <c r="G60" s="69"/>
      <c r="H60" s="69"/>
      <c r="I60" s="69"/>
    </row>
    <row r="61" spans="2:9" x14ac:dyDescent="0.3">
      <c r="B61" s="69"/>
      <c r="C61" s="69"/>
      <c r="D61" s="69"/>
      <c r="E61" s="69"/>
      <c r="F61" s="69"/>
      <c r="G61" s="69"/>
      <c r="H61" s="69"/>
      <c r="I61" s="69"/>
    </row>
  </sheetData>
  <mergeCells count="15">
    <mergeCell ref="B43:I44"/>
    <mergeCell ref="B45:I45"/>
    <mergeCell ref="B47:I58"/>
    <mergeCell ref="B36:I36"/>
    <mergeCell ref="B37:I37"/>
    <mergeCell ref="B38:I39"/>
    <mergeCell ref="B40:I40"/>
    <mergeCell ref="B41:I42"/>
    <mergeCell ref="B4:I6"/>
    <mergeCell ref="B2:I2"/>
    <mergeCell ref="B34:I35"/>
    <mergeCell ref="B33:I33"/>
    <mergeCell ref="B32:I32"/>
    <mergeCell ref="B31:I31"/>
    <mergeCell ref="B30:I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BAB2-3DA1-48A2-BC45-2BA0015F7DC0}">
  <dimension ref="B2:F24"/>
  <sheetViews>
    <sheetView workbookViewId="0">
      <selection activeCell="K9" sqref="K9"/>
    </sheetView>
  </sheetViews>
  <sheetFormatPr defaultColWidth="8.88671875" defaultRowHeight="15.6" x14ac:dyDescent="0.3"/>
  <cols>
    <col min="1" max="1" width="9" style="1" bestFit="1" customWidth="1"/>
    <col min="2" max="2" width="43.88671875" style="1" bestFit="1" customWidth="1"/>
    <col min="3" max="3" width="16.5546875" style="1" bestFit="1" customWidth="1"/>
    <col min="4" max="4" width="16.109375" style="1" customWidth="1"/>
    <col min="5" max="5" width="21.33203125" style="1" bestFit="1" customWidth="1"/>
    <col min="6" max="6" width="25.109375" style="1" bestFit="1" customWidth="1"/>
    <col min="7" max="16384" width="8.88671875" style="1"/>
  </cols>
  <sheetData>
    <row r="2" spans="2:6" x14ac:dyDescent="0.3">
      <c r="B2" s="33" t="s">
        <v>39</v>
      </c>
      <c r="C2" s="33"/>
      <c r="D2" s="33"/>
      <c r="E2" s="71" t="s">
        <v>40</v>
      </c>
      <c r="F2" s="33" t="s">
        <v>41</v>
      </c>
    </row>
    <row r="3" spans="2:6" x14ac:dyDescent="0.3">
      <c r="B3" s="29" t="s">
        <v>18</v>
      </c>
      <c r="C3" s="34">
        <v>450000</v>
      </c>
      <c r="D3" s="34"/>
      <c r="E3" s="71"/>
      <c r="F3" s="33" t="s">
        <v>42</v>
      </c>
    </row>
    <row r="4" spans="2:6" x14ac:dyDescent="0.3">
      <c r="B4" s="29" t="s">
        <v>7</v>
      </c>
      <c r="C4" s="34">
        <v>-125000</v>
      </c>
      <c r="D4" s="29"/>
      <c r="E4" s="71" t="s">
        <v>43</v>
      </c>
      <c r="F4" s="33" t="s">
        <v>42</v>
      </c>
    </row>
    <row r="5" spans="2:6" x14ac:dyDescent="0.3">
      <c r="B5" s="29" t="s">
        <v>13</v>
      </c>
      <c r="C5" s="34">
        <v>1635000</v>
      </c>
      <c r="D5" s="34"/>
      <c r="E5" s="71" t="s">
        <v>43</v>
      </c>
      <c r="F5" s="33" t="s">
        <v>44</v>
      </c>
    </row>
    <row r="6" spans="2:6" x14ac:dyDescent="0.3">
      <c r="B6" s="29" t="s">
        <v>19</v>
      </c>
      <c r="C6" s="34">
        <v>40000</v>
      </c>
      <c r="D6" s="34"/>
      <c r="E6" s="71"/>
      <c r="F6" s="33" t="s">
        <v>44</v>
      </c>
    </row>
    <row r="7" spans="2:6" x14ac:dyDescent="0.3">
      <c r="B7" s="29" t="s">
        <v>8</v>
      </c>
      <c r="C7" s="34">
        <v>260000</v>
      </c>
      <c r="D7" s="34"/>
      <c r="E7" s="71" t="s">
        <v>43</v>
      </c>
      <c r="F7" s="33" t="s">
        <v>44</v>
      </c>
    </row>
    <row r="8" spans="2:6" x14ac:dyDescent="0.3">
      <c r="B8" s="29" t="s">
        <v>14</v>
      </c>
      <c r="C8" s="34">
        <v>350000</v>
      </c>
      <c r="D8" s="34"/>
      <c r="E8" s="71" t="s">
        <v>43</v>
      </c>
      <c r="F8" s="33" t="s">
        <v>42</v>
      </c>
    </row>
    <row r="9" spans="2:6" x14ac:dyDescent="0.3">
      <c r="B9" s="29" t="s">
        <v>11</v>
      </c>
      <c r="C9" s="34">
        <v>750000</v>
      </c>
      <c r="D9" s="34"/>
      <c r="E9" s="71" t="s">
        <v>43</v>
      </c>
      <c r="F9" s="33" t="s">
        <v>44</v>
      </c>
    </row>
    <row r="10" spans="2:6" x14ac:dyDescent="0.3">
      <c r="B10" s="29" t="s">
        <v>16</v>
      </c>
      <c r="C10" s="34">
        <v>655000</v>
      </c>
      <c r="D10" s="34"/>
      <c r="E10" s="71" t="s">
        <v>43</v>
      </c>
      <c r="F10" s="33" t="s">
        <v>42</v>
      </c>
    </row>
    <row r="11" spans="2:6" x14ac:dyDescent="0.3">
      <c r="B11" s="29" t="s">
        <v>21</v>
      </c>
      <c r="C11" s="34"/>
      <c r="D11" s="35">
        <v>325000</v>
      </c>
      <c r="E11" s="71" t="s">
        <v>43</v>
      </c>
      <c r="F11" s="33" t="s">
        <v>45</v>
      </c>
    </row>
    <row r="12" spans="2:6" x14ac:dyDescent="0.3">
      <c r="B12" s="29" t="s">
        <v>20</v>
      </c>
      <c r="C12" s="34">
        <v>465000</v>
      </c>
      <c r="D12" s="34"/>
      <c r="E12" s="71" t="s">
        <v>43</v>
      </c>
      <c r="F12" s="33" t="s">
        <v>44</v>
      </c>
    </row>
    <row r="13" spans="2:6" x14ac:dyDescent="0.3">
      <c r="B13" s="29" t="s">
        <v>12</v>
      </c>
      <c r="C13" s="29"/>
      <c r="D13" s="35">
        <v>225000</v>
      </c>
      <c r="E13" s="71" t="s">
        <v>43</v>
      </c>
      <c r="F13" s="33" t="s">
        <v>46</v>
      </c>
    </row>
    <row r="14" spans="2:6" x14ac:dyDescent="0.3">
      <c r="B14" s="29" t="s">
        <v>9</v>
      </c>
      <c r="C14" s="29"/>
      <c r="D14" s="35">
        <v>1200000</v>
      </c>
      <c r="E14" s="71" t="s">
        <v>43</v>
      </c>
      <c r="F14" s="33" t="s">
        <v>47</v>
      </c>
    </row>
    <row r="15" spans="2:6" x14ac:dyDescent="0.3">
      <c r="B15" s="29" t="s">
        <v>10</v>
      </c>
      <c r="C15" s="29"/>
      <c r="D15" s="35">
        <v>650000</v>
      </c>
      <c r="E15" s="71" t="s">
        <v>43</v>
      </c>
      <c r="F15" s="33" t="s">
        <v>47</v>
      </c>
    </row>
    <row r="16" spans="2:6" x14ac:dyDescent="0.3">
      <c r="B16" s="29" t="s">
        <v>15</v>
      </c>
      <c r="C16" s="29"/>
      <c r="D16" s="35">
        <v>245000</v>
      </c>
      <c r="E16" s="71" t="s">
        <v>43</v>
      </c>
      <c r="F16" s="33" t="s">
        <v>48</v>
      </c>
    </row>
    <row r="17" spans="2:6" x14ac:dyDescent="0.3">
      <c r="B17" s="29" t="s">
        <v>24</v>
      </c>
      <c r="C17" s="29"/>
      <c r="D17" s="35">
        <v>1388750</v>
      </c>
      <c r="E17" s="71" t="s">
        <v>43</v>
      </c>
      <c r="F17" s="33" t="s">
        <v>47</v>
      </c>
    </row>
    <row r="18" spans="2:6" x14ac:dyDescent="0.3">
      <c r="B18" s="29" t="s">
        <v>13</v>
      </c>
      <c r="C18" s="34">
        <v>-100000</v>
      </c>
      <c r="D18" s="29"/>
      <c r="E18" s="71" t="s">
        <v>43</v>
      </c>
      <c r="F18" s="33" t="s">
        <v>42</v>
      </c>
    </row>
    <row r="19" spans="2:6" x14ac:dyDescent="0.3">
      <c r="B19" s="29" t="s">
        <v>23</v>
      </c>
      <c r="C19" s="29"/>
      <c r="D19" s="35">
        <v>85000</v>
      </c>
      <c r="E19" s="71" t="s">
        <v>43</v>
      </c>
      <c r="F19" s="33" t="s">
        <v>46</v>
      </c>
    </row>
    <row r="20" spans="2:6" x14ac:dyDescent="0.3">
      <c r="B20" s="29" t="s">
        <v>22</v>
      </c>
      <c r="C20" s="29"/>
      <c r="D20" s="35">
        <v>130000</v>
      </c>
      <c r="E20" s="71" t="s">
        <v>43</v>
      </c>
      <c r="F20" s="33" t="s">
        <v>47</v>
      </c>
    </row>
    <row r="21" spans="2:6" x14ac:dyDescent="0.3">
      <c r="C21" s="34">
        <f>SUM(C3:C20)</f>
        <v>4380000</v>
      </c>
      <c r="D21" s="34">
        <f>SUM(D3:D20)</f>
        <v>4248750</v>
      </c>
    </row>
    <row r="24" spans="2:6" x14ac:dyDescent="0.3">
      <c r="B24" s="79" t="s">
        <v>25</v>
      </c>
      <c r="C24" s="80"/>
      <c r="D24" s="34">
        <f>C21-D21</f>
        <v>131250</v>
      </c>
    </row>
  </sheetData>
  <mergeCells count="1">
    <mergeCell ref="B24:C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58973-8646-4BFA-9F98-6B9D1D7E2838}">
  <dimension ref="B2:G24"/>
  <sheetViews>
    <sheetView workbookViewId="0"/>
  </sheetViews>
  <sheetFormatPr defaultColWidth="8.88671875" defaultRowHeight="15.6" x14ac:dyDescent="0.3"/>
  <cols>
    <col min="1" max="1" width="8.88671875" style="1"/>
    <col min="2" max="2" width="42.44140625" style="1" bestFit="1" customWidth="1"/>
    <col min="3" max="4" width="15.5546875" style="30" bestFit="1" customWidth="1"/>
    <col min="5" max="5" width="8.88671875" style="1"/>
    <col min="6" max="6" width="18.44140625" style="1" bestFit="1" customWidth="1"/>
    <col min="7" max="16384" width="8.88671875" style="1"/>
  </cols>
  <sheetData>
    <row r="2" spans="2:7" x14ac:dyDescent="0.3">
      <c r="B2" s="16" t="s">
        <v>50</v>
      </c>
    </row>
    <row r="3" spans="2:7" x14ac:dyDescent="0.3">
      <c r="B3" s="6" t="s">
        <v>51</v>
      </c>
    </row>
    <row r="4" spans="2:7" x14ac:dyDescent="0.3">
      <c r="B4" s="6" t="s">
        <v>52</v>
      </c>
    </row>
    <row r="5" spans="2:7" x14ac:dyDescent="0.3">
      <c r="B5" s="6" t="s">
        <v>53</v>
      </c>
    </row>
    <row r="7" spans="2:7" x14ac:dyDescent="0.3">
      <c r="B7" s="1" t="s">
        <v>54</v>
      </c>
      <c r="D7" s="30">
        <v>8015000</v>
      </c>
      <c r="F7" s="29" t="s">
        <v>49</v>
      </c>
      <c r="G7" s="29">
        <f>D7/17.5</f>
        <v>458000</v>
      </c>
    </row>
    <row r="8" spans="2:7" x14ac:dyDescent="0.3">
      <c r="B8" s="1" t="s">
        <v>55</v>
      </c>
      <c r="D8" s="30">
        <f>-D7*0.5</f>
        <v>-4007500</v>
      </c>
    </row>
    <row r="9" spans="2:7" x14ac:dyDescent="0.3">
      <c r="B9" s="26" t="s">
        <v>56</v>
      </c>
      <c r="D9" s="31">
        <f>SUM(D7:D8)</f>
        <v>4007500</v>
      </c>
    </row>
    <row r="10" spans="2:7" x14ac:dyDescent="0.3">
      <c r="B10" s="1" t="s">
        <v>57</v>
      </c>
      <c r="D10" s="30">
        <f>SUM(C11:C15)</f>
        <v>-2675000</v>
      </c>
    </row>
    <row r="11" spans="2:7" x14ac:dyDescent="0.3">
      <c r="B11" s="1" t="s">
        <v>58</v>
      </c>
      <c r="C11" s="30">
        <v>-458000</v>
      </c>
    </row>
    <row r="12" spans="2:7" x14ac:dyDescent="0.3">
      <c r="B12" s="1" t="s">
        <v>59</v>
      </c>
      <c r="C12" s="30">
        <v>-1145000</v>
      </c>
    </row>
    <row r="13" spans="2:7" x14ac:dyDescent="0.3">
      <c r="B13" s="1" t="s">
        <v>60</v>
      </c>
      <c r="C13" s="30">
        <v>-131000</v>
      </c>
      <c r="D13" s="30" t="s">
        <v>61</v>
      </c>
    </row>
    <row r="14" spans="2:7" x14ac:dyDescent="0.3">
      <c r="B14" s="1" t="s">
        <v>62</v>
      </c>
      <c r="C14" s="30">
        <v>-25000</v>
      </c>
    </row>
    <row r="15" spans="2:7" x14ac:dyDescent="0.3">
      <c r="B15" s="1" t="s">
        <v>63</v>
      </c>
      <c r="C15" s="30">
        <v>-916000</v>
      </c>
    </row>
    <row r="16" spans="2:7" x14ac:dyDescent="0.3">
      <c r="B16" s="26" t="s">
        <v>64</v>
      </c>
      <c r="D16" s="31">
        <f>SUM(D9:D15)</f>
        <v>1332500</v>
      </c>
    </row>
    <row r="17" spans="2:4" x14ac:dyDescent="0.3">
      <c r="B17" s="1" t="s">
        <v>65</v>
      </c>
      <c r="D17" s="30">
        <v>-32500</v>
      </c>
    </row>
    <row r="18" spans="2:4" x14ac:dyDescent="0.3">
      <c r="B18" s="26" t="s">
        <v>66</v>
      </c>
      <c r="D18" s="31">
        <f>SUM(D16:D17)</f>
        <v>1300000</v>
      </c>
    </row>
    <row r="19" spans="2:4" x14ac:dyDescent="0.3">
      <c r="B19" s="1" t="s">
        <v>67</v>
      </c>
      <c r="D19" s="30">
        <f>-D18*0.25</f>
        <v>-325000</v>
      </c>
    </row>
    <row r="20" spans="2:4" x14ac:dyDescent="0.3">
      <c r="B20" s="26" t="s">
        <v>68</v>
      </c>
      <c r="D20" s="31">
        <f>SUM(D18:D19)</f>
        <v>975000</v>
      </c>
    </row>
    <row r="21" spans="2:4" x14ac:dyDescent="0.3">
      <c r="B21" s="17" t="s">
        <v>69</v>
      </c>
      <c r="D21" s="30">
        <f>-120000*5</f>
        <v>-600000</v>
      </c>
    </row>
    <row r="22" spans="2:4" x14ac:dyDescent="0.3">
      <c r="B22" s="17" t="s">
        <v>70</v>
      </c>
      <c r="D22" s="30">
        <f>-D20*0.25</f>
        <v>-243750</v>
      </c>
    </row>
    <row r="23" spans="2:4" ht="16.2" thickBot="1" x14ac:dyDescent="0.35">
      <c r="B23" s="26" t="s">
        <v>25</v>
      </c>
      <c r="D23" s="32">
        <f>SUM(D20:D22)</f>
        <v>131250</v>
      </c>
    </row>
    <row r="24" spans="2:4" ht="16.2" thickTop="1" x14ac:dyDescent="0.3"/>
  </sheetData>
  <pageMargins left="0.7" right="0.7" top="0.75" bottom="0.75" header="0.3" footer="0.3"/>
  <ignoredErrors>
    <ignoredError sqref="D1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A1F1-590B-46DA-8C01-255E9E8DCBC8}">
  <dimension ref="B2:J48"/>
  <sheetViews>
    <sheetView workbookViewId="0"/>
  </sheetViews>
  <sheetFormatPr defaultColWidth="8.88671875" defaultRowHeight="15.6" x14ac:dyDescent="0.3"/>
  <cols>
    <col min="1" max="1" width="8.88671875" style="1"/>
    <col min="2" max="2" width="46.5546875" style="1" bestFit="1" customWidth="1"/>
    <col min="3" max="3" width="16.88671875" style="4" bestFit="1" customWidth="1"/>
    <col min="4" max="4" width="14.88671875" style="1" customWidth="1"/>
    <col min="5" max="5" width="15.109375" style="1" bestFit="1" customWidth="1"/>
    <col min="6" max="6" width="8.88671875" style="1" bestFit="1"/>
    <col min="7" max="9" width="8.88671875" style="1"/>
    <col min="10" max="10" width="35.33203125" style="1" bestFit="1" customWidth="1"/>
    <col min="11" max="11" width="15.5546875" style="1" bestFit="1" customWidth="1"/>
    <col min="12" max="16384" width="8.88671875" style="1"/>
  </cols>
  <sheetData>
    <row r="2" spans="2:3" x14ac:dyDescent="0.3">
      <c r="B2" s="6" t="s">
        <v>50</v>
      </c>
    </row>
    <row r="3" spans="2:3" x14ac:dyDescent="0.3">
      <c r="B3" s="6" t="s">
        <v>43</v>
      </c>
    </row>
    <row r="4" spans="2:3" x14ac:dyDescent="0.3">
      <c r="B4" s="6" t="s">
        <v>52</v>
      </c>
    </row>
    <row r="5" spans="2:3" x14ac:dyDescent="0.3">
      <c r="B5" s="6" t="s">
        <v>53</v>
      </c>
    </row>
    <row r="7" spans="2:3" x14ac:dyDescent="0.3">
      <c r="B7" s="6" t="s">
        <v>71</v>
      </c>
    </row>
    <row r="8" spans="2:3" x14ac:dyDescent="0.3">
      <c r="B8" s="24" t="s">
        <v>44</v>
      </c>
    </row>
    <row r="9" spans="2:3" x14ac:dyDescent="0.3">
      <c r="B9" s="1" t="s">
        <v>8</v>
      </c>
      <c r="C9" s="25">
        <v>260000</v>
      </c>
    </row>
    <row r="10" spans="2:3" x14ac:dyDescent="0.3">
      <c r="B10" s="1" t="s">
        <v>11</v>
      </c>
      <c r="C10" s="25">
        <v>750000</v>
      </c>
    </row>
    <row r="11" spans="2:3" x14ac:dyDescent="0.3">
      <c r="B11" s="1" t="s">
        <v>19</v>
      </c>
      <c r="C11" s="25">
        <v>40000</v>
      </c>
    </row>
    <row r="12" spans="2:3" x14ac:dyDescent="0.3">
      <c r="B12" s="1" t="s">
        <v>17</v>
      </c>
      <c r="C12" s="25">
        <v>1635000</v>
      </c>
    </row>
    <row r="13" spans="2:3" x14ac:dyDescent="0.3">
      <c r="B13" s="1" t="s">
        <v>20</v>
      </c>
      <c r="C13" s="25">
        <v>465000</v>
      </c>
    </row>
    <row r="14" spans="2:3" x14ac:dyDescent="0.3">
      <c r="B14" s="26" t="s">
        <v>72</v>
      </c>
      <c r="C14" s="27">
        <f>SUM(C9:C13)</f>
        <v>3150000</v>
      </c>
    </row>
    <row r="15" spans="2:3" x14ac:dyDescent="0.3">
      <c r="B15" s="24" t="s">
        <v>42</v>
      </c>
    </row>
    <row r="16" spans="2:3" x14ac:dyDescent="0.3">
      <c r="B16" s="1" t="s">
        <v>18</v>
      </c>
      <c r="C16" s="25">
        <v>450000</v>
      </c>
    </row>
    <row r="17" spans="2:3" x14ac:dyDescent="0.3">
      <c r="B17" s="1" t="s">
        <v>14</v>
      </c>
      <c r="C17" s="25">
        <v>350000</v>
      </c>
    </row>
    <row r="18" spans="2:3" x14ac:dyDescent="0.3">
      <c r="B18" s="1" t="s">
        <v>73</v>
      </c>
      <c r="C18" s="25">
        <v>-125000</v>
      </c>
    </row>
    <row r="19" spans="2:3" x14ac:dyDescent="0.3">
      <c r="B19" s="1" t="s">
        <v>16</v>
      </c>
      <c r="C19" s="25">
        <v>655000</v>
      </c>
    </row>
    <row r="20" spans="2:3" x14ac:dyDescent="0.3">
      <c r="B20" s="1" t="s">
        <v>74</v>
      </c>
      <c r="C20" s="25">
        <v>-100000</v>
      </c>
    </row>
    <row r="21" spans="2:3" x14ac:dyDescent="0.3">
      <c r="B21" s="26" t="s">
        <v>75</v>
      </c>
      <c r="C21" s="27">
        <f>SUM(C16:C20)</f>
        <v>1230000</v>
      </c>
    </row>
    <row r="22" spans="2:3" ht="16.2" thickBot="1" x14ac:dyDescent="0.35">
      <c r="B22" s="3" t="s">
        <v>76</v>
      </c>
      <c r="C22" s="28">
        <f>SUM(C21,C14)</f>
        <v>4380000</v>
      </c>
    </row>
    <row r="23" spans="2:3" ht="16.2" thickTop="1" x14ac:dyDescent="0.3"/>
    <row r="24" spans="2:3" x14ac:dyDescent="0.3">
      <c r="B24" s="6" t="s">
        <v>77</v>
      </c>
    </row>
    <row r="25" spans="2:3" x14ac:dyDescent="0.3">
      <c r="B25" s="24" t="s">
        <v>46</v>
      </c>
    </row>
    <row r="26" spans="2:3" x14ac:dyDescent="0.3">
      <c r="B26" s="1" t="s">
        <v>12</v>
      </c>
      <c r="C26" s="25">
        <v>225000</v>
      </c>
    </row>
    <row r="27" spans="2:3" x14ac:dyDescent="0.3">
      <c r="B27" s="1" t="s">
        <v>23</v>
      </c>
      <c r="C27" s="25">
        <v>85000</v>
      </c>
    </row>
    <row r="28" spans="2:3" x14ac:dyDescent="0.3">
      <c r="B28" s="1" t="s">
        <v>15</v>
      </c>
      <c r="C28" s="25">
        <f>245000</f>
        <v>245000</v>
      </c>
    </row>
    <row r="29" spans="2:3" x14ac:dyDescent="0.3">
      <c r="B29" s="26" t="s">
        <v>78</v>
      </c>
      <c r="C29" s="27">
        <f>SUM(C26:C28)</f>
        <v>555000</v>
      </c>
    </row>
    <row r="30" spans="2:3" x14ac:dyDescent="0.3">
      <c r="B30" s="24" t="s">
        <v>45</v>
      </c>
    </row>
    <row r="31" spans="2:3" x14ac:dyDescent="0.3">
      <c r="B31" s="1" t="s">
        <v>21</v>
      </c>
      <c r="C31" s="25">
        <v>325000</v>
      </c>
    </row>
    <row r="32" spans="2:3" x14ac:dyDescent="0.3">
      <c r="B32" s="26" t="s">
        <v>79</v>
      </c>
      <c r="C32" s="27">
        <f>SUM(C31:C31)</f>
        <v>325000</v>
      </c>
    </row>
    <row r="33" spans="2:10" x14ac:dyDescent="0.3">
      <c r="B33" s="6" t="s">
        <v>80</v>
      </c>
    </row>
    <row r="34" spans="2:10" x14ac:dyDescent="0.3">
      <c r="B34" s="1" t="s">
        <v>9</v>
      </c>
      <c r="C34" s="25">
        <v>1200000</v>
      </c>
      <c r="J34" s="25"/>
    </row>
    <row r="35" spans="2:10" x14ac:dyDescent="0.3">
      <c r="B35" s="1" t="s">
        <v>10</v>
      </c>
      <c r="C35" s="25">
        <f>650000</f>
        <v>650000</v>
      </c>
      <c r="J35" s="25"/>
    </row>
    <row r="36" spans="2:10" x14ac:dyDescent="0.3">
      <c r="B36" s="1" t="s">
        <v>22</v>
      </c>
      <c r="C36" s="25">
        <v>130000</v>
      </c>
      <c r="J36" s="25"/>
    </row>
    <row r="37" spans="2:10" x14ac:dyDescent="0.3">
      <c r="B37" s="1" t="s">
        <v>81</v>
      </c>
      <c r="C37" s="25">
        <v>1388750</v>
      </c>
      <c r="J37" s="25"/>
    </row>
    <row r="38" spans="2:10" x14ac:dyDescent="0.3">
      <c r="B38" s="1" t="s">
        <v>82</v>
      </c>
      <c r="C38" s="25">
        <f>'Estado Resultados C1'!D23</f>
        <v>131250</v>
      </c>
      <c r="J38" s="25"/>
    </row>
    <row r="39" spans="2:10" x14ac:dyDescent="0.3">
      <c r="B39" s="26" t="s">
        <v>83</v>
      </c>
      <c r="C39" s="27">
        <f>SUM(C34:C38)</f>
        <v>3500000</v>
      </c>
    </row>
    <row r="40" spans="2:10" ht="16.2" thickBot="1" x14ac:dyDescent="0.35">
      <c r="B40" s="3" t="s">
        <v>84</v>
      </c>
      <c r="C40" s="28">
        <f>C39+C29+C32</f>
        <v>4380000</v>
      </c>
      <c r="D40" s="2"/>
      <c r="E40" s="2"/>
    </row>
    <row r="41" spans="2:10" ht="16.2" thickTop="1" x14ac:dyDescent="0.3"/>
    <row r="43" spans="2:10" x14ac:dyDescent="0.3">
      <c r="D43" s="45"/>
      <c r="E43" s="44"/>
    </row>
    <row r="44" spans="2:10" x14ac:dyDescent="0.3">
      <c r="D44" s="45"/>
      <c r="E44" s="46"/>
    </row>
    <row r="47" spans="2:10" x14ac:dyDescent="0.3">
      <c r="B47" s="2"/>
    </row>
    <row r="48" spans="2:10" x14ac:dyDescent="0.3">
      <c r="B4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E945-3792-44BA-96A0-22D5892F4E45}">
  <dimension ref="B2:C65"/>
  <sheetViews>
    <sheetView zoomScaleNormal="100" workbookViewId="0"/>
  </sheetViews>
  <sheetFormatPr defaultColWidth="8.88671875" defaultRowHeight="15.6" x14ac:dyDescent="0.3"/>
  <cols>
    <col min="1" max="1" width="8.88671875" style="1"/>
    <col min="2" max="2" width="48.44140625" style="1" bestFit="1" customWidth="1"/>
    <col min="3" max="3" width="15.88671875" style="7" bestFit="1" customWidth="1"/>
    <col min="4" max="4" width="9.88671875" style="1" bestFit="1" customWidth="1"/>
    <col min="5" max="16384" width="8.88671875" style="1"/>
  </cols>
  <sheetData>
    <row r="2" spans="2:3" ht="15.75" customHeight="1" x14ac:dyDescent="0.3">
      <c r="B2" s="81" t="s">
        <v>85</v>
      </c>
      <c r="C2" s="81"/>
    </row>
    <row r="4" spans="2:3" x14ac:dyDescent="0.3">
      <c r="B4" s="18" t="s">
        <v>86</v>
      </c>
      <c r="C4" s="19">
        <v>2022</v>
      </c>
    </row>
    <row r="5" spans="2:3" x14ac:dyDescent="0.3">
      <c r="B5" s="17" t="s">
        <v>87</v>
      </c>
      <c r="C5" s="20">
        <f>'Balance General C1'!C14/'Balance General C1'!C29</f>
        <v>5.6756756756756754</v>
      </c>
    </row>
    <row r="6" spans="2:3" x14ac:dyDescent="0.3">
      <c r="B6" s="21" t="s">
        <v>88</v>
      </c>
    </row>
    <row r="8" spans="2:3" x14ac:dyDescent="0.3">
      <c r="B8" s="1" t="s">
        <v>89</v>
      </c>
      <c r="C8" s="20">
        <f>('Balance General C1'!C14-'Balance General C1'!C12)/'Balance General C1'!C29</f>
        <v>2.7297297297297298</v>
      </c>
    </row>
    <row r="9" spans="2:3" x14ac:dyDescent="0.3">
      <c r="B9" s="5" t="s">
        <v>90</v>
      </c>
    </row>
    <row r="11" spans="2:3" x14ac:dyDescent="0.3">
      <c r="B11" s="1" t="s">
        <v>91</v>
      </c>
      <c r="C11" s="25">
        <f>'Balance General C1'!C14-'Balance General C1'!C29</f>
        <v>2595000</v>
      </c>
    </row>
    <row r="13" spans="2:3" x14ac:dyDescent="0.3">
      <c r="B13" s="18" t="s">
        <v>92</v>
      </c>
      <c r="C13" s="19">
        <v>2022</v>
      </c>
    </row>
    <row r="14" spans="2:3" x14ac:dyDescent="0.3">
      <c r="B14" s="1" t="s">
        <v>93</v>
      </c>
      <c r="C14" s="20">
        <f>-'Estado Resultados C1'!D8/'Balance General C1'!C12</f>
        <v>2.4510703363914375</v>
      </c>
    </row>
    <row r="16" spans="2:3" x14ac:dyDescent="0.3">
      <c r="B16" s="1" t="s">
        <v>94</v>
      </c>
      <c r="C16" s="20">
        <f>365/C14</f>
        <v>148.91453524641295</v>
      </c>
    </row>
    <row r="17" spans="2:3" x14ac:dyDescent="0.3">
      <c r="B17" s="5" t="s">
        <v>95</v>
      </c>
    </row>
    <row r="19" spans="2:3" x14ac:dyDescent="0.3">
      <c r="B19" s="1" t="s">
        <v>96</v>
      </c>
      <c r="C19" s="20">
        <f>('Balance General C1'!C10)/('Estado Resultados C1'!D7/365)</f>
        <v>34.154709918902057</v>
      </c>
    </row>
    <row r="20" spans="2:3" x14ac:dyDescent="0.3">
      <c r="B20" s="5" t="s">
        <v>97</v>
      </c>
    </row>
    <row r="21" spans="2:3" x14ac:dyDescent="0.3">
      <c r="B21" s="5"/>
    </row>
    <row r="22" spans="2:3" x14ac:dyDescent="0.3">
      <c r="B22" s="36" t="s">
        <v>98</v>
      </c>
      <c r="C22" s="7" t="s">
        <v>99</v>
      </c>
    </row>
    <row r="23" spans="2:3" x14ac:dyDescent="0.3">
      <c r="B23" s="47" t="s">
        <v>100</v>
      </c>
    </row>
    <row r="25" spans="2:3" x14ac:dyDescent="0.3">
      <c r="B25" s="1" t="s">
        <v>101</v>
      </c>
      <c r="C25" s="20">
        <f>'Estado Resultados C1'!D7/('Balance General C1'!C16+'Balance General C1'!C17+'Balance General C1'!C19)</f>
        <v>5.5085910652920962</v>
      </c>
    </row>
    <row r="27" spans="2:3" x14ac:dyDescent="0.3">
      <c r="B27" s="1" t="s">
        <v>102</v>
      </c>
      <c r="C27" s="20">
        <f>'Estado Resultados C1'!D7/'Balance General C1'!C22</f>
        <v>1.8299086757990868</v>
      </c>
    </row>
    <row r="29" spans="2:3" x14ac:dyDescent="0.3">
      <c r="B29" s="18" t="s">
        <v>103</v>
      </c>
      <c r="C29" s="19">
        <v>2022</v>
      </c>
    </row>
    <row r="30" spans="2:3" x14ac:dyDescent="0.3">
      <c r="B30" s="1" t="s">
        <v>104</v>
      </c>
      <c r="C30" s="20">
        <f>('Balance General C1'!C29+'Balance General C1'!C32)/'Balance General C1'!C22</f>
        <v>0.20091324200913241</v>
      </c>
    </row>
    <row r="31" spans="2:3" x14ac:dyDescent="0.3">
      <c r="B31" s="1" t="s">
        <v>105</v>
      </c>
    </row>
    <row r="33" spans="2:3" x14ac:dyDescent="0.3">
      <c r="B33" s="1" t="s">
        <v>106</v>
      </c>
      <c r="C33" s="20">
        <f>'Estado Resultados C1'!D16/(-'Estado Resultados C1'!D17)</f>
        <v>41</v>
      </c>
    </row>
    <row r="34" spans="2:3" x14ac:dyDescent="0.3">
      <c r="B34" s="1" t="s">
        <v>107</v>
      </c>
    </row>
    <row r="36" spans="2:3" x14ac:dyDescent="0.3">
      <c r="B36" s="18" t="s">
        <v>108</v>
      </c>
      <c r="C36" s="19">
        <v>2022</v>
      </c>
    </row>
    <row r="37" spans="2:3" x14ac:dyDescent="0.3">
      <c r="B37" s="1" t="s">
        <v>109</v>
      </c>
      <c r="C37" s="22">
        <f>'Estado Resultados C1'!D9/'Estado Resultados C1'!D7</f>
        <v>0.5</v>
      </c>
    </row>
    <row r="39" spans="2:3" x14ac:dyDescent="0.3">
      <c r="B39" s="1" t="s">
        <v>110</v>
      </c>
      <c r="C39" s="22">
        <f>'Estado Resultados C1'!D16/'Estado Resultados C1'!D7</f>
        <v>0.16625077978789768</v>
      </c>
    </row>
    <row r="41" spans="2:3" x14ac:dyDescent="0.3">
      <c r="B41" s="1" t="s">
        <v>111</v>
      </c>
      <c r="C41" s="22">
        <f>('Estado Resultados C1'!D20+'Estado Resultados C1'!D21)/'Estado Resultados C1'!D7</f>
        <v>4.6787273861509666E-2</v>
      </c>
    </row>
    <row r="43" spans="2:3" x14ac:dyDescent="0.3">
      <c r="B43" s="1" t="s">
        <v>112</v>
      </c>
      <c r="C43" s="22">
        <f>'Estado Resultados C1'!D16/'Balance General C1'!C22</f>
        <v>0.30422374429223742</v>
      </c>
    </row>
    <row r="45" spans="2:3" x14ac:dyDescent="0.3">
      <c r="B45" s="1" t="s">
        <v>113</v>
      </c>
      <c r="C45" s="22">
        <f>('Estado Resultados C1'!D20+'Estado Resultados C1'!D21)/'Balance General C1'!C22</f>
        <v>8.5616438356164379E-2</v>
      </c>
    </row>
    <row r="46" spans="2:3" x14ac:dyDescent="0.3">
      <c r="B46" s="5" t="s">
        <v>114</v>
      </c>
    </row>
    <row r="48" spans="2:3" x14ac:dyDescent="0.3">
      <c r="B48" s="1" t="s">
        <v>115</v>
      </c>
      <c r="C48" s="22">
        <f>('Estado Resultados C1'!D20+'Estado Resultados C1'!D21)/('Balance General C1'!C39-'Balance General C1'!C35)</f>
        <v>0.13157894736842105</v>
      </c>
    </row>
    <row r="49" spans="2:3" x14ac:dyDescent="0.3">
      <c r="B49" s="5" t="s">
        <v>116</v>
      </c>
    </row>
    <row r="51" spans="2:3" x14ac:dyDescent="0.3">
      <c r="B51" s="1" t="s">
        <v>117</v>
      </c>
      <c r="C51" s="25">
        <f>('Estado Resultados C1'!D20+'Estado Resultados C1'!D21)/120000</f>
        <v>3.125</v>
      </c>
    </row>
    <row r="52" spans="2:3" x14ac:dyDescent="0.3">
      <c r="B52" s="5" t="s">
        <v>118</v>
      </c>
    </row>
    <row r="54" spans="2:3" x14ac:dyDescent="0.3">
      <c r="B54" s="18" t="s">
        <v>119</v>
      </c>
      <c r="C54" s="19">
        <v>2022</v>
      </c>
    </row>
    <row r="55" spans="2:3" x14ac:dyDescent="0.3">
      <c r="B55" s="1" t="s">
        <v>120</v>
      </c>
      <c r="C55" s="23">
        <f>C65/C51</f>
        <v>7.68</v>
      </c>
    </row>
    <row r="56" spans="2:3" x14ac:dyDescent="0.3">
      <c r="B56" s="5" t="s">
        <v>121</v>
      </c>
    </row>
    <row r="58" spans="2:3" x14ac:dyDescent="0.3">
      <c r="B58" s="1" t="s">
        <v>122</v>
      </c>
      <c r="C58" s="23">
        <f>C65/'Razones Fin. C1'!C63</f>
        <v>1.0105263157894737</v>
      </c>
    </row>
    <row r="59" spans="2:3" x14ac:dyDescent="0.3">
      <c r="B59" s="5" t="s">
        <v>123</v>
      </c>
    </row>
    <row r="62" spans="2:3" x14ac:dyDescent="0.3">
      <c r="B62" s="36"/>
      <c r="C62" s="70">
        <v>2022</v>
      </c>
    </row>
    <row r="63" spans="2:3" x14ac:dyDescent="0.3">
      <c r="B63" s="36" t="s">
        <v>124</v>
      </c>
      <c r="C63" s="46">
        <f>('Balance General C1'!C39-'Balance General C1'!C35)/120000</f>
        <v>23.75</v>
      </c>
    </row>
    <row r="64" spans="2:3" x14ac:dyDescent="0.3">
      <c r="C64" s="4"/>
    </row>
    <row r="65" spans="2:3" x14ac:dyDescent="0.3">
      <c r="B65" s="36" t="s">
        <v>125</v>
      </c>
      <c r="C65" s="46">
        <f>24</f>
        <v>24</v>
      </c>
    </row>
  </sheetData>
  <mergeCells count="1">
    <mergeCell ref="B2:C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6D5A-A98C-49BA-A5DE-B0E546595E17}">
  <dimension ref="A1"/>
  <sheetViews>
    <sheetView workbookViewId="0"/>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083C-86BD-4DEC-A54D-6FFE150EE348}">
  <dimension ref="B2:H48"/>
  <sheetViews>
    <sheetView workbookViewId="0"/>
  </sheetViews>
  <sheetFormatPr defaultColWidth="11.44140625" defaultRowHeight="13.8" x14ac:dyDescent="0.25"/>
  <cols>
    <col min="1" max="1" width="11.44140625" style="36"/>
    <col min="2" max="2" width="30.44140625" style="36" bestFit="1" customWidth="1"/>
    <col min="3" max="4" width="12.44140625" style="36" bestFit="1" customWidth="1"/>
    <col min="5" max="5" width="8.88671875" style="36" bestFit="1" customWidth="1"/>
    <col min="6" max="6" width="37.5546875" style="36" bestFit="1" customWidth="1"/>
    <col min="7" max="8" width="12.5546875" style="36" bestFit="1" customWidth="1"/>
    <col min="9" max="16384" width="11.44140625" style="36"/>
  </cols>
  <sheetData>
    <row r="2" spans="2:8" ht="15.6" x14ac:dyDescent="0.3">
      <c r="B2" s="76" t="s">
        <v>126</v>
      </c>
      <c r="C2" s="76"/>
      <c r="D2" s="76"/>
      <c r="E2" s="76"/>
      <c r="F2" s="76"/>
      <c r="G2" s="76"/>
      <c r="H2" s="76"/>
    </row>
    <row r="4" spans="2:8" x14ac:dyDescent="0.25">
      <c r="B4" s="36" t="s">
        <v>127</v>
      </c>
      <c r="F4" s="36" t="s">
        <v>127</v>
      </c>
    </row>
    <row r="5" spans="2:8" x14ac:dyDescent="0.25">
      <c r="B5" s="48" t="s">
        <v>128</v>
      </c>
      <c r="F5" s="48" t="s">
        <v>129</v>
      </c>
    </row>
    <row r="6" spans="2:8" x14ac:dyDescent="0.25">
      <c r="B6" s="36" t="s">
        <v>130</v>
      </c>
    </row>
    <row r="7" spans="2:8" x14ac:dyDescent="0.25">
      <c r="B7" s="36" t="s">
        <v>131</v>
      </c>
      <c r="F7" s="49" t="s">
        <v>132</v>
      </c>
    </row>
    <row r="8" spans="2:8" x14ac:dyDescent="0.25">
      <c r="F8" s="48" t="s">
        <v>133</v>
      </c>
      <c r="G8" s="50" t="s">
        <v>130</v>
      </c>
      <c r="H8" s="50" t="s">
        <v>134</v>
      </c>
    </row>
    <row r="9" spans="2:8" x14ac:dyDescent="0.25">
      <c r="B9" s="48" t="s">
        <v>135</v>
      </c>
      <c r="D9" s="38">
        <v>900000</v>
      </c>
      <c r="F9" s="36" t="s">
        <v>136</v>
      </c>
      <c r="G9" s="38">
        <v>55000</v>
      </c>
      <c r="H9" s="38">
        <v>20000</v>
      </c>
    </row>
    <row r="10" spans="2:8" x14ac:dyDescent="0.25">
      <c r="B10" s="36" t="s">
        <v>137</v>
      </c>
      <c r="D10" s="38">
        <v>500000</v>
      </c>
      <c r="F10" s="36" t="s">
        <v>138</v>
      </c>
      <c r="G10" s="38">
        <v>85000</v>
      </c>
      <c r="H10" s="38">
        <v>64000</v>
      </c>
    </row>
    <row r="11" spans="2:8" x14ac:dyDescent="0.25">
      <c r="B11" s="42" t="s">
        <v>139</v>
      </c>
      <c r="D11" s="51">
        <f>D9-D10</f>
        <v>400000</v>
      </c>
      <c r="F11" s="36" t="s">
        <v>140</v>
      </c>
      <c r="G11" s="38">
        <v>17000</v>
      </c>
      <c r="H11" s="38">
        <v>12000</v>
      </c>
    </row>
    <row r="12" spans="2:8" x14ac:dyDescent="0.25">
      <c r="B12" s="48" t="s">
        <v>141</v>
      </c>
      <c r="D12" s="38">
        <f>SUM(C13:C14)</f>
        <v>300000</v>
      </c>
      <c r="F12" s="36" t="s">
        <v>142</v>
      </c>
      <c r="G12" s="38">
        <v>110000</v>
      </c>
      <c r="H12" s="38">
        <v>80000</v>
      </c>
    </row>
    <row r="13" spans="2:8" x14ac:dyDescent="0.25">
      <c r="B13" s="36" t="s">
        <v>143</v>
      </c>
      <c r="C13" s="38">
        <v>260000</v>
      </c>
      <c r="F13" s="36" t="s">
        <v>144</v>
      </c>
      <c r="G13" s="38">
        <v>2000</v>
      </c>
      <c r="H13" s="38">
        <v>3000</v>
      </c>
    </row>
    <row r="14" spans="2:8" x14ac:dyDescent="0.25">
      <c r="B14" s="36" t="s">
        <v>145</v>
      </c>
      <c r="C14" s="38">
        <v>40000</v>
      </c>
      <c r="F14" s="36" t="s">
        <v>146</v>
      </c>
      <c r="G14" s="38">
        <v>100000</v>
      </c>
      <c r="H14" s="38">
        <v>90000</v>
      </c>
    </row>
    <row r="15" spans="2:8" x14ac:dyDescent="0.25">
      <c r="B15" s="42" t="s">
        <v>147</v>
      </c>
      <c r="C15" s="52"/>
      <c r="D15" s="51">
        <f>D11-D12</f>
        <v>100000</v>
      </c>
      <c r="F15" s="36" t="s">
        <v>148</v>
      </c>
      <c r="G15" s="53">
        <v>4000</v>
      </c>
      <c r="H15" s="53">
        <v>1000</v>
      </c>
    </row>
    <row r="16" spans="2:8" x14ac:dyDescent="0.25">
      <c r="B16" s="48" t="s">
        <v>149</v>
      </c>
      <c r="D16" s="38">
        <f>SUM(C17:C19)</f>
        <v>40000</v>
      </c>
      <c r="F16" s="48" t="s">
        <v>150</v>
      </c>
      <c r="G16" s="54">
        <f>SUM(G9:G15)</f>
        <v>373000</v>
      </c>
      <c r="H16" s="54">
        <f>SUM(H9:H15)</f>
        <v>270000</v>
      </c>
    </row>
    <row r="17" spans="2:8" x14ac:dyDescent="0.25">
      <c r="B17" s="36" t="s">
        <v>151</v>
      </c>
      <c r="C17" s="38">
        <v>3000</v>
      </c>
      <c r="F17" s="36" t="s">
        <v>152</v>
      </c>
      <c r="G17" s="38">
        <v>616000</v>
      </c>
      <c r="H17" s="38">
        <v>500000</v>
      </c>
    </row>
    <row r="18" spans="2:8" x14ac:dyDescent="0.25">
      <c r="B18" s="36" t="s">
        <v>153</v>
      </c>
      <c r="C18" s="38">
        <v>6000</v>
      </c>
      <c r="F18" s="48" t="s">
        <v>154</v>
      </c>
      <c r="G18" s="54">
        <f>G16+G17</f>
        <v>989000</v>
      </c>
      <c r="H18" s="54">
        <f>H16+H17</f>
        <v>770000</v>
      </c>
    </row>
    <row r="19" spans="2:8" x14ac:dyDescent="0.25">
      <c r="B19" s="36" t="s">
        <v>155</v>
      </c>
      <c r="C19" s="38">
        <v>31000</v>
      </c>
    </row>
    <row r="20" spans="2:8" x14ac:dyDescent="0.25">
      <c r="B20" s="48" t="s">
        <v>156</v>
      </c>
      <c r="C20" s="52"/>
      <c r="D20" s="38">
        <f>SUM(C21:C22)</f>
        <v>39000</v>
      </c>
    </row>
    <row r="21" spans="2:8" x14ac:dyDescent="0.25">
      <c r="B21" s="36" t="s">
        <v>157</v>
      </c>
      <c r="C21" s="38">
        <v>35000</v>
      </c>
      <c r="F21" s="49" t="s">
        <v>158</v>
      </c>
    </row>
    <row r="22" spans="2:8" x14ac:dyDescent="0.25">
      <c r="B22" s="36" t="s">
        <v>159</v>
      </c>
      <c r="C22" s="38">
        <v>4000</v>
      </c>
      <c r="F22" s="48" t="s">
        <v>160</v>
      </c>
      <c r="G22" s="50" t="s">
        <v>130</v>
      </c>
      <c r="H22" s="50" t="s">
        <v>134</v>
      </c>
    </row>
    <row r="23" spans="2:8" x14ac:dyDescent="0.25">
      <c r="B23" s="42" t="s">
        <v>66</v>
      </c>
      <c r="C23" s="52"/>
      <c r="D23" s="51">
        <f>D15+D16-(D20)</f>
        <v>101000</v>
      </c>
      <c r="F23" s="36" t="s">
        <v>161</v>
      </c>
      <c r="G23" s="38">
        <v>45000</v>
      </c>
      <c r="H23" s="38">
        <v>55000</v>
      </c>
    </row>
    <row r="24" spans="2:8" x14ac:dyDescent="0.25">
      <c r="B24" s="36" t="s">
        <v>162</v>
      </c>
      <c r="D24" s="38">
        <v>36000</v>
      </c>
      <c r="F24" s="36" t="s">
        <v>163</v>
      </c>
      <c r="G24" s="38">
        <v>76000</v>
      </c>
      <c r="H24" s="38">
        <v>61000</v>
      </c>
    </row>
    <row r="25" spans="2:8" ht="14.4" thickBot="1" x14ac:dyDescent="0.3">
      <c r="B25" s="55" t="s">
        <v>164</v>
      </c>
      <c r="D25" s="56">
        <f>D23-D24</f>
        <v>65000</v>
      </c>
      <c r="F25" s="36" t="s">
        <v>165</v>
      </c>
      <c r="G25" s="38">
        <v>22000</v>
      </c>
      <c r="H25" s="38">
        <v>15000</v>
      </c>
    </row>
    <row r="26" spans="2:8" ht="14.4" thickTop="1" x14ac:dyDescent="0.25">
      <c r="F26" s="36" t="s">
        <v>166</v>
      </c>
      <c r="G26" s="38">
        <v>8000</v>
      </c>
      <c r="H26" s="38">
        <v>10000</v>
      </c>
    </row>
    <row r="27" spans="2:8" x14ac:dyDescent="0.25">
      <c r="F27" s="36" t="s">
        <v>167</v>
      </c>
      <c r="G27" s="38">
        <v>3000</v>
      </c>
      <c r="H27" s="38">
        <v>9000</v>
      </c>
    </row>
    <row r="28" spans="2:8" x14ac:dyDescent="0.25">
      <c r="F28" s="36" t="s">
        <v>168</v>
      </c>
      <c r="G28" s="51">
        <f>SUM(G23:G27)</f>
        <v>154000</v>
      </c>
      <c r="H28" s="51">
        <f>SUM(H23:H27)</f>
        <v>150000</v>
      </c>
    </row>
    <row r="29" spans="2:8" x14ac:dyDescent="0.25">
      <c r="F29" s="48" t="s">
        <v>169</v>
      </c>
    </row>
    <row r="30" spans="2:8" x14ac:dyDescent="0.25">
      <c r="F30" s="36" t="s">
        <v>170</v>
      </c>
      <c r="G30" s="38">
        <v>40000</v>
      </c>
      <c r="H30" s="38">
        <v>0</v>
      </c>
    </row>
    <row r="31" spans="2:8" x14ac:dyDescent="0.25">
      <c r="F31" s="36" t="s">
        <v>171</v>
      </c>
      <c r="G31" s="38">
        <v>400000</v>
      </c>
      <c r="H31" s="38">
        <v>300000</v>
      </c>
    </row>
    <row r="32" spans="2:8" x14ac:dyDescent="0.25">
      <c r="F32" s="48" t="s">
        <v>172</v>
      </c>
      <c r="G32" s="57">
        <f>G28+SUM(G30:G31)</f>
        <v>594000</v>
      </c>
      <c r="H32" s="57">
        <f>H28+SUM(H30:H31)</f>
        <v>450000</v>
      </c>
    </row>
    <row r="33" spans="2:8" x14ac:dyDescent="0.25">
      <c r="F33" s="49" t="s">
        <v>80</v>
      </c>
    </row>
    <row r="34" spans="2:8" x14ac:dyDescent="0.25">
      <c r="F34" s="36" t="s">
        <v>173</v>
      </c>
      <c r="G34" s="38">
        <v>60000</v>
      </c>
      <c r="H34" s="38">
        <v>50000</v>
      </c>
    </row>
    <row r="35" spans="2:8" x14ac:dyDescent="0.25">
      <c r="F35" s="36" t="s">
        <v>174</v>
      </c>
      <c r="G35" s="38">
        <v>140000</v>
      </c>
      <c r="H35" s="38">
        <v>100000</v>
      </c>
    </row>
    <row r="36" spans="2:8" x14ac:dyDescent="0.25">
      <c r="F36" s="36" t="s">
        <v>82</v>
      </c>
      <c r="G36" s="38">
        <v>195000</v>
      </c>
      <c r="H36" s="38">
        <v>170000</v>
      </c>
    </row>
    <row r="37" spans="2:8" x14ac:dyDescent="0.25">
      <c r="F37" s="36" t="s">
        <v>175</v>
      </c>
      <c r="G37" s="51">
        <f>SUM(G34:G36)</f>
        <v>395000</v>
      </c>
      <c r="H37" s="51">
        <f>SUM(H34:H36)</f>
        <v>320000</v>
      </c>
    </row>
    <row r="38" spans="2:8" x14ac:dyDescent="0.25">
      <c r="F38" s="48" t="s">
        <v>176</v>
      </c>
      <c r="G38" s="54">
        <f>G32+G37</f>
        <v>989000</v>
      </c>
      <c r="H38" s="54">
        <f>H32+H37</f>
        <v>770000</v>
      </c>
    </row>
    <row r="40" spans="2:8" x14ac:dyDescent="0.25">
      <c r="B40" s="77" t="s">
        <v>243</v>
      </c>
      <c r="C40" s="77"/>
      <c r="D40" s="77"/>
      <c r="E40" s="77"/>
      <c r="F40" s="77"/>
      <c r="G40" s="77"/>
      <c r="H40" s="77"/>
    </row>
    <row r="41" spans="2:8" x14ac:dyDescent="0.25">
      <c r="B41" s="77"/>
      <c r="C41" s="77"/>
      <c r="D41" s="77"/>
      <c r="E41" s="77"/>
      <c r="F41" s="77"/>
      <c r="G41" s="77"/>
      <c r="H41" s="77"/>
    </row>
    <row r="42" spans="2:8" x14ac:dyDescent="0.25">
      <c r="B42" s="77"/>
      <c r="C42" s="77"/>
      <c r="D42" s="77"/>
      <c r="E42" s="77"/>
      <c r="F42" s="77"/>
      <c r="G42" s="77"/>
      <c r="H42" s="77"/>
    </row>
    <row r="43" spans="2:8" x14ac:dyDescent="0.25">
      <c r="B43" s="77"/>
      <c r="C43" s="77"/>
      <c r="D43" s="77"/>
      <c r="E43" s="77"/>
      <c r="F43" s="77"/>
      <c r="G43" s="77"/>
      <c r="H43" s="77"/>
    </row>
    <row r="44" spans="2:8" x14ac:dyDescent="0.25">
      <c r="B44" s="77"/>
      <c r="C44" s="77"/>
      <c r="D44" s="77"/>
      <c r="E44" s="77"/>
      <c r="F44" s="77"/>
      <c r="G44" s="77"/>
      <c r="H44" s="77"/>
    </row>
    <row r="45" spans="2:8" x14ac:dyDescent="0.25">
      <c r="B45" s="77"/>
      <c r="C45" s="77"/>
      <c r="D45" s="77"/>
      <c r="E45" s="77"/>
      <c r="F45" s="77"/>
      <c r="G45" s="77"/>
      <c r="H45" s="77"/>
    </row>
    <row r="46" spans="2:8" x14ac:dyDescent="0.25">
      <c r="B46" s="58"/>
    </row>
    <row r="48" spans="2:8" x14ac:dyDescent="0.25">
      <c r="B48" s="58"/>
    </row>
  </sheetData>
  <mergeCells count="2">
    <mergeCell ref="B2:H2"/>
    <mergeCell ref="B40:H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9E19-7B0E-4E22-B041-0DE894FCB06D}">
  <dimension ref="B2:K84"/>
  <sheetViews>
    <sheetView zoomScaleNormal="100" workbookViewId="0">
      <selection sqref="A1:XFD1"/>
    </sheetView>
  </sheetViews>
  <sheetFormatPr defaultColWidth="8.88671875" defaultRowHeight="15.6" x14ac:dyDescent="0.3"/>
  <cols>
    <col min="1" max="1" width="8.88671875" style="1"/>
    <col min="2" max="2" width="41.109375" style="1" bestFit="1" customWidth="1"/>
    <col min="3" max="3" width="8.88671875" style="1"/>
    <col min="4" max="4" width="16.6640625" style="1" bestFit="1" customWidth="1"/>
    <col min="5" max="5" width="16.5546875" style="1" customWidth="1"/>
    <col min="6" max="6" width="16.6640625" style="1" bestFit="1" customWidth="1"/>
    <col min="7" max="8" width="16.5546875" style="1" customWidth="1"/>
    <col min="9" max="9" width="19.77734375" style="7" bestFit="1" customWidth="1"/>
    <col min="10" max="10" width="14.6640625" style="1" bestFit="1" customWidth="1"/>
    <col min="11" max="11" width="14.5546875" style="1" customWidth="1"/>
    <col min="12" max="16384" width="8.88671875" style="1"/>
  </cols>
  <sheetData>
    <row r="2" spans="2:10" x14ac:dyDescent="0.3">
      <c r="B2" s="1" t="s">
        <v>177</v>
      </c>
    </row>
    <row r="3" spans="2:10" x14ac:dyDescent="0.3">
      <c r="B3" s="6" t="s">
        <v>129</v>
      </c>
    </row>
    <row r="4" spans="2:10" x14ac:dyDescent="0.3">
      <c r="B4" s="1" t="s">
        <v>130</v>
      </c>
    </row>
    <row r="5" spans="2:10" x14ac:dyDescent="0.3">
      <c r="B5" s="1" t="s">
        <v>131</v>
      </c>
    </row>
    <row r="6" spans="2:10" x14ac:dyDescent="0.3">
      <c r="B6" s="6"/>
    </row>
    <row r="7" spans="2:10" x14ac:dyDescent="0.3">
      <c r="B7" s="6" t="s">
        <v>133</v>
      </c>
      <c r="D7" s="8" t="s">
        <v>130</v>
      </c>
      <c r="E7" s="8" t="s">
        <v>178</v>
      </c>
      <c r="F7" s="8" t="s">
        <v>134</v>
      </c>
      <c r="G7" s="8" t="s">
        <v>178</v>
      </c>
      <c r="H7" s="8" t="s">
        <v>179</v>
      </c>
    </row>
    <row r="8" spans="2:10" x14ac:dyDescent="0.3">
      <c r="B8" s="1" t="s">
        <v>180</v>
      </c>
      <c r="D8" s="63">
        <v>55000</v>
      </c>
      <c r="E8" s="10">
        <f>D8/$D$17</f>
        <v>5.5611729019211326E-2</v>
      </c>
      <c r="F8" s="63">
        <v>20000</v>
      </c>
      <c r="G8" s="10">
        <f>F8/$F$17</f>
        <v>2.5974025974025976E-2</v>
      </c>
      <c r="H8" s="11">
        <f>(D8-F8)/F8</f>
        <v>1.75</v>
      </c>
      <c r="J8" s="68">
        <f>D8-F8</f>
        <v>35000</v>
      </c>
    </row>
    <row r="9" spans="2:10" x14ac:dyDescent="0.3">
      <c r="B9" s="1" t="s">
        <v>138</v>
      </c>
      <c r="D9" s="63">
        <v>85000</v>
      </c>
      <c r="E9" s="10">
        <f t="shared" ref="E9:E17" si="0">D9/$D$17</f>
        <v>8.5945399393326599E-2</v>
      </c>
      <c r="F9" s="63">
        <v>64000</v>
      </c>
      <c r="G9" s="10">
        <f t="shared" ref="G9:G17" si="1">F9/$F$17</f>
        <v>8.3116883116883117E-2</v>
      </c>
      <c r="H9" s="11">
        <f t="shared" ref="H9:H37" si="2">(D9-F9)/F9</f>
        <v>0.328125</v>
      </c>
      <c r="J9" s="68">
        <f>D9-F9</f>
        <v>21000</v>
      </c>
    </row>
    <row r="10" spans="2:10" x14ac:dyDescent="0.3">
      <c r="B10" s="1" t="s">
        <v>181</v>
      </c>
      <c r="D10" s="63">
        <v>17000</v>
      </c>
      <c r="E10" s="10">
        <f t="shared" si="0"/>
        <v>1.7189079878665317E-2</v>
      </c>
      <c r="F10" s="63">
        <v>12000</v>
      </c>
      <c r="G10" s="10">
        <f t="shared" si="1"/>
        <v>1.5584415584415584E-2</v>
      </c>
      <c r="H10" s="11">
        <f t="shared" si="2"/>
        <v>0.41666666666666669</v>
      </c>
      <c r="J10" s="68">
        <f t="shared" ref="J10:J37" si="3">D10-F10</f>
        <v>5000</v>
      </c>
    </row>
    <row r="11" spans="2:10" x14ac:dyDescent="0.3">
      <c r="B11" s="1" t="s">
        <v>182</v>
      </c>
      <c r="D11" s="63">
        <v>110000</v>
      </c>
      <c r="E11" s="10">
        <f t="shared" si="0"/>
        <v>0.11122345803842265</v>
      </c>
      <c r="F11" s="63">
        <v>80000</v>
      </c>
      <c r="G11" s="10">
        <f t="shared" si="1"/>
        <v>0.1038961038961039</v>
      </c>
      <c r="H11" s="11">
        <f t="shared" si="2"/>
        <v>0.375</v>
      </c>
      <c r="I11" s="7" t="s">
        <v>183</v>
      </c>
      <c r="J11" s="68">
        <f t="shared" si="3"/>
        <v>30000</v>
      </c>
    </row>
    <row r="12" spans="2:10" x14ac:dyDescent="0.3">
      <c r="B12" s="1" t="s">
        <v>184</v>
      </c>
      <c r="D12" s="63">
        <v>2000</v>
      </c>
      <c r="E12" s="10">
        <f t="shared" si="0"/>
        <v>2.0222446916076846E-3</v>
      </c>
      <c r="F12" s="63">
        <v>3000</v>
      </c>
      <c r="G12" s="10">
        <f t="shared" si="1"/>
        <v>3.8961038961038961E-3</v>
      </c>
      <c r="H12" s="11">
        <f t="shared" si="2"/>
        <v>-0.33333333333333331</v>
      </c>
      <c r="J12" s="68">
        <f t="shared" si="3"/>
        <v>-1000</v>
      </c>
    </row>
    <row r="13" spans="2:10" x14ac:dyDescent="0.3">
      <c r="B13" s="1" t="s">
        <v>185</v>
      </c>
      <c r="D13" s="63">
        <v>100000</v>
      </c>
      <c r="E13" s="10">
        <f t="shared" si="0"/>
        <v>0.10111223458038422</v>
      </c>
      <c r="F13" s="63">
        <v>90000</v>
      </c>
      <c r="G13" s="10">
        <f t="shared" si="1"/>
        <v>0.11688311688311688</v>
      </c>
      <c r="H13" s="11">
        <f t="shared" si="2"/>
        <v>0.1111111111111111</v>
      </c>
      <c r="I13" s="7" t="s">
        <v>183</v>
      </c>
      <c r="J13" s="68">
        <f t="shared" si="3"/>
        <v>10000</v>
      </c>
    </row>
    <row r="14" spans="2:10" x14ac:dyDescent="0.3">
      <c r="B14" s="1" t="s">
        <v>186</v>
      </c>
      <c r="D14" s="64">
        <v>4000</v>
      </c>
      <c r="E14" s="10">
        <f t="shared" si="0"/>
        <v>4.0444893832153692E-3</v>
      </c>
      <c r="F14" s="64">
        <v>1000</v>
      </c>
      <c r="G14" s="10">
        <f t="shared" si="1"/>
        <v>1.2987012987012987E-3</v>
      </c>
      <c r="H14" s="11">
        <f t="shared" si="2"/>
        <v>3</v>
      </c>
      <c r="J14" s="68">
        <f t="shared" si="3"/>
        <v>3000</v>
      </c>
    </row>
    <row r="15" spans="2:10" x14ac:dyDescent="0.3">
      <c r="B15" s="6" t="s">
        <v>150</v>
      </c>
      <c r="D15" s="65">
        <f>SUM(D8:D14)</f>
        <v>373000</v>
      </c>
      <c r="E15" s="10">
        <f t="shared" si="0"/>
        <v>0.37714863498483314</v>
      </c>
      <c r="F15" s="65">
        <f>SUM(F8:F14)</f>
        <v>270000</v>
      </c>
      <c r="G15" s="10">
        <f t="shared" si="1"/>
        <v>0.35064935064935066</v>
      </c>
      <c r="H15" s="11">
        <f t="shared" si="2"/>
        <v>0.38148148148148148</v>
      </c>
      <c r="J15" s="68">
        <f t="shared" si="3"/>
        <v>103000</v>
      </c>
    </row>
    <row r="16" spans="2:10" x14ac:dyDescent="0.3">
      <c r="B16" s="1" t="s">
        <v>187</v>
      </c>
      <c r="D16" s="63">
        <v>616000</v>
      </c>
      <c r="E16" s="10">
        <f t="shared" si="0"/>
        <v>0.6228513650151668</v>
      </c>
      <c r="F16" s="63">
        <v>500000</v>
      </c>
      <c r="G16" s="10">
        <f t="shared" si="1"/>
        <v>0.64935064935064934</v>
      </c>
      <c r="H16" s="11">
        <f t="shared" si="2"/>
        <v>0.23200000000000001</v>
      </c>
      <c r="I16" s="7" t="s">
        <v>188</v>
      </c>
      <c r="J16" s="68">
        <f t="shared" si="3"/>
        <v>116000</v>
      </c>
    </row>
    <row r="17" spans="2:10" x14ac:dyDescent="0.3">
      <c r="B17" s="6" t="s">
        <v>189</v>
      </c>
      <c r="D17" s="65">
        <f>D16+D15</f>
        <v>989000</v>
      </c>
      <c r="E17" s="10">
        <f t="shared" si="0"/>
        <v>1</v>
      </c>
      <c r="F17" s="65">
        <f>F16+F15</f>
        <v>770000</v>
      </c>
      <c r="G17" s="10">
        <f t="shared" si="1"/>
        <v>1</v>
      </c>
      <c r="H17" s="11">
        <f t="shared" si="2"/>
        <v>0.2844155844155844</v>
      </c>
      <c r="J17" s="68">
        <f t="shared" si="3"/>
        <v>219000</v>
      </c>
    </row>
    <row r="18" spans="2:10" x14ac:dyDescent="0.3">
      <c r="D18" s="9"/>
      <c r="E18" s="13"/>
      <c r="F18" s="9"/>
      <c r="G18" s="13"/>
      <c r="H18" s="11"/>
      <c r="J18" s="9"/>
    </row>
    <row r="19" spans="2:10" x14ac:dyDescent="0.3">
      <c r="D19" s="9"/>
      <c r="E19" s="13"/>
      <c r="F19" s="9"/>
      <c r="G19" s="13"/>
      <c r="H19" s="11"/>
      <c r="J19" s="9"/>
    </row>
    <row r="20" spans="2:10" x14ac:dyDescent="0.3">
      <c r="B20" s="6" t="s">
        <v>158</v>
      </c>
      <c r="D20" s="9"/>
      <c r="E20" s="13"/>
      <c r="F20" s="9"/>
      <c r="G20" s="13"/>
      <c r="H20" s="11"/>
      <c r="J20" s="9"/>
    </row>
    <row r="21" spans="2:10" x14ac:dyDescent="0.3">
      <c r="B21" s="6" t="s">
        <v>160</v>
      </c>
      <c r="D21" s="8" t="s">
        <v>130</v>
      </c>
      <c r="E21" s="13"/>
      <c r="F21" s="8" t="s">
        <v>134</v>
      </c>
      <c r="G21" s="14"/>
      <c r="H21" s="11"/>
      <c r="J21" s="9"/>
    </row>
    <row r="22" spans="2:10" x14ac:dyDescent="0.3">
      <c r="B22" s="1" t="s">
        <v>161</v>
      </c>
      <c r="D22" s="63">
        <v>45000</v>
      </c>
      <c r="E22" s="10">
        <f t="shared" ref="E22:E37" si="4">D22/$D$17</f>
        <v>4.5500505561172903E-2</v>
      </c>
      <c r="F22" s="63">
        <v>55000</v>
      </c>
      <c r="G22" s="10">
        <f>F22/$F$17</f>
        <v>7.1428571428571425E-2</v>
      </c>
      <c r="H22" s="11">
        <f t="shared" si="2"/>
        <v>-0.18181818181818182</v>
      </c>
      <c r="I22" s="7" t="s">
        <v>190</v>
      </c>
      <c r="J22" s="68">
        <f t="shared" si="3"/>
        <v>-10000</v>
      </c>
    </row>
    <row r="23" spans="2:10" x14ac:dyDescent="0.3">
      <c r="B23" s="1" t="s">
        <v>163</v>
      </c>
      <c r="D23" s="63">
        <v>76000</v>
      </c>
      <c r="E23" s="10">
        <f t="shared" si="4"/>
        <v>7.6845298281092017E-2</v>
      </c>
      <c r="F23" s="63">
        <v>61000</v>
      </c>
      <c r="G23" s="10">
        <f t="shared" ref="G23:G37" si="5">F23/$F$17</f>
        <v>7.9220779220779219E-2</v>
      </c>
      <c r="H23" s="11">
        <f t="shared" si="2"/>
        <v>0.24590163934426229</v>
      </c>
      <c r="I23" s="7" t="s">
        <v>183</v>
      </c>
      <c r="J23" s="68">
        <f t="shared" si="3"/>
        <v>15000</v>
      </c>
    </row>
    <row r="24" spans="2:10" x14ac:dyDescent="0.3">
      <c r="B24" s="1" t="s">
        <v>165</v>
      </c>
      <c r="D24" s="63">
        <v>22000</v>
      </c>
      <c r="E24" s="10">
        <f t="shared" si="4"/>
        <v>2.2244691607684528E-2</v>
      </c>
      <c r="F24" s="63">
        <v>15000</v>
      </c>
      <c r="G24" s="10">
        <f t="shared" si="5"/>
        <v>1.948051948051948E-2</v>
      </c>
      <c r="H24" s="11">
        <f t="shared" si="2"/>
        <v>0.46666666666666667</v>
      </c>
      <c r="J24" s="68">
        <f t="shared" si="3"/>
        <v>7000</v>
      </c>
    </row>
    <row r="25" spans="2:10" x14ac:dyDescent="0.3">
      <c r="B25" s="1" t="s">
        <v>166</v>
      </c>
      <c r="D25" s="63">
        <v>8000</v>
      </c>
      <c r="E25" s="10">
        <f t="shared" si="4"/>
        <v>8.0889787664307385E-3</v>
      </c>
      <c r="F25" s="63">
        <v>10000</v>
      </c>
      <c r="G25" s="10">
        <f t="shared" si="5"/>
        <v>1.2987012987012988E-2</v>
      </c>
      <c r="H25" s="11">
        <f t="shared" si="2"/>
        <v>-0.2</v>
      </c>
      <c r="J25" s="68">
        <f t="shared" si="3"/>
        <v>-2000</v>
      </c>
    </row>
    <row r="26" spans="2:10" x14ac:dyDescent="0.3">
      <c r="B26" s="1" t="s">
        <v>167</v>
      </c>
      <c r="D26" s="64">
        <v>3000</v>
      </c>
      <c r="E26" s="10">
        <f t="shared" si="4"/>
        <v>3.0333670374115269E-3</v>
      </c>
      <c r="F26" s="64">
        <v>9000</v>
      </c>
      <c r="G26" s="10">
        <f>F26/$F$17</f>
        <v>1.1688311688311689E-2</v>
      </c>
      <c r="H26" s="11">
        <f t="shared" si="2"/>
        <v>-0.66666666666666663</v>
      </c>
      <c r="I26" s="7" t="s">
        <v>183</v>
      </c>
      <c r="J26" s="68">
        <f t="shared" si="3"/>
        <v>-6000</v>
      </c>
    </row>
    <row r="27" spans="2:10" x14ac:dyDescent="0.3">
      <c r="B27" s="1" t="s">
        <v>168</v>
      </c>
      <c r="D27" s="63">
        <f>SUM(D22:D26)</f>
        <v>154000</v>
      </c>
      <c r="E27" s="10">
        <f t="shared" si="4"/>
        <v>0.1557128412537917</v>
      </c>
      <c r="F27" s="63">
        <f>SUM(F22:F26)</f>
        <v>150000</v>
      </c>
      <c r="G27" s="10">
        <f t="shared" si="5"/>
        <v>0.19480519480519481</v>
      </c>
      <c r="H27" s="11">
        <f t="shared" si="2"/>
        <v>2.6666666666666668E-2</v>
      </c>
      <c r="J27" s="68">
        <f t="shared" si="3"/>
        <v>4000</v>
      </c>
    </row>
    <row r="28" spans="2:10" x14ac:dyDescent="0.3">
      <c r="B28" s="6" t="s">
        <v>169</v>
      </c>
      <c r="D28" s="9"/>
      <c r="E28" s="10"/>
      <c r="F28" s="9"/>
      <c r="G28" s="10"/>
      <c r="H28" s="11"/>
      <c r="J28" s="9"/>
    </row>
    <row r="29" spans="2:10" x14ac:dyDescent="0.3">
      <c r="B29" s="1" t="s">
        <v>170</v>
      </c>
      <c r="D29" s="63">
        <v>40000</v>
      </c>
      <c r="E29" s="10">
        <f t="shared" si="4"/>
        <v>4.0444893832153689E-2</v>
      </c>
      <c r="F29" s="63">
        <v>0</v>
      </c>
      <c r="G29" s="10">
        <f>F29/$F$17</f>
        <v>0</v>
      </c>
      <c r="H29" s="11"/>
      <c r="I29" s="7" t="s">
        <v>190</v>
      </c>
      <c r="J29" s="68">
        <f t="shared" si="3"/>
        <v>40000</v>
      </c>
    </row>
    <row r="30" spans="2:10" x14ac:dyDescent="0.3">
      <c r="B30" s="1" t="s">
        <v>171</v>
      </c>
      <c r="D30" s="64">
        <v>400000</v>
      </c>
      <c r="E30" s="10">
        <f t="shared" si="4"/>
        <v>0.40444893832153689</v>
      </c>
      <c r="F30" s="64">
        <v>300000</v>
      </c>
      <c r="G30" s="10">
        <f t="shared" si="5"/>
        <v>0.38961038961038963</v>
      </c>
      <c r="H30" s="11">
        <f t="shared" si="2"/>
        <v>0.33333333333333331</v>
      </c>
      <c r="J30" s="68">
        <f t="shared" si="3"/>
        <v>100000</v>
      </c>
    </row>
    <row r="31" spans="2:10" x14ac:dyDescent="0.3">
      <c r="B31" s="1" t="s">
        <v>168</v>
      </c>
      <c r="D31" s="63">
        <f>SUM(D27:D30)</f>
        <v>594000</v>
      </c>
      <c r="E31" s="10">
        <f t="shared" si="4"/>
        <v>0.60060667340748231</v>
      </c>
      <c r="F31" s="63">
        <f>SUM(F27:F30)</f>
        <v>450000</v>
      </c>
      <c r="G31" s="10">
        <f t="shared" si="5"/>
        <v>0.58441558441558439</v>
      </c>
      <c r="H31" s="11">
        <f t="shared" si="2"/>
        <v>0.32</v>
      </c>
      <c r="J31" s="68">
        <f t="shared" si="3"/>
        <v>144000</v>
      </c>
    </row>
    <row r="32" spans="2:10" x14ac:dyDescent="0.3">
      <c r="B32" s="6" t="s">
        <v>80</v>
      </c>
      <c r="D32" s="9"/>
      <c r="E32" s="10"/>
      <c r="F32" s="9"/>
      <c r="G32" s="10"/>
      <c r="H32" s="11"/>
      <c r="J32" s="9"/>
    </row>
    <row r="33" spans="2:11" x14ac:dyDescent="0.3">
      <c r="B33" s="1" t="s">
        <v>173</v>
      </c>
      <c r="D33" s="63">
        <v>60000</v>
      </c>
      <c r="E33" s="10">
        <f t="shared" si="4"/>
        <v>6.0667340748230533E-2</v>
      </c>
      <c r="F33" s="63">
        <v>50000</v>
      </c>
      <c r="G33" s="10">
        <f t="shared" si="5"/>
        <v>6.4935064935064929E-2</v>
      </c>
      <c r="H33" s="11">
        <f t="shared" si="2"/>
        <v>0.2</v>
      </c>
      <c r="I33" s="7" t="s">
        <v>190</v>
      </c>
      <c r="J33" s="68">
        <f t="shared" si="3"/>
        <v>10000</v>
      </c>
    </row>
    <row r="34" spans="2:11" x14ac:dyDescent="0.3">
      <c r="B34" s="1" t="s">
        <v>191</v>
      </c>
      <c r="D34" s="63">
        <v>140000</v>
      </c>
      <c r="E34" s="10">
        <f t="shared" si="4"/>
        <v>0.14155712841253792</v>
      </c>
      <c r="F34" s="63">
        <v>100000</v>
      </c>
      <c r="G34" s="10">
        <f t="shared" si="5"/>
        <v>0.12987012987012986</v>
      </c>
      <c r="H34" s="11">
        <f t="shared" si="2"/>
        <v>0.4</v>
      </c>
      <c r="I34" s="7" t="s">
        <v>190</v>
      </c>
      <c r="J34" s="68">
        <f t="shared" si="3"/>
        <v>40000</v>
      </c>
    </row>
    <row r="35" spans="2:11" x14ac:dyDescent="0.3">
      <c r="B35" s="1" t="s">
        <v>82</v>
      </c>
      <c r="D35" s="64">
        <v>195000</v>
      </c>
      <c r="E35" s="10">
        <f t="shared" si="4"/>
        <v>0.19716885743174925</v>
      </c>
      <c r="F35" s="64">
        <v>170000</v>
      </c>
      <c r="G35" s="10">
        <f t="shared" si="5"/>
        <v>0.22077922077922077</v>
      </c>
      <c r="H35" s="11">
        <f t="shared" si="2"/>
        <v>0.14705882352941177</v>
      </c>
      <c r="J35" s="68">
        <f t="shared" si="3"/>
        <v>25000</v>
      </c>
      <c r="K35" s="2"/>
    </row>
    <row r="36" spans="2:11" x14ac:dyDescent="0.3">
      <c r="B36" s="1" t="s">
        <v>192</v>
      </c>
      <c r="D36" s="63">
        <f>SUM(D33:D35)</f>
        <v>395000</v>
      </c>
      <c r="E36" s="10">
        <f t="shared" si="4"/>
        <v>0.39939332659251769</v>
      </c>
      <c r="F36" s="63">
        <f>SUM(F33:F35)</f>
        <v>320000</v>
      </c>
      <c r="G36" s="10">
        <f t="shared" si="5"/>
        <v>0.41558441558441561</v>
      </c>
      <c r="H36" s="11">
        <f t="shared" si="2"/>
        <v>0.234375</v>
      </c>
      <c r="J36" s="68">
        <f t="shared" si="3"/>
        <v>75000</v>
      </c>
    </row>
    <row r="37" spans="2:11" x14ac:dyDescent="0.3">
      <c r="B37" s="1" t="s">
        <v>176</v>
      </c>
      <c r="D37" s="65">
        <f>D36+D31</f>
        <v>989000</v>
      </c>
      <c r="E37" s="10">
        <f t="shared" si="4"/>
        <v>1</v>
      </c>
      <c r="F37" s="65">
        <f>F36+F31</f>
        <v>770000</v>
      </c>
      <c r="G37" s="10">
        <f t="shared" si="5"/>
        <v>1</v>
      </c>
      <c r="H37" s="11">
        <f t="shared" si="2"/>
        <v>0.2844155844155844</v>
      </c>
      <c r="J37" s="68">
        <f t="shared" si="3"/>
        <v>219000</v>
      </c>
    </row>
    <row r="38" spans="2:11" x14ac:dyDescent="0.3">
      <c r="D38" s="2"/>
      <c r="E38" s="2"/>
      <c r="F38" s="2"/>
      <c r="G38" s="2"/>
      <c r="H38" s="2"/>
    </row>
    <row r="39" spans="2:11" x14ac:dyDescent="0.3">
      <c r="D39" s="2"/>
      <c r="E39" s="2"/>
      <c r="F39" s="2"/>
      <c r="G39" s="2"/>
      <c r="H39" s="2"/>
    </row>
    <row r="40" spans="2:11" x14ac:dyDescent="0.3">
      <c r="B40" s="1" t="s">
        <v>177</v>
      </c>
      <c r="D40" s="2"/>
      <c r="E40" s="2"/>
      <c r="F40" s="2"/>
      <c r="G40" s="2"/>
      <c r="H40" s="2"/>
    </row>
    <row r="41" spans="2:11" x14ac:dyDescent="0.3">
      <c r="B41" s="1" t="s">
        <v>193</v>
      </c>
      <c r="D41" s="2"/>
      <c r="E41" s="2"/>
      <c r="F41" s="2"/>
      <c r="G41" s="2"/>
      <c r="H41" s="2"/>
    </row>
    <row r="42" spans="2:11" x14ac:dyDescent="0.3">
      <c r="B42" s="1" t="s">
        <v>130</v>
      </c>
      <c r="D42" s="2"/>
      <c r="E42" s="2"/>
      <c r="F42" s="2"/>
      <c r="G42" s="2"/>
      <c r="H42" s="2"/>
    </row>
    <row r="43" spans="2:11" x14ac:dyDescent="0.3">
      <c r="B43" s="1" t="s">
        <v>131</v>
      </c>
      <c r="D43" s="2"/>
      <c r="E43" s="2"/>
      <c r="F43" s="2"/>
      <c r="G43" s="2"/>
      <c r="H43" s="2"/>
    </row>
    <row r="44" spans="2:11" x14ac:dyDescent="0.3">
      <c r="D44" s="9"/>
      <c r="E44" s="9"/>
      <c r="F44" s="9"/>
      <c r="G44" s="8" t="s">
        <v>178</v>
      </c>
      <c r="H44" s="2"/>
    </row>
    <row r="45" spans="2:11" x14ac:dyDescent="0.3">
      <c r="B45" s="6" t="s">
        <v>135</v>
      </c>
      <c r="D45" s="9"/>
      <c r="E45" s="9"/>
      <c r="F45" s="66">
        <v>900000</v>
      </c>
      <c r="G45" s="15">
        <f>F45/$F$45</f>
        <v>1</v>
      </c>
      <c r="H45" s="2"/>
    </row>
    <row r="46" spans="2:11" x14ac:dyDescent="0.3">
      <c r="B46" s="1" t="s">
        <v>137</v>
      </c>
      <c r="D46" s="9"/>
      <c r="E46" s="9"/>
      <c r="F46" s="67">
        <v>500000</v>
      </c>
      <c r="G46" s="15">
        <f t="shared" ref="G46:G60" si="6">F46/$F$45</f>
        <v>0.55555555555555558</v>
      </c>
      <c r="H46" s="2"/>
    </row>
    <row r="47" spans="2:11" x14ac:dyDescent="0.3">
      <c r="B47" s="4" t="s">
        <v>139</v>
      </c>
      <c r="D47" s="9"/>
      <c r="E47" s="9"/>
      <c r="F47" s="66">
        <f>F45-F46</f>
        <v>400000</v>
      </c>
      <c r="G47" s="15">
        <f t="shared" si="6"/>
        <v>0.44444444444444442</v>
      </c>
      <c r="H47" s="2"/>
    </row>
    <row r="48" spans="2:11" x14ac:dyDescent="0.3">
      <c r="B48" s="16" t="s">
        <v>194</v>
      </c>
      <c r="D48" s="9"/>
      <c r="E48" s="9"/>
      <c r="F48" s="66">
        <f>SUM(D49:D50)</f>
        <v>300000</v>
      </c>
      <c r="G48" s="15">
        <f t="shared" si="6"/>
        <v>0.33333333333333331</v>
      </c>
      <c r="H48" s="2"/>
    </row>
    <row r="49" spans="2:8" x14ac:dyDescent="0.3">
      <c r="B49" s="17" t="s">
        <v>195</v>
      </c>
      <c r="D49" s="66">
        <v>260000</v>
      </c>
      <c r="E49" s="9"/>
      <c r="F49" s="9"/>
      <c r="G49" s="15">
        <f>D49/$F$45</f>
        <v>0.28888888888888886</v>
      </c>
      <c r="H49" s="2"/>
    </row>
    <row r="50" spans="2:8" x14ac:dyDescent="0.3">
      <c r="B50" s="17" t="s">
        <v>196</v>
      </c>
      <c r="D50" s="67">
        <v>40000</v>
      </c>
      <c r="E50" s="12"/>
      <c r="F50" s="12"/>
      <c r="G50" s="15">
        <f>D50/$F$45</f>
        <v>4.4444444444444446E-2</v>
      </c>
      <c r="H50" s="2"/>
    </row>
    <row r="51" spans="2:8" x14ac:dyDescent="0.3">
      <c r="B51" s="4" t="s">
        <v>147</v>
      </c>
      <c r="D51" s="9"/>
      <c r="E51" s="9"/>
      <c r="F51" s="66">
        <f>F47-F48</f>
        <v>100000</v>
      </c>
      <c r="G51" s="15">
        <f t="shared" si="6"/>
        <v>0.1111111111111111</v>
      </c>
      <c r="H51" s="2"/>
    </row>
    <row r="52" spans="2:8" x14ac:dyDescent="0.3">
      <c r="B52" s="6" t="s">
        <v>149</v>
      </c>
      <c r="D52" s="9"/>
      <c r="E52" s="9"/>
      <c r="F52" s="66">
        <f>SUM(D53:D55)</f>
        <v>40000</v>
      </c>
      <c r="G52" s="15">
        <f t="shared" si="6"/>
        <v>4.4444444444444446E-2</v>
      </c>
      <c r="H52" s="2"/>
    </row>
    <row r="53" spans="2:8" x14ac:dyDescent="0.3">
      <c r="B53" s="1" t="s">
        <v>197</v>
      </c>
      <c r="D53" s="66">
        <v>3000</v>
      </c>
      <c r="E53" s="9"/>
      <c r="F53" s="9"/>
      <c r="G53" s="15">
        <f>D53/$F$45</f>
        <v>3.3333333333333335E-3</v>
      </c>
      <c r="H53" s="2"/>
    </row>
    <row r="54" spans="2:8" x14ac:dyDescent="0.3">
      <c r="B54" s="1" t="s">
        <v>198</v>
      </c>
      <c r="D54" s="66">
        <v>6000</v>
      </c>
      <c r="E54" s="9"/>
      <c r="F54" s="9"/>
      <c r="G54" s="15">
        <f>D54/$F$45</f>
        <v>6.6666666666666671E-3</v>
      </c>
      <c r="H54" s="2"/>
    </row>
    <row r="55" spans="2:8" x14ac:dyDescent="0.3">
      <c r="B55" s="1" t="s">
        <v>199</v>
      </c>
      <c r="D55" s="67">
        <v>31000</v>
      </c>
      <c r="E55" s="9"/>
      <c r="F55" s="9"/>
      <c r="G55" s="15">
        <f>D55/$F$45</f>
        <v>3.4444444444444444E-2</v>
      </c>
      <c r="H55" s="2"/>
    </row>
    <row r="56" spans="2:8" x14ac:dyDescent="0.3">
      <c r="B56" s="6" t="s">
        <v>200</v>
      </c>
      <c r="D56" s="9"/>
      <c r="E56" s="9"/>
      <c r="F56" s="66">
        <f>SUM(D57:D58)</f>
        <v>39000</v>
      </c>
      <c r="G56" s="15">
        <f t="shared" si="6"/>
        <v>4.3333333333333335E-2</v>
      </c>
      <c r="H56" s="2"/>
    </row>
    <row r="57" spans="2:8" x14ac:dyDescent="0.3">
      <c r="B57" s="1" t="s">
        <v>201</v>
      </c>
      <c r="D57" s="66">
        <v>35000</v>
      </c>
      <c r="E57" s="9"/>
      <c r="F57" s="9"/>
      <c r="G57" s="15">
        <f>D57/$F$45</f>
        <v>3.888888888888889E-2</v>
      </c>
      <c r="H57" s="2"/>
    </row>
    <row r="58" spans="2:8" x14ac:dyDescent="0.3">
      <c r="B58" s="1" t="s">
        <v>202</v>
      </c>
      <c r="D58" s="67">
        <v>4000</v>
      </c>
      <c r="E58" s="12"/>
      <c r="F58" s="12"/>
      <c r="G58" s="15">
        <f>D58/$F$45</f>
        <v>4.4444444444444444E-3</v>
      </c>
      <c r="H58" s="2"/>
    </row>
    <row r="59" spans="2:8" x14ac:dyDescent="0.3">
      <c r="B59" s="4" t="s">
        <v>203</v>
      </c>
      <c r="D59" s="9"/>
      <c r="E59" s="9"/>
      <c r="F59" s="66">
        <f>F51-F56+F52</f>
        <v>101000</v>
      </c>
      <c r="G59" s="15">
        <f t="shared" si="6"/>
        <v>0.11222222222222222</v>
      </c>
      <c r="H59" s="2"/>
    </row>
    <row r="60" spans="2:8" x14ac:dyDescent="0.3">
      <c r="B60" s="1" t="s">
        <v>162</v>
      </c>
      <c r="D60" s="9"/>
      <c r="E60" s="9"/>
      <c r="F60" s="67">
        <v>36000</v>
      </c>
      <c r="G60" s="15">
        <f t="shared" si="6"/>
        <v>0.04</v>
      </c>
      <c r="H60" s="2"/>
    </row>
    <row r="61" spans="2:8" x14ac:dyDescent="0.3">
      <c r="B61" s="3" t="s">
        <v>164</v>
      </c>
      <c r="D61" s="9"/>
      <c r="E61" s="9"/>
      <c r="F61" s="66">
        <f>F59-F60</f>
        <v>65000</v>
      </c>
      <c r="G61" s="15">
        <f>F61/$F$45</f>
        <v>7.2222222222222215E-2</v>
      </c>
      <c r="H61" s="2"/>
    </row>
    <row r="62" spans="2:8" x14ac:dyDescent="0.3">
      <c r="D62" s="9"/>
      <c r="E62" s="9"/>
      <c r="F62" s="9"/>
      <c r="G62" s="2"/>
      <c r="H62" s="2"/>
    </row>
    <row r="63" spans="2:8" x14ac:dyDescent="0.3">
      <c r="D63" s="9"/>
      <c r="E63" s="9"/>
      <c r="F63" s="9"/>
      <c r="G63" s="2"/>
      <c r="H63" s="2"/>
    </row>
    <row r="64" spans="2:8" x14ac:dyDescent="0.3">
      <c r="D64" s="2"/>
      <c r="E64" s="2"/>
      <c r="F64" s="2"/>
      <c r="G64" s="2"/>
      <c r="H64" s="2"/>
    </row>
    <row r="65" spans="4:8" x14ac:dyDescent="0.3">
      <c r="D65" s="2"/>
      <c r="E65" s="2"/>
      <c r="F65" s="2"/>
      <c r="G65" s="2"/>
      <c r="H65" s="2"/>
    </row>
    <row r="66" spans="4:8" x14ac:dyDescent="0.3">
      <c r="D66" s="2"/>
      <c r="E66" s="2"/>
      <c r="F66" s="2"/>
      <c r="G66" s="2"/>
      <c r="H66" s="2"/>
    </row>
    <row r="67" spans="4:8" x14ac:dyDescent="0.3">
      <c r="D67" s="2"/>
      <c r="E67" s="2"/>
      <c r="F67" s="2"/>
      <c r="G67" s="2"/>
      <c r="H67" s="2"/>
    </row>
    <row r="68" spans="4:8" x14ac:dyDescent="0.3">
      <c r="D68" s="2"/>
      <c r="E68" s="2"/>
      <c r="F68" s="2"/>
      <c r="G68" s="2"/>
      <c r="H68" s="2"/>
    </row>
    <row r="69" spans="4:8" x14ac:dyDescent="0.3">
      <c r="D69" s="2"/>
      <c r="E69" s="2"/>
      <c r="F69" s="2"/>
      <c r="G69" s="2"/>
      <c r="H69" s="2"/>
    </row>
    <row r="70" spans="4:8" x14ac:dyDescent="0.3">
      <c r="D70" s="2"/>
      <c r="E70" s="2"/>
      <c r="F70" s="2"/>
      <c r="G70" s="2"/>
      <c r="H70" s="2"/>
    </row>
    <row r="71" spans="4:8" x14ac:dyDescent="0.3">
      <c r="D71" s="2"/>
      <c r="E71" s="2"/>
      <c r="F71" s="2"/>
      <c r="G71" s="2"/>
      <c r="H71" s="2"/>
    </row>
    <row r="72" spans="4:8" x14ac:dyDescent="0.3">
      <c r="D72" s="2"/>
      <c r="E72" s="2"/>
      <c r="F72" s="2"/>
      <c r="G72" s="2"/>
      <c r="H72" s="2"/>
    </row>
    <row r="73" spans="4:8" x14ac:dyDescent="0.3">
      <c r="D73" s="2"/>
      <c r="E73" s="2"/>
      <c r="F73" s="2"/>
      <c r="G73" s="2"/>
      <c r="H73" s="2"/>
    </row>
    <row r="74" spans="4:8" x14ac:dyDescent="0.3">
      <c r="D74" s="2"/>
      <c r="E74" s="2"/>
      <c r="F74" s="2"/>
      <c r="G74" s="2"/>
      <c r="H74" s="2"/>
    </row>
    <row r="75" spans="4:8" x14ac:dyDescent="0.3">
      <c r="D75" s="2"/>
      <c r="E75" s="2"/>
      <c r="F75" s="2"/>
      <c r="G75" s="2"/>
      <c r="H75" s="2"/>
    </row>
    <row r="76" spans="4:8" x14ac:dyDescent="0.3">
      <c r="D76" s="2"/>
      <c r="E76" s="2"/>
      <c r="F76" s="2"/>
      <c r="G76" s="2"/>
      <c r="H76" s="2"/>
    </row>
    <row r="77" spans="4:8" x14ac:dyDescent="0.3">
      <c r="D77" s="2"/>
      <c r="E77" s="2"/>
      <c r="F77" s="2"/>
      <c r="G77" s="2"/>
      <c r="H77" s="2"/>
    </row>
    <row r="78" spans="4:8" x14ac:dyDescent="0.3">
      <c r="D78" s="2"/>
      <c r="E78" s="2"/>
      <c r="F78" s="2"/>
      <c r="G78" s="2"/>
      <c r="H78" s="2"/>
    </row>
    <row r="79" spans="4:8" x14ac:dyDescent="0.3">
      <c r="D79" s="2"/>
      <c r="E79" s="2"/>
      <c r="F79" s="2"/>
      <c r="G79" s="2"/>
      <c r="H79" s="2"/>
    </row>
    <row r="80" spans="4:8" x14ac:dyDescent="0.3">
      <c r="D80" s="2"/>
      <c r="E80" s="2"/>
      <c r="F80" s="2"/>
      <c r="G80" s="2"/>
      <c r="H80" s="2"/>
    </row>
    <row r="81" spans="4:8" x14ac:dyDescent="0.3">
      <c r="D81" s="2"/>
      <c r="E81" s="2"/>
      <c r="F81" s="2"/>
      <c r="G81" s="2"/>
      <c r="H81" s="2"/>
    </row>
    <row r="82" spans="4:8" x14ac:dyDescent="0.3">
      <c r="D82" s="2"/>
      <c r="E82" s="2"/>
      <c r="F82" s="2"/>
      <c r="G82" s="2"/>
      <c r="H82" s="2"/>
    </row>
    <row r="83" spans="4:8" x14ac:dyDescent="0.3">
      <c r="D83" s="2"/>
      <c r="E83" s="2"/>
      <c r="F83" s="2"/>
      <c r="G83" s="2"/>
      <c r="H83" s="2"/>
    </row>
    <row r="84" spans="4:8" x14ac:dyDescent="0.3">
      <c r="D84" s="2"/>
      <c r="E84" s="2"/>
      <c r="F84" s="2"/>
      <c r="G84" s="2"/>
      <c r="H84"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8F3498E8A554D409991A1A9CA5CB704" ma:contentTypeVersion="17" ma:contentTypeDescription="Crear nuevo documento." ma:contentTypeScope="" ma:versionID="ba621d6f53254a86473c90aa85639b8f">
  <xsd:schema xmlns:xsd="http://www.w3.org/2001/XMLSchema" xmlns:xs="http://www.w3.org/2001/XMLSchema" xmlns:p="http://schemas.microsoft.com/office/2006/metadata/properties" xmlns:ns3="0d103c09-f03d-4922-b8df-e6c4c6a5ebfd" xmlns:ns4="c8316963-1c1c-49e3-8766-404f3be1d443" targetNamespace="http://schemas.microsoft.com/office/2006/metadata/properties" ma:root="true" ma:fieldsID="4dcdfa59626bf2246a30f2b2ec4da600" ns3:_="" ns4:_="">
    <xsd:import namespace="0d103c09-f03d-4922-b8df-e6c4c6a5ebfd"/>
    <xsd:import namespace="c8316963-1c1c-49e3-8766-404f3be1d44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LengthInSeconds" minOccurs="0"/>
                <xsd:element ref="ns3:MediaServiceLocation" minOccurs="0"/>
                <xsd:element ref="ns3:MediaServiceSearchPropertie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103c09-f03d-4922-b8df-e6c4c6a5eb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316963-1c1c-49e3-8766-404f3be1d44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d103c09-f03d-4922-b8df-e6c4c6a5ebfd" xsi:nil="true"/>
  </documentManagement>
</p:properties>
</file>

<file path=customXml/itemProps1.xml><?xml version="1.0" encoding="utf-8"?>
<ds:datastoreItem xmlns:ds="http://schemas.openxmlformats.org/officeDocument/2006/customXml" ds:itemID="{625B32C9-92C0-4254-8FFC-019BDDC063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103c09-f03d-4922-b8df-e6c4c6a5ebfd"/>
    <ds:schemaRef ds:uri="c8316963-1c1c-49e3-8766-404f3be1d4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666CEB-F674-40CA-821B-05A9C81916C6}">
  <ds:schemaRefs>
    <ds:schemaRef ds:uri="http://schemas.microsoft.com/sharepoint/v3/contenttype/forms"/>
  </ds:schemaRefs>
</ds:datastoreItem>
</file>

<file path=customXml/itemProps3.xml><?xml version="1.0" encoding="utf-8"?>
<ds:datastoreItem xmlns:ds="http://schemas.openxmlformats.org/officeDocument/2006/customXml" ds:itemID="{3211C9BE-B7EF-45EA-A430-FF86ABFEF480}">
  <ds:schemaRefs>
    <ds:schemaRef ds:uri="http://purl.org/dc/dcmitype/"/>
    <ds:schemaRef ds:uri="c8316963-1c1c-49e3-8766-404f3be1d443"/>
    <ds:schemaRef ds:uri="http://schemas.microsoft.com/office/2006/metadata/properties"/>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0d103c09-f03d-4922-b8df-e6c4c6a5ebfd"/>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Integrantes</vt:lpstr>
      <vt:lpstr>Caso 1</vt:lpstr>
      <vt:lpstr>Clasificación</vt:lpstr>
      <vt:lpstr>Estado Resultados C1</vt:lpstr>
      <vt:lpstr>Balance General C1</vt:lpstr>
      <vt:lpstr>Razones Fin. C1</vt:lpstr>
      <vt:lpstr>Recomendaciones C1</vt:lpstr>
      <vt:lpstr>Caso 2</vt:lpstr>
      <vt:lpstr>ER y BG % C2</vt:lpstr>
      <vt:lpstr>Estado UR C2</vt:lpstr>
      <vt:lpstr>Flujo de efectivo C2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Pop</dc:creator>
  <cp:keywords/>
  <dc:description/>
  <cp:lastModifiedBy>CARLOS ANTONIO POP ARROYO</cp:lastModifiedBy>
  <cp:revision/>
  <dcterms:created xsi:type="dcterms:W3CDTF">2023-09-05T21:59:48Z</dcterms:created>
  <dcterms:modified xsi:type="dcterms:W3CDTF">2024-02-01T23:25:35Z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0x010100E8F3498E8A554D409991A1A9CA5CB704</vt:lpwstr>
  </property>
</Properties>
</file>