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303AC732-4C2C-4B79-B476-42021DC4ACF1}" xr6:coauthVersionLast="47" xr6:coauthVersionMax="47" xr10:uidLastSave="{00000000-0000-0000-0000-000000000000}"/>
  <bookViews>
    <workbookView xWindow="3810" yWindow="3810" windowWidth="21600" windowHeight="11295" activeTab="1" xr2:uid="{60DFC965-B23F-49BA-8226-A5A20FC3EC1A}"/>
  </bookViews>
  <sheets>
    <sheet name="CASO1" sheetId="1" r:id="rId1"/>
    <sheet name="CAS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2" l="1"/>
  <c r="D44" i="2"/>
  <c r="D43" i="2"/>
  <c r="D35" i="2"/>
  <c r="D36" i="2" s="1"/>
  <c r="D42" i="2"/>
  <c r="D38" i="2"/>
  <c r="D33" i="2"/>
  <c r="D32" i="2"/>
  <c r="D31" i="2"/>
  <c r="D30" i="2"/>
  <c r="F51" i="2"/>
  <c r="D55" i="1"/>
  <c r="D48" i="1"/>
  <c r="D43" i="1"/>
  <c r="D42" i="1"/>
  <c r="D38" i="1"/>
  <c r="D46" i="1"/>
  <c r="D39" i="1"/>
  <c r="D31" i="1"/>
  <c r="D28" i="1"/>
  <c r="D27" i="1"/>
  <c r="D34" i="2" l="1"/>
  <c r="D47" i="2" l="1"/>
  <c r="D47" i="1"/>
  <c r="D49" i="1" s="1"/>
  <c r="D51" i="1" s="1"/>
  <c r="D48" i="2"/>
  <c r="D40" i="2"/>
  <c r="D54" i="1"/>
  <c r="D45" i="1"/>
  <c r="C27" i="1"/>
  <c r="D29" i="1"/>
  <c r="J39" i="1"/>
  <c r="J37" i="1"/>
  <c r="J34" i="1"/>
  <c r="D52" i="1" l="1"/>
  <c r="D53" i="1" s="1"/>
  <c r="D41" i="2"/>
  <c r="J32" i="1" l="1"/>
  <c r="I28" i="1"/>
  <c r="I27" i="1"/>
  <c r="J27" i="1" s="1"/>
  <c r="J30" i="1" s="1"/>
  <c r="I25" i="1" l="1"/>
  <c r="I24" i="1"/>
  <c r="D33" i="1"/>
  <c r="J24" i="1" l="1"/>
  <c r="D25" i="1" s="1"/>
  <c r="D26" i="1" s="1"/>
  <c r="D30" i="1" s="1"/>
  <c r="D32" i="1" s="1"/>
  <c r="D34" i="1" s="1"/>
</calcChain>
</file>

<file path=xl/sharedStrings.xml><?xml version="1.0" encoding="utf-8"?>
<sst xmlns="http://schemas.openxmlformats.org/spreadsheetml/2006/main" count="60" uniqueCount="47">
  <si>
    <t>Ingresos por Ventas</t>
  </si>
  <si>
    <t>Costo de bienes vendidos</t>
  </si>
  <si>
    <t>Costo de Ventas</t>
  </si>
  <si>
    <t>Costo fijo</t>
  </si>
  <si>
    <t>Utilidad Bruta</t>
  </si>
  <si>
    <t>Costo Variable</t>
  </si>
  <si>
    <t>Gastos Operativos</t>
  </si>
  <si>
    <t>Costo Total</t>
  </si>
  <si>
    <t>Utilidad Operativa</t>
  </si>
  <si>
    <t>Gastos por Intereses</t>
  </si>
  <si>
    <t>Gastos Fijos</t>
  </si>
  <si>
    <t>Utilidad antes de Impuestos</t>
  </si>
  <si>
    <t>Gastos Variables</t>
  </si>
  <si>
    <t>Impuestos</t>
  </si>
  <si>
    <t>Gastos Totales</t>
  </si>
  <si>
    <t>Utilidad Neta después de Impuestos</t>
  </si>
  <si>
    <t>Dividendos</t>
  </si>
  <si>
    <t>Ganancias Retenidas</t>
  </si>
  <si>
    <t>ESTADO DE RESULTADOS</t>
  </si>
  <si>
    <t>AL 31 DE DICIEMBRE DEL 2023</t>
  </si>
  <si>
    <t>costo de ventas</t>
  </si>
  <si>
    <t>ventas</t>
  </si>
  <si>
    <t>gastos operativos</t>
  </si>
  <si>
    <t>ACTIVOS</t>
  </si>
  <si>
    <t>PASIVOS + PATRIMONIO</t>
  </si>
  <si>
    <t>Efectivo</t>
  </si>
  <si>
    <t>Cuentas por Pagar</t>
  </si>
  <si>
    <t>Valores Negociables</t>
  </si>
  <si>
    <t>Deudas pendientes</t>
  </si>
  <si>
    <t>Cuentas por Cobrar</t>
  </si>
  <si>
    <t>Otros pasivos corrientes</t>
  </si>
  <si>
    <t>Inventarios</t>
  </si>
  <si>
    <t>Total Pasivo Corriente</t>
  </si>
  <si>
    <t>Total Activo Corriente</t>
  </si>
  <si>
    <t>Deuda a Largo Plazo</t>
  </si>
  <si>
    <t>Activos Fijos Netos</t>
  </si>
  <si>
    <t>Capital Acciones Común</t>
  </si>
  <si>
    <t>Total ACTIVO</t>
  </si>
  <si>
    <t>Total PASIVO+ PATRIM.</t>
  </si>
  <si>
    <t>BALANCE GENERAL</t>
  </si>
  <si>
    <t>AL 31 DE DICIEMBRE 2022</t>
  </si>
  <si>
    <t>Activos Fijos Netos=Activos Fijos Netos Iniciales+Compra de Nueva Maquinaria−Depreciacion Acumulada (2023 y 2024)</t>
  </si>
  <si>
    <t>utilidad neta</t>
  </si>
  <si>
    <t>pago de dividendos</t>
  </si>
  <si>
    <t xml:space="preserve">FAN </t>
  </si>
  <si>
    <t>Total Activo=Total Pasivo Corriente+Deuda a Largo Plazo+Capital Acciones Comun Ajustado</t>
  </si>
  <si>
    <t>TA - TPC - DLP = CACA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</si>
</sst>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6"/>
      <color theme="1"/>
      <name val="Cascadia Mono SemiBold"/>
      <family val="2"/>
    </font>
    <font>
      <b/>
      <i/>
      <sz val="16"/>
      <color theme="1"/>
      <name val="Cascadia Mono SemiBold"/>
      <family val="3"/>
    </font>
    <font>
      <sz val="16"/>
      <color rgb="FF0070C0"/>
      <name val="Cascadia Mono SemiBold"/>
      <family val="2"/>
    </font>
    <font>
      <i/>
      <sz val="16"/>
      <color theme="1"/>
      <name val="Cascadia Mono SemiBold"/>
      <family val="3"/>
    </font>
    <font>
      <sz val="16"/>
      <color rgb="FFC00000"/>
      <name val="Cascadia Mono SemiBold"/>
      <family val="2"/>
    </font>
    <font>
      <sz val="16"/>
      <name val="Cascadia Mono SemiBol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0" fontId="2" fillId="0" borderId="0" xfId="0" applyNumberFormat="1" applyFon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3" fillId="0" borderId="0" xfId="0" applyFont="1"/>
    <xf numFmtId="0" fontId="2" fillId="0" borderId="1" xfId="0" applyFont="1" applyBorder="1"/>
    <xf numFmtId="0" fontId="0" fillId="0" borderId="0" xfId="0" applyAlignment="1">
      <alignment horizontal="right"/>
    </xf>
    <xf numFmtId="164" fontId="4" fillId="0" borderId="0" xfId="0" applyNumberFormat="1" applyFont="1"/>
    <xf numFmtId="164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565337</xdr:colOff>
      <xdr:row>18</xdr:row>
      <xdr:rowOff>174840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FC4E74-03B9-101E-E5F5-3DD755E39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20450" cy="5489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168088</xdr:rowOff>
    </xdr:from>
    <xdr:to>
      <xdr:col>6</xdr:col>
      <xdr:colOff>1064559</xdr:colOff>
      <xdr:row>24</xdr:row>
      <xdr:rowOff>67235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8559C9B-626C-2D73-F5FA-E0D482BE829E}"/>
            </a:ext>
          </a:extLst>
        </xdr:cNvPr>
        <xdr:cNvSpPr txBox="1"/>
      </xdr:nvSpPr>
      <xdr:spPr>
        <a:xfrm>
          <a:off x="22412" y="168088"/>
          <a:ext cx="9244853" cy="6891618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800" b="1">
              <a:solidFill>
                <a:srgbClr val="FF0000"/>
              </a:solidFill>
            </a:rPr>
            <a:t>CASO 2.  </a:t>
          </a:r>
          <a:r>
            <a:rPr lang="es-GT" sz="1800">
              <a:solidFill>
                <a:srgbClr val="FF0000"/>
              </a:solidFill>
            </a:rPr>
            <a:t>Una empresa tuvo ventas en el año 2022 de 10 millones de dólares.  En este momento desea analizar el rendimiento esperado y las necesidades de financiamiento en 2024, es decir, 2 años después.  Dada la siguiente información, responda los incisos a y b.</a:t>
          </a:r>
        </a:p>
        <a:p>
          <a:endParaRPr lang="es-GT" sz="1800"/>
        </a:p>
        <a:p>
          <a:r>
            <a:rPr lang="es-GT" sz="1800"/>
            <a:t>(1)     Los porcentajes de los rubros que varían directamente con las ventas son los siguientes: c</a:t>
          </a:r>
          <a:r>
            <a:rPr lang="es-GT" sz="1800">
              <a:solidFill>
                <a:srgbClr val="FF0000"/>
              </a:solidFill>
            </a:rPr>
            <a:t>uentas por cobrar 12%, inventario 18%, cuentas por pagar 14% </a:t>
          </a:r>
          <a:r>
            <a:rPr lang="es-GT" sz="1800"/>
            <a:t>y margen de utilidad neta, 3%.</a:t>
          </a:r>
        </a:p>
        <a:p>
          <a:r>
            <a:rPr lang="es-GT" sz="1800">
              <a:solidFill>
                <a:srgbClr val="7030A0"/>
              </a:solidFill>
            </a:rPr>
            <a:t>(2)    Se espera que los valores negociables y otros pasivos corrientes permanezcan sin cambios.</a:t>
          </a:r>
        </a:p>
        <a:p>
          <a:r>
            <a:rPr lang="es-GT" sz="1800">
              <a:solidFill>
                <a:srgbClr val="FF0000"/>
              </a:solidFill>
            </a:rPr>
            <a:t>(3)    Es conveniente un saldo de efectivo mínimo de 480,000 dólares.</a:t>
          </a:r>
        </a:p>
        <a:p>
          <a:r>
            <a:rPr lang="es-GT" sz="1800">
              <a:solidFill>
                <a:srgbClr val="FF0000"/>
              </a:solidFill>
            </a:rPr>
            <a:t>(4)    En 2023 se adquirió una nueva máquina a un costo de 650,000 dólares y en 2024 se comprará equipo a un costo de 850,000 dólares.  Se pronostica que la depreciación total será de 290,000 dólares en 2023  y de 390,000 dólares en 2024.</a:t>
          </a:r>
        </a:p>
        <a:p>
          <a:r>
            <a:rPr lang="es-GT" sz="1800">
              <a:solidFill>
                <a:srgbClr val="FF0000"/>
              </a:solidFill>
            </a:rPr>
            <a:t>(5)    Se espera que las deudas acumuladas aumenten a 500,000 dólares para finales de 2024.</a:t>
          </a:r>
        </a:p>
        <a:p>
          <a:r>
            <a:rPr lang="es-GT" sz="1800">
              <a:solidFill>
                <a:srgbClr val="FF0000"/>
              </a:solidFill>
            </a:rPr>
            <a:t>(6)    No se espera ninguna venta ni retiro de deuda a largo plazo.</a:t>
          </a:r>
        </a:p>
        <a:p>
          <a:r>
            <a:rPr lang="es-GT" sz="1800">
              <a:solidFill>
                <a:srgbClr val="FF0000"/>
              </a:solidFill>
            </a:rPr>
            <a:t>(7)    No se espera ninguna venta ni readquisición de acciones.</a:t>
          </a:r>
        </a:p>
        <a:p>
          <a:r>
            <a:rPr lang="es-GT" sz="1800"/>
            <a:t>(8)    Se espera que continúe el pago de dividendos del 50% de la utilidad neta.</a:t>
          </a:r>
        </a:p>
        <a:p>
          <a:r>
            <a:rPr lang="es-GT" sz="1800"/>
            <a:t>(9)    Se espera que </a:t>
          </a:r>
          <a:r>
            <a:rPr lang="es-GT" sz="1800">
              <a:solidFill>
                <a:srgbClr val="FF0000"/>
              </a:solidFill>
            </a:rPr>
            <a:t>las ventas sean </a:t>
          </a:r>
          <a:r>
            <a:rPr lang="es-GT" sz="1800"/>
            <a:t>de 11 millones de dólares en 2023 y de </a:t>
          </a:r>
          <a:r>
            <a:rPr lang="es-GT" sz="1800">
              <a:solidFill>
                <a:srgbClr val="FF0000"/>
              </a:solidFill>
            </a:rPr>
            <a:t>12 millones de dólares en 2023.</a:t>
          </a:r>
        </a:p>
        <a:p>
          <a:r>
            <a:rPr lang="es-GT" sz="1800"/>
            <a:t>(10) A continuación, se presenta el balance general del 31 de diciembre de 2022:</a:t>
          </a:r>
        </a:p>
        <a:p>
          <a:r>
            <a:rPr lang="es-GT" sz="1800"/>
            <a:t> </a:t>
          </a:r>
        </a:p>
        <a:p>
          <a:r>
            <a:rPr lang="es-GT" sz="1800"/>
            <a:t>(En miles de dólares, al 31 de diciembre de 2022)</a:t>
          </a:r>
        </a:p>
        <a:p>
          <a:r>
            <a:rPr lang="es-GT" sz="1800"/>
            <a:t>a)     Elabore un balance general proforma con fecha del 31 de diciembre del 2024.</a:t>
          </a:r>
        </a:p>
        <a:p>
          <a:r>
            <a:rPr lang="es-GT" sz="1800"/>
            <a:t>b)    Analice los cambios en el financiamiento que sugiere el estado elaborado en el inciso anterior.</a:t>
          </a:r>
        </a:p>
        <a:p>
          <a:endParaRPr lang="es-GT" sz="1100"/>
        </a:p>
      </xdr:txBody>
    </xdr:sp>
    <xdr:clientData/>
  </xdr:twoCellAnchor>
  <xdr:twoCellAnchor>
    <xdr:from>
      <xdr:col>0</xdr:col>
      <xdr:colOff>149679</xdr:colOff>
      <xdr:row>50</xdr:row>
      <xdr:rowOff>258536</xdr:rowOff>
    </xdr:from>
    <xdr:to>
      <xdr:col>6</xdr:col>
      <xdr:colOff>653142</xdr:colOff>
      <xdr:row>64</xdr:row>
      <xdr:rowOff>190500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9066E85-74DD-2BC7-E951-364143602B56}"/>
            </a:ext>
          </a:extLst>
        </xdr:cNvPr>
        <xdr:cNvSpPr txBox="1"/>
      </xdr:nvSpPr>
      <xdr:spPr>
        <a:xfrm>
          <a:off x="149679" y="15226393"/>
          <a:ext cx="9797142" cy="41229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800"/>
            <a:t>b)</a:t>
          </a:r>
        </a:p>
        <a:p>
          <a:pPr marL="0" indent="0"/>
          <a:r>
            <a:rPr lang="es-GT" sz="1800">
              <a:solidFill>
                <a:schemeClr val="dk1"/>
              </a:solidFill>
              <a:latin typeface="+mn-lt"/>
              <a:ea typeface="+mn-ea"/>
              <a:cs typeface="+mn-cs"/>
            </a:rPr>
            <a:t>Aumento en el Efectivo: A pesar de la adquisición de activos fijos y el pago de dividendos, el efectivo aumenta debido a la retención de parte de la utilidad neta.</a:t>
          </a:r>
        </a:p>
        <a:p>
          <a:pPr marL="0" indent="0"/>
          <a:endParaRPr lang="es-GT" sz="18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GT" sz="1800">
              <a:solidFill>
                <a:schemeClr val="dk1"/>
              </a:solidFill>
              <a:latin typeface="+mn-lt"/>
              <a:ea typeface="+mn-ea"/>
              <a:cs typeface="+mn-cs"/>
            </a:rPr>
            <a:t>Incremento en el Activo Total: El activo total aumenta significativamente debido a la adquisición de nuevos activos fijos y el aumento en cuentas por cobrar e inventarios, reflejando el crecimiento esperado de las ventas.</a:t>
          </a:r>
        </a:p>
        <a:p>
          <a:pPr marL="0" indent="0"/>
          <a:endParaRPr lang="es-GT" sz="18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GT" sz="1800">
              <a:solidFill>
                <a:schemeClr val="dk1"/>
              </a:solidFill>
              <a:latin typeface="+mn-lt"/>
              <a:ea typeface="+mn-ea"/>
              <a:cs typeface="+mn-cs"/>
            </a:rPr>
            <a:t>Aumento en el Pasivo Corriente: Se observa un incremento en las cuentas por pagar y las deudas pendientes, lo cual indica una mayor necesidad de financiamiento a corto plazo.</a:t>
          </a:r>
        </a:p>
        <a:p>
          <a:pPr marL="0" indent="0"/>
          <a:endParaRPr lang="es-GT" sz="18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GT" sz="1800">
              <a:solidFill>
                <a:schemeClr val="dk1"/>
              </a:solidFill>
              <a:latin typeface="+mn-lt"/>
              <a:ea typeface="+mn-ea"/>
              <a:cs typeface="+mn-cs"/>
            </a:rPr>
            <a:t>Capital Acciones Común: El capital de acciones comunes aumenta ligeramente, reflejando la retención de utilidades después de pagar dividendos.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65D7-7B3D-4CFF-9511-FB0BE18A394F}">
  <dimension ref="A22:J55"/>
  <sheetViews>
    <sheetView topLeftCell="A26" zoomScale="70" zoomScaleNormal="70" workbookViewId="0">
      <selection activeCell="D53" sqref="D53"/>
    </sheetView>
  </sheetViews>
  <sheetFormatPr baseColWidth="10" defaultRowHeight="23.25" x14ac:dyDescent="0.4"/>
  <cols>
    <col min="1" max="1" width="37.9140625" bestFit="1" customWidth="1"/>
    <col min="2" max="2" width="14.9140625" bestFit="1" customWidth="1"/>
    <col min="4" max="4" width="17" customWidth="1"/>
    <col min="5" max="5" width="12.75" bestFit="1" customWidth="1"/>
    <col min="7" max="7" width="11.75" bestFit="1" customWidth="1"/>
    <col min="9" max="9" width="14.9140625" bestFit="1" customWidth="1"/>
    <col min="10" max="10" width="11.75" bestFit="1" customWidth="1"/>
  </cols>
  <sheetData>
    <row r="22" spans="1:10" x14ac:dyDescent="0.4">
      <c r="A22" t="s">
        <v>18</v>
      </c>
    </row>
    <row r="23" spans="1:10" x14ac:dyDescent="0.4">
      <c r="A23" t="s">
        <v>19</v>
      </c>
      <c r="B23">
        <v>2023</v>
      </c>
      <c r="D23">
        <v>2024</v>
      </c>
    </row>
    <row r="24" spans="1:10" x14ac:dyDescent="0.4">
      <c r="A24" s="5" t="s">
        <v>0</v>
      </c>
      <c r="B24" s="2">
        <v>1400000</v>
      </c>
      <c r="D24" s="2">
        <v>1500000</v>
      </c>
      <c r="G24" s="6" t="s">
        <v>20</v>
      </c>
      <c r="I24" s="2">
        <f>B25</f>
        <v>910000</v>
      </c>
      <c r="J24">
        <f>I24/I25</f>
        <v>0.65</v>
      </c>
    </row>
    <row r="25" spans="1:10" x14ac:dyDescent="0.4">
      <c r="A25" s="5" t="s">
        <v>2</v>
      </c>
      <c r="B25" s="2">
        <v>910000</v>
      </c>
      <c r="D25" s="2">
        <f>D24*J24</f>
        <v>975000</v>
      </c>
      <c r="G25" t="s">
        <v>21</v>
      </c>
      <c r="I25" s="2">
        <f>B24</f>
        <v>1400000</v>
      </c>
    </row>
    <row r="26" spans="1:10" x14ac:dyDescent="0.4">
      <c r="A26" s="5" t="s">
        <v>4</v>
      </c>
      <c r="B26" s="2">
        <v>490000</v>
      </c>
      <c r="D26" s="2">
        <f>D24-D25</f>
        <v>525000</v>
      </c>
    </row>
    <row r="27" spans="1:10" x14ac:dyDescent="0.4">
      <c r="A27" s="5" t="s">
        <v>6</v>
      </c>
      <c r="B27" s="2">
        <v>120000</v>
      </c>
      <c r="C27" s="4">
        <f>B27/B24</f>
        <v>8.5714285714285715E-2</v>
      </c>
      <c r="D27" s="2">
        <f>D24*C27</f>
        <v>128571.42857142858</v>
      </c>
      <c r="G27" s="6" t="s">
        <v>22</v>
      </c>
      <c r="I27" s="2">
        <f>B27</f>
        <v>120000</v>
      </c>
      <c r="J27">
        <f>I27/I28</f>
        <v>8.5714285714285715E-2</v>
      </c>
    </row>
    <row r="28" spans="1:10" x14ac:dyDescent="0.4">
      <c r="A28" s="5" t="s">
        <v>8</v>
      </c>
      <c r="B28" s="2">
        <v>370000</v>
      </c>
      <c r="D28" s="2">
        <f>D26-D27</f>
        <v>396428.57142857142</v>
      </c>
      <c r="G28" t="s">
        <v>21</v>
      </c>
      <c r="I28" s="2">
        <f>B24</f>
        <v>1400000</v>
      </c>
    </row>
    <row r="29" spans="1:10" x14ac:dyDescent="0.4">
      <c r="A29" s="5" t="s">
        <v>9</v>
      </c>
      <c r="B29" s="2">
        <v>35000</v>
      </c>
      <c r="D29" s="2">
        <f>B29</f>
        <v>35000</v>
      </c>
    </row>
    <row r="30" spans="1:10" x14ac:dyDescent="0.4">
      <c r="A30" s="5" t="s">
        <v>11</v>
      </c>
      <c r="B30" s="2">
        <v>335000</v>
      </c>
      <c r="D30" s="2">
        <f>D28-D29</f>
        <v>361428.57142857142</v>
      </c>
      <c r="J30" s="2">
        <f>D24*J27</f>
        <v>128571.42857142858</v>
      </c>
    </row>
    <row r="31" spans="1:10" x14ac:dyDescent="0.4">
      <c r="A31" s="5" t="s">
        <v>13</v>
      </c>
      <c r="B31" s="2">
        <v>134000</v>
      </c>
      <c r="D31" s="2">
        <f>D30*40%</f>
        <v>144571.42857142858</v>
      </c>
    </row>
    <row r="32" spans="1:10" x14ac:dyDescent="0.4">
      <c r="A32" s="5" t="s">
        <v>15</v>
      </c>
      <c r="B32" s="2">
        <v>201000</v>
      </c>
      <c r="D32" s="2">
        <f>D30-D31</f>
        <v>216857.14285714284</v>
      </c>
      <c r="J32" s="2">
        <f>B28-B29</f>
        <v>335000</v>
      </c>
    </row>
    <row r="33" spans="1:10" x14ac:dyDescent="0.4">
      <c r="A33" s="5" t="s">
        <v>16</v>
      </c>
      <c r="B33" s="2">
        <v>66000</v>
      </c>
      <c r="D33" s="2">
        <f>70000</f>
        <v>70000</v>
      </c>
    </row>
    <row r="34" spans="1:10" x14ac:dyDescent="0.4">
      <c r="A34" s="5" t="s">
        <v>17</v>
      </c>
      <c r="B34" s="2">
        <v>135000</v>
      </c>
      <c r="D34" s="2">
        <f>D32-D33</f>
        <v>146857.14285714284</v>
      </c>
      <c r="J34" s="2">
        <f>B30*40%</f>
        <v>134000</v>
      </c>
    </row>
    <row r="35" spans="1:10" x14ac:dyDescent="0.4">
      <c r="A35" s="5"/>
      <c r="B35" s="2"/>
      <c r="D35" s="2"/>
      <c r="J35" s="2"/>
    </row>
    <row r="36" spans="1:10" x14ac:dyDescent="0.4">
      <c r="A36" s="3" t="s">
        <v>1</v>
      </c>
      <c r="B36" s="2"/>
      <c r="D36" s="2"/>
    </row>
    <row r="37" spans="1:10" x14ac:dyDescent="0.4">
      <c r="A37" t="s">
        <v>3</v>
      </c>
      <c r="B37" s="2">
        <v>210000</v>
      </c>
      <c r="D37" s="2"/>
      <c r="J37" s="2">
        <f>B30-B31</f>
        <v>201000</v>
      </c>
    </row>
    <row r="38" spans="1:10" x14ac:dyDescent="0.4">
      <c r="A38" t="s">
        <v>5</v>
      </c>
      <c r="B38" s="2">
        <v>700000</v>
      </c>
      <c r="D38" s="2">
        <f>(B38/B24)*D24</f>
        <v>750000</v>
      </c>
    </row>
    <row r="39" spans="1:10" x14ac:dyDescent="0.4">
      <c r="A39" t="s">
        <v>7</v>
      </c>
      <c r="B39" s="2">
        <v>910000</v>
      </c>
      <c r="D39" s="2">
        <f>D38+B37</f>
        <v>960000</v>
      </c>
      <c r="J39" s="2">
        <f>B32-B33</f>
        <v>135000</v>
      </c>
    </row>
    <row r="40" spans="1:10" x14ac:dyDescent="0.4">
      <c r="A40" s="3" t="s">
        <v>6</v>
      </c>
      <c r="B40" s="2"/>
      <c r="D40" s="2"/>
    </row>
    <row r="41" spans="1:10" x14ac:dyDescent="0.4">
      <c r="A41" t="s">
        <v>10</v>
      </c>
      <c r="B41" s="2">
        <v>36000</v>
      </c>
      <c r="D41" s="2"/>
    </row>
    <row r="42" spans="1:10" x14ac:dyDescent="0.4">
      <c r="A42" t="s">
        <v>12</v>
      </c>
      <c r="B42" s="2">
        <v>84000</v>
      </c>
      <c r="D42" s="2">
        <f>(B42/B24)*D24</f>
        <v>90000</v>
      </c>
    </row>
    <row r="43" spans="1:10" x14ac:dyDescent="0.4">
      <c r="A43" t="s">
        <v>14</v>
      </c>
      <c r="B43" s="2">
        <v>120000</v>
      </c>
      <c r="D43" s="2">
        <f>D42+B41</f>
        <v>126000</v>
      </c>
    </row>
    <row r="45" spans="1:10" x14ac:dyDescent="0.4">
      <c r="A45" s="5" t="s">
        <v>0</v>
      </c>
      <c r="D45" s="2">
        <f>D24</f>
        <v>1500000</v>
      </c>
    </row>
    <row r="46" spans="1:10" x14ac:dyDescent="0.4">
      <c r="A46" s="5" t="s">
        <v>2</v>
      </c>
      <c r="D46" s="2">
        <f>D39</f>
        <v>960000</v>
      </c>
      <c r="E46" s="2"/>
    </row>
    <row r="47" spans="1:10" x14ac:dyDescent="0.4">
      <c r="A47" s="5" t="s">
        <v>4</v>
      </c>
      <c r="D47" s="2">
        <f>D45-D46</f>
        <v>540000</v>
      </c>
    </row>
    <row r="48" spans="1:10" x14ac:dyDescent="0.4">
      <c r="A48" s="5" t="s">
        <v>6</v>
      </c>
      <c r="D48" s="2">
        <f>D43</f>
        <v>126000</v>
      </c>
    </row>
    <row r="49" spans="1:4" x14ac:dyDescent="0.4">
      <c r="A49" s="5" t="s">
        <v>8</v>
      </c>
      <c r="D49" s="2">
        <f>D47-D48</f>
        <v>414000</v>
      </c>
    </row>
    <row r="50" spans="1:4" x14ac:dyDescent="0.4">
      <c r="A50" s="5" t="s">
        <v>9</v>
      </c>
      <c r="D50" s="2">
        <v>35000</v>
      </c>
    </row>
    <row r="51" spans="1:4" x14ac:dyDescent="0.4">
      <c r="A51" s="5" t="s">
        <v>11</v>
      </c>
      <c r="D51" s="2">
        <f>D49-D50</f>
        <v>379000</v>
      </c>
    </row>
    <row r="52" spans="1:4" x14ac:dyDescent="0.4">
      <c r="A52" s="5" t="s">
        <v>13</v>
      </c>
      <c r="D52" s="2">
        <f>D51*40%</f>
        <v>151600</v>
      </c>
    </row>
    <row r="53" spans="1:4" x14ac:dyDescent="0.4">
      <c r="A53" s="5" t="s">
        <v>15</v>
      </c>
      <c r="D53" s="2">
        <f>D51-D52</f>
        <v>227400</v>
      </c>
    </row>
    <row r="54" spans="1:4" x14ac:dyDescent="0.4">
      <c r="A54" s="5" t="s">
        <v>16</v>
      </c>
      <c r="D54" s="2">
        <f>70000</f>
        <v>70000</v>
      </c>
    </row>
    <row r="55" spans="1:4" x14ac:dyDescent="0.4">
      <c r="A55" s="5" t="s">
        <v>17</v>
      </c>
      <c r="D55" s="2">
        <f>D53-D54</f>
        <v>157400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2F42-FFB1-423F-8938-9F15CEF88042}">
  <dimension ref="A26:G51"/>
  <sheetViews>
    <sheetView tabSelected="1" topLeftCell="A31" zoomScale="70" zoomScaleNormal="70" workbookViewId="0">
      <selection activeCell="E37" sqref="E37"/>
    </sheetView>
  </sheetViews>
  <sheetFormatPr baseColWidth="10" defaultRowHeight="23.25" x14ac:dyDescent="0.4"/>
  <cols>
    <col min="1" max="1" width="26.9140625" bestFit="1" customWidth="1"/>
    <col min="2" max="2" width="12.75" bestFit="1" customWidth="1"/>
    <col min="4" max="4" width="15" bestFit="1" customWidth="1"/>
    <col min="5" max="6" width="16" customWidth="1"/>
    <col min="7" max="7" width="17.25" bestFit="1" customWidth="1"/>
  </cols>
  <sheetData>
    <row r="26" spans="1:7" x14ac:dyDescent="0.4">
      <c r="E26" s="2">
        <v>12000000</v>
      </c>
      <c r="F26" s="2"/>
    </row>
    <row r="27" spans="1:7" x14ac:dyDescent="0.4">
      <c r="A27" t="s">
        <v>39</v>
      </c>
    </row>
    <row r="28" spans="1:7" x14ac:dyDescent="0.4">
      <c r="A28" t="s">
        <v>40</v>
      </c>
      <c r="B28">
        <v>2022</v>
      </c>
      <c r="D28">
        <v>2024</v>
      </c>
    </row>
    <row r="29" spans="1:7" x14ac:dyDescent="0.4">
      <c r="A29" t="s">
        <v>23</v>
      </c>
    </row>
    <row r="30" spans="1:7" x14ac:dyDescent="0.4">
      <c r="A30" t="s">
        <v>25</v>
      </c>
      <c r="B30" s="2">
        <v>400</v>
      </c>
      <c r="D30" s="2">
        <f>480</f>
        <v>480</v>
      </c>
      <c r="E30" s="2"/>
      <c r="F30" s="2"/>
      <c r="G30" t="s">
        <v>41</v>
      </c>
    </row>
    <row r="31" spans="1:7" x14ac:dyDescent="0.4">
      <c r="A31" s="5" t="s">
        <v>27</v>
      </c>
      <c r="B31" s="2">
        <v>200</v>
      </c>
      <c r="D31" s="2">
        <f>B31</f>
        <v>200</v>
      </c>
      <c r="E31" s="2"/>
      <c r="F31" s="2"/>
    </row>
    <row r="32" spans="1:7" x14ac:dyDescent="0.4">
      <c r="A32" t="s">
        <v>29</v>
      </c>
      <c r="B32" s="2">
        <v>1200</v>
      </c>
      <c r="D32" s="2">
        <f>(E26*12%)/1000</f>
        <v>1440</v>
      </c>
      <c r="E32" s="2"/>
      <c r="F32" s="2"/>
    </row>
    <row r="33" spans="1:7" x14ac:dyDescent="0.4">
      <c r="A33" s="6" t="s">
        <v>31</v>
      </c>
      <c r="B33" s="7">
        <v>1800</v>
      </c>
      <c r="C33" s="6"/>
      <c r="D33" s="7">
        <f>(E26*18%)/1000</f>
        <v>2160</v>
      </c>
      <c r="E33" s="2"/>
      <c r="F33" s="2"/>
    </row>
    <row r="34" spans="1:7" x14ac:dyDescent="0.4">
      <c r="A34" s="8" t="s">
        <v>33</v>
      </c>
      <c r="B34" s="2">
        <v>3600</v>
      </c>
      <c r="D34" s="2">
        <f>SUM(D30:D33)</f>
        <v>4280</v>
      </c>
      <c r="E34" s="2"/>
      <c r="F34" s="2"/>
    </row>
    <row r="35" spans="1:7" x14ac:dyDescent="0.4">
      <c r="A35" s="6" t="s">
        <v>35</v>
      </c>
      <c r="B35" s="7">
        <v>4000</v>
      </c>
      <c r="C35" s="6"/>
      <c r="D35" s="12">
        <f>(4000000+650000+850000-290000-390000)/1000</f>
        <v>4820</v>
      </c>
      <c r="E35" s="2"/>
      <c r="F35" s="2"/>
      <c r="G35" s="2"/>
    </row>
    <row r="36" spans="1:7" x14ac:dyDescent="0.4">
      <c r="A36" t="s">
        <v>37</v>
      </c>
      <c r="B36" s="2">
        <v>7600</v>
      </c>
      <c r="D36" s="11">
        <f>SUM(D34:D35)</f>
        <v>9100</v>
      </c>
      <c r="E36" s="2"/>
      <c r="F36" s="2"/>
    </row>
    <row r="37" spans="1:7" x14ac:dyDescent="0.4">
      <c r="A37" t="s">
        <v>24</v>
      </c>
      <c r="B37" s="2"/>
      <c r="D37" s="2"/>
      <c r="E37" s="2"/>
      <c r="F37" s="2"/>
    </row>
    <row r="38" spans="1:7" x14ac:dyDescent="0.4">
      <c r="A38" t="s">
        <v>26</v>
      </c>
      <c r="B38" s="2">
        <v>1400</v>
      </c>
      <c r="D38" s="2">
        <f>(E26*14%)/1000</f>
        <v>1680.0000000000002</v>
      </c>
      <c r="E38" s="2"/>
      <c r="F38" s="2"/>
    </row>
    <row r="39" spans="1:7" x14ac:dyDescent="0.4">
      <c r="A39" t="s">
        <v>28</v>
      </c>
      <c r="B39" s="2">
        <v>400</v>
      </c>
      <c r="D39" s="2">
        <v>500</v>
      </c>
      <c r="E39" s="2"/>
      <c r="F39" s="2"/>
    </row>
    <row r="40" spans="1:7" x14ac:dyDescent="0.4">
      <c r="A40" s="9" t="s">
        <v>30</v>
      </c>
      <c r="B40" s="7">
        <v>80</v>
      </c>
      <c r="C40" s="6"/>
      <c r="D40" s="7">
        <f>B40</f>
        <v>80</v>
      </c>
      <c r="E40" s="2"/>
      <c r="F40" s="2"/>
    </row>
    <row r="41" spans="1:7" x14ac:dyDescent="0.4">
      <c r="A41" t="s">
        <v>32</v>
      </c>
      <c r="B41" s="2">
        <v>1880</v>
      </c>
      <c r="D41" s="2">
        <f>SUM(D38:D40)</f>
        <v>2260</v>
      </c>
      <c r="E41" s="2"/>
      <c r="F41" s="2"/>
    </row>
    <row r="42" spans="1:7" x14ac:dyDescent="0.4">
      <c r="A42" t="s">
        <v>34</v>
      </c>
      <c r="B42" s="2">
        <v>2000</v>
      </c>
      <c r="D42" s="2">
        <f>(B42*1000)/1000</f>
        <v>2000</v>
      </c>
      <c r="E42" s="2"/>
      <c r="F42" s="2"/>
    </row>
    <row r="43" spans="1:7" x14ac:dyDescent="0.4">
      <c r="A43" t="s">
        <v>36</v>
      </c>
      <c r="B43" s="2">
        <v>3720</v>
      </c>
      <c r="D43" s="11">
        <f>D36-D41-D42</f>
        <v>4840</v>
      </c>
      <c r="E43" s="2"/>
      <c r="F43" s="2" t="s">
        <v>45</v>
      </c>
    </row>
    <row r="44" spans="1:7" x14ac:dyDescent="0.4">
      <c r="A44" t="s">
        <v>38</v>
      </c>
      <c r="B44" s="2">
        <v>7600</v>
      </c>
      <c r="D44" s="11">
        <f>SUM(D41:D43)</f>
        <v>9100</v>
      </c>
      <c r="E44" s="2"/>
      <c r="F44" s="2" t="s">
        <v>46</v>
      </c>
    </row>
    <row r="45" spans="1:7" x14ac:dyDescent="0.4">
      <c r="C45" s="10" t="s">
        <v>44</v>
      </c>
      <c r="D45" s="11">
        <f>D36-D44</f>
        <v>0</v>
      </c>
      <c r="E45" s="2"/>
      <c r="F45" s="2"/>
    </row>
    <row r="46" spans="1:7" x14ac:dyDescent="0.4">
      <c r="F46" s="2"/>
    </row>
    <row r="47" spans="1:7" x14ac:dyDescent="0.4">
      <c r="A47" t="s">
        <v>42</v>
      </c>
      <c r="D47" s="2">
        <f>E26*3%</f>
        <v>360000</v>
      </c>
      <c r="E47" s="2"/>
      <c r="F47" s="2"/>
    </row>
    <row r="48" spans="1:7" x14ac:dyDescent="0.4">
      <c r="A48" t="s">
        <v>43</v>
      </c>
      <c r="D48" s="2">
        <f>D47*50%</f>
        <v>180000</v>
      </c>
      <c r="E48" s="2"/>
    </row>
    <row r="51" spans="5:6" x14ac:dyDescent="0.4">
      <c r="E51" s="1">
        <v>8160000</v>
      </c>
      <c r="F51" s="2">
        <f>E51/1000</f>
        <v>8160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CASO1</vt:lpstr>
      <vt:lpstr>CASO2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2024-02-18T16:41:57Z</dcterms:created>
  <dcterms:modified xsi:type="dcterms:W3CDTF">2024-02-19T17:02:08Z</dcterms:modified>
</cp:coreProperties>
</file>