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59a74e623ef4e/Escritorio/"/>
    </mc:Choice>
  </mc:AlternateContent>
  <xr:revisionPtr revIDLastSave="288" documentId="8_{0FB48019-043F-4FE5-BAE0-ECC4644E5B83}" xr6:coauthVersionLast="47" xr6:coauthVersionMax="47" xr10:uidLastSave="{A84EA343-A5E0-4E1F-B221-73B908CE48A0}"/>
  <bookViews>
    <workbookView xWindow="-120" yWindow="-120" windowWidth="20730" windowHeight="11160" firstSheet="4" activeTab="6" xr2:uid="{D87614CE-19AF-4F5C-90A4-B33BA39F19EA}"/>
  </bookViews>
  <sheets>
    <sheet name="BALANCEO DE LÍNEAS" sheetId="1" r:id="rId1"/>
    <sheet name="Eficiencia calculo " sheetId="2" r:id="rId2"/>
    <sheet name="PERT" sheetId="3" r:id="rId3"/>
    <sheet name="H-M Servicio sincronico " sheetId="4" r:id="rId4"/>
    <sheet name="Tiempo fuera - serv aleatorio " sheetId="7" r:id="rId5"/>
    <sheet name="Wright - relaciones complejas " sheetId="6" r:id="rId6"/>
    <sheet name="Metodo de Ashcroft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L7" i="4" s="1"/>
  <c r="B22" i="7"/>
  <c r="K24" i="7"/>
  <c r="E3" i="7"/>
  <c r="E4" i="7"/>
  <c r="E5" i="7"/>
  <c r="F6" i="7"/>
  <c r="E2" i="7"/>
  <c r="I22" i="7"/>
  <c r="I23" i="7"/>
  <c r="I24" i="7"/>
  <c r="I25" i="7"/>
  <c r="I21" i="7"/>
  <c r="E22" i="7"/>
  <c r="E23" i="7"/>
  <c r="E24" i="7"/>
  <c r="E25" i="7"/>
  <c r="E21" i="7"/>
  <c r="G6" i="7"/>
  <c r="D2" i="1"/>
  <c r="C2" i="1"/>
  <c r="C3" i="1"/>
  <c r="D3" i="1" s="1"/>
  <c r="D4" i="1"/>
  <c r="D5" i="1"/>
  <c r="I30" i="7"/>
  <c r="I29" i="7"/>
  <c r="B6" i="7"/>
  <c r="D2" i="2"/>
  <c r="C2" i="2"/>
  <c r="J18" i="3"/>
  <c r="J17" i="3"/>
  <c r="J16" i="3"/>
  <c r="J15" i="3"/>
  <c r="J14" i="3"/>
  <c r="J13" i="3"/>
  <c r="J12" i="3"/>
  <c r="G12" i="8"/>
  <c r="G14" i="8"/>
  <c r="G13" i="8"/>
  <c r="G8" i="8"/>
  <c r="G2" i="7"/>
  <c r="G3" i="7"/>
  <c r="G4" i="7"/>
  <c r="G5" i="7"/>
  <c r="F3" i="7"/>
  <c r="F4" i="7"/>
  <c r="F5" i="7"/>
  <c r="F2" i="7"/>
  <c r="B3" i="7"/>
  <c r="H6" i="7" s="1"/>
  <c r="D20" i="6"/>
  <c r="K5" i="6"/>
  <c r="D19" i="6" s="1"/>
  <c r="D21" i="6" s="1"/>
  <c r="I12" i="3"/>
  <c r="I13" i="3"/>
  <c r="I14" i="3"/>
  <c r="I15" i="3"/>
  <c r="I16" i="3"/>
  <c r="I17" i="3"/>
  <c r="I18" i="3"/>
  <c r="I11" i="3"/>
  <c r="I10" i="3"/>
  <c r="J10" i="3" s="1"/>
  <c r="J11" i="3" s="1"/>
  <c r="B11" i="3"/>
  <c r="L19" i="4"/>
  <c r="G5" i="3"/>
  <c r="D7" i="2"/>
  <c r="G3" i="2" s="1"/>
  <c r="B7" i="2"/>
  <c r="D3" i="2"/>
  <c r="C3" i="2" s="1"/>
  <c r="D4" i="2"/>
  <c r="C4" i="2" s="1"/>
  <c r="D5" i="2"/>
  <c r="D6" i="2"/>
  <c r="C5" i="2"/>
  <c r="C6" i="2"/>
  <c r="B11" i="1"/>
  <c r="R9" i="1"/>
  <c r="R8" i="1"/>
  <c r="Q9" i="1"/>
  <c r="Q8" i="1"/>
  <c r="T1" i="1"/>
  <c r="S1" i="1"/>
  <c r="R2" i="1"/>
  <c r="R3" i="1"/>
  <c r="R4" i="1"/>
  <c r="R5" i="1"/>
  <c r="R6" i="1"/>
  <c r="R7" i="1"/>
  <c r="R1" i="1"/>
  <c r="Q2" i="1"/>
  <c r="Q3" i="1"/>
  <c r="Q4" i="1"/>
  <c r="Q5" i="1"/>
  <c r="Q6" i="1"/>
  <c r="Q7" i="1"/>
  <c r="Q1" i="1"/>
  <c r="P1" i="1"/>
  <c r="H9" i="1"/>
  <c r="H7" i="1"/>
  <c r="F25" i="7" l="1"/>
  <c r="G25" i="7" s="1"/>
  <c r="D22" i="6"/>
  <c r="D25" i="6" s="1"/>
  <c r="D26" i="6" s="1"/>
  <c r="G27" i="6" s="1"/>
  <c r="G6" i="3"/>
  <c r="G7" i="3" s="1"/>
  <c r="H3" i="7"/>
  <c r="I3" i="7" s="1"/>
  <c r="H4" i="7"/>
  <c r="I4" i="7" s="1"/>
  <c r="H5" i="7"/>
  <c r="I5" i="7" s="1"/>
  <c r="H2" i="7"/>
  <c r="I2" i="7" s="1"/>
  <c r="T9" i="1"/>
  <c r="S9" i="1"/>
  <c r="C5" i="1"/>
  <c r="S5" i="1" s="1"/>
  <c r="C4" i="1"/>
  <c r="E4" i="1" s="1"/>
  <c r="P4" i="1" s="1"/>
  <c r="S6" i="1"/>
  <c r="V7" i="1"/>
  <c r="H8" i="1"/>
  <c r="J25" i="7" l="1"/>
  <c r="K25" i="7" s="1"/>
  <c r="T7" i="1"/>
  <c r="F23" i="7"/>
  <c r="G23" i="7" s="1"/>
  <c r="J23" i="7"/>
  <c r="F22" i="7"/>
  <c r="J22" i="7"/>
  <c r="F21" i="7"/>
  <c r="J21" i="7"/>
  <c r="F24" i="7"/>
  <c r="G24" i="7" s="1"/>
  <c r="J24" i="7"/>
  <c r="S2" i="1"/>
  <c r="S8" i="1"/>
  <c r="P9" i="1"/>
  <c r="S4" i="1"/>
  <c r="P7" i="1"/>
  <c r="S7" i="1"/>
  <c r="T4" i="1"/>
  <c r="T5" i="1"/>
  <c r="S3" i="1"/>
  <c r="P6" i="1"/>
  <c r="T6" i="1"/>
  <c r="K28" i="7" l="1"/>
  <c r="K29" i="7" s="1"/>
  <c r="K30" i="7" s="1"/>
  <c r="K31" i="7" s="1"/>
  <c r="G28" i="7"/>
  <c r="T2" i="1"/>
  <c r="D11" i="1"/>
  <c r="B14" i="1" s="1"/>
  <c r="D14" i="1" s="1"/>
  <c r="T8" i="1"/>
  <c r="P8" i="1"/>
  <c r="E2" i="1"/>
  <c r="E5" i="1"/>
  <c r="P5" i="1" s="1"/>
  <c r="T3" i="1"/>
  <c r="E3" i="1"/>
  <c r="B20" i="7" l="1"/>
  <c r="G29" i="7"/>
  <c r="G30" i="7" s="1"/>
  <c r="G31" i="7" s="1"/>
  <c r="E11" i="1"/>
  <c r="P2" i="1"/>
  <c r="P3" i="1"/>
  <c r="B15" i="1" l="1"/>
  <c r="D15" i="1" s="1"/>
  <c r="B21" i="7"/>
  <c r="P11" i="1"/>
  <c r="P12" i="1" s="1"/>
  <c r="U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tc={98C7B05E-DFDC-4EBA-8BE4-6F6AEEC79ACC}</author>
    <author>German Puluc</author>
  </authors>
  <commentList>
    <comment ref="J10" authorId="0" shapeId="0" xr:uid="{98C7B05E-DFDC-4EBA-8BE4-6F6AEEC79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tiempo inicial será del ciclo</t>
      </text>
    </comment>
    <comment ref="J11" authorId="1" shapeId="0" xr:uid="{4BAEA2DF-2AB2-4D6E-BA88-079BA7CE4DB2}">
      <text>
        <r>
          <rPr>
            <b/>
            <sz val="9"/>
            <color indexed="81"/>
            <rFont val="Tahoma"/>
            <family val="2"/>
          </rPr>
          <t>German Puluc:</t>
        </r>
        <r>
          <rPr>
            <sz val="9"/>
            <color indexed="81"/>
            <rFont val="Tahoma"/>
            <family val="2"/>
          </rPr>
          <t xml:space="preserve">
Cada vez que la diferencia sea un número que no se pueda restar se reinicia el análisis con el tiempo de ciclo.</t>
        </r>
      </text>
    </comment>
  </commentList>
</comments>
</file>

<file path=xl/sharedStrings.xml><?xml version="1.0" encoding="utf-8"?>
<sst xmlns="http://schemas.openxmlformats.org/spreadsheetml/2006/main" count="156" uniqueCount="125">
  <si>
    <t>OPERACIÓN</t>
  </si>
  <si>
    <t>MINUTOS ESTÁNDAR (SM)</t>
  </si>
  <si>
    <t xml:space="preserve">SM/UNIDAD (R) </t>
  </si>
  <si>
    <t>REDONDEO OP</t>
  </si>
  <si>
    <t>OP MÁS LENTA</t>
  </si>
  <si>
    <t>DATOS DEL PROBLEMA</t>
  </si>
  <si>
    <t>Producción meta</t>
  </si>
  <si>
    <t>Jornada (horas)</t>
  </si>
  <si>
    <t>Eficiencia buscada</t>
  </si>
  <si>
    <t>DATOS CALCULADOS</t>
  </si>
  <si>
    <t>R</t>
  </si>
  <si>
    <t>N</t>
  </si>
  <si>
    <t>Tiempo por unidad</t>
  </si>
  <si>
    <t>Totales</t>
  </si>
  <si>
    <t>Proceso GEN</t>
  </si>
  <si>
    <t>piezas/hora</t>
  </si>
  <si>
    <t>por día</t>
  </si>
  <si>
    <t>OP más lenta</t>
  </si>
  <si>
    <t>OPERADOR</t>
  </si>
  <si>
    <t xml:space="preserve">SM </t>
  </si>
  <si>
    <t>Te LENTO</t>
  </si>
  <si>
    <t>T estándar</t>
  </si>
  <si>
    <t xml:space="preserve">E </t>
  </si>
  <si>
    <t>TAREA</t>
  </si>
  <si>
    <t>Duración (s)</t>
  </si>
  <si>
    <t>Antecedentes</t>
  </si>
  <si>
    <t>DATOS CONOCIDOS</t>
  </si>
  <si>
    <t>A</t>
  </si>
  <si>
    <t>B</t>
  </si>
  <si>
    <t>Jornada (h)</t>
  </si>
  <si>
    <t>C</t>
  </si>
  <si>
    <t>CALCULOS</t>
  </si>
  <si>
    <t>D</t>
  </si>
  <si>
    <t>Tiempo de ciclo (C)</t>
  </si>
  <si>
    <t>E</t>
  </si>
  <si>
    <t>Núm. Estaciones (Ne)</t>
  </si>
  <si>
    <t>F</t>
  </si>
  <si>
    <t>Eficiencia</t>
  </si>
  <si>
    <t>G</t>
  </si>
  <si>
    <t>H</t>
  </si>
  <si>
    <t>ESTACIÓN DE TRABAJO</t>
  </si>
  <si>
    <t>CANDIDATAS</t>
  </si>
  <si>
    <t>ASIGNADA</t>
  </si>
  <si>
    <t>TIEMPO</t>
  </si>
  <si>
    <t>T NO ASIGN</t>
  </si>
  <si>
    <t>I</t>
  </si>
  <si>
    <t>SERVICIO SINCRONICO</t>
  </si>
  <si>
    <t>Opción 1</t>
  </si>
  <si>
    <t>Datos del problema</t>
  </si>
  <si>
    <t xml:space="preserve">l (dar servicio a la maquina) </t>
  </si>
  <si>
    <t>min</t>
  </si>
  <si>
    <t xml:space="preserve">N1 ( # optimo de maquina) </t>
  </si>
  <si>
    <t xml:space="preserve">Maquinas </t>
  </si>
  <si>
    <t xml:space="preserve">m(tiempo de trabajo de cada maquina) </t>
  </si>
  <si>
    <t xml:space="preserve">min </t>
  </si>
  <si>
    <t xml:space="preserve">W(tiempo de recorrido de una maquina a otra) </t>
  </si>
  <si>
    <t xml:space="preserve">TEC N1 </t>
  </si>
  <si>
    <t xml:space="preserve">$/unidad </t>
  </si>
  <si>
    <t xml:space="preserve">K1 (Salario del operador) </t>
  </si>
  <si>
    <t>$/h</t>
  </si>
  <si>
    <t xml:space="preserve">Esta divido entre 60 para que este en minutos </t>
  </si>
  <si>
    <t>K2(costo de la maquina /unidad de tiempo)</t>
  </si>
  <si>
    <t>Opcion 2</t>
  </si>
  <si>
    <t xml:space="preserve">Esta es con la aproximacion de las maquinas una unidad hacia arriba </t>
  </si>
  <si>
    <t xml:space="preserve">N2 ( # optimo de maquina) </t>
  </si>
  <si>
    <t>TEC N2</t>
  </si>
  <si>
    <t>m</t>
  </si>
  <si>
    <t>PROBABILIDAD</t>
  </si>
  <si>
    <t>p% (fuera de serivicio prom)</t>
  </si>
  <si>
    <t xml:space="preserve">q </t>
  </si>
  <si>
    <t>n (# de máquinas)</t>
  </si>
  <si>
    <t>jornada (h)</t>
  </si>
  <si>
    <t>Hora máquina al día</t>
  </si>
  <si>
    <t>tiempo de proceso de maquina</t>
  </si>
  <si>
    <t>unit/h</t>
  </si>
  <si>
    <t>1 OPERARIO</t>
  </si>
  <si>
    <t>2 OPERARIOS</t>
  </si>
  <si>
    <t>proporción de t perdido por máquina</t>
  </si>
  <si>
    <t>probabilidad</t>
  </si>
  <si>
    <t>Horas perdidas</t>
  </si>
  <si>
    <t>TEC (1)</t>
  </si>
  <si>
    <t>TEC (2)</t>
  </si>
  <si>
    <t>total de horas no prod</t>
  </si>
  <si>
    <t xml:space="preserve">RELACIONES COMPLEJAS </t>
  </si>
  <si>
    <t xml:space="preserve">X (relación entre el tiempo promedio de operación de la maquina y el tiempo prom de servicio de la maquina) </t>
  </si>
  <si>
    <t xml:space="preserve">N (número de maquinas asigandas a un operador) </t>
  </si>
  <si>
    <t xml:space="preserve">Tiempo promedio de operación de la maquina </t>
  </si>
  <si>
    <t>min/maquina</t>
  </si>
  <si>
    <t xml:space="preserve">Tiempo promedio de servicio de la maquina </t>
  </si>
  <si>
    <t xml:space="preserve">min-maquina/paquete </t>
  </si>
  <si>
    <t xml:space="preserve">I ( Interferencia,expresada como el % del tiempo medio de servicio) </t>
  </si>
  <si>
    <t>1+X-N</t>
  </si>
  <si>
    <t>2N</t>
  </si>
  <si>
    <t>(1+X-N)^2</t>
  </si>
  <si>
    <t>RAIZ</t>
  </si>
  <si>
    <t xml:space="preserve">I = </t>
  </si>
  <si>
    <t xml:space="preserve">I % = </t>
  </si>
  <si>
    <t>Tiempo de interferencia con  la maquina</t>
  </si>
  <si>
    <t xml:space="preserve">Min </t>
  </si>
  <si>
    <t xml:space="preserve">PARA PODER DETERMINAR EL VALOR DE TI; DEBEMOS DE UTILIZAR EL VALOR DE K Y LA N: Y BUSCAR EL VALOR EN LA SIGUIENTE TABLA: </t>
  </si>
  <si>
    <t xml:space="preserve">Datos del problema </t>
  </si>
  <si>
    <t xml:space="preserve">l(tiempo de servicio) </t>
  </si>
  <si>
    <t>m(tiempo de operacion de las maquinas)</t>
  </si>
  <si>
    <t xml:space="preserve">K </t>
  </si>
  <si>
    <t>n</t>
  </si>
  <si>
    <t xml:space="preserve">El tiempo total del ciclo para producir una pieza es: </t>
  </si>
  <si>
    <t xml:space="preserve">C = </t>
  </si>
  <si>
    <t xml:space="preserve">Minutos </t>
  </si>
  <si>
    <t>m=</t>
  </si>
  <si>
    <t>l=</t>
  </si>
  <si>
    <t>Ti =</t>
  </si>
  <si>
    <t>En las tablas encontraremos el valor de TI en %, debemos de colocarlo en decimal</t>
  </si>
  <si>
    <t xml:space="preserve">Diuerna </t>
  </si>
  <si>
    <t>Mixta</t>
  </si>
  <si>
    <t>Nocturna</t>
  </si>
  <si>
    <t>k1 Salario de operario</t>
  </si>
  <si>
    <t xml:space="preserve">k2 Costo de máquina </t>
  </si>
  <si>
    <t>$/hora</t>
  </si>
  <si>
    <t>total de horas productivas</t>
  </si>
  <si>
    <t>valores de m (máquinas fuera de servicio)</t>
  </si>
  <si>
    <t>Unidades producidas</t>
  </si>
  <si>
    <t>unidades producidas/hora</t>
  </si>
  <si>
    <t>Q</t>
  </si>
  <si>
    <t xml:space="preserve">Bajar al entero </t>
  </si>
  <si>
    <t>Subir al entero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</si>
</sst>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30" xfId="0" applyBorder="1" applyAlignment="1">
      <alignment horizontal="center"/>
    </xf>
    <xf numFmtId="9" fontId="0" fillId="0" borderId="31" xfId="1" applyFont="1" applyBorder="1" applyAlignment="1">
      <alignment horizontal="center"/>
    </xf>
    <xf numFmtId="0" fontId="0" fillId="0" borderId="32" xfId="0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7" xfId="0" applyFont="1" applyBorder="1"/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2" borderId="18" xfId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8" xfId="0" applyBorder="1"/>
    <xf numFmtId="0" fontId="0" fillId="0" borderId="37" xfId="0" applyBorder="1"/>
    <xf numFmtId="2" fontId="2" fillId="2" borderId="46" xfId="0" applyNumberFormat="1" applyFont="1" applyFill="1" applyBorder="1"/>
    <xf numFmtId="0" fontId="2" fillId="2" borderId="16" xfId="0" applyFont="1" applyFill="1" applyBorder="1"/>
    <xf numFmtId="2" fontId="2" fillId="2" borderId="16" xfId="0" applyNumberFormat="1" applyFont="1" applyFill="1" applyBorder="1"/>
    <xf numFmtId="0" fontId="2" fillId="2" borderId="18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" fontId="2" fillId="2" borderId="17" xfId="0" applyNumberFormat="1" applyFont="1" applyFill="1" applyBorder="1"/>
    <xf numFmtId="0" fontId="0" fillId="0" borderId="44" xfId="0" applyBorder="1" applyAlignment="1">
      <alignment horizontal="center"/>
    </xf>
    <xf numFmtId="0" fontId="0" fillId="0" borderId="56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9" fontId="2" fillId="4" borderId="9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0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7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59" xfId="0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10" fontId="0" fillId="6" borderId="30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7" fillId="7" borderId="13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 wrapText="1"/>
    </xf>
    <xf numFmtId="1" fontId="2" fillId="8" borderId="0" xfId="0" applyNumberFormat="1" applyFont="1" applyFill="1"/>
    <xf numFmtId="0" fontId="0" fillId="8" borderId="4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50" xfId="0" applyFill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8" borderId="42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8" borderId="59" xfId="0" applyFill="1" applyBorder="1" applyAlignment="1">
      <alignment horizontal="center"/>
    </xf>
    <xf numFmtId="0" fontId="0" fillId="8" borderId="60" xfId="0" applyFill="1" applyBorder="1" applyAlignment="1">
      <alignment horizontal="center"/>
    </xf>
    <xf numFmtId="164" fontId="0" fillId="8" borderId="43" xfId="0" applyNumberFormat="1" applyFill="1" applyBorder="1" applyAlignment="1">
      <alignment horizontal="center"/>
    </xf>
    <xf numFmtId="0" fontId="0" fillId="8" borderId="59" xfId="0" applyFill="1" applyBorder="1" applyAlignment="1">
      <alignment horizontal="center"/>
    </xf>
    <xf numFmtId="2" fontId="0" fillId="8" borderId="63" xfId="0" applyNumberFormat="1" applyFill="1" applyBorder="1" applyAlignment="1">
      <alignment horizontal="center"/>
    </xf>
    <xf numFmtId="2" fontId="0" fillId="8" borderId="45" xfId="0" applyNumberFormat="1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4" borderId="0" xfId="0" applyFont="1" applyFill="1"/>
    <xf numFmtId="0" fontId="0" fillId="6" borderId="0" xfId="0" applyFill="1"/>
    <xf numFmtId="0" fontId="2" fillId="6" borderId="0" xfId="0" applyFont="1" applyFill="1"/>
    <xf numFmtId="170" fontId="2" fillId="8" borderId="0" xfId="0" applyNumberFormat="1" applyFont="1" applyFill="1"/>
    <xf numFmtId="0" fontId="2" fillId="8" borderId="0" xfId="0" applyFont="1" applyFill="1"/>
    <xf numFmtId="2" fontId="2" fillId="8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279401</xdr:colOff>
      <xdr:row>1</xdr:row>
      <xdr:rowOff>133350</xdr:rowOff>
    </xdr:from>
    <xdr:to>
      <xdr:col>12</xdr:col>
      <xdr:colOff>1</xdr:colOff>
      <xdr:row>3</xdr:row>
      <xdr:rowOff>110433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503AAB6E-ADE1-7AA0-BD46-D86E6DFA6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1201" y="323850"/>
          <a:ext cx="2381250" cy="358083"/>
        </a:xfrm>
        <a:prstGeom prst="rect">
          <a:avLst/>
        </a:prstGeom>
      </xdr:spPr>
    </xdr:pic>
    <xdr:clientData/>
  </xdr:twoCellAnchor>
  <xdr:twoCellAnchor editAs="oneCell">
    <xdr:from>
      <xdr:col>0</xdr:col>
      <xdr:colOff>43208</xdr:colOff>
      <xdr:row>23</xdr:row>
      <xdr:rowOff>73302</xdr:rowOff>
    </xdr:from>
    <xdr:to>
      <xdr:col>2</xdr:col>
      <xdr:colOff>387066</xdr:colOff>
      <xdr:row>31</xdr:row>
      <xdr:rowOff>92351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10C70C-8A31-E5F9-F985-4C67E2216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08" y="4521063"/>
          <a:ext cx="3673467" cy="15844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14</xdr:row>
      <xdr:rowOff>9525</xdr:rowOff>
    </xdr:from>
    <xdr:to>
      <xdr:col>9</xdr:col>
      <xdr:colOff>228600</xdr:colOff>
      <xdr:row>16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9A78C9-3584-1F41-12F5-18F254012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2724150"/>
          <a:ext cx="45720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47625</xdr:rowOff>
    </xdr:from>
    <xdr:to>
      <xdr:col>35</xdr:col>
      <xdr:colOff>9525</xdr:colOff>
      <xdr:row>34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A15075-F275-A02F-61AD-49187CD0A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0" y="285750"/>
          <a:ext cx="14601825" cy="6362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ERMAN EDUARDO PULUC CASTILLO" id="{B92D1E23-BB39-4B4C-A361-E7B338906144}" userId="S::gepuluc@correo.url.edu.gt::d8f8f604-27ae-4fbb-9c09-25ce3ee203e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0" dT="2023-11-15T22:10:35.11" personId="{B92D1E23-BB39-4B4C-A361-E7B338906144}" id="{98C7B05E-DFDC-4EBA-8BE4-6F6AEEC79ACC}">
    <text>El tiempo inicial será del ciclo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4CF8-BE87-4B25-87A4-748100B9C61A}">
  <dimension ref="A1:V15"/>
  <sheetViews>
    <sheetView workbookViewId="0">
      <selection activeCell="E20" sqref="E20"/>
    </sheetView>
  </sheetViews>
  <sheetFormatPr baseColWidth="10" defaultColWidth="11.42578125" defaultRowHeight="15" x14ac:dyDescent="0.25"/>
  <cols>
    <col min="1" max="1" width="12.28515625" customWidth="1"/>
    <col min="2" max="2" width="10.5703125" customWidth="1"/>
    <col min="3" max="3" width="11.85546875" customWidth="1"/>
    <col min="4" max="4" width="13.7109375" customWidth="1"/>
    <col min="5" max="5" width="10.5703125" customWidth="1"/>
    <col min="6" max="6" width="10.28515625" customWidth="1"/>
    <col min="7" max="7" width="20.140625" customWidth="1"/>
    <col min="16" max="16" width="16.5703125" customWidth="1"/>
  </cols>
  <sheetData>
    <row r="1" spans="1:22" ht="45" x14ac:dyDescent="0.25">
      <c r="A1" s="113" t="s">
        <v>0</v>
      </c>
      <c r="B1" s="113" t="s">
        <v>1</v>
      </c>
      <c r="C1" s="113" t="s">
        <v>2</v>
      </c>
      <c r="D1" s="113" t="s">
        <v>3</v>
      </c>
      <c r="E1" s="113" t="s">
        <v>4</v>
      </c>
      <c r="P1" s="1" t="str">
        <f t="shared" ref="P1:P9" si="0">E1</f>
        <v>OP MÁS LENTA</v>
      </c>
      <c r="Q1" s="1" t="str">
        <f>A1</f>
        <v>OPERACIÓN</v>
      </c>
      <c r="R1" s="1" t="str">
        <f>B1</f>
        <v>MINUTOS ESTÁNDAR (SM)</v>
      </c>
      <c r="S1" s="1" t="str">
        <f>C1</f>
        <v xml:space="preserve">SM/UNIDAD (R) </v>
      </c>
      <c r="T1" s="1" t="str">
        <f>D1</f>
        <v>REDONDEO OP</v>
      </c>
    </row>
    <row r="2" spans="1:22" x14ac:dyDescent="0.25">
      <c r="A2" s="2">
        <v>1</v>
      </c>
      <c r="B2" s="2">
        <v>3.8</v>
      </c>
      <c r="C2" s="3">
        <f t="shared" ref="C2:C9" si="1">B2*H$7</f>
        <v>2.1714285714285713</v>
      </c>
      <c r="D2" s="4">
        <f>INT(C2)+1</f>
        <v>3</v>
      </c>
      <c r="E2" s="3">
        <f>B2/D2</f>
        <v>1.2666666666666666</v>
      </c>
      <c r="G2" s="110" t="s">
        <v>5</v>
      </c>
      <c r="H2" s="111"/>
      <c r="P2" s="6">
        <f t="shared" si="0"/>
        <v>1.2666666666666666</v>
      </c>
      <c r="Q2" s="1">
        <f t="shared" ref="Q2:Q9" si="2">A2</f>
        <v>1</v>
      </c>
      <c r="R2" s="1">
        <f t="shared" ref="R2:R9" si="3">B2</f>
        <v>3.8</v>
      </c>
      <c r="S2" s="1">
        <f t="shared" ref="S2:S9" si="4">C2</f>
        <v>2.1714285714285713</v>
      </c>
      <c r="T2" s="1">
        <f t="shared" ref="T2:T9" si="5">D2</f>
        <v>3</v>
      </c>
    </row>
    <row r="3" spans="1:22" x14ac:dyDescent="0.25">
      <c r="A3" s="2">
        <v>2</v>
      </c>
      <c r="B3" s="2">
        <v>5.0999999999999996</v>
      </c>
      <c r="C3" s="3">
        <f t="shared" si="1"/>
        <v>2.9142857142857137</v>
      </c>
      <c r="D3" s="4">
        <f>INT(C3)+1</f>
        <v>3</v>
      </c>
      <c r="E3" s="3">
        <f t="shared" ref="E3:E9" si="6">B3/D3</f>
        <v>1.7</v>
      </c>
      <c r="G3" s="82" t="s">
        <v>6</v>
      </c>
      <c r="H3" s="83">
        <v>240</v>
      </c>
      <c r="J3" t="s">
        <v>112</v>
      </c>
      <c r="K3">
        <v>8</v>
      </c>
      <c r="P3" s="6">
        <f t="shared" si="0"/>
        <v>1.7</v>
      </c>
      <c r="Q3" s="1">
        <f t="shared" si="2"/>
        <v>2</v>
      </c>
      <c r="R3" s="1">
        <f t="shared" si="3"/>
        <v>5.0999999999999996</v>
      </c>
      <c r="S3" s="1">
        <f t="shared" si="4"/>
        <v>2.9142857142857137</v>
      </c>
      <c r="T3" s="1">
        <f t="shared" si="5"/>
        <v>3</v>
      </c>
    </row>
    <row r="4" spans="1:22" x14ac:dyDescent="0.25">
      <c r="A4" s="2">
        <v>3</v>
      </c>
      <c r="B4" s="3">
        <v>4.5999999999999996</v>
      </c>
      <c r="C4" s="3">
        <f t="shared" si="1"/>
        <v>2.6285714285714281</v>
      </c>
      <c r="D4" s="4">
        <f t="shared" ref="D4:D5" si="7">INT(C4)+1</f>
        <v>3</v>
      </c>
      <c r="E4" s="3">
        <f t="shared" si="6"/>
        <v>1.5333333333333332</v>
      </c>
      <c r="G4" s="80" t="s">
        <v>7</v>
      </c>
      <c r="H4" s="81">
        <v>7</v>
      </c>
      <c r="J4" t="s">
        <v>113</v>
      </c>
      <c r="K4">
        <v>7</v>
      </c>
      <c r="P4" s="6">
        <f t="shared" si="0"/>
        <v>1.5333333333333332</v>
      </c>
      <c r="Q4" s="1">
        <f t="shared" si="2"/>
        <v>3</v>
      </c>
      <c r="R4" s="1">
        <f t="shared" si="3"/>
        <v>4.5999999999999996</v>
      </c>
      <c r="S4" s="1">
        <f t="shared" si="4"/>
        <v>2.6285714285714281</v>
      </c>
      <c r="T4" s="1">
        <f t="shared" si="5"/>
        <v>3</v>
      </c>
    </row>
    <row r="5" spans="1:22" x14ac:dyDescent="0.25">
      <c r="A5" s="2">
        <v>4</v>
      </c>
      <c r="B5" s="2">
        <v>6.11</v>
      </c>
      <c r="C5" s="3">
        <f t="shared" si="1"/>
        <v>3.4914285714285715</v>
      </c>
      <c r="D5" s="4">
        <f t="shared" si="7"/>
        <v>4</v>
      </c>
      <c r="E5" s="3">
        <f t="shared" si="6"/>
        <v>1.5275000000000001</v>
      </c>
      <c r="G5" s="84" t="s">
        <v>8</v>
      </c>
      <c r="H5" s="85">
        <v>0.9</v>
      </c>
      <c r="J5" t="s">
        <v>114</v>
      </c>
      <c r="K5">
        <v>6</v>
      </c>
      <c r="P5" s="6">
        <f t="shared" si="0"/>
        <v>1.5275000000000001</v>
      </c>
      <c r="Q5" s="1">
        <f t="shared" si="2"/>
        <v>4</v>
      </c>
      <c r="R5" s="1">
        <f t="shared" si="3"/>
        <v>6.11</v>
      </c>
      <c r="S5" s="1">
        <f t="shared" si="4"/>
        <v>3.4914285714285715</v>
      </c>
      <c r="T5" s="1">
        <f t="shared" si="5"/>
        <v>4</v>
      </c>
    </row>
    <row r="6" spans="1:22" x14ac:dyDescent="0.25">
      <c r="A6" s="2"/>
      <c r="B6" s="2"/>
      <c r="C6" s="3"/>
      <c r="D6" s="4"/>
      <c r="E6" s="3"/>
      <c r="G6" s="112" t="s">
        <v>9</v>
      </c>
      <c r="H6" s="111"/>
      <c r="P6" s="6">
        <f t="shared" si="0"/>
        <v>0</v>
      </c>
      <c r="Q6" s="1">
        <f t="shared" si="2"/>
        <v>0</v>
      </c>
      <c r="R6" s="1">
        <f t="shared" si="3"/>
        <v>0</v>
      </c>
      <c r="S6" s="1">
        <f t="shared" si="4"/>
        <v>0</v>
      </c>
      <c r="T6" s="1">
        <f t="shared" si="5"/>
        <v>0</v>
      </c>
    </row>
    <row r="7" spans="1:22" x14ac:dyDescent="0.25">
      <c r="A7" s="2"/>
      <c r="B7" s="2"/>
      <c r="C7" s="3"/>
      <c r="D7" s="4"/>
      <c r="E7" s="3"/>
      <c r="G7" s="22" t="s">
        <v>10</v>
      </c>
      <c r="H7" s="25">
        <f>H3/(H4*60)</f>
        <v>0.5714285714285714</v>
      </c>
      <c r="P7" s="6">
        <f t="shared" si="0"/>
        <v>0</v>
      </c>
      <c r="Q7" s="1">
        <f t="shared" si="2"/>
        <v>0</v>
      </c>
      <c r="R7" s="1">
        <f t="shared" si="3"/>
        <v>0</v>
      </c>
      <c r="S7" s="1">
        <f t="shared" si="4"/>
        <v>0</v>
      </c>
      <c r="T7" s="1">
        <f t="shared" si="5"/>
        <v>0</v>
      </c>
      <c r="U7" s="1">
        <f>VLOOKUP(P5,P2:T7,3,TRUE)</f>
        <v>3.8</v>
      </c>
      <c r="V7" s="1" t="e">
        <f>VLOOKUP(5,Q2:T7,3,FALSE)</f>
        <v>#N/A</v>
      </c>
    </row>
    <row r="8" spans="1:22" x14ac:dyDescent="0.25">
      <c r="A8" s="2"/>
      <c r="B8" s="2"/>
      <c r="C8" s="3"/>
      <c r="D8" s="4"/>
      <c r="E8" s="3"/>
      <c r="G8" s="23" t="s">
        <v>11</v>
      </c>
      <c r="H8" s="87">
        <f>INT((H7*B11)/H5)+1</f>
        <v>13</v>
      </c>
      <c r="P8" s="6">
        <f t="shared" si="0"/>
        <v>0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/>
      <c r="V8" s="1"/>
    </row>
    <row r="9" spans="1:22" x14ac:dyDescent="0.25">
      <c r="A9" s="2"/>
      <c r="B9" s="2"/>
      <c r="C9" s="3"/>
      <c r="D9" s="4"/>
      <c r="E9" s="3"/>
      <c r="G9" s="24" t="s">
        <v>12</v>
      </c>
      <c r="H9" s="26">
        <f>(H4*60)/H3</f>
        <v>1.75</v>
      </c>
      <c r="P9" s="6">
        <f t="shared" si="0"/>
        <v>0</v>
      </c>
      <c r="Q9" s="1">
        <f t="shared" si="2"/>
        <v>0</v>
      </c>
      <c r="R9" s="1">
        <f t="shared" si="3"/>
        <v>0</v>
      </c>
      <c r="S9" s="1">
        <f t="shared" si="4"/>
        <v>0</v>
      </c>
      <c r="T9" s="1">
        <f t="shared" si="5"/>
        <v>0</v>
      </c>
      <c r="U9" s="1"/>
      <c r="V9" s="1"/>
    </row>
    <row r="10" spans="1:22" x14ac:dyDescent="0.25">
      <c r="A10" s="2"/>
      <c r="B10" s="2"/>
      <c r="C10" s="3"/>
      <c r="D10" s="4"/>
      <c r="E10" s="3"/>
      <c r="G10" s="2"/>
      <c r="P10" s="6"/>
      <c r="Q10" s="1"/>
      <c r="R10" s="1"/>
      <c r="S10" s="1"/>
      <c r="T10" s="1"/>
      <c r="U10" s="1"/>
      <c r="V10" s="1"/>
    </row>
    <row r="11" spans="1:22" x14ac:dyDescent="0.25">
      <c r="A11" s="9" t="s">
        <v>13</v>
      </c>
      <c r="B11" s="27">
        <f>SUM(B2:B9)</f>
        <v>19.61</v>
      </c>
      <c r="C11" s="10"/>
      <c r="D11" s="86">
        <f>SUM(D2:D9)</f>
        <v>13</v>
      </c>
      <c r="E11" s="8">
        <f>LARGE(E2:E9,1)</f>
        <v>1.7</v>
      </c>
      <c r="P11" s="5">
        <f>LARGE(P2:P7,1)</f>
        <v>1.7</v>
      </c>
    </row>
    <row r="12" spans="1:22" x14ac:dyDescent="0.25">
      <c r="P12" s="6">
        <f>VLOOKUP(P11,P2:T7,3,FALSE)</f>
        <v>5.0999999999999996</v>
      </c>
    </row>
    <row r="14" spans="1:22" x14ac:dyDescent="0.25">
      <c r="A14" s="108" t="s">
        <v>14</v>
      </c>
      <c r="B14" s="9">
        <f>(D11*60)/B11</f>
        <v>39.775624681285059</v>
      </c>
      <c r="C14" s="9" t="s">
        <v>15</v>
      </c>
      <c r="D14" s="114">
        <f>B14*H4</f>
        <v>278.42937276899539</v>
      </c>
      <c r="E14" s="9" t="s">
        <v>16</v>
      </c>
    </row>
    <row r="15" spans="1:22" x14ac:dyDescent="0.25">
      <c r="A15" s="109" t="s">
        <v>17</v>
      </c>
      <c r="B15" s="10">
        <f>((VLOOKUP(E11,P2:T7,5,FALSE))*60)/(VLOOKUP(E11,P2:T7,3,FALSE))</f>
        <v>35.294117647058826</v>
      </c>
      <c r="C15" s="9" t="s">
        <v>15</v>
      </c>
      <c r="D15" s="114">
        <f>B15*H4</f>
        <v>247.05882352941177</v>
      </c>
      <c r="E15" s="9" t="s">
        <v>16</v>
      </c>
    </row>
  </sheetData>
  <mergeCells count="2">
    <mergeCell ref="G2:H2"/>
    <mergeCell ref="G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0608-BEA1-46CD-8FBA-BFF3CAACA28B}">
  <dimension ref="A1:G7"/>
  <sheetViews>
    <sheetView workbookViewId="0">
      <selection activeCell="C9" sqref="C9"/>
    </sheetView>
  </sheetViews>
  <sheetFormatPr baseColWidth="10" defaultColWidth="11.42578125" defaultRowHeight="15" x14ac:dyDescent="0.25"/>
  <sheetData>
    <row r="1" spans="1:7" x14ac:dyDescent="0.25">
      <c r="A1" s="11" t="s">
        <v>18</v>
      </c>
      <c r="B1" s="11" t="s">
        <v>19</v>
      </c>
      <c r="C1" s="11" t="s">
        <v>20</v>
      </c>
      <c r="D1" s="11" t="s">
        <v>21</v>
      </c>
    </row>
    <row r="2" spans="1:7" x14ac:dyDescent="0.25">
      <c r="A2" s="2">
        <v>1</v>
      </c>
      <c r="B2" s="2">
        <v>0.52</v>
      </c>
      <c r="C2" s="2">
        <f>D2-B2</f>
        <v>0.13</v>
      </c>
      <c r="D2" s="2">
        <f>LARGE(B$2:B$6,1)</f>
        <v>0.65</v>
      </c>
    </row>
    <row r="3" spans="1:7" x14ac:dyDescent="0.25">
      <c r="A3" s="2">
        <v>2</v>
      </c>
      <c r="B3" s="2">
        <v>0.48</v>
      </c>
      <c r="C3" s="2">
        <f t="shared" ref="C3:C6" si="0">D3-B3</f>
        <v>0.17000000000000004</v>
      </c>
      <c r="D3" s="2">
        <f t="shared" ref="D3:D6" si="1">LARGE(B$2:B$6,1)</f>
        <v>0.65</v>
      </c>
      <c r="F3" s="14" t="s">
        <v>22</v>
      </c>
      <c r="G3" s="28">
        <f>B7/D7</f>
        <v>0.80307692307692313</v>
      </c>
    </row>
    <row r="4" spans="1:7" x14ac:dyDescent="0.25">
      <c r="A4" s="2">
        <v>3</v>
      </c>
      <c r="B4" s="2">
        <v>0.65</v>
      </c>
      <c r="C4" s="2">
        <f t="shared" si="0"/>
        <v>0</v>
      </c>
      <c r="D4" s="2">
        <f t="shared" si="1"/>
        <v>0.65</v>
      </c>
    </row>
    <row r="5" spans="1:7" x14ac:dyDescent="0.25">
      <c r="A5" s="2">
        <v>4</v>
      </c>
      <c r="B5" s="2">
        <v>0.41</v>
      </c>
      <c r="C5" s="2">
        <f t="shared" si="0"/>
        <v>0.24000000000000005</v>
      </c>
      <c r="D5" s="2">
        <f t="shared" si="1"/>
        <v>0.65</v>
      </c>
    </row>
    <row r="6" spans="1:7" x14ac:dyDescent="0.25">
      <c r="A6" s="2">
        <v>5</v>
      </c>
      <c r="B6" s="2">
        <v>0.55000000000000004</v>
      </c>
      <c r="C6" s="2">
        <f t="shared" si="0"/>
        <v>9.9999999999999978E-2</v>
      </c>
      <c r="D6" s="2">
        <f t="shared" si="1"/>
        <v>0.65</v>
      </c>
    </row>
    <row r="7" spans="1:7" x14ac:dyDescent="0.25">
      <c r="A7" s="27" t="s">
        <v>13</v>
      </c>
      <c r="B7" s="9">
        <f>SUM(B1:B6)</f>
        <v>2.6100000000000003</v>
      </c>
      <c r="C7" s="9"/>
      <c r="D7" s="9">
        <f>SUM(D2:D6)</f>
        <v>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5A28-533B-4EF0-A2ED-F628970B6AEE}">
  <dimension ref="A1:J18"/>
  <sheetViews>
    <sheetView workbookViewId="0">
      <selection activeCell="A23" sqref="A23"/>
    </sheetView>
  </sheetViews>
  <sheetFormatPr baseColWidth="10" defaultColWidth="11.42578125" defaultRowHeight="15" x14ac:dyDescent="0.25"/>
  <cols>
    <col min="3" max="3" width="13.5703125" customWidth="1"/>
    <col min="6" max="6" width="20.7109375" customWidth="1"/>
    <col min="7" max="7" width="12.85546875" customWidth="1"/>
  </cols>
  <sheetData>
    <row r="1" spans="1:10" x14ac:dyDescent="0.25">
      <c r="A1" s="9" t="s">
        <v>23</v>
      </c>
      <c r="B1" s="2" t="s">
        <v>24</v>
      </c>
      <c r="C1" s="2" t="s">
        <v>25</v>
      </c>
      <c r="F1" s="47" t="s">
        <v>26</v>
      </c>
      <c r="G1" s="48"/>
    </row>
    <row r="2" spans="1:10" x14ac:dyDescent="0.25">
      <c r="A2" t="s">
        <v>27</v>
      </c>
      <c r="B2" s="2">
        <v>40</v>
      </c>
      <c r="F2" s="17" t="s">
        <v>6</v>
      </c>
      <c r="G2" s="12">
        <v>480</v>
      </c>
    </row>
    <row r="3" spans="1:10" x14ac:dyDescent="0.25">
      <c r="A3" t="s">
        <v>28</v>
      </c>
      <c r="B3" s="2">
        <v>30</v>
      </c>
      <c r="F3" s="18" t="s">
        <v>29</v>
      </c>
      <c r="G3" s="16">
        <v>10</v>
      </c>
    </row>
    <row r="4" spans="1:10" ht="14.45" customHeight="1" x14ac:dyDescent="0.25">
      <c r="A4" t="s">
        <v>30</v>
      </c>
      <c r="B4" s="2">
        <v>50</v>
      </c>
      <c r="F4" s="49" t="s">
        <v>31</v>
      </c>
      <c r="G4" s="48"/>
    </row>
    <row r="5" spans="1:10" x14ac:dyDescent="0.25">
      <c r="A5" t="s">
        <v>32</v>
      </c>
      <c r="B5" s="2">
        <v>40</v>
      </c>
      <c r="F5" s="17" t="s">
        <v>33</v>
      </c>
      <c r="G5" s="12">
        <f>(G3*60*60)/G2</f>
        <v>75</v>
      </c>
    </row>
    <row r="6" spans="1:10" x14ac:dyDescent="0.25">
      <c r="A6" t="s">
        <v>34</v>
      </c>
      <c r="B6" s="2">
        <v>6</v>
      </c>
      <c r="F6" s="21" t="s">
        <v>35</v>
      </c>
      <c r="G6" s="16">
        <f>ROUND(B11/G5,0)</f>
        <v>4</v>
      </c>
    </row>
    <row r="7" spans="1:10" x14ac:dyDescent="0.25">
      <c r="A7" t="s">
        <v>36</v>
      </c>
      <c r="B7" s="2">
        <v>25</v>
      </c>
      <c r="F7" s="19" t="s">
        <v>37</v>
      </c>
      <c r="G7" s="20">
        <f>B11/(G6*G5)</f>
        <v>0.91333333333333333</v>
      </c>
    </row>
    <row r="8" spans="1:10" x14ac:dyDescent="0.25">
      <c r="A8" t="s">
        <v>38</v>
      </c>
      <c r="B8" s="2">
        <v>15</v>
      </c>
    </row>
    <row r="9" spans="1:10" x14ac:dyDescent="0.25">
      <c r="A9" t="s">
        <v>39</v>
      </c>
      <c r="B9" s="2">
        <v>20</v>
      </c>
      <c r="F9" s="2" t="s">
        <v>40</v>
      </c>
      <c r="G9" s="2" t="s">
        <v>41</v>
      </c>
      <c r="H9" s="2" t="s">
        <v>42</v>
      </c>
      <c r="I9" s="2" t="s">
        <v>43</v>
      </c>
      <c r="J9" s="2" t="s">
        <v>44</v>
      </c>
    </row>
    <row r="10" spans="1:10" x14ac:dyDescent="0.25">
      <c r="A10" t="s">
        <v>45</v>
      </c>
      <c r="B10" s="2">
        <v>48</v>
      </c>
      <c r="H10" t="s">
        <v>27</v>
      </c>
      <c r="I10">
        <f t="shared" ref="I10:I18" si="0">VLOOKUP(H10,A$2:B$10,2,FALSE)</f>
        <v>40</v>
      </c>
      <c r="J10">
        <f>G5-I10</f>
        <v>35</v>
      </c>
    </row>
    <row r="11" spans="1:10" x14ac:dyDescent="0.25">
      <c r="B11" s="7">
        <f>SUM(B2:B10)</f>
        <v>274</v>
      </c>
      <c r="H11" t="s">
        <v>28</v>
      </c>
      <c r="I11">
        <f t="shared" si="0"/>
        <v>30</v>
      </c>
      <c r="J11">
        <f>J10-I11</f>
        <v>5</v>
      </c>
    </row>
    <row r="12" spans="1:10" x14ac:dyDescent="0.25">
      <c r="H12" t="s">
        <v>30</v>
      </c>
      <c r="I12">
        <f t="shared" si="0"/>
        <v>50</v>
      </c>
      <c r="J12">
        <f>G5-I12</f>
        <v>25</v>
      </c>
    </row>
    <row r="13" spans="1:10" x14ac:dyDescent="0.25">
      <c r="H13" t="s">
        <v>36</v>
      </c>
      <c r="I13">
        <f t="shared" si="0"/>
        <v>25</v>
      </c>
      <c r="J13">
        <f>J12-I13</f>
        <v>0</v>
      </c>
    </row>
    <row r="14" spans="1:10" x14ac:dyDescent="0.25">
      <c r="H14" t="s">
        <v>32</v>
      </c>
      <c r="I14">
        <f t="shared" si="0"/>
        <v>40</v>
      </c>
      <c r="J14">
        <f>G5-I14</f>
        <v>35</v>
      </c>
    </row>
    <row r="15" spans="1:10" x14ac:dyDescent="0.25">
      <c r="H15" t="s">
        <v>38</v>
      </c>
      <c r="I15">
        <f t="shared" si="0"/>
        <v>15</v>
      </c>
      <c r="J15">
        <f>J14-I15</f>
        <v>20</v>
      </c>
    </row>
    <row r="16" spans="1:10" x14ac:dyDescent="0.25">
      <c r="H16" t="s">
        <v>34</v>
      </c>
      <c r="I16">
        <f t="shared" si="0"/>
        <v>6</v>
      </c>
      <c r="J16">
        <f>J15-I16</f>
        <v>14</v>
      </c>
    </row>
    <row r="17" spans="8:10" x14ac:dyDescent="0.25">
      <c r="H17" t="s">
        <v>39</v>
      </c>
      <c r="I17">
        <f t="shared" si="0"/>
        <v>20</v>
      </c>
      <c r="J17">
        <f>G5-I17</f>
        <v>55</v>
      </c>
    </row>
    <row r="18" spans="8:10" x14ac:dyDescent="0.25">
      <c r="H18" t="s">
        <v>45</v>
      </c>
      <c r="I18">
        <f t="shared" si="0"/>
        <v>48</v>
      </c>
      <c r="J18">
        <f>J17-I18</f>
        <v>7</v>
      </c>
    </row>
  </sheetData>
  <mergeCells count="2">
    <mergeCell ref="F1:G1"/>
    <mergeCell ref="F4:G4"/>
  </mergeCells>
  <pageMargins left="0.7" right="0.7" top="0.75" bottom="0.75" header="0.3" footer="0.3"/>
  <ignoredErrors>
    <ignoredError sqref="J12 J14 J17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5E36-7783-4113-A7C0-855F77B54D4A}">
  <dimension ref="A1:Q20"/>
  <sheetViews>
    <sheetView topLeftCell="A3" zoomScale="115" zoomScaleNormal="115" workbookViewId="0">
      <selection activeCell="J11" sqref="J11"/>
    </sheetView>
  </sheetViews>
  <sheetFormatPr baseColWidth="10" defaultColWidth="8.7109375" defaultRowHeight="15" x14ac:dyDescent="0.25"/>
  <cols>
    <col min="12" max="12" width="10.42578125" bestFit="1" customWidth="1"/>
    <col min="13" max="14" width="10.28515625" customWidth="1"/>
  </cols>
  <sheetData>
    <row r="1" spans="1:17" ht="18.75" x14ac:dyDescent="0.3">
      <c r="A1" s="129" t="s">
        <v>46</v>
      </c>
      <c r="B1" s="129"/>
      <c r="C1" s="129"/>
      <c r="D1" s="129"/>
    </row>
    <row r="2" spans="1:17" x14ac:dyDescent="0.25">
      <c r="J2" s="10" t="s">
        <v>47</v>
      </c>
    </row>
    <row r="3" spans="1:17" x14ac:dyDescent="0.25">
      <c r="B3" s="130" t="s">
        <v>48</v>
      </c>
      <c r="C3" s="130"/>
      <c r="D3" s="130"/>
      <c r="E3" s="130"/>
      <c r="F3" s="130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x14ac:dyDescent="0.25"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17" x14ac:dyDescent="0.25">
      <c r="B5" s="54" t="s">
        <v>49</v>
      </c>
      <c r="C5" s="55"/>
      <c r="D5" s="55"/>
      <c r="E5" s="55"/>
      <c r="F5" s="56"/>
      <c r="G5" s="135">
        <v>27</v>
      </c>
      <c r="H5" s="109" t="s">
        <v>50</v>
      </c>
      <c r="I5" s="132" t="s">
        <v>51</v>
      </c>
      <c r="J5" s="133"/>
      <c r="K5" s="134"/>
      <c r="L5" s="138">
        <f>((G5+G6)/(G5+G7))</f>
        <v>3.2993197278911568</v>
      </c>
      <c r="M5" s="139" t="s">
        <v>52</v>
      </c>
      <c r="N5" s="131"/>
      <c r="O5" s="137" t="s">
        <v>123</v>
      </c>
      <c r="P5" s="136"/>
      <c r="Q5" s="131"/>
    </row>
    <row r="6" spans="1:17" x14ac:dyDescent="0.25">
      <c r="B6" s="57" t="s">
        <v>53</v>
      </c>
      <c r="C6" s="52"/>
      <c r="D6" s="52"/>
      <c r="E6" s="52"/>
      <c r="F6" s="58"/>
      <c r="G6" s="135">
        <v>70</v>
      </c>
      <c r="H6" s="109" t="s">
        <v>54</v>
      </c>
      <c r="I6" s="131"/>
      <c r="J6" s="131"/>
      <c r="K6" s="131"/>
      <c r="L6" s="131"/>
      <c r="M6" s="131"/>
      <c r="N6" s="131"/>
      <c r="O6" s="131"/>
      <c r="P6" s="131"/>
      <c r="Q6" s="131"/>
    </row>
    <row r="7" spans="1:17" x14ac:dyDescent="0.25">
      <c r="B7" s="57" t="s">
        <v>55</v>
      </c>
      <c r="C7" s="52"/>
      <c r="D7" s="52"/>
      <c r="E7" s="52"/>
      <c r="F7" s="58"/>
      <c r="G7" s="135">
        <v>2.4</v>
      </c>
      <c r="H7" s="109" t="s">
        <v>54</v>
      </c>
      <c r="I7" s="132" t="s">
        <v>56</v>
      </c>
      <c r="J7" s="133"/>
      <c r="K7" s="134"/>
      <c r="L7" s="140">
        <f>((G5+G6)*(G8+L5*G9)/L5)/60</f>
        <v>22.540833333333332</v>
      </c>
      <c r="M7" s="139" t="s">
        <v>57</v>
      </c>
      <c r="N7" s="131"/>
      <c r="O7" s="131"/>
      <c r="P7" s="131"/>
      <c r="Q7" s="131"/>
    </row>
    <row r="8" spans="1:17" x14ac:dyDescent="0.25">
      <c r="B8" s="57" t="s">
        <v>58</v>
      </c>
      <c r="C8" s="52"/>
      <c r="D8" s="52"/>
      <c r="E8" s="52"/>
      <c r="F8" s="58"/>
      <c r="G8" s="135">
        <v>5.75</v>
      </c>
      <c r="H8" s="109" t="s">
        <v>59</v>
      </c>
      <c r="I8" s="131"/>
      <c r="J8" s="131"/>
      <c r="K8" s="131"/>
      <c r="L8" s="131"/>
      <c r="M8" s="130" t="s">
        <v>60</v>
      </c>
      <c r="N8" s="130"/>
      <c r="O8" s="130"/>
      <c r="P8" s="130"/>
      <c r="Q8" s="130"/>
    </row>
    <row r="9" spans="1:17" x14ac:dyDescent="0.25">
      <c r="B9" s="60" t="s">
        <v>61</v>
      </c>
      <c r="C9" s="61"/>
      <c r="D9" s="61"/>
      <c r="E9" s="61"/>
      <c r="F9" s="62"/>
      <c r="G9" s="135">
        <v>12.2</v>
      </c>
      <c r="H9" s="109" t="s">
        <v>59</v>
      </c>
      <c r="I9" s="131"/>
      <c r="J9" s="131"/>
      <c r="K9" s="131"/>
      <c r="L9" s="131"/>
      <c r="M9" s="131"/>
      <c r="N9" s="131"/>
      <c r="O9" s="131"/>
      <c r="P9" s="131"/>
      <c r="Q9" s="131"/>
    </row>
    <row r="10" spans="1:17" x14ac:dyDescent="0.25">
      <c r="H10" s="131"/>
      <c r="I10" s="131"/>
      <c r="J10" s="131"/>
      <c r="K10" s="131"/>
      <c r="L10" s="131"/>
      <c r="M10" s="131"/>
      <c r="N10" s="131"/>
      <c r="O10" s="131"/>
      <c r="P10" s="131"/>
      <c r="Q10" s="131"/>
    </row>
    <row r="11" spans="1:17" x14ac:dyDescent="0.25">
      <c r="H11" s="131"/>
      <c r="I11" s="131"/>
      <c r="J11" s="131"/>
      <c r="K11" s="131"/>
      <c r="L11" s="131"/>
      <c r="M11" s="131"/>
      <c r="N11" s="131"/>
      <c r="O11" s="131"/>
      <c r="P11" s="131"/>
      <c r="Q11" s="131"/>
    </row>
    <row r="12" spans="1:17" x14ac:dyDescent="0.25">
      <c r="H12" s="131"/>
      <c r="I12" s="131"/>
      <c r="J12" s="131"/>
      <c r="K12" s="131"/>
      <c r="L12" s="131"/>
      <c r="M12" s="131"/>
      <c r="N12" s="131"/>
      <c r="O12" s="131"/>
      <c r="P12" s="131"/>
      <c r="Q12" s="131"/>
    </row>
    <row r="13" spans="1:17" x14ac:dyDescent="0.25">
      <c r="H13" s="131"/>
      <c r="I13" s="131"/>
      <c r="J13" s="109" t="s">
        <v>62</v>
      </c>
      <c r="K13" s="131"/>
      <c r="L13" s="131"/>
      <c r="M13" s="131"/>
      <c r="N13" s="131"/>
      <c r="O13" s="131"/>
      <c r="P13" s="131"/>
      <c r="Q13" s="131"/>
    </row>
    <row r="14" spans="1:17" x14ac:dyDescent="0.25">
      <c r="H14" s="131"/>
      <c r="I14" s="131"/>
      <c r="J14" s="131"/>
      <c r="K14" s="131"/>
      <c r="L14" s="131"/>
      <c r="M14" s="131"/>
      <c r="N14" s="131"/>
      <c r="O14" s="131"/>
      <c r="P14" s="131"/>
      <c r="Q14" s="131"/>
    </row>
    <row r="15" spans="1:17" x14ac:dyDescent="0.25">
      <c r="H15" s="130" t="s">
        <v>63</v>
      </c>
      <c r="I15" s="130"/>
      <c r="J15" s="130"/>
      <c r="K15" s="130"/>
      <c r="L15" s="130"/>
      <c r="M15" s="130"/>
      <c r="N15" s="130"/>
      <c r="O15" s="131"/>
      <c r="P15" s="131"/>
      <c r="Q15" s="131"/>
    </row>
    <row r="16" spans="1:17" x14ac:dyDescent="0.25">
      <c r="H16" s="131"/>
      <c r="I16" s="131"/>
      <c r="J16" s="131"/>
      <c r="K16" s="131"/>
      <c r="L16" s="131"/>
      <c r="M16" s="131"/>
      <c r="N16" s="131"/>
      <c r="O16" s="131"/>
      <c r="P16" s="131"/>
      <c r="Q16" s="131"/>
    </row>
    <row r="17" spans="8:17" x14ac:dyDescent="0.25">
      <c r="H17" s="131"/>
      <c r="I17" s="132" t="s">
        <v>64</v>
      </c>
      <c r="J17" s="133"/>
      <c r="K17" s="134"/>
      <c r="L17" s="138">
        <v>4</v>
      </c>
      <c r="M17" s="139" t="s">
        <v>52</v>
      </c>
      <c r="N17" s="131"/>
      <c r="O17" s="137" t="s">
        <v>124</v>
      </c>
      <c r="P17" s="136"/>
      <c r="Q17" s="131"/>
    </row>
    <row r="18" spans="8:17" x14ac:dyDescent="0.25">
      <c r="H18" s="131"/>
      <c r="I18" s="131"/>
      <c r="J18" s="131"/>
      <c r="K18" s="131"/>
      <c r="L18" s="131"/>
      <c r="M18" s="131"/>
      <c r="N18" s="131"/>
      <c r="O18" s="131"/>
      <c r="P18" s="131"/>
      <c r="Q18" s="131"/>
    </row>
    <row r="19" spans="8:17" x14ac:dyDescent="0.25">
      <c r="H19" s="131"/>
      <c r="I19" s="132" t="s">
        <v>65</v>
      </c>
      <c r="J19" s="133"/>
      <c r="K19" s="134"/>
      <c r="L19" s="140">
        <f>((G5+G7)*(G8+L17*G9))/60</f>
        <v>26.729499999999994</v>
      </c>
      <c r="M19" s="139" t="s">
        <v>57</v>
      </c>
      <c r="N19" s="131"/>
      <c r="O19" s="131"/>
      <c r="P19" s="131"/>
      <c r="Q19" s="131"/>
    </row>
    <row r="20" spans="8:17" x14ac:dyDescent="0.25">
      <c r="H20" s="131"/>
      <c r="I20" s="131"/>
      <c r="J20" s="131"/>
      <c r="K20" s="131"/>
      <c r="L20" s="131"/>
      <c r="M20" s="130" t="s">
        <v>60</v>
      </c>
      <c r="N20" s="130"/>
      <c r="O20" s="130"/>
      <c r="P20" s="130"/>
      <c r="Q20" s="130"/>
    </row>
  </sheetData>
  <mergeCells count="14">
    <mergeCell ref="I17:K17"/>
    <mergeCell ref="I19:K19"/>
    <mergeCell ref="M20:Q20"/>
    <mergeCell ref="H15:N15"/>
    <mergeCell ref="B8:F8"/>
    <mergeCell ref="B9:F9"/>
    <mergeCell ref="I5:K5"/>
    <mergeCell ref="I7:K7"/>
    <mergeCell ref="M8:Q8"/>
    <mergeCell ref="A1:D1"/>
    <mergeCell ref="B5:F5"/>
    <mergeCell ref="B6:F6"/>
    <mergeCell ref="B7:F7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FF3C-4824-4B70-B9CA-6385B2D2E96A}">
  <dimension ref="A1:K31"/>
  <sheetViews>
    <sheetView topLeftCell="A15" zoomScale="115" zoomScaleNormal="115" workbookViewId="0">
      <selection activeCell="I6" sqref="I6"/>
    </sheetView>
  </sheetViews>
  <sheetFormatPr baseColWidth="10" defaultColWidth="8.7109375" defaultRowHeight="15" x14ac:dyDescent="0.25"/>
  <cols>
    <col min="1" max="1" width="41.28515625" customWidth="1"/>
    <col min="6" max="6" width="15.85546875" customWidth="1"/>
    <col min="7" max="7" width="13.28515625" customWidth="1"/>
    <col min="9" max="9" width="10.5703125" customWidth="1"/>
    <col min="10" max="10" width="14.140625" customWidth="1"/>
    <col min="11" max="11" width="15.5703125" customWidth="1"/>
  </cols>
  <sheetData>
    <row r="1" spans="1:9" ht="15.75" thickBot="1" x14ac:dyDescent="0.3">
      <c r="A1" s="69" t="s">
        <v>5</v>
      </c>
      <c r="B1" s="48"/>
      <c r="C1" s="2"/>
      <c r="E1" s="19" t="s">
        <v>66</v>
      </c>
      <c r="F1" s="70" t="s">
        <v>67</v>
      </c>
      <c r="G1" s="71"/>
      <c r="H1" s="71"/>
      <c r="I1" s="48"/>
    </row>
    <row r="2" spans="1:9" x14ac:dyDescent="0.25">
      <c r="A2" s="88" t="s">
        <v>68</v>
      </c>
      <c r="B2" s="89">
        <v>0.35</v>
      </c>
      <c r="C2" s="2"/>
      <c r="E2" s="117">
        <f>B11</f>
        <v>0</v>
      </c>
      <c r="F2" s="102">
        <f>(FACT(B$4))/((FACT(B11)*FACT(B$4-B11)))</f>
        <v>1</v>
      </c>
      <c r="G2" s="103">
        <f>B$2^B11</f>
        <v>1</v>
      </c>
      <c r="H2" s="103">
        <f>B$3^(B$4-B11)</f>
        <v>0.27462500000000006</v>
      </c>
      <c r="I2" s="40">
        <f>F2*G2*H2</f>
        <v>0.27462500000000006</v>
      </c>
    </row>
    <row r="3" spans="1:9" x14ac:dyDescent="0.25">
      <c r="A3" s="45" t="s">
        <v>69</v>
      </c>
      <c r="B3" s="13">
        <f>1-B2</f>
        <v>0.65</v>
      </c>
      <c r="C3" s="2"/>
      <c r="E3" s="117">
        <f t="shared" ref="E3:E6" si="0">B12</f>
        <v>1</v>
      </c>
      <c r="F3" s="104">
        <f>(FACT(B$4))/((FACT(B12)*FACT(B$4-B12)))</f>
        <v>3</v>
      </c>
      <c r="G3" s="94">
        <f>B$2^B12</f>
        <v>0.35</v>
      </c>
      <c r="H3" s="94">
        <f>B$3^(B$4-B12)</f>
        <v>0.42250000000000004</v>
      </c>
      <c r="I3" s="41">
        <f>F3*G3*H3</f>
        <v>0.44362499999999999</v>
      </c>
    </row>
    <row r="4" spans="1:9" x14ac:dyDescent="0.25">
      <c r="A4" s="97" t="s">
        <v>70</v>
      </c>
      <c r="B4" s="98">
        <v>3</v>
      </c>
      <c r="C4" s="2"/>
      <c r="E4" s="117">
        <f t="shared" si="0"/>
        <v>2</v>
      </c>
      <c r="F4" s="104">
        <f>(FACT(B$4))/((FACT(B13)*FACT(B$4-B13)))</f>
        <v>3</v>
      </c>
      <c r="G4" s="94">
        <f>B$2^B13</f>
        <v>0.12249999999999998</v>
      </c>
      <c r="H4" s="94">
        <f>B$3^(B$4-B13)</f>
        <v>0.65</v>
      </c>
      <c r="I4" s="41">
        <f>F4*G4*H4</f>
        <v>0.23887499999999998</v>
      </c>
    </row>
    <row r="5" spans="1:9" ht="15.75" thickBot="1" x14ac:dyDescent="0.3">
      <c r="A5" s="90" t="s">
        <v>71</v>
      </c>
      <c r="B5" s="91">
        <v>7</v>
      </c>
      <c r="C5" s="2"/>
      <c r="E5" s="117">
        <f t="shared" si="0"/>
        <v>3</v>
      </c>
      <c r="F5" s="105">
        <f>(FACT(B$4))/((FACT(B14)*FACT(B$4-B14)))</f>
        <v>1</v>
      </c>
      <c r="G5" s="106">
        <f>B$2^B14</f>
        <v>4.287499999999999E-2</v>
      </c>
      <c r="H5" s="106">
        <f>B$3^(B$4-B14)</f>
        <v>1</v>
      </c>
      <c r="I5" s="42">
        <f>F5*G5*H5</f>
        <v>4.287499999999999E-2</v>
      </c>
    </row>
    <row r="6" spans="1:9" ht="15.75" thickBot="1" x14ac:dyDescent="0.3">
      <c r="A6" s="45" t="s">
        <v>72</v>
      </c>
      <c r="B6" s="13">
        <f>B4*B5</f>
        <v>21</v>
      </c>
      <c r="C6" s="2"/>
      <c r="E6" s="117"/>
      <c r="F6" s="105">
        <f>(FACT(B$4))/((FACT(B15)*FACT(B$4-B15)))</f>
        <v>1</v>
      </c>
      <c r="G6" s="106">
        <f>B$2^B15</f>
        <v>1</v>
      </c>
      <c r="H6" s="106">
        <f>B$3^(B$4-B15)</f>
        <v>0.27462500000000006</v>
      </c>
      <c r="I6" s="42"/>
    </row>
    <row r="7" spans="1:9" x14ac:dyDescent="0.25">
      <c r="A7" s="90" t="s">
        <v>115</v>
      </c>
      <c r="B7" s="91">
        <v>17</v>
      </c>
      <c r="C7" s="2" t="s">
        <v>117</v>
      </c>
      <c r="E7" s="2"/>
      <c r="F7" s="2"/>
      <c r="G7" s="2"/>
      <c r="H7" s="2"/>
      <c r="I7" s="9"/>
    </row>
    <row r="8" spans="1:9" x14ac:dyDescent="0.25">
      <c r="A8" s="90" t="s">
        <v>116</v>
      </c>
      <c r="B8" s="91">
        <v>28</v>
      </c>
      <c r="C8" s="2" t="s">
        <v>117</v>
      </c>
      <c r="E8" s="2"/>
      <c r="F8" s="2"/>
      <c r="G8" s="2"/>
      <c r="H8" s="2"/>
      <c r="I8" s="9"/>
    </row>
    <row r="9" spans="1:9" ht="15.75" thickBot="1" x14ac:dyDescent="0.3">
      <c r="A9" s="92" t="s">
        <v>73</v>
      </c>
      <c r="B9" s="93">
        <v>58</v>
      </c>
      <c r="C9" s="2" t="s">
        <v>74</v>
      </c>
      <c r="E9" s="2"/>
      <c r="F9" s="2"/>
      <c r="G9" s="2"/>
      <c r="H9" s="2"/>
      <c r="I9" s="9"/>
    </row>
    <row r="10" spans="1:9" x14ac:dyDescent="0.25">
      <c r="A10" s="75" t="s">
        <v>119</v>
      </c>
      <c r="B10" s="94" t="s">
        <v>66</v>
      </c>
      <c r="C10" s="2"/>
    </row>
    <row r="11" spans="1:9" x14ac:dyDescent="0.25">
      <c r="A11" s="75"/>
      <c r="B11" s="94">
        <v>0</v>
      </c>
      <c r="C11" s="2"/>
    </row>
    <row r="12" spans="1:9" x14ac:dyDescent="0.25">
      <c r="A12" s="75"/>
      <c r="B12" s="94">
        <v>1</v>
      </c>
      <c r="C12" s="2"/>
    </row>
    <row r="13" spans="1:9" x14ac:dyDescent="0.25">
      <c r="A13" s="75"/>
      <c r="B13" s="94">
        <v>2</v>
      </c>
      <c r="C13" s="2"/>
    </row>
    <row r="14" spans="1:9" x14ac:dyDescent="0.25">
      <c r="A14" s="75"/>
      <c r="B14" s="94">
        <v>3</v>
      </c>
      <c r="C14" s="2"/>
    </row>
    <row r="15" spans="1:9" x14ac:dyDescent="0.25">
      <c r="A15" s="75"/>
      <c r="B15" s="94"/>
      <c r="C15" s="2"/>
    </row>
    <row r="16" spans="1:9" x14ac:dyDescent="0.25">
      <c r="A16" s="75"/>
      <c r="B16" s="94"/>
      <c r="C16" s="2"/>
    </row>
    <row r="17" spans="1:11" x14ac:dyDescent="0.25">
      <c r="A17" s="75"/>
      <c r="B17" s="94"/>
      <c r="C17" s="2"/>
    </row>
    <row r="18" spans="1:11" ht="15.75" thickBot="1" x14ac:dyDescent="0.3">
      <c r="A18" s="76"/>
      <c r="B18" s="94"/>
      <c r="C18" s="2"/>
      <c r="E18" s="68"/>
      <c r="F18" s="68"/>
    </row>
    <row r="19" spans="1:11" ht="15.75" thickBot="1" x14ac:dyDescent="0.3">
      <c r="E19" s="72" t="s">
        <v>75</v>
      </c>
      <c r="F19" s="73"/>
      <c r="G19" s="74"/>
      <c r="I19" s="72" t="s">
        <v>76</v>
      </c>
      <c r="J19" s="73"/>
      <c r="K19" s="74"/>
    </row>
    <row r="20" spans="1:11" ht="15.75" thickBot="1" x14ac:dyDescent="0.3">
      <c r="A20" s="44" t="s">
        <v>77</v>
      </c>
      <c r="B20" s="107">
        <f>G28/(MAX(B11:B18)*B5)</f>
        <v>0.10820833333333332</v>
      </c>
      <c r="C20" s="46"/>
      <c r="E20" s="44" t="s">
        <v>66</v>
      </c>
      <c r="F20" s="44" t="s">
        <v>78</v>
      </c>
      <c r="G20" s="19" t="s">
        <v>79</v>
      </c>
      <c r="I20" s="44" t="s">
        <v>66</v>
      </c>
      <c r="J20" s="44" t="s">
        <v>78</v>
      </c>
      <c r="K20" s="19" t="s">
        <v>79</v>
      </c>
    </row>
    <row r="21" spans="1:11" x14ac:dyDescent="0.25">
      <c r="A21" s="128" t="s">
        <v>80</v>
      </c>
      <c r="B21" s="126">
        <f>(B$7+(B$4*B$8))/G30</f>
        <v>0.65089167325882447</v>
      </c>
      <c r="C21" s="2" t="s">
        <v>122</v>
      </c>
      <c r="E21" s="95">
        <f>B11</f>
        <v>0</v>
      </c>
      <c r="F21" s="95">
        <f>I2</f>
        <v>0.27462500000000006</v>
      </c>
      <c r="G21" s="96">
        <v>0</v>
      </c>
      <c r="I21" s="95">
        <f>B11</f>
        <v>0</v>
      </c>
      <c r="J21" s="95">
        <f>I2</f>
        <v>0.27462500000000006</v>
      </c>
      <c r="K21" s="96">
        <v>0</v>
      </c>
    </row>
    <row r="22" spans="1:11" ht="15.75" thickBot="1" x14ac:dyDescent="0.3">
      <c r="A22" s="125" t="s">
        <v>81</v>
      </c>
      <c r="B22" s="127">
        <f>((B$7*2)+(B$4*B$8))/K30</f>
        <v>0.6879934932140811</v>
      </c>
      <c r="C22" s="2" t="s">
        <v>122</v>
      </c>
      <c r="E22" s="95">
        <f t="shared" ref="E22:E25" si="1">B12</f>
        <v>1</v>
      </c>
      <c r="F22" s="97">
        <f>I3</f>
        <v>0.44362499999999999</v>
      </c>
      <c r="G22" s="98">
        <v>0</v>
      </c>
      <c r="I22" s="95">
        <f t="shared" ref="I22:I25" si="2">B12</f>
        <v>1</v>
      </c>
      <c r="J22" s="95">
        <f>I3</f>
        <v>0.44362499999999999</v>
      </c>
      <c r="K22" s="98">
        <v>0</v>
      </c>
    </row>
    <row r="23" spans="1:11" x14ac:dyDescent="0.25">
      <c r="E23" s="95">
        <f t="shared" si="1"/>
        <v>2</v>
      </c>
      <c r="F23" s="97">
        <f>I4</f>
        <v>0.23887499999999998</v>
      </c>
      <c r="G23" s="98">
        <f>F23*$B$5*B12</f>
        <v>1.6721249999999999</v>
      </c>
      <c r="I23" s="95">
        <f t="shared" si="2"/>
        <v>2</v>
      </c>
      <c r="J23" s="95">
        <f>I4</f>
        <v>0.23887499999999998</v>
      </c>
      <c r="K23" s="98">
        <v>0</v>
      </c>
    </row>
    <row r="24" spans="1:11" ht="15.75" thickBot="1" x14ac:dyDescent="0.3">
      <c r="E24" s="95">
        <f t="shared" si="1"/>
        <v>3</v>
      </c>
      <c r="F24" s="99">
        <f>I5</f>
        <v>4.287499999999999E-2</v>
      </c>
      <c r="G24" s="98">
        <f>F24*$B$5*B13</f>
        <v>0.60024999999999984</v>
      </c>
      <c r="I24" s="95">
        <f t="shared" si="2"/>
        <v>3</v>
      </c>
      <c r="J24" s="101">
        <f>I5</f>
        <v>4.287499999999999E-2</v>
      </c>
      <c r="K24" s="100">
        <f>J24*$B$5*B12</f>
        <v>0.30012499999999992</v>
      </c>
    </row>
    <row r="25" spans="1:11" ht="15.75" thickBot="1" x14ac:dyDescent="0.3">
      <c r="E25" s="95">
        <f t="shared" si="1"/>
        <v>0</v>
      </c>
      <c r="F25" s="99">
        <f>I6</f>
        <v>0</v>
      </c>
      <c r="G25" s="98">
        <f>F25*$B$5*B14</f>
        <v>0</v>
      </c>
      <c r="I25" s="95">
        <f t="shared" si="2"/>
        <v>0</v>
      </c>
      <c r="J25" s="101">
        <f>I6</f>
        <v>0</v>
      </c>
      <c r="K25" s="100">
        <f>J25*$B$5*B13</f>
        <v>0</v>
      </c>
    </row>
    <row r="27" spans="1:11" ht="15.75" thickBot="1" x14ac:dyDescent="0.3"/>
    <row r="28" spans="1:11" x14ac:dyDescent="0.25">
      <c r="E28" s="63" t="s">
        <v>82</v>
      </c>
      <c r="F28" s="64"/>
      <c r="G28" s="118">
        <f>SUM(G23:G25)</f>
        <v>2.2723749999999998</v>
      </c>
      <c r="I28" s="63" t="s">
        <v>82</v>
      </c>
      <c r="J28" s="64"/>
      <c r="K28" s="118">
        <f>SUM(K21:K25)</f>
        <v>0.30012499999999992</v>
      </c>
    </row>
    <row r="29" spans="1:11" x14ac:dyDescent="0.25">
      <c r="E29" s="115" t="s">
        <v>118</v>
      </c>
      <c r="F29" s="116"/>
      <c r="G29" s="119">
        <f>B6-G28</f>
        <v>18.727625</v>
      </c>
      <c r="I29" s="65" t="str">
        <f>E29</f>
        <v>total de horas productivas</v>
      </c>
      <c r="J29" s="66"/>
      <c r="K29" s="121">
        <f>B6-K28</f>
        <v>20.699874999999999</v>
      </c>
    </row>
    <row r="30" spans="1:11" ht="15.75" thickBot="1" x14ac:dyDescent="0.3">
      <c r="E30" s="67" t="s">
        <v>121</v>
      </c>
      <c r="F30" s="68"/>
      <c r="G30" s="120">
        <f>(G29*B9)/B5</f>
        <v>155.17175</v>
      </c>
      <c r="I30" s="67" t="str">
        <f>E30</f>
        <v>unidades producidas/hora</v>
      </c>
      <c r="J30" s="68"/>
      <c r="K30" s="120">
        <f>(K29*B9)/B5</f>
        <v>171.51325</v>
      </c>
    </row>
    <row r="31" spans="1:11" ht="15.75" thickBot="1" x14ac:dyDescent="0.3">
      <c r="E31" s="122" t="s">
        <v>120</v>
      </c>
      <c r="F31" s="123"/>
      <c r="G31" s="124">
        <f>G30*$B$5</f>
        <v>1086.20225</v>
      </c>
      <c r="I31" s="122" t="s">
        <v>120</v>
      </c>
      <c r="J31" s="123"/>
      <c r="K31" s="124">
        <f>K30*$B$5</f>
        <v>1200.59275</v>
      </c>
    </row>
  </sheetData>
  <mergeCells count="14">
    <mergeCell ref="I31:J31"/>
    <mergeCell ref="E31:F31"/>
    <mergeCell ref="A1:B1"/>
    <mergeCell ref="F1:I1"/>
    <mergeCell ref="E19:G19"/>
    <mergeCell ref="I19:K19"/>
    <mergeCell ref="E18:F18"/>
    <mergeCell ref="A10:A18"/>
    <mergeCell ref="E28:F28"/>
    <mergeCell ref="E29:F29"/>
    <mergeCell ref="E30:F30"/>
    <mergeCell ref="I28:J28"/>
    <mergeCell ref="I29:J29"/>
    <mergeCell ref="I30:J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6A9F-643A-4515-ACF9-C82ACCE4442D}">
  <dimension ref="A1:N27"/>
  <sheetViews>
    <sheetView workbookViewId="0">
      <selection activeCell="L11" sqref="L11"/>
    </sheetView>
  </sheetViews>
  <sheetFormatPr baseColWidth="10" defaultColWidth="8.7109375" defaultRowHeight="15" x14ac:dyDescent="0.25"/>
  <cols>
    <col min="3" max="3" width="11" customWidth="1"/>
    <col min="10" max="10" width="18.85546875" customWidth="1"/>
  </cols>
  <sheetData>
    <row r="1" spans="1:14" ht="18.75" x14ac:dyDescent="0.3">
      <c r="B1" s="53" t="s">
        <v>83</v>
      </c>
      <c r="C1" s="53"/>
      <c r="D1" s="53"/>
      <c r="E1" s="53"/>
    </row>
    <row r="3" spans="1:14" x14ac:dyDescent="0.25">
      <c r="C3" s="59" t="s">
        <v>48</v>
      </c>
      <c r="D3" s="59"/>
      <c r="E3" s="59"/>
      <c r="F3" s="59"/>
      <c r="G3" s="59"/>
    </row>
    <row r="5" spans="1:14" x14ac:dyDescent="0.25">
      <c r="A5" s="52" t="s">
        <v>84</v>
      </c>
      <c r="B5" s="52"/>
      <c r="C5" s="52"/>
      <c r="D5" s="52"/>
      <c r="E5" s="52"/>
      <c r="F5" s="52"/>
      <c r="G5" s="52"/>
      <c r="H5" s="52"/>
      <c r="I5" s="52"/>
      <c r="J5" s="52"/>
      <c r="K5" s="29">
        <f>K7/K8</f>
        <v>25.428571428571427</v>
      </c>
    </row>
    <row r="6" spans="1:14" x14ac:dyDescent="0.25">
      <c r="A6" s="52" t="s">
        <v>85</v>
      </c>
      <c r="B6" s="52"/>
      <c r="C6" s="52"/>
      <c r="D6" s="52"/>
      <c r="E6" s="52"/>
      <c r="F6" s="52"/>
      <c r="G6" s="52"/>
      <c r="H6" s="52"/>
      <c r="I6" s="52"/>
      <c r="J6" s="52"/>
      <c r="K6" s="79">
        <v>17</v>
      </c>
    </row>
    <row r="7" spans="1:14" x14ac:dyDescent="0.25">
      <c r="A7" s="52" t="s">
        <v>86</v>
      </c>
      <c r="B7" s="52"/>
      <c r="C7" s="52"/>
      <c r="D7" s="52"/>
      <c r="E7" s="52"/>
      <c r="F7" s="52"/>
      <c r="G7" s="52"/>
      <c r="H7" s="52"/>
      <c r="I7" s="52"/>
      <c r="J7" s="52"/>
      <c r="K7" s="79">
        <v>178</v>
      </c>
      <c r="L7" s="52" t="s">
        <v>87</v>
      </c>
      <c r="M7" s="52"/>
      <c r="N7" s="52"/>
    </row>
    <row r="8" spans="1:14" x14ac:dyDescent="0.25">
      <c r="A8" s="52" t="s">
        <v>88</v>
      </c>
      <c r="B8" s="52"/>
      <c r="C8" s="52"/>
      <c r="D8" s="52"/>
      <c r="E8" s="52"/>
      <c r="F8" s="52"/>
      <c r="G8" s="52"/>
      <c r="H8" s="52"/>
      <c r="I8" s="52"/>
      <c r="J8" s="52"/>
      <c r="K8" s="79">
        <v>7</v>
      </c>
      <c r="L8" s="52" t="s">
        <v>89</v>
      </c>
      <c r="M8" s="52"/>
      <c r="N8" s="52"/>
    </row>
    <row r="14" spans="1:14" x14ac:dyDescent="0.25">
      <c r="A14" s="59" t="s">
        <v>90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</row>
    <row r="19" spans="3:8" x14ac:dyDescent="0.25">
      <c r="C19" s="30" t="s">
        <v>91</v>
      </c>
      <c r="D19" s="31">
        <f>1+K5-K6</f>
        <v>9.428571428571427</v>
      </c>
    </row>
    <row r="20" spans="3:8" x14ac:dyDescent="0.25">
      <c r="C20" s="32" t="s">
        <v>92</v>
      </c>
      <c r="D20" s="33">
        <f>2*K6</f>
        <v>34</v>
      </c>
    </row>
    <row r="21" spans="3:8" x14ac:dyDescent="0.25">
      <c r="C21" s="32" t="s">
        <v>93</v>
      </c>
      <c r="D21" s="33">
        <f>(D19)^2</f>
        <v>88.897959183673436</v>
      </c>
    </row>
    <row r="22" spans="3:8" x14ac:dyDescent="0.25">
      <c r="C22" s="35" t="s">
        <v>94</v>
      </c>
      <c r="D22" s="34">
        <f>SQRT(D21+D20)</f>
        <v>11.08593519662069</v>
      </c>
    </row>
    <row r="25" spans="3:8" x14ac:dyDescent="0.25">
      <c r="C25" t="s">
        <v>95</v>
      </c>
      <c r="D25" s="15">
        <f>50*(D22-D19)</f>
        <v>82.868188402463176</v>
      </c>
    </row>
    <row r="26" spans="3:8" x14ac:dyDescent="0.25">
      <c r="C26" s="37" t="s">
        <v>96</v>
      </c>
      <c r="D26" s="36">
        <f>D25/100</f>
        <v>0.82868188402463172</v>
      </c>
    </row>
    <row r="27" spans="3:8" x14ac:dyDescent="0.25">
      <c r="C27" s="77" t="s">
        <v>97</v>
      </c>
      <c r="D27" s="78"/>
      <c r="E27" s="51"/>
      <c r="F27" s="51"/>
      <c r="G27" s="38">
        <f>D26*K8</f>
        <v>5.800773188172422</v>
      </c>
      <c r="H27" s="39" t="s">
        <v>98</v>
      </c>
    </row>
  </sheetData>
  <mergeCells count="10">
    <mergeCell ref="A6:J6"/>
    <mergeCell ref="L7:N7"/>
    <mergeCell ref="L8:N8"/>
    <mergeCell ref="C27:F27"/>
    <mergeCell ref="B1:E1"/>
    <mergeCell ref="C3:G3"/>
    <mergeCell ref="A14:K14"/>
    <mergeCell ref="A5:J5"/>
    <mergeCell ref="A7:J7"/>
    <mergeCell ref="A8:J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5C43-8F23-403A-A8B8-F25B28F899FB}">
  <dimension ref="D1:Y21"/>
  <sheetViews>
    <sheetView tabSelected="1" workbookViewId="0">
      <selection activeCell="K13" sqref="K13"/>
    </sheetView>
  </sheetViews>
  <sheetFormatPr baseColWidth="10" defaultColWidth="8.7109375" defaultRowHeight="15" x14ac:dyDescent="0.25"/>
  <sheetData>
    <row r="1" spans="4:25" ht="18.75" x14ac:dyDescent="0.3">
      <c r="D1" s="53" t="s">
        <v>83</v>
      </c>
      <c r="E1" s="53"/>
      <c r="F1" s="53"/>
      <c r="G1" s="53"/>
      <c r="M1" s="59" t="s">
        <v>99</v>
      </c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3" spans="4:25" x14ac:dyDescent="0.25">
      <c r="D3" s="10"/>
      <c r="E3" s="52" t="s">
        <v>100</v>
      </c>
      <c r="F3" s="52"/>
      <c r="G3" s="52"/>
      <c r="H3" s="10"/>
      <c r="I3" s="10"/>
    </row>
    <row r="4" spans="4:25" x14ac:dyDescent="0.25">
      <c r="D4" s="10"/>
      <c r="E4" s="10"/>
      <c r="F4" s="10"/>
      <c r="G4" s="10"/>
      <c r="H4" s="10"/>
      <c r="I4" s="10"/>
    </row>
    <row r="5" spans="4:25" x14ac:dyDescent="0.25">
      <c r="D5" s="59" t="s">
        <v>101</v>
      </c>
      <c r="E5" s="59"/>
      <c r="F5" s="59"/>
      <c r="G5" s="59"/>
      <c r="H5" s="59"/>
      <c r="I5" s="59"/>
      <c r="J5" s="10">
        <v>3</v>
      </c>
    </row>
    <row r="6" spans="4:25" x14ac:dyDescent="0.25">
      <c r="D6" s="59" t="s">
        <v>102</v>
      </c>
      <c r="E6" s="59"/>
      <c r="F6" s="59"/>
      <c r="G6" s="59"/>
      <c r="H6" s="59"/>
      <c r="I6" s="59"/>
      <c r="J6" s="10">
        <v>150</v>
      </c>
    </row>
    <row r="7" spans="4:25" x14ac:dyDescent="0.25">
      <c r="D7" s="10"/>
      <c r="E7" s="10"/>
      <c r="F7" s="10"/>
      <c r="G7" s="10"/>
      <c r="H7" s="10"/>
      <c r="I7" s="10"/>
    </row>
    <row r="8" spans="4:25" x14ac:dyDescent="0.25">
      <c r="D8" s="10"/>
      <c r="E8" s="10"/>
      <c r="F8" s="10" t="s">
        <v>103</v>
      </c>
      <c r="G8" s="10">
        <f>J5/J6</f>
        <v>0.02</v>
      </c>
      <c r="H8" s="10"/>
      <c r="I8" s="10"/>
    </row>
    <row r="9" spans="4:25" x14ac:dyDescent="0.25">
      <c r="D9" s="10"/>
      <c r="E9" s="10"/>
      <c r="F9" s="10" t="s">
        <v>104</v>
      </c>
      <c r="G9" s="10">
        <v>60</v>
      </c>
      <c r="H9" s="10"/>
      <c r="I9" s="10"/>
    </row>
    <row r="10" spans="4:25" x14ac:dyDescent="0.25">
      <c r="D10" s="52" t="s">
        <v>105</v>
      </c>
      <c r="E10" s="52"/>
      <c r="F10" s="52"/>
      <c r="G10" s="52"/>
      <c r="H10" s="52"/>
      <c r="I10" s="10"/>
    </row>
    <row r="12" spans="4:25" x14ac:dyDescent="0.25">
      <c r="D12" s="50" t="s">
        <v>106</v>
      </c>
      <c r="E12" s="51"/>
      <c r="F12" s="51"/>
      <c r="G12" s="43">
        <f>(153)/(1-$G$15)</f>
        <v>183.89423076923077</v>
      </c>
      <c r="H12" s="39" t="s">
        <v>107</v>
      </c>
    </row>
    <row r="13" spans="4:25" x14ac:dyDescent="0.25">
      <c r="D13" s="52" t="s">
        <v>108</v>
      </c>
      <c r="E13" s="52"/>
      <c r="F13" s="52"/>
      <c r="G13" s="10">
        <f>J6</f>
        <v>150</v>
      </c>
      <c r="H13" s="10"/>
    </row>
    <row r="14" spans="4:25" x14ac:dyDescent="0.25">
      <c r="D14" s="52" t="s">
        <v>109</v>
      </c>
      <c r="E14" s="52"/>
      <c r="F14" s="52"/>
      <c r="G14" s="10">
        <f>J5</f>
        <v>3</v>
      </c>
      <c r="H14" s="10"/>
    </row>
    <row r="15" spans="4:25" x14ac:dyDescent="0.25">
      <c r="D15" s="52" t="s">
        <v>110</v>
      </c>
      <c r="E15" s="52"/>
      <c r="F15" s="52"/>
      <c r="G15" s="10">
        <v>0.16800000000000001</v>
      </c>
      <c r="H15" s="10" t="s">
        <v>30</v>
      </c>
    </row>
    <row r="16" spans="4:25" x14ac:dyDescent="0.25">
      <c r="D16" s="52" t="s">
        <v>111</v>
      </c>
      <c r="E16" s="52"/>
      <c r="F16" s="52"/>
      <c r="G16" s="52"/>
      <c r="H16" s="52"/>
      <c r="I16" s="52"/>
      <c r="J16" s="52"/>
      <c r="K16" s="52"/>
    </row>
    <row r="21" ht="25.5" customHeight="1" x14ac:dyDescent="0.25"/>
  </sheetData>
  <mergeCells count="11">
    <mergeCell ref="M1:Y1"/>
    <mergeCell ref="D16:K16"/>
    <mergeCell ref="D1:G1"/>
    <mergeCell ref="E3:G3"/>
    <mergeCell ref="D6:I6"/>
    <mergeCell ref="D5:I5"/>
    <mergeCell ref="D10:H10"/>
    <mergeCell ref="D15:F15"/>
    <mergeCell ref="D14:F14"/>
    <mergeCell ref="D13:F13"/>
    <mergeCell ref="D12:F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99ec59-4780-4ae9-a6de-7f9e0b28dd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98AA03B30FD47B477B61822FD5B97" ma:contentTypeVersion="10" ma:contentTypeDescription="Crear nuevo documento." ma:contentTypeScope="" ma:versionID="2eaf2046a051c8350ebe942d6eef3a5a">
  <xsd:schema xmlns:xsd="http://www.w3.org/2001/XMLSchema" xmlns:xs="http://www.w3.org/2001/XMLSchema" xmlns:p="http://schemas.microsoft.com/office/2006/metadata/properties" xmlns:ns3="016769f7-91c9-41d6-b864-62c3885562ad" xmlns:ns4="0099ec59-4780-4ae9-a6de-7f9e0b28ddef" targetNamespace="http://schemas.microsoft.com/office/2006/metadata/properties" ma:root="true" ma:fieldsID="8f653deb9590ed15a134a94adf1d7441" ns3:_="" ns4:_="">
    <xsd:import namespace="016769f7-91c9-41d6-b864-62c3885562ad"/>
    <xsd:import namespace="0099ec59-4780-4ae9-a6de-7f9e0b28dde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769f7-91c9-41d6-b864-62c3885562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9ec59-4780-4ae9-a6de-7f9e0b28dd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826F5F-8E77-4A77-9914-0C23E3DE8BB5}">
  <ds:schemaRefs>
    <ds:schemaRef ds:uri="016769f7-91c9-41d6-b864-62c3885562ad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0099ec59-4780-4ae9-a6de-7f9e0b28dde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5EF55E-45FF-4E03-8FE2-AD531C1622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33280D-EFF7-434C-ABEA-5E321957B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6769f7-91c9-41d6-b864-62c3885562ad"/>
    <ds:schemaRef ds:uri="0099ec59-4780-4ae9-a6de-7f9e0b28dd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BALANCEO DE LÍNEAS</vt:lpstr>
      <vt:lpstr>Eficiencia calculo </vt:lpstr>
      <vt:lpstr>PERT</vt:lpstr>
      <vt:lpstr>H-M Servicio sincronico </vt:lpstr>
      <vt:lpstr>Tiempo fuera - serv aleatorio </vt:lpstr>
      <vt:lpstr>Wright - relaciones complejas </vt:lpstr>
      <vt:lpstr>Metodo de Ashcroft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MASELLI HUN</dc:creator>
  <cp:keywords/>
  <dc:description/>
  <cp:lastModifiedBy>Jose Mendoza</cp:lastModifiedBy>
  <cp:revision/>
  <dcterms:created xsi:type="dcterms:W3CDTF">2023-11-15T17:25:13Z</dcterms:created>
  <dcterms:modified xsi:type="dcterms:W3CDTF">2023-11-16T21:56:18Z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0x010100C3498AA03B30FD47B477B61822FD5B97</vt:lpwstr>
  </property>
</Properties>
</file>