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darcz\"/>
    </mc:Choice>
  </mc:AlternateContent>
  <xr:revisionPtr revIDLastSave="0" documentId="13_ncr:1_{6ED85F69-A154-49BF-82B8-D835972D52A3}" xr6:coauthVersionLast="47" xr6:coauthVersionMax="47" xr10:uidLastSave="{00000000-0000-0000-0000-000000000000}"/>
  <bookViews>
    <workbookView xWindow="6030" yWindow="5940" windowWidth="21600" windowHeight="11385" activeTab="4" xr2:uid="{A6930027-B4FF-40F3-8C30-13D6D19E14F1}"/>
  </bookViews>
  <sheets>
    <sheet name="Carátula" sheetId="5" r:id="rId1"/>
    <sheet name="P#1" sheetId="1" r:id="rId2"/>
    <sheet name="P#2" sheetId="2" r:id="rId3"/>
    <sheet name="P#3" sheetId="3" r:id="rId4"/>
    <sheet name="P#4" sheetId="4" r:id="rId5"/>
    <sheet name="Respuest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6" i="4" l="1"/>
  <c r="D66" i="4"/>
  <c r="F64" i="4"/>
  <c r="D64" i="4"/>
  <c r="F63" i="4"/>
  <c r="K40" i="4"/>
  <c r="K41" i="4"/>
  <c r="F61" i="4"/>
  <c r="D61" i="4"/>
  <c r="F60" i="4" a="1"/>
  <c r="F60" i="4" s="1"/>
  <c r="D60" i="4" a="1"/>
  <c r="D60" i="4" s="1"/>
  <c r="D54" i="4"/>
  <c r="D63" i="4"/>
  <c r="F56" i="4"/>
  <c r="F53" i="4"/>
  <c r="F47" i="4"/>
  <c r="F50" i="4"/>
  <c r="F44" i="4"/>
  <c r="K39" i="4"/>
  <c r="F42" i="4"/>
  <c r="F43" i="4"/>
  <c r="F45" i="4"/>
  <c r="F46" i="4"/>
  <c r="F48" i="4"/>
  <c r="F49" i="4"/>
  <c r="F51" i="4"/>
  <c r="F52" i="4"/>
  <c r="F54" i="4"/>
  <c r="F55" i="4"/>
  <c r="F57" i="4"/>
  <c r="F58" i="4"/>
  <c r="F59" i="4"/>
  <c r="F41" i="4"/>
  <c r="F40" i="4"/>
  <c r="D53" i="4"/>
  <c r="D50" i="4"/>
  <c r="D47" i="4"/>
  <c r="I39" i="4"/>
  <c r="D44" i="4"/>
  <c r="D55" i="4"/>
  <c r="D56" i="4"/>
  <c r="D57" i="4"/>
  <c r="D58" i="4"/>
  <c r="D59" i="4"/>
  <c r="D42" i="4"/>
  <c r="D43" i="4"/>
  <c r="D45" i="4"/>
  <c r="D46" i="4"/>
  <c r="D48" i="4"/>
  <c r="D49" i="4"/>
  <c r="D51" i="4"/>
  <c r="D52" i="4"/>
  <c r="D41" i="4"/>
  <c r="D40" i="4"/>
  <c r="M22" i="3" l="1"/>
  <c r="M23" i="3"/>
  <c r="M21" i="3"/>
  <c r="G19" i="3"/>
  <c r="L21" i="3"/>
  <c r="L22" i="3"/>
  <c r="K21" i="3"/>
  <c r="K22" i="3"/>
  <c r="J23" i="3"/>
  <c r="D51" i="2"/>
  <c r="E51" i="2"/>
  <c r="F51" i="2"/>
  <c r="G51" i="2"/>
  <c r="C51" i="2"/>
  <c r="D43" i="2" l="1"/>
  <c r="E43" i="2"/>
  <c r="F43" i="2"/>
  <c r="G43" i="2"/>
  <c r="C43" i="2"/>
  <c r="E47" i="1"/>
  <c r="F47" i="1"/>
  <c r="D47" i="1"/>
  <c r="E45" i="1"/>
  <c r="F45" i="1"/>
  <c r="D45" i="1"/>
  <c r="F44" i="1"/>
  <c r="E44" i="1"/>
  <c r="D44" i="1"/>
  <c r="F43" i="1"/>
  <c r="E43" i="1"/>
  <c r="D43" i="1"/>
  <c r="F41" i="1"/>
  <c r="E41" i="1"/>
  <c r="D41" i="1"/>
  <c r="K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<sst xmlns="http://schemas.openxmlformats.org/spreadsheetml/2006/main" count="59" uniqueCount="52">
  <si>
    <t>Opc1</t>
  </si>
  <si>
    <t>Opc2</t>
  </si>
  <si>
    <t>Opc3</t>
  </si>
  <si>
    <t>j</t>
  </si>
  <si>
    <t>anual</t>
  </si>
  <si>
    <t>21.6</t>
  </si>
  <si>
    <t>mensual</t>
  </si>
  <si>
    <t>VT</t>
  </si>
  <si>
    <t>VPN</t>
  </si>
  <si>
    <t>Intereses</t>
  </si>
  <si>
    <t>VEHICULO</t>
  </si>
  <si>
    <t>ANTICIPO + CANTIDAD PRESTADA</t>
  </si>
  <si>
    <t>conviene mas la segunda ya que el precio del vehiculo es menor al de los demas, a pesar de pagar mas intereses y es menor a 187000</t>
  </si>
  <si>
    <t>AÑO</t>
  </si>
  <si>
    <t>A</t>
  </si>
  <si>
    <t>B</t>
  </si>
  <si>
    <t>C</t>
  </si>
  <si>
    <t>D</t>
  </si>
  <si>
    <t>E</t>
  </si>
  <si>
    <t>J</t>
  </si>
  <si>
    <t>TIR</t>
  </si>
  <si>
    <t>A vs NH</t>
  </si>
  <si>
    <t>B vs NH</t>
  </si>
  <si>
    <t>C vs NH</t>
  </si>
  <si>
    <t>D vs NH</t>
  </si>
  <si>
    <t>E vs NH</t>
  </si>
  <si>
    <t xml:space="preserve">Fuente de Financiamiento </t>
  </si>
  <si>
    <t>w</t>
  </si>
  <si>
    <t>k</t>
  </si>
  <si>
    <t>Capital propio</t>
  </si>
  <si>
    <t>WACC</t>
  </si>
  <si>
    <t>Deuda</t>
  </si>
  <si>
    <t>Préstamos a plazos</t>
  </si>
  <si>
    <t>Bonos</t>
  </si>
  <si>
    <t>Máquina A</t>
  </si>
  <si>
    <t>VNA</t>
  </si>
  <si>
    <t>Anualidad</t>
  </si>
  <si>
    <t>Máquina B</t>
  </si>
  <si>
    <t>Inversion</t>
  </si>
  <si>
    <t>Costo anual</t>
  </si>
  <si>
    <t>Valor anual</t>
  </si>
  <si>
    <t>Universidad Rafael Landívar</t>
  </si>
  <si>
    <t>Facultad de Ingeniería</t>
  </si>
  <si>
    <t>Ingeniería Económica</t>
  </si>
  <si>
    <t>Ing. Vanessa Paz</t>
  </si>
  <si>
    <t>David André Rodríguez Cano</t>
  </si>
  <si>
    <t>FINAL</t>
  </si>
  <si>
    <t>Guatemala 02 de mayo del 2022</t>
  </si>
  <si>
    <t>P#1</t>
  </si>
  <si>
    <t>P#2</t>
  </si>
  <si>
    <t>P#3</t>
  </si>
  <si>
    <t>P#4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</si>
</sst>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Q-100A]* #,##0.00_-;\-[$Q-100A]* #,##0.00_-;_-[$Q-100A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Calibri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9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/>
    <xf numFmtId="166" fontId="0" fillId="2" borderId="1" xfId="0" applyNumberFormat="1" applyFill="1" applyBorder="1"/>
    <xf numFmtId="166" fontId="0" fillId="0" borderId="1" xfId="0" applyNumberFormat="1" applyBorder="1"/>
    <xf numFmtId="166" fontId="0" fillId="0" borderId="1" xfId="0" applyNumberFormat="1" applyFill="1" applyBorder="1"/>
    <xf numFmtId="166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239585</xdr:colOff>
      <xdr:row>30</xdr:row>
      <xdr:rowOff>67429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A2F80B-A54D-1E04-465F-1F051E910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10459910" cy="540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277673</xdr:colOff>
      <xdr:row>32</xdr:row>
      <xdr:rowOff>162745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12EC25-5E0C-D827-8BD1-257FFE14D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10374173" cy="58777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230033</xdr:colOff>
      <xdr:row>14</xdr:row>
      <xdr:rowOff>47951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008F02-F8F7-1F99-CB8A-23EACB9EA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10269383" cy="23339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277695</xdr:colOff>
      <xdr:row>34</xdr:row>
      <xdr:rowOff>86561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AD2BD2-B6CC-09CD-C3D4-3D75D45F3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10536120" cy="59920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3</xdr:row>
      <xdr:rowOff>76200</xdr:rowOff>
    </xdr:from>
    <xdr:to>
      <xdr:col>15</xdr:col>
      <xdr:colOff>449125</xdr:colOff>
      <xdr:row>29</xdr:row>
      <xdr:rowOff>86418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98ECDD-9A80-67F6-CD08-AA9B4683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647700"/>
          <a:ext cx="10393225" cy="49632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15</xdr:col>
      <xdr:colOff>601541</xdr:colOff>
      <xdr:row>63</xdr:row>
      <xdr:rowOff>162772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05891-411E-8F59-7975-3645F2AA2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6096000"/>
          <a:ext cx="10507541" cy="60682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16</xdr:col>
      <xdr:colOff>106279</xdr:colOff>
      <xdr:row>84</xdr:row>
      <xdr:rowOff>38584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1C464C-06FE-C022-0D31-19A0892D0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12573000"/>
          <a:ext cx="10774279" cy="346758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87</xdr:row>
      <xdr:rowOff>28575</xdr:rowOff>
    </xdr:from>
    <xdr:to>
      <xdr:col>15</xdr:col>
      <xdr:colOff>477686</xdr:colOff>
      <xdr:row>118</xdr:row>
      <xdr:rowOff>820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83FDC6F-3D6D-FC90-844A-07A779A0C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16602075"/>
          <a:ext cx="10288436" cy="587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D2EC-C9B3-4967-A52B-699D7A02E9A4}">
  <dimension ref="C4:I28"/>
  <sheetViews>
    <sheetView workbookViewId="0">
      <selection activeCell="L16" sqref="L16"/>
    </sheetView>
  </sheetViews>
  <sheetFormatPr baseColWidth="10" defaultRowHeight="15" x14ac:dyDescent="0.25"/>
  <sheetData>
    <row r="4" spans="3:9" ht="15.75" thickBot="1" x14ac:dyDescent="0.3"/>
    <row r="5" spans="3:9" ht="15.75" thickBot="1" x14ac:dyDescent="0.3">
      <c r="C5" s="13"/>
      <c r="D5" s="14"/>
      <c r="E5" s="14"/>
      <c r="F5" s="14"/>
      <c r="G5" s="14"/>
      <c r="H5" s="14"/>
      <c r="I5" s="15"/>
    </row>
    <row r="6" spans="3:9" ht="15.75" thickBot="1" x14ac:dyDescent="0.3">
      <c r="C6" s="16"/>
      <c r="D6" s="17"/>
      <c r="E6" s="17"/>
      <c r="F6" s="17"/>
      <c r="G6" s="17"/>
      <c r="H6" s="17"/>
      <c r="I6" s="18"/>
    </row>
    <row r="7" spans="3:9" ht="15.75" thickBot="1" x14ac:dyDescent="0.3">
      <c r="C7" s="19"/>
      <c r="D7" s="20" t="s">
        <v>41</v>
      </c>
      <c r="E7" s="21"/>
      <c r="F7" s="21"/>
      <c r="G7" s="21"/>
      <c r="H7" s="22"/>
      <c r="I7" s="18"/>
    </row>
    <row r="8" spans="3:9" ht="15.75" thickBot="1" x14ac:dyDescent="0.3">
      <c r="C8" s="19"/>
      <c r="D8" s="20" t="s">
        <v>42</v>
      </c>
      <c r="E8" s="21"/>
      <c r="F8" s="21"/>
      <c r="G8" s="21"/>
      <c r="H8" s="22"/>
      <c r="I8" s="18"/>
    </row>
    <row r="9" spans="3:9" ht="15.75" thickBot="1" x14ac:dyDescent="0.3">
      <c r="C9" s="19"/>
      <c r="D9" s="20" t="s">
        <v>43</v>
      </c>
      <c r="E9" s="21"/>
      <c r="F9" s="21"/>
      <c r="G9" s="21"/>
      <c r="H9" s="22"/>
      <c r="I9" s="18"/>
    </row>
    <row r="10" spans="3:9" ht="15.75" thickBot="1" x14ac:dyDescent="0.3">
      <c r="C10" s="19"/>
      <c r="D10" s="20" t="s">
        <v>44</v>
      </c>
      <c r="E10" s="21"/>
      <c r="F10" s="21"/>
      <c r="G10" s="21"/>
      <c r="H10" s="22"/>
      <c r="I10" s="18"/>
    </row>
    <row r="11" spans="3:9" ht="15.75" thickBot="1" x14ac:dyDescent="0.3">
      <c r="C11" s="19"/>
      <c r="D11" s="45" t="s">
        <v>46</v>
      </c>
      <c r="E11" s="23"/>
      <c r="F11" s="23"/>
      <c r="G11" s="23"/>
      <c r="H11" s="24"/>
      <c r="I11" s="18"/>
    </row>
    <row r="12" spans="3:9" ht="15.75" thickBot="1" x14ac:dyDescent="0.3">
      <c r="C12" s="19"/>
      <c r="D12" s="25"/>
      <c r="E12" s="26"/>
      <c r="F12" s="26"/>
      <c r="G12" s="26"/>
      <c r="H12" s="27"/>
      <c r="I12" s="18"/>
    </row>
    <row r="13" spans="3:9" ht="15.75" thickBot="1" x14ac:dyDescent="0.3">
      <c r="C13" s="19"/>
      <c r="D13" s="25"/>
      <c r="E13" s="26"/>
      <c r="F13" s="26"/>
      <c r="G13" s="26"/>
      <c r="H13" s="27"/>
      <c r="I13" s="18"/>
    </row>
    <row r="14" spans="3:9" ht="15.75" thickBot="1" x14ac:dyDescent="0.3">
      <c r="C14" s="19"/>
      <c r="D14" s="25"/>
      <c r="E14" s="26"/>
      <c r="F14" s="26"/>
      <c r="G14" s="26"/>
      <c r="H14" s="27"/>
      <c r="I14" s="18"/>
    </row>
    <row r="15" spans="3:9" ht="15.75" thickBot="1" x14ac:dyDescent="0.3">
      <c r="C15" s="19"/>
      <c r="D15" s="25"/>
      <c r="E15" s="26"/>
      <c r="F15" s="26"/>
      <c r="G15" s="26"/>
      <c r="H15" s="27"/>
      <c r="I15" s="18"/>
    </row>
    <row r="16" spans="3:9" ht="15.75" thickBot="1" x14ac:dyDescent="0.3">
      <c r="C16" s="19"/>
      <c r="D16" s="25"/>
      <c r="E16" s="26"/>
      <c r="F16" s="26"/>
      <c r="G16" s="26"/>
      <c r="H16" s="27"/>
      <c r="I16" s="18"/>
    </row>
    <row r="17" spans="3:9" ht="15.75" thickBot="1" x14ac:dyDescent="0.3">
      <c r="C17" s="19"/>
      <c r="D17" s="25"/>
      <c r="E17" s="26"/>
      <c r="F17" s="26"/>
      <c r="G17" s="26"/>
      <c r="H17" s="27"/>
      <c r="I17" s="18"/>
    </row>
    <row r="18" spans="3:9" ht="15.75" thickBot="1" x14ac:dyDescent="0.3">
      <c r="C18" s="19"/>
      <c r="D18" s="25"/>
      <c r="E18" s="26"/>
      <c r="F18" s="26"/>
      <c r="G18" s="26"/>
      <c r="H18" s="27"/>
      <c r="I18" s="18"/>
    </row>
    <row r="19" spans="3:9" ht="15.75" thickBot="1" x14ac:dyDescent="0.3">
      <c r="C19" s="19"/>
      <c r="D19" s="25"/>
      <c r="E19" s="26"/>
      <c r="F19" s="26"/>
      <c r="G19" s="26"/>
      <c r="H19" s="27"/>
      <c r="I19" s="18"/>
    </row>
    <row r="20" spans="3:9" ht="15.75" thickBot="1" x14ac:dyDescent="0.3">
      <c r="C20" s="19"/>
      <c r="D20" s="25"/>
      <c r="E20" s="26"/>
      <c r="F20" s="26"/>
      <c r="G20" s="26"/>
      <c r="H20" s="27"/>
      <c r="I20" s="18"/>
    </row>
    <row r="21" spans="3:9" ht="15.75" thickBot="1" x14ac:dyDescent="0.3">
      <c r="C21" s="19"/>
      <c r="D21" s="25"/>
      <c r="E21" s="26"/>
      <c r="F21" s="26"/>
      <c r="G21" s="26"/>
      <c r="H21" s="27"/>
      <c r="I21" s="18"/>
    </row>
    <row r="22" spans="3:9" ht="15.75" thickBot="1" x14ac:dyDescent="0.3">
      <c r="C22" s="19"/>
      <c r="D22" s="25"/>
      <c r="E22" s="26"/>
      <c r="F22" s="26"/>
      <c r="G22" s="26"/>
      <c r="H22" s="27"/>
      <c r="I22" s="18"/>
    </row>
    <row r="23" spans="3:9" ht="15.75" thickBot="1" x14ac:dyDescent="0.3">
      <c r="C23" s="19"/>
      <c r="D23" s="28"/>
      <c r="E23" s="29"/>
      <c r="F23" s="29"/>
      <c r="G23" s="29"/>
      <c r="H23" s="30"/>
      <c r="I23" s="18"/>
    </row>
    <row r="24" spans="3:9" ht="15.75" thickBot="1" x14ac:dyDescent="0.3">
      <c r="C24" s="19"/>
      <c r="D24" s="31">
        <v>1164619</v>
      </c>
      <c r="E24" s="32"/>
      <c r="F24" s="33" t="s">
        <v>45</v>
      </c>
      <c r="G24" s="34"/>
      <c r="H24" s="35"/>
      <c r="I24" s="18"/>
    </row>
    <row r="25" spans="3:9" ht="15.75" thickBot="1" x14ac:dyDescent="0.3">
      <c r="C25" s="19"/>
      <c r="D25" s="36" t="s">
        <v>47</v>
      </c>
      <c r="E25" s="37"/>
      <c r="F25" s="37"/>
      <c r="G25" s="37"/>
      <c r="H25" s="38"/>
      <c r="I25" s="18"/>
    </row>
    <row r="26" spans="3:9" ht="15.75" thickBot="1" x14ac:dyDescent="0.3">
      <c r="C26" s="19"/>
      <c r="D26" s="39"/>
      <c r="E26" s="40"/>
      <c r="F26" s="40"/>
      <c r="G26" s="40"/>
      <c r="H26" s="41"/>
      <c r="I26" s="18"/>
    </row>
    <row r="27" spans="3:9" ht="15.75" thickBot="1" x14ac:dyDescent="0.3">
      <c r="C27" s="16"/>
      <c r="D27" s="42"/>
      <c r="E27" s="42"/>
      <c r="F27" s="42"/>
      <c r="G27" s="42"/>
      <c r="H27" s="42"/>
      <c r="I27" s="18"/>
    </row>
    <row r="28" spans="3:9" ht="15.75" thickBot="1" x14ac:dyDescent="0.3">
      <c r="C28" s="43"/>
      <c r="D28" s="17"/>
      <c r="E28" s="17"/>
      <c r="F28" s="17"/>
      <c r="G28" s="17"/>
      <c r="H28" s="17"/>
      <c r="I28" s="44"/>
    </row>
  </sheetData>
  <mergeCells count="8">
    <mergeCell ref="D25:H26"/>
    <mergeCell ref="D7:H7"/>
    <mergeCell ref="D8:H8"/>
    <mergeCell ref="D9:H9"/>
    <mergeCell ref="D10:H10"/>
    <mergeCell ref="D11:H23"/>
    <mergeCell ref="D24:E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A532-74D5-4626-B552-E8889EBB0B6C}">
  <dimension ref="C33:L53"/>
  <sheetViews>
    <sheetView topLeftCell="A37" workbookViewId="0">
      <selection activeCell="H39" sqref="H39"/>
    </sheetView>
  </sheetViews>
  <sheetFormatPr baseColWidth="10" defaultRowHeight="15" x14ac:dyDescent="0.25"/>
  <cols>
    <col min="4" max="6" width="13" bestFit="1" customWidth="1"/>
  </cols>
  <sheetData>
    <row r="33" spans="3:12" x14ac:dyDescent="0.25">
      <c r="J33" s="2" t="s">
        <v>3</v>
      </c>
      <c r="K33" s="12" t="s">
        <v>5</v>
      </c>
      <c r="L33" s="2" t="s">
        <v>4</v>
      </c>
    </row>
    <row r="34" spans="3:12" x14ac:dyDescent="0.25">
      <c r="C34" s="2"/>
      <c r="D34" s="2" t="s">
        <v>0</v>
      </c>
      <c r="E34" s="2" t="s">
        <v>1</v>
      </c>
      <c r="F34" s="2" t="s">
        <v>2</v>
      </c>
      <c r="J34" s="2" t="s">
        <v>3</v>
      </c>
      <c r="K34" s="2">
        <f>21.6/12</f>
        <v>1.8</v>
      </c>
      <c r="L34" s="2" t="s">
        <v>6</v>
      </c>
    </row>
    <row r="35" spans="3:12" x14ac:dyDescent="0.25">
      <c r="C35" s="2">
        <v>0</v>
      </c>
      <c r="D35" s="3">
        <v>0.35</v>
      </c>
      <c r="E35" s="2">
        <v>0</v>
      </c>
      <c r="F35" s="48">
        <v>70000</v>
      </c>
    </row>
    <row r="36" spans="3:12" x14ac:dyDescent="0.25">
      <c r="C36" s="2">
        <v>1</v>
      </c>
      <c r="D36" s="48"/>
      <c r="E36" s="48">
        <v>64350</v>
      </c>
      <c r="F36" s="48"/>
    </row>
    <row r="37" spans="3:12" x14ac:dyDescent="0.25">
      <c r="C37" s="2">
        <v>2</v>
      </c>
      <c r="D37" s="48"/>
      <c r="E37" s="48">
        <v>64350</v>
      </c>
      <c r="F37" s="48"/>
    </row>
    <row r="38" spans="3:12" x14ac:dyDescent="0.25">
      <c r="C38" s="2">
        <v>3</v>
      </c>
      <c r="D38" s="48">
        <v>65000</v>
      </c>
      <c r="E38" s="48">
        <v>64350</v>
      </c>
      <c r="F38" s="48"/>
    </row>
    <row r="39" spans="3:12" x14ac:dyDescent="0.25">
      <c r="C39" s="2">
        <v>4</v>
      </c>
      <c r="D39" s="48"/>
      <c r="E39" s="48"/>
      <c r="F39" s="48">
        <v>125000</v>
      </c>
    </row>
    <row r="40" spans="3:12" x14ac:dyDescent="0.25">
      <c r="C40" s="2">
        <v>5</v>
      </c>
      <c r="D40" s="48">
        <v>65000</v>
      </c>
      <c r="E40" s="48"/>
      <c r="F40" s="48"/>
    </row>
    <row r="41" spans="3:12" x14ac:dyDescent="0.25">
      <c r="C41" s="2"/>
      <c r="D41" s="48">
        <f>NPV(1.8%,D36:D40)</f>
        <v>126572.38469822179</v>
      </c>
      <c r="E41" s="48">
        <f>NPV(1.8%,E36:E40)</f>
        <v>186303.20319375204</v>
      </c>
      <c r="F41" s="48">
        <f>NPV(1.8%,F36:F40)</f>
        <v>122789.78388998035</v>
      </c>
    </row>
    <row r="42" spans="3:12" x14ac:dyDescent="0.25">
      <c r="C42" s="2"/>
      <c r="D42" s="2"/>
      <c r="E42" s="2"/>
      <c r="F42" s="2"/>
    </row>
    <row r="43" spans="3:12" x14ac:dyDescent="0.25">
      <c r="C43" s="2" t="s">
        <v>7</v>
      </c>
      <c r="D43" s="2">
        <f>SUM(D36:D40)</f>
        <v>130000</v>
      </c>
      <c r="E43" s="2">
        <f>SUM(E36:E40)</f>
        <v>193050</v>
      </c>
      <c r="F43" s="2">
        <f>SUM(F36:F40)</f>
        <v>125000</v>
      </c>
    </row>
    <row r="44" spans="3:12" x14ac:dyDescent="0.25">
      <c r="C44" s="2" t="s">
        <v>8</v>
      </c>
      <c r="D44" s="48">
        <f>D41</f>
        <v>126572.38469822179</v>
      </c>
      <c r="E44" s="48">
        <f>E41</f>
        <v>186303.20319375204</v>
      </c>
      <c r="F44" s="48">
        <f>F41</f>
        <v>122789.78388998035</v>
      </c>
    </row>
    <row r="45" spans="3:12" x14ac:dyDescent="0.25">
      <c r="C45" s="2" t="s">
        <v>9</v>
      </c>
      <c r="D45" s="48">
        <f>D43-D44</f>
        <v>3427.6153017782053</v>
      </c>
      <c r="E45" s="48">
        <f t="shared" ref="E45:F45" si="0">E43-E44</f>
        <v>6746.7968062479631</v>
      </c>
      <c r="F45" s="48">
        <f t="shared" si="0"/>
        <v>2210.2161100196536</v>
      </c>
    </row>
    <row r="46" spans="3:12" x14ac:dyDescent="0.25">
      <c r="C46" s="2"/>
      <c r="D46" s="3"/>
      <c r="E46" s="2"/>
      <c r="F46" s="2"/>
    </row>
    <row r="47" spans="3:12" x14ac:dyDescent="0.25">
      <c r="C47" s="2" t="s">
        <v>10</v>
      </c>
      <c r="D47" s="47">
        <f>D44*(100/65)</f>
        <v>194726.74568957201</v>
      </c>
      <c r="E47" s="47">
        <f>E44+E35</f>
        <v>186303.20319375204</v>
      </c>
      <c r="F47" s="47">
        <f>F44+F35</f>
        <v>192789.78388998035</v>
      </c>
      <c r="G47" s="10" t="s">
        <v>11</v>
      </c>
      <c r="H47" s="10"/>
      <c r="I47" s="10"/>
    </row>
    <row r="49" spans="3:9" x14ac:dyDescent="0.25">
      <c r="C49" s="11" t="s">
        <v>12</v>
      </c>
      <c r="D49" s="11"/>
      <c r="E49" s="11"/>
      <c r="F49" s="11"/>
      <c r="G49" s="11"/>
      <c r="H49" s="11"/>
      <c r="I49" s="11"/>
    </row>
    <row r="50" spans="3:9" x14ac:dyDescent="0.25">
      <c r="C50" s="11"/>
      <c r="D50" s="11"/>
      <c r="E50" s="11"/>
      <c r="F50" s="11"/>
      <c r="G50" s="11"/>
      <c r="H50" s="11"/>
      <c r="I50" s="11"/>
    </row>
    <row r="51" spans="3:9" x14ac:dyDescent="0.25">
      <c r="C51" s="11"/>
      <c r="D51" s="11"/>
      <c r="E51" s="11"/>
      <c r="F51" s="11"/>
      <c r="G51" s="11"/>
      <c r="H51" s="11"/>
      <c r="I51" s="11"/>
    </row>
    <row r="52" spans="3:9" x14ac:dyDescent="0.25">
      <c r="C52" s="11"/>
      <c r="D52" s="11"/>
      <c r="E52" s="11"/>
      <c r="F52" s="11"/>
      <c r="G52" s="11"/>
      <c r="H52" s="11"/>
      <c r="I52" s="11"/>
    </row>
    <row r="53" spans="3:9" x14ac:dyDescent="0.25">
      <c r="C53" s="11"/>
      <c r="D53" s="11"/>
      <c r="E53" s="11"/>
      <c r="F53" s="11"/>
      <c r="G53" s="11"/>
      <c r="H53" s="11"/>
      <c r="I53" s="11"/>
    </row>
  </sheetData>
  <mergeCells count="2">
    <mergeCell ref="G47:I47"/>
    <mergeCell ref="C49:I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79DB-4032-439D-A33F-112714E68D2E}">
  <dimension ref="B36:K51"/>
  <sheetViews>
    <sheetView topLeftCell="A34" workbookViewId="0">
      <selection activeCell="I45" sqref="I45"/>
    </sheetView>
  </sheetViews>
  <sheetFormatPr baseColWidth="10" defaultRowHeight="15" x14ac:dyDescent="0.25"/>
  <cols>
    <col min="3" max="7" width="12" bestFit="1" customWidth="1"/>
  </cols>
  <sheetData>
    <row r="36" spans="2:11" x14ac:dyDescent="0.25">
      <c r="B36" s="2" t="s">
        <v>13</v>
      </c>
      <c r="C36" s="2" t="s">
        <v>14</v>
      </c>
      <c r="D36" s="2" t="s">
        <v>15</v>
      </c>
      <c r="E36" s="2" t="s">
        <v>16</v>
      </c>
      <c r="F36" s="2" t="s">
        <v>17</v>
      </c>
      <c r="G36" s="2" t="s">
        <v>18</v>
      </c>
      <c r="I36" t="s">
        <v>19</v>
      </c>
      <c r="J36" s="1">
        <v>0.18</v>
      </c>
      <c r="K36" t="s">
        <v>4</v>
      </c>
    </row>
    <row r="37" spans="2:11" x14ac:dyDescent="0.25">
      <c r="B37" s="2">
        <v>0</v>
      </c>
      <c r="C37" s="48">
        <v>-30000</v>
      </c>
      <c r="D37" s="48">
        <v>-38000</v>
      </c>
      <c r="E37" s="48">
        <v>-34000</v>
      </c>
      <c r="F37" s="48">
        <v>-57000</v>
      </c>
      <c r="G37" s="48">
        <v>-48000</v>
      </c>
    </row>
    <row r="38" spans="2:11" x14ac:dyDescent="0.25">
      <c r="B38" s="2">
        <v>1</v>
      </c>
      <c r="C38" s="48">
        <v>12500</v>
      </c>
      <c r="D38" s="48">
        <v>15500</v>
      </c>
      <c r="E38" s="48">
        <v>14500</v>
      </c>
      <c r="F38" s="48">
        <v>23000</v>
      </c>
      <c r="G38" s="48">
        <v>19500</v>
      </c>
    </row>
    <row r="39" spans="2:11" x14ac:dyDescent="0.25">
      <c r="B39" s="2">
        <v>2</v>
      </c>
      <c r="C39" s="48">
        <v>12500</v>
      </c>
      <c r="D39" s="48">
        <v>15500</v>
      </c>
      <c r="E39" s="48">
        <v>14500</v>
      </c>
      <c r="F39" s="48">
        <v>23000</v>
      </c>
      <c r="G39" s="48">
        <v>19500</v>
      </c>
    </row>
    <row r="40" spans="2:11" x14ac:dyDescent="0.25">
      <c r="B40" s="2">
        <v>3</v>
      </c>
      <c r="C40" s="48">
        <v>12500</v>
      </c>
      <c r="D40" s="48">
        <v>15500</v>
      </c>
      <c r="E40" s="48">
        <v>14500</v>
      </c>
      <c r="F40" s="48">
        <v>23000</v>
      </c>
      <c r="G40" s="48">
        <v>19500</v>
      </c>
    </row>
    <row r="41" spans="2:11" x14ac:dyDescent="0.25">
      <c r="B41" s="2">
        <v>4</v>
      </c>
      <c r="C41" s="48">
        <v>12500</v>
      </c>
      <c r="D41" s="48">
        <v>15500</v>
      </c>
      <c r="E41" s="48">
        <v>14500</v>
      </c>
      <c r="F41" s="48">
        <v>23000</v>
      </c>
      <c r="G41" s="48">
        <v>19500</v>
      </c>
    </row>
    <row r="42" spans="2:11" x14ac:dyDescent="0.25">
      <c r="B42" s="2">
        <v>5</v>
      </c>
      <c r="C42" s="48">
        <v>14500</v>
      </c>
      <c r="D42" s="48">
        <v>18500</v>
      </c>
      <c r="E42" s="48">
        <v>17000</v>
      </c>
      <c r="F42" s="48">
        <v>27600</v>
      </c>
      <c r="G42" s="48">
        <v>23000</v>
      </c>
    </row>
    <row r="43" spans="2:11" x14ac:dyDescent="0.25">
      <c r="B43" s="2"/>
      <c r="C43" s="49">
        <f>NPV(18,C38:C42)+C37</f>
        <v>-29305.555028292489</v>
      </c>
      <c r="D43" s="49">
        <f t="shared" ref="D43:G43" si="0">NPV(18,D38:D42)+D37</f>
        <v>-37138.888025074928</v>
      </c>
      <c r="E43" s="49">
        <f t="shared" si="0"/>
        <v>-33194.44376012429</v>
      </c>
      <c r="F43" s="47">
        <f t="shared" si="0"/>
        <v>-55722.220880505993</v>
      </c>
      <c r="G43" s="49">
        <f t="shared" si="0"/>
        <v>-46916.66569066907</v>
      </c>
    </row>
    <row r="44" spans="2:11" x14ac:dyDescent="0.25">
      <c r="B44" s="2" t="s">
        <v>13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</row>
    <row r="45" spans="2:11" x14ac:dyDescent="0.25">
      <c r="B45" s="2">
        <v>0</v>
      </c>
      <c r="C45" s="48">
        <v>-30000</v>
      </c>
      <c r="D45" s="48">
        <v>-38000</v>
      </c>
      <c r="E45" s="48">
        <v>-34000</v>
      </c>
      <c r="F45" s="48">
        <v>-57000</v>
      </c>
      <c r="G45" s="48">
        <v>-48000</v>
      </c>
    </row>
    <row r="46" spans="2:11" x14ac:dyDescent="0.25">
      <c r="B46" s="2">
        <v>1</v>
      </c>
      <c r="C46" s="48">
        <v>12500</v>
      </c>
      <c r="D46" s="48">
        <v>15500</v>
      </c>
      <c r="E46" s="48">
        <v>14500</v>
      </c>
      <c r="F46" s="48">
        <v>23000</v>
      </c>
      <c r="G46" s="48">
        <v>19500</v>
      </c>
    </row>
    <row r="47" spans="2:11" x14ac:dyDescent="0.25">
      <c r="B47" s="2">
        <v>2</v>
      </c>
      <c r="C47" s="48">
        <v>12500</v>
      </c>
      <c r="D47" s="48">
        <v>15500</v>
      </c>
      <c r="E47" s="48">
        <v>14500</v>
      </c>
      <c r="F47" s="48">
        <v>23000</v>
      </c>
      <c r="G47" s="48">
        <v>19500</v>
      </c>
    </row>
    <row r="48" spans="2:11" x14ac:dyDescent="0.25">
      <c r="B48" s="2">
        <v>3</v>
      </c>
      <c r="C48" s="48">
        <v>12500</v>
      </c>
      <c r="D48" s="48">
        <v>15500</v>
      </c>
      <c r="E48" s="48">
        <v>14500</v>
      </c>
      <c r="F48" s="48">
        <v>23000</v>
      </c>
      <c r="G48" s="48">
        <v>19500</v>
      </c>
    </row>
    <row r="49" spans="2:7" x14ac:dyDescent="0.25">
      <c r="B49" s="2">
        <v>4</v>
      </c>
      <c r="C49" s="48">
        <v>12500</v>
      </c>
      <c r="D49" s="48">
        <v>15500</v>
      </c>
      <c r="E49" s="48">
        <v>14500</v>
      </c>
      <c r="F49" s="48">
        <v>23000</v>
      </c>
      <c r="G49" s="48">
        <v>19500</v>
      </c>
    </row>
    <row r="50" spans="2:7" x14ac:dyDescent="0.25">
      <c r="B50" s="2">
        <v>5</v>
      </c>
      <c r="C50" s="48">
        <v>14500</v>
      </c>
      <c r="D50" s="48">
        <v>18500</v>
      </c>
      <c r="E50" s="48">
        <v>17000</v>
      </c>
      <c r="F50" s="48">
        <v>27600</v>
      </c>
      <c r="G50" s="48">
        <v>23000</v>
      </c>
    </row>
    <row r="51" spans="2:7" x14ac:dyDescent="0.25">
      <c r="B51" s="2" t="s">
        <v>20</v>
      </c>
      <c r="C51" s="4">
        <f>IRR(C45:C50)</f>
        <v>0.31673215730918147</v>
      </c>
      <c r="D51" s="3">
        <f t="shared" ref="D51:G51" si="1">IRR(D45:D50)</f>
        <v>0.30750775652335793</v>
      </c>
      <c r="E51" s="3">
        <f t="shared" si="1"/>
        <v>0.32971422623251168</v>
      </c>
      <c r="F51" s="4">
        <f t="shared" si="1"/>
        <v>0.30230201603343709</v>
      </c>
      <c r="G51" s="3">
        <f t="shared" si="1"/>
        <v>0.30464680888094975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A10F-BCBB-4776-BBB1-92DA3A6C53FB}">
  <dimension ref="B18:M23"/>
  <sheetViews>
    <sheetView topLeftCell="A10" workbookViewId="0">
      <selection activeCell="M26" sqref="M26"/>
    </sheetView>
  </sheetViews>
  <sheetFormatPr baseColWidth="10" defaultRowHeight="15" x14ac:dyDescent="0.25"/>
  <cols>
    <col min="3" max="3" width="24.85546875" bestFit="1" customWidth="1"/>
  </cols>
  <sheetData>
    <row r="18" spans="2:13" x14ac:dyDescent="0.25">
      <c r="B18" s="2"/>
      <c r="C18" s="2" t="s">
        <v>26</v>
      </c>
      <c r="D18" s="5" t="s">
        <v>27</v>
      </c>
      <c r="E18" s="2" t="s">
        <v>28</v>
      </c>
      <c r="F18" s="2"/>
      <c r="G18" s="2"/>
    </row>
    <row r="19" spans="2:13" x14ac:dyDescent="0.25">
      <c r="B19" s="2"/>
      <c r="C19" s="2" t="s">
        <v>29</v>
      </c>
      <c r="D19" s="2">
        <v>0.6</v>
      </c>
      <c r="E19" s="6">
        <v>0.2</v>
      </c>
      <c r="F19" s="7" t="s">
        <v>30</v>
      </c>
      <c r="G19" s="6">
        <f>SUMPRODUCT(D19:D21,E19:E21)</f>
        <v>0.18448000000000001</v>
      </c>
    </row>
    <row r="20" spans="2:13" x14ac:dyDescent="0.25">
      <c r="B20" s="8" t="s">
        <v>31</v>
      </c>
      <c r="C20" s="2" t="s">
        <v>32</v>
      </c>
      <c r="D20" s="2">
        <v>0.224</v>
      </c>
      <c r="E20" s="6">
        <v>0.17</v>
      </c>
      <c r="F20" s="7"/>
      <c r="G20" s="6"/>
    </row>
    <row r="21" spans="2:13" x14ac:dyDescent="0.25">
      <c r="B21" s="8"/>
      <c r="C21" s="2" t="s">
        <v>33</v>
      </c>
      <c r="D21" s="2">
        <v>0.17599999999999999</v>
      </c>
      <c r="E21" s="3">
        <v>0.15</v>
      </c>
      <c r="F21" s="2"/>
      <c r="G21" s="2"/>
      <c r="J21" s="2">
        <v>2800000</v>
      </c>
      <c r="K21" s="9">
        <f>(J21*K23)/J23</f>
        <v>0.56000000000000005</v>
      </c>
      <c r="L21" s="2">
        <f>(56*40)/100</f>
        <v>22.4</v>
      </c>
      <c r="M21" s="2">
        <f>L21/100</f>
        <v>0.22399999999999998</v>
      </c>
    </row>
    <row r="22" spans="2:13" x14ac:dyDescent="0.25">
      <c r="J22" s="2">
        <v>2200000</v>
      </c>
      <c r="K22" s="9">
        <f>(J22*K23)/J23</f>
        <v>0.44</v>
      </c>
      <c r="L22" s="2">
        <f>(44*40)/100</f>
        <v>17.600000000000001</v>
      </c>
      <c r="M22" s="2">
        <f t="shared" ref="M22:M23" si="0">L22/100</f>
        <v>0.17600000000000002</v>
      </c>
    </row>
    <row r="23" spans="2:13" x14ac:dyDescent="0.25">
      <c r="J23" s="2">
        <f>SUM(J21:J22)</f>
        <v>5000000</v>
      </c>
      <c r="K23" s="3">
        <v>1</v>
      </c>
      <c r="L23" s="3">
        <v>0.4</v>
      </c>
      <c r="M23" s="2">
        <f t="shared" si="0"/>
        <v>4.0000000000000001E-3</v>
      </c>
    </row>
  </sheetData>
  <mergeCells count="1">
    <mergeCell ref="B20:B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01E1-7D58-46F4-93BD-368A3C56F531}">
  <dimension ref="C38:K66"/>
  <sheetViews>
    <sheetView tabSelected="1" topLeftCell="A47" workbookViewId="0">
      <selection activeCell="H46" sqref="H46"/>
    </sheetView>
  </sheetViews>
  <sheetFormatPr baseColWidth="10" defaultRowHeight="15" x14ac:dyDescent="0.25"/>
  <cols>
    <col min="4" max="4" width="13.85546875" bestFit="1" customWidth="1"/>
    <col min="6" max="6" width="12" bestFit="1" customWidth="1"/>
    <col min="9" max="9" width="12" bestFit="1" customWidth="1"/>
    <col min="11" max="11" width="13.140625" bestFit="1" customWidth="1"/>
  </cols>
  <sheetData>
    <row r="38" spans="3:11" x14ac:dyDescent="0.25">
      <c r="C38" s="2"/>
      <c r="D38" s="2" t="s">
        <v>34</v>
      </c>
      <c r="E38" s="2"/>
      <c r="F38" s="2" t="s">
        <v>37</v>
      </c>
      <c r="H38" s="2"/>
      <c r="I38" s="2" t="s">
        <v>14</v>
      </c>
      <c r="J38" s="2"/>
      <c r="K38" s="2" t="s">
        <v>15</v>
      </c>
    </row>
    <row r="39" spans="3:11" x14ac:dyDescent="0.25">
      <c r="C39" s="2">
        <v>0</v>
      </c>
      <c r="D39" s="48">
        <v>-25000</v>
      </c>
      <c r="E39" s="2">
        <v>0</v>
      </c>
      <c r="F39" s="48">
        <v>-29345.68</v>
      </c>
      <c r="H39" s="3">
        <v>0.08</v>
      </c>
      <c r="I39" s="48">
        <f>8%*6000</f>
        <v>480</v>
      </c>
      <c r="J39" s="3">
        <v>0.1</v>
      </c>
      <c r="K39" s="48">
        <f>10%*8000</f>
        <v>800</v>
      </c>
    </row>
    <row r="40" spans="3:11" x14ac:dyDescent="0.25">
      <c r="C40" s="2">
        <v>1</v>
      </c>
      <c r="D40" s="48">
        <f>-8000</f>
        <v>-8000</v>
      </c>
      <c r="E40" s="2">
        <v>1</v>
      </c>
      <c r="F40" s="48">
        <f>-6000</f>
        <v>-6000</v>
      </c>
      <c r="H40" s="3">
        <v>0.15</v>
      </c>
      <c r="I40" s="48">
        <v>25000</v>
      </c>
      <c r="J40" s="3">
        <v>0.3</v>
      </c>
      <c r="K40" s="48">
        <f>(30*K41)/100</f>
        <v>29345.684837295572</v>
      </c>
    </row>
    <row r="41" spans="3:11" x14ac:dyDescent="0.25">
      <c r="C41" s="2">
        <v>2</v>
      </c>
      <c r="D41" s="48">
        <f>-8000</f>
        <v>-8000</v>
      </c>
      <c r="E41" s="2">
        <v>2</v>
      </c>
      <c r="F41" s="48">
        <f>-6000</f>
        <v>-6000</v>
      </c>
      <c r="H41" s="2"/>
      <c r="I41" s="2"/>
      <c r="J41" s="3">
        <v>1</v>
      </c>
      <c r="K41" s="48">
        <f>F60*(100/70)</f>
        <v>97818.949457651906</v>
      </c>
    </row>
    <row r="42" spans="3:11" x14ac:dyDescent="0.25">
      <c r="C42" s="2">
        <v>3</v>
      </c>
      <c r="D42" s="48">
        <f t="shared" ref="D42:D59" si="0">-8000</f>
        <v>-8000</v>
      </c>
      <c r="E42" s="2">
        <v>3</v>
      </c>
      <c r="F42" s="48">
        <f t="shared" ref="F42:F59" si="1">-6000</f>
        <v>-6000</v>
      </c>
    </row>
    <row r="43" spans="3:11" x14ac:dyDescent="0.25">
      <c r="C43" s="2">
        <v>4</v>
      </c>
      <c r="D43" s="48">
        <f t="shared" si="0"/>
        <v>-8000</v>
      </c>
      <c r="E43" s="2">
        <v>4</v>
      </c>
      <c r="F43" s="48">
        <f t="shared" si="1"/>
        <v>-6000</v>
      </c>
    </row>
    <row r="44" spans="3:11" x14ac:dyDescent="0.25">
      <c r="C44" s="2">
        <v>5</v>
      </c>
      <c r="D44" s="48">
        <f>-8000-6000</f>
        <v>-14000</v>
      </c>
      <c r="E44" s="2">
        <v>5</v>
      </c>
      <c r="F44" s="48">
        <f>-6000-8000</f>
        <v>-14000</v>
      </c>
    </row>
    <row r="45" spans="3:11" x14ac:dyDescent="0.25">
      <c r="C45" s="2">
        <v>6</v>
      </c>
      <c r="D45" s="48">
        <f t="shared" si="0"/>
        <v>-8000</v>
      </c>
      <c r="E45" s="2">
        <v>6</v>
      </c>
      <c r="F45" s="48">
        <f t="shared" si="1"/>
        <v>-6000</v>
      </c>
    </row>
    <row r="46" spans="3:11" x14ac:dyDescent="0.25">
      <c r="C46" s="2">
        <v>7</v>
      </c>
      <c r="D46" s="48">
        <f t="shared" si="0"/>
        <v>-8000</v>
      </c>
      <c r="E46" s="2">
        <v>7</v>
      </c>
      <c r="F46" s="48">
        <f t="shared" si="1"/>
        <v>-6000</v>
      </c>
    </row>
    <row r="47" spans="3:11" x14ac:dyDescent="0.25">
      <c r="C47" s="2">
        <v>8</v>
      </c>
      <c r="D47" s="48">
        <f>-8000-6000-480</f>
        <v>-14480</v>
      </c>
      <c r="E47" s="2">
        <v>8</v>
      </c>
      <c r="F47" s="48">
        <f>-6000-8000-(800)</f>
        <v>-14800</v>
      </c>
    </row>
    <row r="48" spans="3:11" x14ac:dyDescent="0.25">
      <c r="C48" s="2">
        <v>9</v>
      </c>
      <c r="D48" s="48">
        <f t="shared" si="0"/>
        <v>-8000</v>
      </c>
      <c r="E48" s="2">
        <v>9</v>
      </c>
      <c r="F48" s="48">
        <f t="shared" si="1"/>
        <v>-6000</v>
      </c>
    </row>
    <row r="49" spans="3:6" x14ac:dyDescent="0.25">
      <c r="C49" s="2">
        <v>10</v>
      </c>
      <c r="D49" s="48">
        <f t="shared" si="0"/>
        <v>-8000</v>
      </c>
      <c r="E49" s="2">
        <v>10</v>
      </c>
      <c r="F49" s="48">
        <f t="shared" si="1"/>
        <v>-6000</v>
      </c>
    </row>
    <row r="50" spans="3:6" x14ac:dyDescent="0.25">
      <c r="C50" s="2">
        <v>11</v>
      </c>
      <c r="D50" s="48">
        <f>-8000-6000-(480*2)</f>
        <v>-14960</v>
      </c>
      <c r="E50" s="2">
        <v>11</v>
      </c>
      <c r="F50" s="48">
        <f>-6000-8000-(800*2)</f>
        <v>-15600</v>
      </c>
    </row>
    <row r="51" spans="3:6" x14ac:dyDescent="0.25">
      <c r="C51" s="2">
        <v>12</v>
      </c>
      <c r="D51" s="48">
        <f t="shared" si="0"/>
        <v>-8000</v>
      </c>
      <c r="E51" s="2">
        <v>12</v>
      </c>
      <c r="F51" s="48">
        <f t="shared" si="1"/>
        <v>-6000</v>
      </c>
    </row>
    <row r="52" spans="3:6" x14ac:dyDescent="0.25">
      <c r="C52" s="2">
        <v>13</v>
      </c>
      <c r="D52" s="48">
        <f t="shared" si="0"/>
        <v>-8000</v>
      </c>
      <c r="E52" s="2">
        <v>13</v>
      </c>
      <c r="F52" s="48">
        <f t="shared" si="1"/>
        <v>-6000</v>
      </c>
    </row>
    <row r="53" spans="3:6" x14ac:dyDescent="0.25">
      <c r="C53" s="2">
        <v>14</v>
      </c>
      <c r="D53" s="48">
        <f>-8000-6000-(480*3)</f>
        <v>-15440</v>
      </c>
      <c r="E53" s="2">
        <v>14</v>
      </c>
      <c r="F53" s="48">
        <f>-6000-8000-(800*3)</f>
        <v>-16400</v>
      </c>
    </row>
    <row r="54" spans="3:6" x14ac:dyDescent="0.25">
      <c r="C54" s="2">
        <v>15</v>
      </c>
      <c r="D54" s="48">
        <f>-8000-25000</f>
        <v>-33000</v>
      </c>
      <c r="E54" s="2">
        <v>15</v>
      </c>
      <c r="F54" s="48">
        <f t="shared" si="1"/>
        <v>-6000</v>
      </c>
    </row>
    <row r="55" spans="3:6" x14ac:dyDescent="0.25">
      <c r="C55" s="2">
        <v>16</v>
      </c>
      <c r="D55" s="48">
        <f t="shared" si="0"/>
        <v>-8000</v>
      </c>
      <c r="E55" s="2">
        <v>16</v>
      </c>
      <c r="F55" s="48">
        <f t="shared" si="1"/>
        <v>-6000</v>
      </c>
    </row>
    <row r="56" spans="3:6" x14ac:dyDescent="0.25">
      <c r="C56" s="2">
        <v>17</v>
      </c>
      <c r="D56" s="48">
        <f t="shared" si="0"/>
        <v>-8000</v>
      </c>
      <c r="E56" s="2">
        <v>17</v>
      </c>
      <c r="F56" s="48">
        <f>-6000-8000-(800*4)</f>
        <v>-17200</v>
      </c>
    </row>
    <row r="57" spans="3:6" x14ac:dyDescent="0.25">
      <c r="C57" s="2">
        <v>18</v>
      </c>
      <c r="D57" s="48">
        <f t="shared" si="0"/>
        <v>-8000</v>
      </c>
      <c r="E57" s="2">
        <v>18</v>
      </c>
      <c r="F57" s="48">
        <f t="shared" si="1"/>
        <v>-6000</v>
      </c>
    </row>
    <row r="58" spans="3:6" x14ac:dyDescent="0.25">
      <c r="C58" s="2">
        <v>19</v>
      </c>
      <c r="D58" s="48">
        <f t="shared" si="0"/>
        <v>-8000</v>
      </c>
      <c r="E58" s="2">
        <v>19</v>
      </c>
      <c r="F58" s="48">
        <f t="shared" si="1"/>
        <v>-6000</v>
      </c>
    </row>
    <row r="59" spans="3:6" x14ac:dyDescent="0.25">
      <c r="C59" s="2">
        <v>20</v>
      </c>
      <c r="D59" s="48">
        <f t="shared" si="0"/>
        <v>-8000</v>
      </c>
      <c r="E59" s="2">
        <v>20</v>
      </c>
      <c r="F59" s="48">
        <f t="shared" si="1"/>
        <v>-6000</v>
      </c>
    </row>
    <row r="60" spans="3:6" x14ac:dyDescent="0.25">
      <c r="C60" s="2" t="s">
        <v>35</v>
      </c>
      <c r="D60" s="48" cm="1">
        <f t="array" ref="D60">NPV(10%,-D40:D59)</f>
        <v>85240.42882683927</v>
      </c>
      <c r="E60" s="2" t="s">
        <v>35</v>
      </c>
      <c r="F60" s="48" cm="1">
        <f t="array" ref="F60">NPV(10%,-F40:F59)</f>
        <v>68473.264620356334</v>
      </c>
    </row>
    <row r="61" spans="3:6" x14ac:dyDescent="0.25">
      <c r="C61" s="2" t="s">
        <v>36</v>
      </c>
      <c r="D61" s="48">
        <f>PMT(10%,20,-D60)</f>
        <v>10012.308785451438</v>
      </c>
      <c r="E61" s="2" t="s">
        <v>36</v>
      </c>
      <c r="F61" s="48">
        <f>PMT(10%,20,-F60)</f>
        <v>8042.8439692582897</v>
      </c>
    </row>
    <row r="62" spans="3:6" x14ac:dyDescent="0.25">
      <c r="F62" s="50"/>
    </row>
    <row r="63" spans="3:6" x14ac:dyDescent="0.25">
      <c r="C63" s="2" t="s">
        <v>38</v>
      </c>
      <c r="D63" s="48">
        <f>D39*(-1)</f>
        <v>25000</v>
      </c>
      <c r="E63" s="2"/>
      <c r="F63" s="48">
        <f>F39*(-1)</f>
        <v>29345.68</v>
      </c>
    </row>
    <row r="64" spans="3:6" x14ac:dyDescent="0.25">
      <c r="C64" s="2" t="s">
        <v>39</v>
      </c>
      <c r="D64" s="48">
        <f>D61</f>
        <v>10012.308785451438</v>
      </c>
      <c r="E64" s="2"/>
      <c r="F64" s="48">
        <f>F61</f>
        <v>8042.8439692582897</v>
      </c>
    </row>
    <row r="65" spans="3:6" x14ac:dyDescent="0.25">
      <c r="D65" s="50"/>
      <c r="F65" s="50"/>
    </row>
    <row r="66" spans="3:6" x14ac:dyDescent="0.25">
      <c r="C66" s="2" t="s">
        <v>40</v>
      </c>
      <c r="D66" s="47">
        <f>D63*0.1+D64</f>
        <v>12512.308785451438</v>
      </c>
      <c r="E66" s="2"/>
      <c r="F66" s="47">
        <f>F63*0.1+F64</f>
        <v>10977.41196925829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0559-8FD9-4E06-962C-4BBE1A1D611F}">
  <dimension ref="B3:B87"/>
  <sheetViews>
    <sheetView topLeftCell="A94" workbookViewId="0">
      <selection activeCell="R98" sqref="R98"/>
    </sheetView>
  </sheetViews>
  <sheetFormatPr baseColWidth="10" defaultRowHeight="15" x14ac:dyDescent="0.25"/>
  <sheetData>
    <row r="3" spans="2:2" x14ac:dyDescent="0.25">
      <c r="B3" s="46" t="s">
        <v>48</v>
      </c>
    </row>
    <row r="32" spans="2:2" x14ac:dyDescent="0.25">
      <c r="B32" s="46" t="s">
        <v>49</v>
      </c>
    </row>
    <row r="66" spans="2:2" x14ac:dyDescent="0.25">
      <c r="B66" s="46" t="s">
        <v>50</v>
      </c>
    </row>
    <row r="87" spans="2:2" x14ac:dyDescent="0.25">
      <c r="B87" s="46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Carátula</vt:lpstr>
      <vt:lpstr>P#1</vt:lpstr>
      <vt:lpstr>P#2</vt:lpstr>
      <vt:lpstr>P#3</vt:lpstr>
      <vt:lpstr>P#4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darcz</dc:creator>
  <cp:lastModifiedBy>darcz</cp:lastModifiedBy>
  <dcterms:created xsi:type="dcterms:W3CDTF">2022-05-02T21:22:16Z</dcterms:created>
  <dcterms:modified xsi:type="dcterms:W3CDTF">2022-05-02T23:14:26Z</dcterms:modified>
</cp:coreProperties>
</file>