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Tareas 50GB II\Ingenieria economica\"/>
    </mc:Choice>
  </mc:AlternateContent>
  <xr:revisionPtr revIDLastSave="0" documentId="13_ncr:1_{4E9DA8FD-28F5-43D0-B465-5343A2395A4A}" xr6:coauthVersionLast="47" xr6:coauthVersionMax="47" xr10:uidLastSave="{00000000-0000-0000-0000-000000000000}"/>
  <bookViews>
    <workbookView xWindow="28680" yWindow="-2580" windowWidth="29040" windowHeight="15840" xr2:uid="{9D3A8434-7F4E-4699-8F45-E987F52116EF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" i="1" l="1"/>
  <c r="C51" i="3"/>
  <c r="E51" i="3"/>
  <c r="D51" i="3"/>
  <c r="E52" i="3"/>
  <c r="D52" i="3"/>
  <c r="E36" i="3"/>
  <c r="E37" i="3" s="1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C52" i="3"/>
  <c r="J33" i="3"/>
  <c r="J34" i="3"/>
  <c r="M32" i="3"/>
  <c r="M31" i="3"/>
  <c r="C50" i="3"/>
  <c r="C36" i="3"/>
  <c r="C37" i="3" s="1"/>
  <c r="E38" i="3" l="1"/>
  <c r="E39" i="3" s="1"/>
  <c r="E40" i="3" s="1"/>
  <c r="E41" i="3" s="1"/>
  <c r="E42" i="3" s="1"/>
  <c r="E43" i="3" s="1"/>
  <c r="E44" i="3" s="1"/>
  <c r="C38" i="3"/>
  <c r="C39" i="3" s="1"/>
  <c r="D50" i="3"/>
  <c r="E50" i="3"/>
  <c r="F32" i="2" l="1"/>
  <c r="E32" i="2"/>
  <c r="D32" i="2"/>
  <c r="C32" i="2"/>
  <c r="D28" i="2"/>
  <c r="E28" i="2"/>
  <c r="F28" i="2"/>
  <c r="C28" i="2"/>
  <c r="D27" i="2"/>
  <c r="E27" i="2"/>
  <c r="F27" i="2"/>
  <c r="C27" i="2"/>
  <c r="L28" i="1" l="1"/>
  <c r="L37" i="1"/>
  <c r="L26" i="1"/>
  <c r="L24" i="1"/>
  <c r="L27" i="1" s="1"/>
  <c r="L23" i="1"/>
  <c r="L35" i="1"/>
  <c r="L36" i="1" s="1"/>
  <c r="L38" i="1"/>
  <c r="L34" i="1"/>
  <c r="L39" i="1" l="1"/>
  <c r="L40" i="1" s="1"/>
  <c r="L41" i="1" s="1"/>
  <c r="L29" i="1"/>
  <c r="L30" i="1" s="1"/>
  <c r="L25" i="1"/>
  <c r="D25" i="1"/>
  <c r="D26" i="1"/>
  <c r="D27" i="1"/>
  <c r="E26" i="1"/>
</calcChain>
</file>

<file path=xl/sharedStrings.xml><?xml version="1.0" encoding="utf-8"?>
<sst xmlns="http://schemas.openxmlformats.org/spreadsheetml/2006/main" count="75" uniqueCount="63">
  <si>
    <t>Componente 1</t>
  </si>
  <si>
    <t>Componente 2</t>
  </si>
  <si>
    <t>Dato</t>
  </si>
  <si>
    <t>Precio unitario</t>
  </si>
  <si>
    <t>Equipo de fabriacacion</t>
  </si>
  <si>
    <t>mano de obra y costos de operación por año</t>
  </si>
  <si>
    <t>valor de recate</t>
  </si>
  <si>
    <t>Revision luego de 3 años</t>
  </si>
  <si>
    <t>al año</t>
  </si>
  <si>
    <t>año 5</t>
  </si>
  <si>
    <t>ingreso</t>
  </si>
  <si>
    <t>año</t>
  </si>
  <si>
    <t>Ingresos</t>
  </si>
  <si>
    <t>Gastos</t>
  </si>
  <si>
    <t>al 3 año</t>
  </si>
  <si>
    <t>año 0</t>
  </si>
  <si>
    <t>VPN</t>
  </si>
  <si>
    <t>VA</t>
  </si>
  <si>
    <t>VP</t>
  </si>
  <si>
    <t>inversion inicial</t>
  </si>
  <si>
    <t>inversion inicial al año</t>
  </si>
  <si>
    <t>Costo anual al año</t>
  </si>
  <si>
    <t>Beneficios al año</t>
  </si>
  <si>
    <t>Valor de recate</t>
  </si>
  <si>
    <t>valor de recate anual</t>
  </si>
  <si>
    <t>Valor anual de beneficios</t>
  </si>
  <si>
    <t>Valor anual de costos</t>
  </si>
  <si>
    <t>C vs Na</t>
  </si>
  <si>
    <t>D vs Na</t>
  </si>
  <si>
    <t>A vs D</t>
  </si>
  <si>
    <t>No</t>
  </si>
  <si>
    <t>Sí</t>
  </si>
  <si>
    <t>Alternativa Elegida</t>
  </si>
  <si>
    <t>NA</t>
  </si>
  <si>
    <t>D</t>
  </si>
  <si>
    <t>Alternativa Eliminada</t>
  </si>
  <si>
    <t>B</t>
  </si>
  <si>
    <t>C</t>
  </si>
  <si>
    <t>A</t>
  </si>
  <si>
    <t>Op A</t>
  </si>
  <si>
    <t>Opa B</t>
  </si>
  <si>
    <t>Op C</t>
  </si>
  <si>
    <t>Op D</t>
  </si>
  <si>
    <t>Comparacion</t>
  </si>
  <si>
    <t>B vs nada</t>
  </si>
  <si>
    <t>Análisis incremental</t>
  </si>
  <si>
    <t>Justifica el retador?</t>
  </si>
  <si>
    <t>Costo de fabricacion = VP1 + VP2 - CV</t>
  </si>
  <si>
    <t>FNE DE CADA ALTERNATIVA</t>
  </si>
  <si>
    <t>AÑOS</t>
  </si>
  <si>
    <t>TIR</t>
  </si>
  <si>
    <t>Deuda</t>
  </si>
  <si>
    <t>Capítal</t>
  </si>
  <si>
    <t>Tmar</t>
  </si>
  <si>
    <t>Capital propio</t>
  </si>
  <si>
    <t>Capital de Deuda</t>
  </si>
  <si>
    <t>Dividendos</t>
  </si>
  <si>
    <t>OPCIÓN Z</t>
  </si>
  <si>
    <t>OPCIÓN U</t>
  </si>
  <si>
    <t>OPCIÓN W</t>
  </si>
  <si>
    <t xml:space="preserve"> </t>
  </si>
  <si>
    <t>Unidades</t>
  </si>
  <si>
    <t>150k = unidades * 5 / 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</si>
</sst>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Q&quot;#,##0.00;[Red]\-&quot;Q&quot;#,##0.00"/>
    <numFmt numFmtId="44" formatCode="_-&quot;Q&quot;* #,##0.00_-;\-&quot;Q&quot;* #,##0.00_-;_-&quot;Q&quot;* &quot;-&quot;??_-;_-@_-"/>
    <numFmt numFmtId="164" formatCode="_-[$$-540A]* #,##0.00_ ;_-[$$-540A]* \-#,##0.00\ ;_-[$$-540A]* &quot;-&quot;??_ ;_-@_ "/>
    <numFmt numFmtId="167" formatCode="_-&quot;Q&quot;* #,##0.00_-;\-&quot;Q&quot;* #,##0.00_-;_-&quot;Q&quot;* &quot;-&quot;??_-;_-@_-"/>
    <numFmt numFmtId="169" formatCode="_-[$Q-100A]* #,##0.00_-;\-[$Q-100A]* #,##0.00_-;_-[$Q-100A]* &quot;-&quot;??_-;_-@_-"/>
    <numFmt numFmtId="170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0" fontId="0" fillId="0" borderId="1" xfId="0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1" xfId="3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2" fillId="3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169" fontId="2" fillId="2" borderId="0" xfId="0" applyNumberFormat="1" applyFont="1" applyFill="1"/>
    <xf numFmtId="170" fontId="2" fillId="0" borderId="0" xfId="2" applyNumberFormat="1" applyFont="1" applyFill="1" applyAlignment="1">
      <alignment horizontal="center"/>
    </xf>
    <xf numFmtId="169" fontId="0" fillId="0" borderId="0" xfId="1" applyNumberFormat="1" applyFont="1"/>
    <xf numFmtId="10" fontId="2" fillId="0" borderId="0" xfId="2" applyNumberFormat="1" applyFont="1" applyFill="1" applyAlignment="1">
      <alignment horizontal="center"/>
    </xf>
    <xf numFmtId="10" fontId="0" fillId="0" borderId="0" xfId="0" applyNumberFormat="1"/>
    <xf numFmtId="10" fontId="0" fillId="0" borderId="0" xfId="2" applyNumberFormat="1" applyFont="1"/>
  </cellXfs>
  <cellStyles count="4">
    <cellStyle name="Moneda" xfId="1" builtinId="4"/>
    <cellStyle name="Moneda 2" xfId="3" xr:uid="{A42576EB-5390-428D-93FE-291482DCA16A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253365</xdr:colOff>
      <xdr:row>1</xdr:row>
      <xdr:rowOff>19050</xdr:rowOff>
    </xdr:from>
    <xdr:to>
      <xdr:col>6</xdr:col>
      <xdr:colOff>287655</xdr:colOff>
      <xdr:row>18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A49685-58A0-4091-861D-88EE65C2E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" y="200025"/>
          <a:ext cx="6136005" cy="3133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790574</xdr:colOff>
      <xdr:row>0</xdr:row>
      <xdr:rowOff>180974</xdr:rowOff>
    </xdr:from>
    <xdr:to>
      <xdr:col>7</xdr:col>
      <xdr:colOff>512406</xdr:colOff>
      <xdr:row>16</xdr:row>
      <xdr:rowOff>99059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7A7976-CA29-449B-B6B9-1FEBEBDB1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4" y="180974"/>
          <a:ext cx="6444577" cy="2809875"/>
        </a:xfrm>
        <a:prstGeom prst="rect">
          <a:avLst/>
        </a:prstGeom>
      </xdr:spPr>
    </xdr:pic>
    <xdr:clientData/>
  </xdr:twoCellAnchor>
  <xdr:twoCellAnchor>
    <xdr:from>
      <xdr:col>1</xdr:col>
      <xdr:colOff>17145</xdr:colOff>
      <xdr:row>35</xdr:row>
      <xdr:rowOff>140970</xdr:rowOff>
    </xdr:from>
    <xdr:to>
      <xdr:col>4</xdr:col>
      <xdr:colOff>306229</xdr:colOff>
      <xdr:row>38</xdr:row>
      <xdr:rowOff>105251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C9BF5A9-A28C-496B-B9C4-4D9EE60EC8FB}"/>
            </a:ext>
          </a:extLst>
        </xdr:cNvPr>
        <xdr:cNvSpPr txBox="1"/>
      </xdr:nvSpPr>
      <xdr:spPr>
        <a:xfrm>
          <a:off x="807720" y="6475095"/>
          <a:ext cx="3794284" cy="50720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0">
              <a:solidFill>
                <a:sysClr val="windowText" lastClr="000000"/>
              </a:solidFill>
            </a:rPr>
            <a:t>Se debe elegir la opcion D ya que deja una mayor</a:t>
          </a:r>
          <a:r>
            <a:rPr lang="es-GT" sz="1100" b="0" baseline="0">
              <a:solidFill>
                <a:sysClr val="windowText" lastClr="000000"/>
              </a:solidFill>
            </a:rPr>
            <a:t> ganancia que sus contrapartes, comprobado en el analisis B/C.</a:t>
          </a:r>
          <a:endParaRPr lang="es-GT" sz="1100" b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647700</xdr:colOff>
      <xdr:row>28</xdr:row>
      <xdr:rowOff>168400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2963D8-B966-4797-86CC-AC96B1E9C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180975"/>
          <a:ext cx="6429375" cy="5043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83BD-6BBC-4A22-AD01-E5930785373C}">
  <dimension ref="C21:P41"/>
  <sheetViews>
    <sheetView tabSelected="1" topLeftCell="D6" zoomScale="145" zoomScaleNormal="145" workbookViewId="0">
      <selection activeCell="O25" sqref="O25"/>
    </sheetView>
  </sheetViews>
  <sheetFormatPr baseColWidth="10" defaultRowHeight="14.4" x14ac:dyDescent="0.3"/>
  <cols>
    <col min="3" max="3" width="39.33203125" bestFit="1" customWidth="1"/>
    <col min="4" max="4" width="13.6640625" bestFit="1" customWidth="1"/>
    <col min="5" max="5" width="12.6640625" bestFit="1" customWidth="1"/>
    <col min="12" max="12" width="13.5546875" bestFit="1" customWidth="1"/>
  </cols>
  <sheetData>
    <row r="21" spans="3:16" x14ac:dyDescent="0.3">
      <c r="L21" t="s">
        <v>0</v>
      </c>
      <c r="O21" t="s">
        <v>47</v>
      </c>
    </row>
    <row r="22" spans="3:16" x14ac:dyDescent="0.3">
      <c r="C22" t="s">
        <v>2</v>
      </c>
      <c r="D22" t="s">
        <v>0</v>
      </c>
      <c r="E22" t="s">
        <v>1</v>
      </c>
      <c r="J22" t="s">
        <v>11</v>
      </c>
      <c r="K22" t="s">
        <v>12</v>
      </c>
      <c r="L22" t="s">
        <v>13</v>
      </c>
      <c r="O22" t="s">
        <v>60</v>
      </c>
    </row>
    <row r="23" spans="3:16" x14ac:dyDescent="0.3">
      <c r="C23" t="s">
        <v>3</v>
      </c>
      <c r="D23" s="1">
        <v>25</v>
      </c>
      <c r="E23" s="1">
        <v>5</v>
      </c>
      <c r="F23" t="s">
        <v>10</v>
      </c>
      <c r="J23">
        <v>0</v>
      </c>
      <c r="L23" s="2">
        <f>D24</f>
        <v>0</v>
      </c>
    </row>
    <row r="24" spans="3:16" x14ac:dyDescent="0.3">
      <c r="C24" t="s">
        <v>4</v>
      </c>
      <c r="D24" s="1">
        <v>0</v>
      </c>
      <c r="E24" s="1">
        <v>150000</v>
      </c>
      <c r="F24" t="s">
        <v>15</v>
      </c>
      <c r="J24">
        <v>1</v>
      </c>
      <c r="L24" s="2">
        <f>-D25</f>
        <v>-35000</v>
      </c>
      <c r="O24" t="s">
        <v>62</v>
      </c>
    </row>
    <row r="25" spans="3:16" x14ac:dyDescent="0.3">
      <c r="C25" t="s">
        <v>5</v>
      </c>
      <c r="D25" s="1">
        <f t="shared" ref="D25:D27" si="0">E25</f>
        <v>35000</v>
      </c>
      <c r="E25" s="1">
        <v>35000</v>
      </c>
      <c r="F25" t="s">
        <v>8</v>
      </c>
      <c r="J25">
        <v>2</v>
      </c>
      <c r="L25" s="2">
        <f>L24</f>
        <v>-35000</v>
      </c>
      <c r="O25">
        <f>(150000/5)*365</f>
        <v>10950000</v>
      </c>
      <c r="P25" t="s">
        <v>61</v>
      </c>
    </row>
    <row r="26" spans="3:16" x14ac:dyDescent="0.3">
      <c r="C26" t="s">
        <v>6</v>
      </c>
      <c r="D26" s="1">
        <f t="shared" si="0"/>
        <v>15000</v>
      </c>
      <c r="E26" s="1">
        <f>E24*0.1</f>
        <v>15000</v>
      </c>
      <c r="F26" t="s">
        <v>9</v>
      </c>
      <c r="J26">
        <v>3</v>
      </c>
      <c r="L26" s="2">
        <f>L25-D27</f>
        <v>-38750</v>
      </c>
    </row>
    <row r="27" spans="3:16" x14ac:dyDescent="0.3">
      <c r="C27" t="s">
        <v>7</v>
      </c>
      <c r="D27" s="1">
        <f t="shared" si="0"/>
        <v>3750</v>
      </c>
      <c r="E27" s="1">
        <v>3750</v>
      </c>
      <c r="F27" t="s">
        <v>14</v>
      </c>
      <c r="J27">
        <v>4</v>
      </c>
      <c r="L27" s="2">
        <f>L24</f>
        <v>-35000</v>
      </c>
    </row>
    <row r="28" spans="3:16" x14ac:dyDescent="0.3">
      <c r="D28" s="1"/>
      <c r="E28" s="1"/>
      <c r="J28">
        <v>5</v>
      </c>
      <c r="L28" s="2">
        <f>L27+D26</f>
        <v>-20000</v>
      </c>
    </row>
    <row r="29" spans="3:16" x14ac:dyDescent="0.3">
      <c r="K29" t="s">
        <v>17</v>
      </c>
      <c r="L29" s="2">
        <f>NPV(12%,L24:L28)+L23</f>
        <v>-120324.94017559645</v>
      </c>
    </row>
    <row r="30" spans="3:16" x14ac:dyDescent="0.3">
      <c r="K30" t="s">
        <v>18</v>
      </c>
      <c r="L30" s="3">
        <f>PMT(12%,J28,L29)</f>
        <v>33379.309399934958</v>
      </c>
    </row>
    <row r="32" spans="3:16" x14ac:dyDescent="0.3">
      <c r="L32" t="s">
        <v>1</v>
      </c>
    </row>
    <row r="33" spans="10:12" x14ac:dyDescent="0.3">
      <c r="J33" t="s">
        <v>11</v>
      </c>
      <c r="K33" t="s">
        <v>12</v>
      </c>
      <c r="L33" t="s">
        <v>13</v>
      </c>
    </row>
    <row r="34" spans="10:12" x14ac:dyDescent="0.3">
      <c r="J34">
        <v>0</v>
      </c>
      <c r="L34" s="2">
        <f>-E24</f>
        <v>-150000</v>
      </c>
    </row>
    <row r="35" spans="10:12" x14ac:dyDescent="0.3">
      <c r="J35">
        <v>1</v>
      </c>
      <c r="L35" s="2">
        <f>-E25</f>
        <v>-35000</v>
      </c>
    </row>
    <row r="36" spans="10:12" x14ac:dyDescent="0.3">
      <c r="J36">
        <v>2</v>
      </c>
      <c r="L36" s="2">
        <f>L35</f>
        <v>-35000</v>
      </c>
    </row>
    <row r="37" spans="10:12" x14ac:dyDescent="0.3">
      <c r="J37">
        <v>3</v>
      </c>
      <c r="L37" s="2">
        <f>L36-E27</f>
        <v>-38750</v>
      </c>
    </row>
    <row r="38" spans="10:12" x14ac:dyDescent="0.3">
      <c r="J38">
        <v>4</v>
      </c>
      <c r="L38" s="2">
        <f>L35</f>
        <v>-35000</v>
      </c>
    </row>
    <row r="39" spans="10:12" x14ac:dyDescent="0.3">
      <c r="J39">
        <v>5</v>
      </c>
      <c r="L39" s="2">
        <f>L38+E26</f>
        <v>-20000</v>
      </c>
    </row>
    <row r="40" spans="10:12" x14ac:dyDescent="0.3">
      <c r="K40" t="s">
        <v>17</v>
      </c>
      <c r="L40" s="2">
        <f>NPV(12%,L35:L39)+L34</f>
        <v>-270324.94017559645</v>
      </c>
    </row>
    <row r="41" spans="10:12" x14ac:dyDescent="0.3">
      <c r="K41" t="s">
        <v>18</v>
      </c>
      <c r="L41" s="3">
        <f>PMT(12%,J39,L40)</f>
        <v>74990.769191092302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4957-5B7B-4D9D-A498-CD06345E0C07}">
  <dimension ref="B19:L36"/>
  <sheetViews>
    <sheetView topLeftCell="A10" workbookViewId="0">
      <selection activeCell="G33" sqref="G33"/>
    </sheetView>
  </sheetViews>
  <sheetFormatPr baseColWidth="10" defaultRowHeight="14.4" x14ac:dyDescent="0.3"/>
  <cols>
    <col min="2" max="2" width="26.88671875" bestFit="1" customWidth="1"/>
    <col min="3" max="6" width="12.109375" bestFit="1" customWidth="1"/>
  </cols>
  <sheetData>
    <row r="19" spans="2:12" x14ac:dyDescent="0.3">
      <c r="B19" s="4"/>
      <c r="C19" s="5" t="s">
        <v>39</v>
      </c>
      <c r="D19" s="5" t="s">
        <v>40</v>
      </c>
      <c r="E19" s="5" t="s">
        <v>41</v>
      </c>
      <c r="F19" s="5" t="s">
        <v>42</v>
      </c>
    </row>
    <row r="20" spans="2:12" x14ac:dyDescent="0.3">
      <c r="B20" s="17" t="s">
        <v>19</v>
      </c>
      <c r="C20" s="11">
        <v>750000</v>
      </c>
      <c r="D20" s="11">
        <v>500000</v>
      </c>
      <c r="E20" s="11">
        <v>600000</v>
      </c>
      <c r="F20" s="11">
        <v>650000</v>
      </c>
    </row>
    <row r="21" spans="2:12" x14ac:dyDescent="0.3">
      <c r="B21" s="17" t="s">
        <v>20</v>
      </c>
      <c r="C21" s="11">
        <v>301586.10271903331</v>
      </c>
      <c r="D21" s="11">
        <v>201057.40181268888</v>
      </c>
      <c r="E21" s="11">
        <v>241268.88217522667</v>
      </c>
      <c r="F21" s="11">
        <v>261374.62235649556</v>
      </c>
    </row>
    <row r="22" spans="2:12" x14ac:dyDescent="0.3">
      <c r="B22" s="17" t="s">
        <v>21</v>
      </c>
      <c r="C22" s="11">
        <v>300000</v>
      </c>
      <c r="D22" s="11">
        <v>350000</v>
      </c>
      <c r="E22" s="11">
        <v>300000</v>
      </c>
      <c r="F22" s="11">
        <v>275000</v>
      </c>
    </row>
    <row r="23" spans="2:12" x14ac:dyDescent="0.3">
      <c r="B23" s="17" t="s">
        <v>22</v>
      </c>
      <c r="C23" s="11">
        <v>610000</v>
      </c>
      <c r="D23" s="11">
        <v>450000</v>
      </c>
      <c r="E23" s="11">
        <v>460000</v>
      </c>
      <c r="F23" s="11">
        <v>580000</v>
      </c>
    </row>
    <row r="24" spans="2:12" x14ac:dyDescent="0.3">
      <c r="B24" s="17" t="s">
        <v>23</v>
      </c>
      <c r="C24" s="11">
        <v>120000</v>
      </c>
      <c r="D24" s="11">
        <v>70000</v>
      </c>
      <c r="E24" s="11">
        <v>85000</v>
      </c>
      <c r="F24" s="11">
        <v>95000</v>
      </c>
    </row>
    <row r="25" spans="2:12" x14ac:dyDescent="0.3">
      <c r="B25" s="17" t="s">
        <v>24</v>
      </c>
      <c r="C25" s="11">
        <v>36253.776435045329</v>
      </c>
      <c r="D25" s="11">
        <v>21148.036253776445</v>
      </c>
      <c r="E25" s="11">
        <v>25679.75830815711</v>
      </c>
      <c r="F25" s="11">
        <v>28700.906344410883</v>
      </c>
    </row>
    <row r="27" spans="2:12" x14ac:dyDescent="0.3">
      <c r="B27" s="6" t="s">
        <v>25</v>
      </c>
      <c r="C27" s="14">
        <f>C23</f>
        <v>610000</v>
      </c>
      <c r="D27" s="14">
        <f t="shared" ref="D27:F27" si="0">D23</f>
        <v>450000</v>
      </c>
      <c r="E27" s="14">
        <f t="shared" si="0"/>
        <v>460000</v>
      </c>
      <c r="F27" s="14">
        <f t="shared" si="0"/>
        <v>580000</v>
      </c>
    </row>
    <row r="28" spans="2:12" x14ac:dyDescent="0.3">
      <c r="B28" s="6" t="s">
        <v>26</v>
      </c>
      <c r="C28" s="14">
        <f>C22+C21-C25</f>
        <v>565332.32628398808</v>
      </c>
      <c r="D28" s="14">
        <f t="shared" ref="D28:F28" si="1">D22+D21-D25</f>
        <v>529909.36555891251</v>
      </c>
      <c r="E28" s="14">
        <f t="shared" si="1"/>
        <v>515589.1238670696</v>
      </c>
      <c r="F28" s="14">
        <f t="shared" si="1"/>
        <v>507673.71601208468</v>
      </c>
    </row>
    <row r="31" spans="2:12" x14ac:dyDescent="0.3">
      <c r="B31" s="16" t="s">
        <v>43</v>
      </c>
      <c r="C31" s="12" t="s">
        <v>44</v>
      </c>
      <c r="D31" s="12" t="s">
        <v>27</v>
      </c>
      <c r="E31" s="12" t="s">
        <v>28</v>
      </c>
      <c r="F31" s="12" t="s">
        <v>29</v>
      </c>
      <c r="G31" s="7"/>
      <c r="H31" s="7"/>
      <c r="I31" s="7"/>
      <c r="J31" s="7"/>
      <c r="K31" s="7"/>
      <c r="L31" s="7"/>
    </row>
    <row r="32" spans="2:12" x14ac:dyDescent="0.3">
      <c r="B32" s="10" t="s">
        <v>45</v>
      </c>
      <c r="C32" s="15">
        <f>(D27-0)/(D28-0)</f>
        <v>0.84920182440136815</v>
      </c>
      <c r="D32" s="15">
        <f>(E27-0)/(E28-0)</f>
        <v>0.89218328840970329</v>
      </c>
      <c r="E32" s="15">
        <f>(F27-0)/(F28-0)</f>
        <v>1.1424660795048796</v>
      </c>
      <c r="F32" s="15">
        <f>(C27-F27)/(C28-F28)</f>
        <v>0.52030390358920553</v>
      </c>
      <c r="G32" s="7"/>
      <c r="H32" s="7"/>
      <c r="I32" s="7"/>
      <c r="J32" s="7"/>
      <c r="K32" s="7"/>
      <c r="L32" s="7"/>
    </row>
    <row r="33" spans="2:12" x14ac:dyDescent="0.3">
      <c r="B33" s="10" t="s">
        <v>46</v>
      </c>
      <c r="C33" s="9" t="s">
        <v>30</v>
      </c>
      <c r="D33" s="9" t="s">
        <v>30</v>
      </c>
      <c r="E33" s="9" t="s">
        <v>31</v>
      </c>
      <c r="F33" s="9" t="s">
        <v>30</v>
      </c>
      <c r="G33" s="7"/>
      <c r="H33" s="7"/>
      <c r="I33" s="7"/>
      <c r="J33" s="7"/>
      <c r="K33" s="7"/>
      <c r="L33" s="7"/>
    </row>
    <row r="34" spans="2:12" x14ac:dyDescent="0.3">
      <c r="B34" s="10" t="s">
        <v>32</v>
      </c>
      <c r="C34" s="9" t="s">
        <v>33</v>
      </c>
      <c r="D34" s="9" t="s">
        <v>33</v>
      </c>
      <c r="E34" s="9" t="s">
        <v>34</v>
      </c>
      <c r="F34" s="13" t="s">
        <v>34</v>
      </c>
      <c r="G34" s="7"/>
      <c r="H34" s="7"/>
      <c r="I34" s="7"/>
      <c r="J34" s="7"/>
      <c r="K34" s="7"/>
      <c r="L34" s="7"/>
    </row>
    <row r="35" spans="2:12" x14ac:dyDescent="0.3">
      <c r="B35" s="10" t="s">
        <v>35</v>
      </c>
      <c r="C35" s="9" t="s">
        <v>36</v>
      </c>
      <c r="D35" s="9" t="s">
        <v>37</v>
      </c>
      <c r="E35" s="9" t="s">
        <v>33</v>
      </c>
      <c r="F35" s="9" t="s">
        <v>38</v>
      </c>
      <c r="G35" s="7"/>
      <c r="H35" s="7"/>
      <c r="I35" s="7"/>
      <c r="J35" s="7"/>
      <c r="K35" s="7"/>
      <c r="L35" s="7"/>
    </row>
    <row r="36" spans="2:12" x14ac:dyDescent="0.3">
      <c r="B36" s="7"/>
      <c r="C36" s="9"/>
      <c r="D36" s="9"/>
      <c r="E36" s="9"/>
      <c r="F36" s="9"/>
      <c r="G36" s="7"/>
      <c r="H36" s="7"/>
      <c r="I36" s="7"/>
      <c r="J36" s="7"/>
      <c r="K36" s="7"/>
      <c r="L36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BC29-AD59-4C0C-8826-60087C17705A}">
  <dimension ref="B31:M52"/>
  <sheetViews>
    <sheetView topLeftCell="A22" workbookViewId="0">
      <selection activeCell="G50" sqref="G50"/>
    </sheetView>
  </sheetViews>
  <sheetFormatPr baseColWidth="10" defaultRowHeight="14.4" x14ac:dyDescent="0.3"/>
  <cols>
    <col min="3" max="4" width="12.77734375" bestFit="1" customWidth="1"/>
    <col min="5" max="5" width="12.6640625" bestFit="1" customWidth="1"/>
    <col min="11" max="12" width="15.6640625" bestFit="1" customWidth="1"/>
  </cols>
  <sheetData>
    <row r="31" spans="2:13" x14ac:dyDescent="0.3">
      <c r="L31" t="s">
        <v>54</v>
      </c>
      <c r="M31" s="24">
        <f>(5/25)+M33</f>
        <v>0.23</v>
      </c>
    </row>
    <row r="32" spans="2:13" x14ac:dyDescent="0.3">
      <c r="B32" s="7"/>
      <c r="C32" s="18" t="s">
        <v>48</v>
      </c>
      <c r="D32" s="18"/>
      <c r="E32" s="18"/>
      <c r="L32" t="s">
        <v>55</v>
      </c>
      <c r="M32" s="25">
        <f>((1+10%/4)^4)-1</f>
        <v>0.10381289062499977</v>
      </c>
    </row>
    <row r="33" spans="2:13" x14ac:dyDescent="0.3">
      <c r="B33" s="19" t="s">
        <v>49</v>
      </c>
      <c r="C33" s="19" t="s">
        <v>57</v>
      </c>
      <c r="D33" s="19" t="s">
        <v>58</v>
      </c>
      <c r="E33" s="19" t="s">
        <v>59</v>
      </c>
      <c r="H33" t="s">
        <v>52</v>
      </c>
      <c r="I33" s="8">
        <v>0.3</v>
      </c>
      <c r="J33" s="24">
        <f>M31</f>
        <v>0.23</v>
      </c>
      <c r="L33" t="s">
        <v>56</v>
      </c>
      <c r="M33" s="8">
        <v>0.03</v>
      </c>
    </row>
    <row r="34" spans="2:13" x14ac:dyDescent="0.3">
      <c r="B34" s="9">
        <v>0</v>
      </c>
      <c r="C34" s="22">
        <v>100000</v>
      </c>
      <c r="D34" s="22">
        <v>400000</v>
      </c>
      <c r="E34" s="22">
        <v>100000</v>
      </c>
      <c r="H34" t="s">
        <v>51</v>
      </c>
      <c r="I34" s="8">
        <v>0.7</v>
      </c>
      <c r="J34" s="24">
        <f>M32</f>
        <v>0.10381289062499977</v>
      </c>
    </row>
    <row r="35" spans="2:13" x14ac:dyDescent="0.3">
      <c r="B35" s="9">
        <v>1</v>
      </c>
      <c r="C35" s="22">
        <v>-50000</v>
      </c>
      <c r="D35" s="22">
        <f>-25000</f>
        <v>-25000</v>
      </c>
      <c r="E35" s="22">
        <v>-25000</v>
      </c>
    </row>
    <row r="36" spans="2:13" x14ac:dyDescent="0.3">
      <c r="B36" s="9">
        <v>2</v>
      </c>
      <c r="C36" s="22">
        <f>C35*0.95</f>
        <v>-47500</v>
      </c>
      <c r="D36" s="22">
        <f t="shared" ref="D36:D49" si="0">-25000</f>
        <v>-25000</v>
      </c>
      <c r="E36" s="22">
        <f>E35-10000</f>
        <v>-35000</v>
      </c>
    </row>
    <row r="37" spans="2:13" x14ac:dyDescent="0.3">
      <c r="B37" s="9">
        <v>3</v>
      </c>
      <c r="C37" s="22">
        <f t="shared" ref="C37:C39" si="1">C36*0.95</f>
        <v>-45125</v>
      </c>
      <c r="D37" s="22">
        <f t="shared" si="0"/>
        <v>-25000</v>
      </c>
      <c r="E37" s="22">
        <f t="shared" ref="E37:E44" si="2">E36-10000</f>
        <v>-45000</v>
      </c>
    </row>
    <row r="38" spans="2:13" x14ac:dyDescent="0.3">
      <c r="B38" s="9">
        <v>4</v>
      </c>
      <c r="C38" s="22">
        <f t="shared" si="1"/>
        <v>-42868.75</v>
      </c>
      <c r="D38" s="22">
        <f t="shared" si="0"/>
        <v>-25000</v>
      </c>
      <c r="E38" s="22">
        <f t="shared" si="2"/>
        <v>-55000</v>
      </c>
    </row>
    <row r="39" spans="2:13" x14ac:dyDescent="0.3">
      <c r="B39" s="9">
        <v>5</v>
      </c>
      <c r="C39" s="22">
        <f t="shared" si="1"/>
        <v>-40725.3125</v>
      </c>
      <c r="D39" s="22">
        <f t="shared" si="0"/>
        <v>-25000</v>
      </c>
      <c r="E39" s="22">
        <f t="shared" si="2"/>
        <v>-65000</v>
      </c>
    </row>
    <row r="40" spans="2:13" x14ac:dyDescent="0.3">
      <c r="B40" s="9">
        <v>6</v>
      </c>
      <c r="D40" s="22">
        <f t="shared" si="0"/>
        <v>-25000</v>
      </c>
      <c r="E40" s="22">
        <f t="shared" si="2"/>
        <v>-75000</v>
      </c>
    </row>
    <row r="41" spans="2:13" x14ac:dyDescent="0.3">
      <c r="B41" s="9">
        <v>7</v>
      </c>
      <c r="D41" s="22">
        <f t="shared" si="0"/>
        <v>-25000</v>
      </c>
      <c r="E41" s="22">
        <f t="shared" si="2"/>
        <v>-85000</v>
      </c>
    </row>
    <row r="42" spans="2:13" x14ac:dyDescent="0.3">
      <c r="B42" s="9">
        <v>8</v>
      </c>
      <c r="D42" s="22">
        <f t="shared" si="0"/>
        <v>-25000</v>
      </c>
      <c r="E42" s="22">
        <f t="shared" si="2"/>
        <v>-95000</v>
      </c>
    </row>
    <row r="43" spans="2:13" x14ac:dyDescent="0.3">
      <c r="B43" s="9">
        <v>9</v>
      </c>
      <c r="D43" s="22">
        <f t="shared" si="0"/>
        <v>-25000</v>
      </c>
      <c r="E43" s="22">
        <f t="shared" si="2"/>
        <v>-105000</v>
      </c>
    </row>
    <row r="44" spans="2:13" x14ac:dyDescent="0.3">
      <c r="B44" s="9">
        <v>10</v>
      </c>
      <c r="D44" s="22">
        <f t="shared" si="0"/>
        <v>-25000</v>
      </c>
      <c r="E44" s="22">
        <f t="shared" si="2"/>
        <v>-115000</v>
      </c>
    </row>
    <row r="45" spans="2:13" x14ac:dyDescent="0.3">
      <c r="B45" s="9">
        <v>11</v>
      </c>
      <c r="D45" s="22">
        <f t="shared" si="0"/>
        <v>-25000</v>
      </c>
      <c r="E45" s="22">
        <v>0</v>
      </c>
    </row>
    <row r="46" spans="2:13" x14ac:dyDescent="0.3">
      <c r="B46" s="9">
        <v>12</v>
      </c>
      <c r="D46" s="22">
        <f t="shared" si="0"/>
        <v>-25000</v>
      </c>
      <c r="E46" s="22">
        <v>0</v>
      </c>
    </row>
    <row r="47" spans="2:13" x14ac:dyDescent="0.3">
      <c r="B47" s="9">
        <v>13</v>
      </c>
      <c r="D47" s="22">
        <f t="shared" si="0"/>
        <v>-25000</v>
      </c>
      <c r="E47" s="22">
        <v>0</v>
      </c>
    </row>
    <row r="48" spans="2:13" x14ac:dyDescent="0.3">
      <c r="B48" s="9">
        <v>14</v>
      </c>
      <c r="D48" s="22">
        <f t="shared" si="0"/>
        <v>-25000</v>
      </c>
      <c r="E48" s="22">
        <v>0</v>
      </c>
    </row>
    <row r="49" spans="2:5" x14ac:dyDescent="0.3">
      <c r="B49" s="9">
        <v>15</v>
      </c>
      <c r="D49" s="22">
        <f t="shared" si="0"/>
        <v>-25000</v>
      </c>
      <c r="E49" s="22">
        <v>0</v>
      </c>
    </row>
    <row r="50" spans="2:5" x14ac:dyDescent="0.3">
      <c r="B50" s="13" t="s">
        <v>16</v>
      </c>
      <c r="C50" s="20">
        <f>NPV($H38,C35:C39)+C34</f>
        <v>-126219.0625</v>
      </c>
      <c r="D50" s="20">
        <f>NPV($H38,D35:D38)+D34</f>
        <v>300000</v>
      </c>
      <c r="E50" s="20">
        <f>NPV($H38,E35:E38)+E34</f>
        <v>-60000</v>
      </c>
    </row>
    <row r="51" spans="2:5" x14ac:dyDescent="0.3">
      <c r="B51" s="12" t="s">
        <v>50</v>
      </c>
      <c r="C51" s="23">
        <f>IRR(C34:C39)</f>
        <v>0.36976660707555142</v>
      </c>
      <c r="D51" s="21">
        <f>IRR(D34:D49)</f>
        <v>-7.9609345025982714E-3</v>
      </c>
      <c r="E51" s="21">
        <f>IRR(E34:E44)</f>
        <v>0.43897973096306808</v>
      </c>
    </row>
    <row r="52" spans="2:5" x14ac:dyDescent="0.3">
      <c r="B52" s="12" t="s">
        <v>53</v>
      </c>
      <c r="C52" s="25">
        <f>SUMPRODUCT(I33:I34,J33:J34)+0.02</f>
        <v>0.16166902343749981</v>
      </c>
      <c r="D52" s="25">
        <f>SUMPRODUCT(I33:I34,J33:J34)+0.02</f>
        <v>0.16166902343749981</v>
      </c>
      <c r="E52" s="25">
        <f>SUMPRODUCT(I33:I34,J33:J34)+0.02</f>
        <v>0.16166902343749981</v>
      </c>
    </row>
  </sheetData>
  <mergeCells count="1">
    <mergeCell ref="C32:E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Azurdia</dc:creator>
  <cp:lastModifiedBy>Azurdia</cp:lastModifiedBy>
  <dcterms:created xsi:type="dcterms:W3CDTF">2021-11-17T01:17:18Z</dcterms:created>
  <dcterms:modified xsi:type="dcterms:W3CDTF">2021-11-17T02:52:55Z</dcterms:modified>
</cp:coreProperties>
</file>