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A860837F-22A3-49D5-9C95-FD642C83E29E}" xr6:coauthVersionLast="47" xr6:coauthVersionMax="47" xr10:uidLastSave="{00000000-0000-0000-0000-000000000000}"/>
  <bookViews>
    <workbookView xWindow="-108" yWindow="-108" windowWidth="23256" windowHeight="12576" firstSheet="1" xr2:uid="{CB2AF819-E4C9-40C4-9D2C-3E3DF178BA87}"/>
  </bookViews>
  <sheets>
    <sheet name="Carátula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" i="2" l="1"/>
  <c r="U31" i="2"/>
  <c r="Q35" i="2"/>
  <c r="Q36" i="2"/>
  <c r="U9" i="2"/>
  <c r="AD11" i="2"/>
  <c r="AD12" i="2" s="1"/>
  <c r="AG17" i="2"/>
  <c r="AG18" i="2" s="1"/>
  <c r="Z15" i="2"/>
  <c r="Z13" i="2"/>
  <c r="AG19" i="2"/>
  <c r="AG20" i="2" s="1"/>
  <c r="P23" i="2"/>
  <c r="U23" i="2" s="1"/>
  <c r="S23" i="2"/>
  <c r="T23" i="2" s="1"/>
  <c r="AD10" i="2"/>
  <c r="O17" i="2"/>
  <c r="Y14" i="2" s="1"/>
  <c r="AD13" i="2"/>
  <c r="AD14" i="2" s="1"/>
  <c r="N28" i="2"/>
  <c r="N27" i="2"/>
  <c r="N26" i="2"/>
  <c r="O9" i="2"/>
  <c r="N25" i="2"/>
  <c r="Y13" i="2"/>
  <c r="Y12" i="2"/>
  <c r="N24" i="2"/>
  <c r="T15" i="2"/>
  <c r="R24" i="2" s="1"/>
  <c r="AA12" i="2"/>
  <c r="Q26" i="2" l="1"/>
  <c r="Q25" i="2"/>
  <c r="Q24" i="2"/>
  <c r="Q27" i="2"/>
  <c r="Z16" i="2"/>
  <c r="Z17" i="2"/>
  <c r="Z14" i="2"/>
  <c r="Q28" i="2"/>
  <c r="O24" i="2"/>
  <c r="Y15" i="2"/>
  <c r="Y16" i="2" s="1"/>
  <c r="Y17" i="2" s="1"/>
  <c r="AA14" i="2"/>
  <c r="AA15" i="2"/>
  <c r="AA16" i="2"/>
  <c r="AA17" i="2"/>
  <c r="AA13" i="2"/>
  <c r="R28" i="2"/>
  <c r="R27" i="2"/>
  <c r="R26" i="2"/>
  <c r="R25" i="2"/>
  <c r="S24" i="2"/>
  <c r="T24" i="2" s="1"/>
  <c r="X17" i="2"/>
  <c r="X16" i="2"/>
  <c r="X15" i="2"/>
  <c r="X14" i="2"/>
  <c r="X13" i="2"/>
  <c r="O25" i="2" l="1"/>
  <c r="P24" i="2"/>
  <c r="U24" i="2" s="1"/>
  <c r="S25" i="2"/>
  <c r="T25" i="2" s="1"/>
  <c r="P25" i="2" l="1"/>
  <c r="U25" i="2" s="1"/>
  <c r="O26" i="2"/>
  <c r="S26" i="2"/>
  <c r="T26" i="2" s="1"/>
  <c r="O27" i="2" l="1"/>
  <c r="P26" i="2"/>
  <c r="U26" i="2" s="1"/>
  <c r="S27" i="2"/>
  <c r="T27" i="2" s="1"/>
  <c r="S28" i="2"/>
  <c r="T28" i="2" s="1"/>
  <c r="T29" i="2" l="1"/>
  <c r="T30" i="2"/>
  <c r="P36" i="2"/>
  <c r="P35" i="2"/>
  <c r="S29" i="2"/>
  <c r="S31" i="2"/>
  <c r="T80" i="2"/>
  <c r="S30" i="2"/>
  <c r="S46" i="2"/>
  <c r="S47" i="2"/>
  <c r="S48" i="2"/>
  <c r="S49" i="2"/>
  <c r="S50" i="2"/>
  <c r="S51" i="2"/>
  <c r="S52" i="2"/>
  <c r="S53" i="2"/>
  <c r="S54" i="2"/>
  <c r="S45" i="2"/>
  <c r="O28" i="2"/>
  <c r="P28" i="2" s="1"/>
  <c r="U28" i="2" s="1"/>
  <c r="P27" i="2"/>
  <c r="U27" i="2" s="1"/>
  <c r="P29" i="2" l="1"/>
  <c r="O80" i="2"/>
  <c r="U29" i="2"/>
  <c r="U30" i="2"/>
  <c r="O46" i="2"/>
  <c r="O47" i="2"/>
  <c r="P30" i="2"/>
  <c r="O57" i="2"/>
  <c r="O56" i="2"/>
  <c r="O55" i="2"/>
  <c r="O54" i="2"/>
  <c r="O53" i="2"/>
  <c r="O52" i="2"/>
  <c r="O51" i="2"/>
  <c r="O50" i="2"/>
  <c r="O49" i="2"/>
  <c r="O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tc={023454E2-43C9-4B0F-8678-9D865FCC8D2B}</author>
  </authors>
  <commentList>
    <comment ref="O39" authorId="0" shapeId="0" xr:uid="{023454E2-43C9-4B0F-8678-9D865FCC8D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LELIGE AL RETADOR SI LA TIR INCREMENTAL &gt; TMAR
Respuesta:
    SE ELIGE AL RETADOR SI EL VPN INCREMENTAL ES POSITIVO</t>
      </text>
    </comment>
  </commentList>
</comments>
</file>

<file path=xl/sharedStrings.xml><?xml version="1.0" encoding="utf-8"?>
<sst xmlns="http://schemas.openxmlformats.org/spreadsheetml/2006/main" count="98" uniqueCount="71">
  <si>
    <t>Universidad Rafael Landívar</t>
  </si>
  <si>
    <t>Facultad de Ingeniería</t>
  </si>
  <si>
    <t>Ingeniería Economica, sección: 06</t>
  </si>
  <si>
    <t>Catedrática:</t>
  </si>
  <si>
    <t>Lic. Vanessa Paz</t>
  </si>
  <si>
    <t>Parcial No. 2</t>
  </si>
  <si>
    <t>Guatemala, 26 de octubre de 2021</t>
  </si>
  <si>
    <t>Ubicación 1</t>
  </si>
  <si>
    <t>Ubicación 2</t>
  </si>
  <si>
    <t>Costo construccion</t>
  </si>
  <si>
    <t>C. Mantenimiento</t>
  </si>
  <si>
    <t>1 anio</t>
  </si>
  <si>
    <t xml:space="preserve">anuales </t>
  </si>
  <si>
    <t>anio 2 -anio 5</t>
  </si>
  <si>
    <t>afluencia</t>
  </si>
  <si>
    <t>automoviles</t>
  </si>
  <si>
    <t>ingreso de automoviles al año</t>
  </si>
  <si>
    <t>automoviles mensuales</t>
  </si>
  <si>
    <t>x automovil</t>
  </si>
  <si>
    <t>UBICACIÓN 1</t>
  </si>
  <si>
    <t xml:space="preserve">AÑO </t>
  </si>
  <si>
    <t>Ingresos</t>
  </si>
  <si>
    <t xml:space="preserve">Gastos </t>
  </si>
  <si>
    <t>Gastos</t>
  </si>
  <si>
    <t>contrato alquiler teleco</t>
  </si>
  <si>
    <t>3 anios</t>
  </si>
  <si>
    <t>alguiler</t>
  </si>
  <si>
    <t>año 1</t>
  </si>
  <si>
    <t>incremento anio 2 al 4</t>
  </si>
  <si>
    <t>contrato al super</t>
  </si>
  <si>
    <t>anio 1</t>
  </si>
  <si>
    <t>incremento anio 2 al 5</t>
  </si>
  <si>
    <t>publicidad</t>
  </si>
  <si>
    <t>mensuales</t>
  </si>
  <si>
    <t>anuales</t>
  </si>
  <si>
    <t>valor rescate</t>
  </si>
  <si>
    <t>, final anio 5</t>
  </si>
  <si>
    <t>exibicion, ingreso</t>
  </si>
  <si>
    <t>final anio 1 y 2</t>
  </si>
  <si>
    <t>gasto promocion publicidad</t>
  </si>
  <si>
    <t>rescate</t>
  </si>
  <si>
    <t>al final del año 5</t>
  </si>
  <si>
    <t>* SE DEBEN DEJAR LAS CIFRAS ANUALES</t>
  </si>
  <si>
    <t>DEFENSOR</t>
  </si>
  <si>
    <t>RETADOR</t>
  </si>
  <si>
    <t>Retador - no hacer nada</t>
  </si>
  <si>
    <t>RETADOR-DEFENSOR</t>
  </si>
  <si>
    <t>FNE INCREMENTAL</t>
  </si>
  <si>
    <t>Total ubicacion 1</t>
  </si>
  <si>
    <t>Total ubicacion 2</t>
  </si>
  <si>
    <t>U2-NA</t>
  </si>
  <si>
    <t>U1-NA</t>
  </si>
  <si>
    <t>VPN</t>
  </si>
  <si>
    <t>Tir incremental</t>
  </si>
  <si>
    <t>Tir incremetal</t>
  </si>
  <si>
    <t>TIRM</t>
  </si>
  <si>
    <t>COMPARACIONES</t>
  </si>
  <si>
    <t>RETADOR - HACER NADA</t>
  </si>
  <si>
    <t>TIR INCREMENTAL</t>
  </si>
  <si>
    <t>VP INCREMENTAL</t>
  </si>
  <si>
    <t>TMAR</t>
  </si>
  <si>
    <t>Se justifica inversion del retador?</t>
  </si>
  <si>
    <t>NO</t>
  </si>
  <si>
    <t>Eleccion</t>
  </si>
  <si>
    <t>NA</t>
  </si>
  <si>
    <t>Eliminado</t>
  </si>
  <si>
    <t>U2</t>
  </si>
  <si>
    <t>U1</t>
  </si>
  <si>
    <t>TMAR=24%</t>
  </si>
  <si>
    <t>i</t>
  </si>
  <si>
    <t>Tasa financiamento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</si>
</sst>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Q&quot;#,##0.00;[Red]\-&quot;Q&quot;#,##0.00"/>
    <numFmt numFmtId="44" formatCode="_-&quot;Q&quot;* #,##0.00_-;\-&quot;Q&quot;* #,##0.00_-;_-&quot;Q&quot;* &quot;-&quot;??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#,##0.00_ ;[Red]\-#,##0.00\ "/>
  </numFmts>
  <fonts count="4" x14ac:knownFonts="1">
    <font>
      <sz val="11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4">
    <xf numFmtId="0" fontId="0" fillId="0" borderId="0" xfId="0"/>
    <xf numFmtId="44" fontId="0" fillId="0" borderId="0" xfId="1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2" borderId="0" xfId="0" applyFill="1" applyAlignment="1">
      <alignment horizontal="center" vertical="center" wrapText="1"/>
    </xf>
    <xf numFmtId="44" fontId="0" fillId="2" borderId="0" xfId="1" applyNumberFormat="1" applyFont="1" applyFill="1" applyAlignment="1">
      <alignment horizontal="center" vertical="center"/>
    </xf>
    <xf numFmtId="44" fontId="0" fillId="2" borderId="0" xfId="1" applyNumberFormat="1" applyFont="1" applyFill="1"/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166" fontId="0" fillId="3" borderId="0" xfId="1" applyNumberFormat="1" applyFont="1" applyFill="1" applyAlignment="1">
      <alignment horizontal="center" vertical="center"/>
    </xf>
    <xf numFmtId="44" fontId="0" fillId="3" borderId="0" xfId="1" applyNumberFormat="1" applyFont="1" applyFill="1" applyAlignment="1">
      <alignment horizontal="center" vertical="center"/>
    </xf>
    <xf numFmtId="166" fontId="0" fillId="3" borderId="0" xfId="0" applyNumberFormat="1" applyFill="1"/>
    <xf numFmtId="0" fontId="0" fillId="3" borderId="0" xfId="0" applyFill="1"/>
    <xf numFmtId="44" fontId="0" fillId="3" borderId="0" xfId="1" applyNumberFormat="1" applyFont="1" applyFill="1"/>
    <xf numFmtId="44" fontId="0" fillId="0" borderId="0" xfId="0" applyNumberFormat="1" applyAlignment="1">
      <alignment horizontal="center" vertical="center" wrapText="1"/>
    </xf>
    <xf numFmtId="44" fontId="0" fillId="0" borderId="0" xfId="0" applyNumberFormat="1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4" borderId="0" xfId="1" applyNumberFormat="1" applyFont="1" applyFill="1"/>
    <xf numFmtId="0" fontId="0" fillId="4" borderId="0" xfId="0" applyFill="1"/>
    <xf numFmtId="9" fontId="0" fillId="0" borderId="0" xfId="0" applyNumberFormat="1"/>
    <xf numFmtId="43" fontId="0" fillId="0" borderId="0" xfId="0" applyNumberFormat="1"/>
    <xf numFmtId="0" fontId="0" fillId="0" borderId="0" xfId="0" applyBorder="1"/>
    <xf numFmtId="0" fontId="0" fillId="0" borderId="3" xfId="0" applyBorder="1"/>
    <xf numFmtId="44" fontId="0" fillId="0" borderId="0" xfId="1" applyNumberFormat="1" applyFont="1" applyBorder="1"/>
    <xf numFmtId="165" fontId="0" fillId="0" borderId="3" xfId="0" applyNumberFormat="1" applyBorder="1"/>
    <xf numFmtId="9" fontId="0" fillId="0" borderId="0" xfId="0" applyNumberFormat="1" applyAlignment="1">
      <alignment horizontal="center" vertical="center" wrapText="1"/>
    </xf>
    <xf numFmtId="8" fontId="0" fillId="0" borderId="0" xfId="0" applyNumberFormat="1"/>
    <xf numFmtId="0" fontId="3" fillId="0" borderId="4" xfId="0" applyFont="1" applyBorder="1"/>
    <xf numFmtId="0" fontId="0" fillId="0" borderId="7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165" fontId="0" fillId="0" borderId="9" xfId="0" applyNumberFormat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horizontal="center" vertical="center" wrapText="1"/>
    </xf>
    <xf numFmtId="44" fontId="0" fillId="0" borderId="0" xfId="1" applyNumberFormat="1" applyFont="1" applyBorder="1" applyAlignment="1">
      <alignment horizontal="center" vertical="center" wrapText="1"/>
    </xf>
    <xf numFmtId="10" fontId="0" fillId="0" borderId="0" xfId="0" applyNumberFormat="1"/>
    <xf numFmtId="0" fontId="3" fillId="0" borderId="4" xfId="0" applyFont="1" applyBorder="1" applyAlignment="1">
      <alignment horizontal="center" vertical="center"/>
    </xf>
    <xf numFmtId="44" fontId="3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5" borderId="0" xfId="0" applyFont="1" applyFill="1"/>
    <xf numFmtId="0" fontId="3" fillId="0" borderId="0" xfId="0" applyFont="1" applyAlignment="1">
      <alignment horizontal="center" vertical="center"/>
    </xf>
    <xf numFmtId="0" fontId="0" fillId="0" borderId="0" xfId="0" applyFill="1" applyBorder="1"/>
    <xf numFmtId="0" fontId="0" fillId="6" borderId="0" xfId="0" applyFill="1" applyBorder="1"/>
    <xf numFmtId="43" fontId="0" fillId="6" borderId="0" xfId="0" applyNumberFormat="1" applyFill="1" applyBorder="1"/>
    <xf numFmtId="43" fontId="0" fillId="6" borderId="0" xfId="2" applyNumberFormat="1" applyFont="1" applyFill="1" applyBorder="1"/>
    <xf numFmtId="9" fontId="0" fillId="6" borderId="0" xfId="0" applyNumberFormat="1" applyFill="1" applyBorder="1"/>
    <xf numFmtId="0" fontId="3" fillId="6" borderId="0" xfId="0" applyFont="1" applyFill="1" applyBorder="1"/>
    <xf numFmtId="10" fontId="3" fillId="6" borderId="0" xfId="0" applyNumberFormat="1" applyFont="1" applyFill="1" applyBorder="1"/>
    <xf numFmtId="10" fontId="0" fillId="6" borderId="0" xfId="0" applyNumberFormat="1" applyFill="1" applyBorder="1"/>
    <xf numFmtId="10" fontId="0" fillId="6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9" fontId="3" fillId="5" borderId="0" xfId="0" applyNumberFormat="1" applyFont="1" applyFill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1">
    <dxf>
      <font>
        <color theme="1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Hoja2!$O$45</c:f>
              <c:strCache>
                <c:ptCount val="1"/>
                <c:pt idx="0">
                  <c:v>VPN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Hoja2!$N$48:$N$57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Hoja2!$O$48:$O$57</c:f>
              <c:numCache>
                <c:formatCode>"Q"#,##0.00_);[Red]\("Q"#,##0.00\)</c:formatCode>
                <c:ptCount val="10"/>
                <c:pt idx="0">
                  <c:v>-694653.99159272551</c:v>
                </c:pt>
                <c:pt idx="1">
                  <c:v>-793674.12551440322</c:v>
                </c:pt>
                <c:pt idx="2">
                  <c:v>-890909.12029044447</c:v>
                </c:pt>
                <c:pt idx="3">
                  <c:v>-980544.41601713549</c:v>
                </c:pt>
                <c:pt idx="4">
                  <c:v>-1061004.1152263377</c:v>
                </c:pt>
                <c:pt idx="5">
                  <c:v>-1132428.2836914063</c:v>
                </c:pt>
                <c:pt idx="6">
                  <c:v>-1195598.3736390355</c:v>
                </c:pt>
                <c:pt idx="7">
                  <c:v>-1251476.062253383</c:v>
                </c:pt>
                <c:pt idx="8">
                  <c:v>-1301010.1453940249</c:v>
                </c:pt>
                <c:pt idx="9">
                  <c:v>-1345062.5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F-45D8-BCFC-25C718806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72720"/>
        <c:axId val="891471736"/>
      </c:scatterChart>
      <c:valAx>
        <c:axId val="8914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1471736"/>
        <c:crosses val="autoZero"/>
        <c:crossBetween val="midCat"/>
      </c:valAx>
      <c:valAx>
        <c:axId val="8914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Q&quot;#,##0.00_);[Red]\(&quot;Q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147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Hoja2!$S$44</c:f>
              <c:strCache>
                <c:ptCount val="1"/>
                <c:pt idx="0">
                  <c:v>VPN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Hoja2!$R$45:$R$54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Hoja2!$S$45:$S$54</c:f>
              <c:numCache>
                <c:formatCode>_(* #,##0.00_);_(* \(#,##0.00\);_(* "-"??_);_(@_)</c:formatCode>
                <c:ptCount val="10"/>
                <c:pt idx="0">
                  <c:v>884742.10032846639</c:v>
                </c:pt>
                <c:pt idx="1">
                  <c:v>206667.95267489739</c:v>
                </c:pt>
                <c:pt idx="2">
                  <c:v>-271562.8896855046</c:v>
                </c:pt>
                <c:pt idx="3">
                  <c:v>-621553.51936693024</c:v>
                </c:pt>
                <c:pt idx="4">
                  <c:v>-885761.31687242817</c:v>
                </c:pt>
                <c:pt idx="5">
                  <c:v>-1090521.240234375</c:v>
                </c:pt>
                <c:pt idx="6">
                  <c:v>-1252811.6563851144</c:v>
                </c:pt>
                <c:pt idx="7">
                  <c:v>-1383951.4640383413</c:v>
                </c:pt>
                <c:pt idx="8">
                  <c:v>-1491710.7110822306</c:v>
                </c:pt>
                <c:pt idx="9">
                  <c:v>-1581562.5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E-437F-B76F-B33C692F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967096"/>
        <c:axId val="882967424"/>
      </c:scatterChart>
      <c:valAx>
        <c:axId val="88296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82967424"/>
        <c:crosses val="autoZero"/>
        <c:crossBetween val="midCat"/>
      </c:valAx>
      <c:valAx>
        <c:axId val="8829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8296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407648</xdr:colOff>
      <xdr:row>1</xdr:row>
      <xdr:rowOff>76929</xdr:rowOff>
    </xdr:from>
    <xdr:ext cx="2552931" cy="879222"/>
    <xdr:pic>
      <xdr:nvPicPr>
        <xdr:cNvPr id="2" name="Imagen 1">
          <a:extLst>
            <a:ext uri="{FF2B5EF4-FFF2-40B4-BE49-F238E27FC236}">
              <a16:creationId xmlns:a16="http://schemas.microsoft.com/office/drawing/2014/main" id="{EE7D98BA-E1D2-41DB-B50D-DA2156D5C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7648" y="261079"/>
          <a:ext cx="2552931" cy="87922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-2972</xdr:colOff>
      <xdr:row>0</xdr:row>
      <xdr:rowOff>0</xdr:rowOff>
    </xdr:from>
    <xdr:to>
      <xdr:col>9</xdr:col>
      <xdr:colOff>1078</xdr:colOff>
      <xdr:row>29</xdr:row>
      <xdr:rowOff>159788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DE3079EE-651D-49DF-B73E-696A8938D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-2972" y="0"/>
          <a:ext cx="6862050" cy="6608213"/>
        </a:xfrm>
        <a:prstGeom prst="rect">
          <a:avLst/>
        </a:prstGeom>
      </xdr:spPr>
    </xdr:pic>
    <xdr:clientData/>
  </xdr:twoCellAnchor>
  <xdr:twoCellAnchor>
    <xdr:from>
      <xdr:col>12</xdr:col>
      <xdr:colOff>303137</xdr:colOff>
      <xdr:row>58</xdr:row>
      <xdr:rowOff>90223</xdr:rowOff>
    </xdr:from>
    <xdr:to>
      <xdr:col>15</xdr:col>
      <xdr:colOff>1123723</xdr:colOff>
      <xdr:row>73</xdr:row>
      <xdr:rowOff>59077</xdr:rowOff>
    </xdr:to>
    <xdr:graphicFrame macro="">
      <xdr:nvGraphicFramePr>
        <xdr:cNvPr id="11" name="Gráfico 2">
          <a:extLst>
            <a:ext uri="{FF2B5EF4-FFF2-40B4-BE49-F238E27FC236}">
              <a16:creationId xmlns:a16="http://schemas.microsoft.com/office/drawing/2014/main" id="{E6B3B1C4-E0C3-4A3E-8F34-04688AADA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27902</xdr:colOff>
      <xdr:row>60</xdr:row>
      <xdr:rowOff>38509</xdr:rowOff>
    </xdr:from>
    <xdr:to>
      <xdr:col>22</xdr:col>
      <xdr:colOff>694907</xdr:colOff>
      <xdr:row>74</xdr:row>
      <xdr:rowOff>47925</xdr:rowOff>
    </xdr:to>
    <xdr:graphicFrame macro="">
      <xdr:nvGraphicFramePr>
        <xdr:cNvPr id="14" name="Gráfico 4">
          <a:extLst>
            <a:ext uri="{FF2B5EF4-FFF2-40B4-BE49-F238E27FC236}">
              <a16:creationId xmlns:a16="http://schemas.microsoft.com/office/drawing/2014/main" id="{5B90F1EC-74BE-4183-BC5C-455611DC8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NDRA MARIEL CASTRO ESTRADA" id="{F3CC2E23-46FC-43B4-88F2-806DE3DA87D7}" userId="ALEJANDRA MARIEL CASTRO ESTRADA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9" dT="2021-10-22T01:30:15.52" personId="{F3CC2E23-46FC-43B4-88F2-806DE3DA87D7}" id="{023454E2-43C9-4B0F-8678-9D865FCC8D2B}">
    <text>SE LELIGE AL RETADOR SI LA TIR INCREMENTAL &gt; TMAR</text>
  </threadedComment>
  <threadedComment ref="O39" dT="2021-10-22T01:33:17.73" personId="{F3CC2E23-46FC-43B4-88F2-806DE3DA87D7}" id="{A91CDAFD-2327-4FD3-9473-60F1FD95DE35}" parentId="{023454E2-43C9-4B0F-8678-9D865FCC8D2B}">
    <text>SE ELIGE AL RETADOR SI EL VPN INCREMENTAL ES POSITIVO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C61F-7C84-4E57-91B8-2D70A4CD3DDF}">
  <dimension ref="B2:I21"/>
  <sheetViews>
    <sheetView showGridLines="0" tabSelected="1" zoomScale="87" workbookViewId="0">
      <selection activeCell="Q16" sqref="Q16"/>
    </sheetView>
  </sheetViews>
  <sheetFormatPr baseColWidth="10" defaultColWidth="11.44140625" defaultRowHeight="14.4" x14ac:dyDescent="0.3"/>
  <sheetData>
    <row r="2" spans="2:9" x14ac:dyDescent="0.3">
      <c r="B2" t="s">
        <v>0</v>
      </c>
    </row>
    <row r="3" spans="2:9" x14ac:dyDescent="0.3">
      <c r="B3" t="s">
        <v>1</v>
      </c>
    </row>
    <row r="4" spans="2:9" x14ac:dyDescent="0.3">
      <c r="B4" t="s">
        <v>2</v>
      </c>
    </row>
    <row r="5" spans="2:9" x14ac:dyDescent="0.3">
      <c r="B5" t="s">
        <v>3</v>
      </c>
      <c r="C5" t="s">
        <v>4</v>
      </c>
    </row>
    <row r="10" spans="2:9" ht="21" x14ac:dyDescent="0.4">
      <c r="E10" s="56" t="s">
        <v>5</v>
      </c>
      <c r="F10" s="56"/>
      <c r="G10" s="56"/>
      <c r="H10" s="56"/>
      <c r="I10" s="56"/>
    </row>
    <row r="11" spans="2:9" ht="21" x14ac:dyDescent="0.4">
      <c r="E11" s="56"/>
      <c r="F11" s="56"/>
      <c r="G11" s="56"/>
      <c r="H11" s="56"/>
      <c r="I11" s="56"/>
    </row>
    <row r="21" spans="5:9" x14ac:dyDescent="0.3">
      <c r="E21" s="57" t="s">
        <v>6</v>
      </c>
      <c r="F21" s="57"/>
      <c r="G21" s="57"/>
      <c r="H21" s="57"/>
      <c r="I21" s="57"/>
    </row>
  </sheetData>
  <mergeCells count="3">
    <mergeCell ref="E10:I10"/>
    <mergeCell ref="E11:I11"/>
    <mergeCell ref="E21:I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450D-33F4-4738-A58C-0DF19B42C9D3}">
  <dimension ref="L4:AH82"/>
  <sheetViews>
    <sheetView topLeftCell="L25" zoomScale="72" workbookViewId="0">
      <selection activeCell="X40" sqref="X40"/>
    </sheetView>
  </sheetViews>
  <sheetFormatPr baseColWidth="10" defaultColWidth="11.44140625" defaultRowHeight="14.4" x14ac:dyDescent="0.3"/>
  <cols>
    <col min="12" max="12" width="18" style="3" bestFit="1" customWidth="1"/>
    <col min="13" max="13" width="22.44140625" customWidth="1"/>
    <col min="14" max="14" width="14.6640625" style="3" customWidth="1"/>
    <col min="15" max="15" width="16.33203125" customWidth="1"/>
    <col min="16" max="16" width="27.6640625" bestFit="1" customWidth="1"/>
    <col min="17" max="17" width="14.88671875" customWidth="1"/>
    <col min="18" max="18" width="15.109375" bestFit="1" customWidth="1"/>
    <col min="19" max="19" width="16.5546875" customWidth="1"/>
    <col min="20" max="20" width="21.88671875" customWidth="1"/>
    <col min="21" max="21" width="15.6640625" bestFit="1" customWidth="1"/>
    <col min="24" max="24" width="14.5546875" customWidth="1"/>
    <col min="25" max="25" width="14.33203125" customWidth="1"/>
    <col min="26" max="27" width="15.109375" bestFit="1" customWidth="1"/>
  </cols>
  <sheetData>
    <row r="4" spans="12:31" x14ac:dyDescent="0.3">
      <c r="M4" t="s">
        <v>7</v>
      </c>
      <c r="R4" t="s">
        <v>8</v>
      </c>
    </row>
    <row r="5" spans="12:31" ht="28.8" x14ac:dyDescent="0.3">
      <c r="L5" s="5" t="s">
        <v>9</v>
      </c>
      <c r="M5" s="6">
        <v>2000000</v>
      </c>
      <c r="Q5" s="5" t="s">
        <v>9</v>
      </c>
      <c r="R5" s="7">
        <v>2500000</v>
      </c>
      <c r="S5" s="8"/>
    </row>
    <row r="6" spans="12:31" ht="28.8" x14ac:dyDescent="0.3">
      <c r="L6" s="5" t="s">
        <v>10</v>
      </c>
      <c r="M6" s="6">
        <v>200000</v>
      </c>
      <c r="N6" s="5" t="s">
        <v>11</v>
      </c>
      <c r="Q6" s="5" t="s">
        <v>10</v>
      </c>
      <c r="R6" s="7">
        <v>350000</v>
      </c>
      <c r="S6" s="8" t="s">
        <v>12</v>
      </c>
    </row>
    <row r="7" spans="12:31" x14ac:dyDescent="0.3">
      <c r="M7" s="6">
        <v>20000</v>
      </c>
      <c r="N7" s="5" t="s">
        <v>13</v>
      </c>
      <c r="Q7" s="3"/>
    </row>
    <row r="8" spans="12:31" x14ac:dyDescent="0.3">
      <c r="M8" s="1"/>
      <c r="Q8" s="3"/>
    </row>
    <row r="9" spans="12:31" x14ac:dyDescent="0.3">
      <c r="L9" s="9" t="s">
        <v>14</v>
      </c>
      <c r="M9" s="10">
        <v>22000</v>
      </c>
      <c r="N9" s="9" t="s">
        <v>15</v>
      </c>
      <c r="O9" s="19">
        <f>M9*M10*12</f>
        <v>528000</v>
      </c>
      <c r="P9" s="20" t="s">
        <v>16</v>
      </c>
      <c r="Q9" s="9" t="s">
        <v>14</v>
      </c>
      <c r="R9" s="12">
        <v>30000</v>
      </c>
      <c r="S9" s="13" t="s">
        <v>17</v>
      </c>
      <c r="U9" s="19">
        <f>R9*R10*12</f>
        <v>1080000</v>
      </c>
      <c r="V9" s="20" t="s">
        <v>16</v>
      </c>
    </row>
    <row r="10" spans="12:31" x14ac:dyDescent="0.3">
      <c r="L10" s="9"/>
      <c r="M10" s="11">
        <v>2</v>
      </c>
      <c r="N10" s="9" t="s">
        <v>18</v>
      </c>
      <c r="Q10" s="13"/>
      <c r="R10" s="14">
        <v>3</v>
      </c>
      <c r="S10" s="13" t="s">
        <v>18</v>
      </c>
      <c r="X10" s="60" t="s">
        <v>19</v>
      </c>
      <c r="Y10" s="60"/>
      <c r="Z10" s="57" t="s">
        <v>8</v>
      </c>
      <c r="AA10" s="57"/>
      <c r="AC10">
        <v>1</v>
      </c>
      <c r="AD10" s="16">
        <f>M14</f>
        <v>500000</v>
      </c>
      <c r="AE10">
        <v>500000</v>
      </c>
    </row>
    <row r="11" spans="12:31" x14ac:dyDescent="0.3">
      <c r="W11" s="17" t="s">
        <v>20</v>
      </c>
      <c r="X11" s="3" t="s">
        <v>21</v>
      </c>
      <c r="Y11" s="17" t="s">
        <v>22</v>
      </c>
      <c r="Z11" s="17" t="s">
        <v>21</v>
      </c>
      <c r="AA11" s="17" t="s">
        <v>23</v>
      </c>
      <c r="AC11">
        <v>2</v>
      </c>
      <c r="AD11" s="16">
        <f>$M$14+M15</f>
        <v>560000</v>
      </c>
      <c r="AE11">
        <v>560000</v>
      </c>
    </row>
    <row r="12" spans="12:31" ht="28.8" x14ac:dyDescent="0.3">
      <c r="L12" s="9" t="s">
        <v>24</v>
      </c>
      <c r="M12" s="11">
        <v>400000</v>
      </c>
      <c r="N12" s="9" t="s">
        <v>25</v>
      </c>
      <c r="Q12" s="13" t="s">
        <v>26</v>
      </c>
      <c r="R12" s="14">
        <v>600000</v>
      </c>
      <c r="S12" s="13" t="s">
        <v>27</v>
      </c>
      <c r="W12" s="17">
        <v>0</v>
      </c>
      <c r="X12" s="18"/>
      <c r="Y12" s="15">
        <f>M5</f>
        <v>2000000</v>
      </c>
      <c r="AA12" s="18">
        <f>R5</f>
        <v>2500000</v>
      </c>
      <c r="AC12">
        <v>3</v>
      </c>
      <c r="AD12" s="16">
        <f>AD11+M15</f>
        <v>620000</v>
      </c>
      <c r="AE12">
        <v>620000</v>
      </c>
    </row>
    <row r="13" spans="12:31" x14ac:dyDescent="0.3">
      <c r="Q13" s="13"/>
      <c r="R13" s="14">
        <v>15000</v>
      </c>
      <c r="S13" s="13" t="s">
        <v>28</v>
      </c>
      <c r="W13" s="17">
        <v>1</v>
      </c>
      <c r="X13" s="18">
        <f>$O$9+M12+M14</f>
        <v>1428000</v>
      </c>
      <c r="Y13" s="15">
        <f>$M$6+O17</f>
        <v>500000</v>
      </c>
      <c r="Z13" s="18">
        <f>$U$9+R12+R16</f>
        <v>1730000</v>
      </c>
      <c r="AA13" s="18">
        <f>$R$6+$T$15</f>
        <v>770000</v>
      </c>
      <c r="AC13">
        <v>4</v>
      </c>
      <c r="AD13" s="16">
        <f>AD12+M15</f>
        <v>680000</v>
      </c>
      <c r="AE13">
        <v>680000</v>
      </c>
    </row>
    <row r="14" spans="12:31" x14ac:dyDescent="0.3">
      <c r="L14" s="9" t="s">
        <v>29</v>
      </c>
      <c r="M14" s="14">
        <v>500000</v>
      </c>
      <c r="N14" s="9" t="s">
        <v>30</v>
      </c>
      <c r="W14" s="17">
        <v>2</v>
      </c>
      <c r="X14" s="18">
        <f>$O$9+M12+560000</f>
        <v>1488000</v>
      </c>
      <c r="Y14" s="15">
        <f>$M$6+$M$7+O17</f>
        <v>520000</v>
      </c>
      <c r="Z14" s="18">
        <f>$U$9+615000+R16</f>
        <v>1745000</v>
      </c>
      <c r="AA14" s="18">
        <f>$R$6+$T$15</f>
        <v>770000</v>
      </c>
      <c r="AC14">
        <v>5</v>
      </c>
      <c r="AD14" s="16">
        <f>AD13+M15</f>
        <v>740000</v>
      </c>
      <c r="AE14">
        <v>740000</v>
      </c>
    </row>
    <row r="15" spans="12:31" ht="28.8" x14ac:dyDescent="0.3">
      <c r="L15" s="9"/>
      <c r="M15" s="14">
        <v>60000</v>
      </c>
      <c r="N15" s="9" t="s">
        <v>31</v>
      </c>
      <c r="Q15" s="8" t="s">
        <v>32</v>
      </c>
      <c r="R15" s="7">
        <v>35000</v>
      </c>
      <c r="S15" s="8" t="s">
        <v>33</v>
      </c>
      <c r="T15" s="2">
        <f>R15*12</f>
        <v>420000</v>
      </c>
      <c r="U15" t="s">
        <v>34</v>
      </c>
      <c r="W15" s="17">
        <v>3</v>
      </c>
      <c r="X15" s="18">
        <f>$O$9+M12+620000</f>
        <v>1548000</v>
      </c>
      <c r="Y15" s="15">
        <f>Y14+M7+O17</f>
        <v>840000</v>
      </c>
      <c r="Z15" s="18">
        <f>$U$9+630000</f>
        <v>1710000</v>
      </c>
      <c r="AA15" s="18">
        <f>$R$6+$T$15</f>
        <v>770000</v>
      </c>
    </row>
    <row r="16" spans="12:31" x14ac:dyDescent="0.3">
      <c r="L16" s="9" t="s">
        <v>35</v>
      </c>
      <c r="M16" s="14">
        <v>150000</v>
      </c>
      <c r="N16" s="9" t="s">
        <v>36</v>
      </c>
      <c r="Q16" s="13" t="s">
        <v>37</v>
      </c>
      <c r="R16" s="14">
        <v>50000</v>
      </c>
      <c r="S16" s="13" t="s">
        <v>38</v>
      </c>
      <c r="W16" s="17">
        <v>4</v>
      </c>
      <c r="X16" s="18">
        <f>$O$9+680000</f>
        <v>1208000</v>
      </c>
      <c r="Y16" s="15">
        <f>Y15+M7+O17</f>
        <v>1160000</v>
      </c>
      <c r="Z16" s="18">
        <f>$U$9+645000</f>
        <v>1725000</v>
      </c>
      <c r="AA16" s="18">
        <f>$R$6+$T$15</f>
        <v>770000</v>
      </c>
    </row>
    <row r="17" spans="12:34" ht="28.8" x14ac:dyDescent="0.3">
      <c r="L17" s="5" t="s">
        <v>39</v>
      </c>
      <c r="M17" s="7">
        <v>25000</v>
      </c>
      <c r="N17" s="5" t="s">
        <v>33</v>
      </c>
      <c r="O17" s="16">
        <f>M17*12</f>
        <v>300000</v>
      </c>
      <c r="Q17" s="13" t="s">
        <v>40</v>
      </c>
      <c r="R17" s="14">
        <v>250000</v>
      </c>
      <c r="S17" s="13" t="s">
        <v>41</v>
      </c>
      <c r="W17" s="17">
        <v>5</v>
      </c>
      <c r="X17" s="18">
        <f>$O$9+740000+M16</f>
        <v>1418000</v>
      </c>
      <c r="Y17" s="15">
        <f>Y16+M7+O17</f>
        <v>1480000</v>
      </c>
      <c r="Z17" s="18">
        <f>$U$9+R17</f>
        <v>1330000</v>
      </c>
      <c r="AA17" s="18">
        <f>$R$6+$T$15</f>
        <v>770000</v>
      </c>
      <c r="AF17">
        <v>1</v>
      </c>
      <c r="AG17" s="16">
        <f>R12</f>
        <v>600000</v>
      </c>
      <c r="AH17">
        <v>600000</v>
      </c>
    </row>
    <row r="18" spans="12:34" x14ac:dyDescent="0.3">
      <c r="AF18">
        <v>2</v>
      </c>
      <c r="AG18" s="16">
        <f>AG17+R13</f>
        <v>615000</v>
      </c>
      <c r="AH18">
        <v>615000</v>
      </c>
    </row>
    <row r="19" spans="12:34" x14ac:dyDescent="0.3">
      <c r="M19" s="4" t="s">
        <v>42</v>
      </c>
      <c r="AF19">
        <v>3</v>
      </c>
      <c r="AG19" s="16">
        <f>AG18+R13</f>
        <v>630000</v>
      </c>
      <c r="AH19">
        <v>630000</v>
      </c>
    </row>
    <row r="20" spans="12:34" x14ac:dyDescent="0.3">
      <c r="P20" t="s">
        <v>43</v>
      </c>
      <c r="R20" t="s">
        <v>44</v>
      </c>
      <c r="T20" t="s">
        <v>45</v>
      </c>
      <c r="U20" t="s">
        <v>46</v>
      </c>
      <c r="AF20">
        <v>4</v>
      </c>
      <c r="AG20" s="16">
        <f>AG19+R13</f>
        <v>645000</v>
      </c>
      <c r="AH20">
        <v>645000</v>
      </c>
    </row>
    <row r="21" spans="12:34" x14ac:dyDescent="0.3">
      <c r="N21" s="58" t="s">
        <v>19</v>
      </c>
      <c r="O21" s="59"/>
      <c r="P21" s="30"/>
      <c r="Q21" s="61" t="s">
        <v>8</v>
      </c>
      <c r="R21" s="61"/>
      <c r="S21" s="62"/>
      <c r="U21" t="s">
        <v>47</v>
      </c>
    </row>
    <row r="22" spans="12:34" x14ac:dyDescent="0.3">
      <c r="M22" s="35" t="s">
        <v>20</v>
      </c>
      <c r="N22" s="38" t="s">
        <v>21</v>
      </c>
      <c r="O22" s="23" t="s">
        <v>22</v>
      </c>
      <c r="P22" s="32" t="s">
        <v>48</v>
      </c>
      <c r="Q22" s="23" t="s">
        <v>21</v>
      </c>
      <c r="R22" s="23" t="s">
        <v>23</v>
      </c>
      <c r="S22" s="24" t="s">
        <v>49</v>
      </c>
      <c r="T22" s="23" t="s">
        <v>50</v>
      </c>
      <c r="U22" s="47" t="s">
        <v>51</v>
      </c>
    </row>
    <row r="23" spans="12:34" x14ac:dyDescent="0.3">
      <c r="M23" s="36">
        <v>0</v>
      </c>
      <c r="N23" s="39"/>
      <c r="O23" s="25">
        <v>2000000</v>
      </c>
      <c r="P23" s="33">
        <f>N23-O23</f>
        <v>-2000000</v>
      </c>
      <c r="Q23" s="23"/>
      <c r="R23" s="25">
        <v>2500000</v>
      </c>
      <c r="S23" s="26">
        <f>Q23-R23</f>
        <v>-2500000</v>
      </c>
      <c r="T23" s="22">
        <f t="shared" ref="T23:T28" si="0">S23-0</f>
        <v>-2500000</v>
      </c>
      <c r="U23" s="2">
        <f t="shared" ref="U23:U28" si="1">P23-0</f>
        <v>-2000000</v>
      </c>
    </row>
    <row r="24" spans="12:34" x14ac:dyDescent="0.3">
      <c r="M24" s="36">
        <v>1</v>
      </c>
      <c r="N24" s="39">
        <f>$M$9*$M$10*12+$M$12+M14</f>
        <v>1428000</v>
      </c>
      <c r="O24" s="25">
        <f>200000+O17</f>
        <v>500000</v>
      </c>
      <c r="P24" s="33">
        <f t="shared" ref="P24:P28" si="2">N24-O24</f>
        <v>928000</v>
      </c>
      <c r="Q24" s="25">
        <f>U9+R12+R16</f>
        <v>1730000</v>
      </c>
      <c r="R24" s="25">
        <f>350000+T15</f>
        <v>770000</v>
      </c>
      <c r="S24" s="26">
        <f t="shared" ref="S24:S28" si="3">Q24-R24</f>
        <v>960000</v>
      </c>
      <c r="T24" s="22">
        <f t="shared" si="0"/>
        <v>960000</v>
      </c>
      <c r="U24" s="2">
        <f t="shared" si="1"/>
        <v>928000</v>
      </c>
    </row>
    <row r="25" spans="12:34" x14ac:dyDescent="0.3">
      <c r="M25" s="36">
        <v>2</v>
      </c>
      <c r="N25" s="39">
        <f>$M$9*$M$10*12+$M$12+M14+M15</f>
        <v>1488000</v>
      </c>
      <c r="O25" s="25">
        <f>O24+M7+O17</f>
        <v>820000</v>
      </c>
      <c r="P25" s="33">
        <f t="shared" si="2"/>
        <v>668000</v>
      </c>
      <c r="Q25" s="25">
        <f>R12+R13+R16+U9</f>
        <v>1745000</v>
      </c>
      <c r="R25" s="25">
        <f>350000+T15</f>
        <v>770000</v>
      </c>
      <c r="S25" s="26">
        <f t="shared" si="3"/>
        <v>975000</v>
      </c>
      <c r="T25" s="22">
        <f t="shared" si="0"/>
        <v>975000</v>
      </c>
      <c r="U25" s="2">
        <f t="shared" si="1"/>
        <v>668000</v>
      </c>
    </row>
    <row r="26" spans="12:34" x14ac:dyDescent="0.3">
      <c r="M26" s="36">
        <v>3</v>
      </c>
      <c r="N26" s="39">
        <f>$M$9*$M$10*12+$M$12+M14+2*M15</f>
        <v>1548000</v>
      </c>
      <c r="O26" s="25">
        <f>O25+20000+O17</f>
        <v>1140000</v>
      </c>
      <c r="P26" s="33">
        <f t="shared" si="2"/>
        <v>408000</v>
      </c>
      <c r="Q26" s="25">
        <f>R12+2*R13+U9</f>
        <v>1710000</v>
      </c>
      <c r="R26" s="25">
        <f>350000+T15</f>
        <v>770000</v>
      </c>
      <c r="S26" s="26">
        <f t="shared" si="3"/>
        <v>940000</v>
      </c>
      <c r="T26" s="22">
        <f t="shared" si="0"/>
        <v>940000</v>
      </c>
      <c r="U26" s="2">
        <f t="shared" si="1"/>
        <v>408000</v>
      </c>
    </row>
    <row r="27" spans="12:34" x14ac:dyDescent="0.3">
      <c r="M27" s="36">
        <v>4</v>
      </c>
      <c r="N27" s="39">
        <f>$M$9*$M$10*12+M14+3*M15</f>
        <v>1208000</v>
      </c>
      <c r="O27" s="25">
        <f>O26+20000+O17</f>
        <v>1460000</v>
      </c>
      <c r="P27" s="33">
        <f t="shared" si="2"/>
        <v>-252000</v>
      </c>
      <c r="Q27" s="25">
        <f>R12+3*R13+U9</f>
        <v>1725000</v>
      </c>
      <c r="R27" s="25">
        <f>350000+T15</f>
        <v>770000</v>
      </c>
      <c r="S27" s="26">
        <f t="shared" si="3"/>
        <v>955000</v>
      </c>
      <c r="T27" s="22">
        <f t="shared" si="0"/>
        <v>955000</v>
      </c>
      <c r="U27" s="2">
        <f t="shared" si="1"/>
        <v>-252000</v>
      </c>
    </row>
    <row r="28" spans="12:34" x14ac:dyDescent="0.3">
      <c r="M28" s="37">
        <v>5</v>
      </c>
      <c r="N28" s="39">
        <f>$M$9*$M$10*12+M14+4*M15+M16</f>
        <v>1418000</v>
      </c>
      <c r="O28" s="25">
        <f>O27+20000+O17</f>
        <v>1780000</v>
      </c>
      <c r="P28" s="33">
        <f t="shared" si="2"/>
        <v>-362000</v>
      </c>
      <c r="Q28" s="25">
        <f>U9+R17</f>
        <v>1330000</v>
      </c>
      <c r="R28" s="25">
        <f>350000+T15</f>
        <v>770000</v>
      </c>
      <c r="S28" s="26">
        <f t="shared" si="3"/>
        <v>560000</v>
      </c>
      <c r="T28" s="22">
        <f t="shared" si="0"/>
        <v>560000</v>
      </c>
      <c r="U28" s="2">
        <f t="shared" si="1"/>
        <v>-362000</v>
      </c>
    </row>
    <row r="29" spans="12:34" x14ac:dyDescent="0.3">
      <c r="N29" s="31"/>
      <c r="O29" s="48" t="s">
        <v>52</v>
      </c>
      <c r="P29" s="49">
        <f>NPV(24%,P24:P28)+P23</f>
        <v>-833249.16096883221</v>
      </c>
      <c r="Q29" s="48"/>
      <c r="R29" s="48" t="s">
        <v>52</v>
      </c>
      <c r="S29" s="50">
        <f>NPV(24%,S24:S28)+S23</f>
        <v>-3723.2068111277185</v>
      </c>
      <c r="T29" s="50">
        <f>NPV(24%,T24:T28)+T23</f>
        <v>-3723.2068111277185</v>
      </c>
      <c r="U29" s="50">
        <f>NPV(2%,U24:U28)+U23</f>
        <v>-624351.42058631545</v>
      </c>
    </row>
    <row r="30" spans="12:34" x14ac:dyDescent="0.3">
      <c r="N30" s="34"/>
      <c r="O30" s="48" t="s">
        <v>53</v>
      </c>
      <c r="P30" s="51" t="e">
        <f>IRR(P23:P28)</f>
        <v>#NUM!</v>
      </c>
      <c r="Q30" s="48"/>
      <c r="R30" s="52" t="s">
        <v>54</v>
      </c>
      <c r="S30" s="53">
        <f>IRR(S23:S28)</f>
        <v>0.23924314901561128</v>
      </c>
      <c r="T30" s="53">
        <f>IRR(T23:T28)</f>
        <v>0.23924314901561128</v>
      </c>
      <c r="U30" s="53" t="e">
        <f>IRR(U23:U28)</f>
        <v>#NUM!</v>
      </c>
    </row>
    <row r="31" spans="12:34" x14ac:dyDescent="0.3">
      <c r="O31" s="48"/>
      <c r="P31" s="48"/>
      <c r="Q31" s="48"/>
      <c r="R31" s="48" t="s">
        <v>55</v>
      </c>
      <c r="S31" s="54">
        <f>MIRR(S23:S28,2%*12,2%*12)</f>
        <v>0.23963043766559311</v>
      </c>
      <c r="T31" s="55">
        <f>MIRR(T23:T28,2%*12,2%*12)</f>
        <v>0.23963043766559311</v>
      </c>
      <c r="U31" s="54">
        <f>MIRR(U23:U28,2%*12,2%*12)</f>
        <v>0.12923969305824934</v>
      </c>
    </row>
    <row r="32" spans="12:34" x14ac:dyDescent="0.3">
      <c r="S32" s="40"/>
      <c r="U32" s="40"/>
      <c r="AA32" s="16"/>
    </row>
    <row r="33" spans="14:27" x14ac:dyDescent="0.3">
      <c r="S33" s="40"/>
      <c r="U33" s="40"/>
      <c r="AA33" s="16"/>
    </row>
    <row r="34" spans="14:27" x14ac:dyDescent="0.3">
      <c r="O34" s="29" t="s">
        <v>56</v>
      </c>
      <c r="P34" s="41" t="s">
        <v>57</v>
      </c>
      <c r="Q34" s="42"/>
      <c r="R34" s="42"/>
      <c r="S34" s="43"/>
      <c r="U34" s="40"/>
      <c r="AA34" s="16"/>
    </row>
    <row r="35" spans="14:27" x14ac:dyDescent="0.3">
      <c r="O35" t="s">
        <v>58</v>
      </c>
      <c r="P35" s="44">
        <f>T30</f>
        <v>0.23924314901561128</v>
      </c>
      <c r="Q35" s="44">
        <f>V28</f>
        <v>0</v>
      </c>
      <c r="R35" s="44"/>
      <c r="S35" s="44"/>
      <c r="U35" s="40"/>
      <c r="AA35" s="16"/>
    </row>
    <row r="36" spans="14:27" x14ac:dyDescent="0.3">
      <c r="O36" t="s">
        <v>59</v>
      </c>
      <c r="P36" s="18">
        <f>T29</f>
        <v>-3723.2068111277185</v>
      </c>
      <c r="Q36" s="18">
        <f>V29</f>
        <v>0</v>
      </c>
      <c r="R36" s="18"/>
      <c r="S36" s="18"/>
      <c r="U36" s="40"/>
      <c r="AA36" s="16"/>
    </row>
    <row r="37" spans="14:27" x14ac:dyDescent="0.3">
      <c r="O37" t="s">
        <v>55</v>
      </c>
      <c r="U37" s="40"/>
      <c r="AA37" s="16"/>
    </row>
    <row r="38" spans="14:27" x14ac:dyDescent="0.3">
      <c r="O38" s="45" t="s">
        <v>60</v>
      </c>
      <c r="P38" s="63">
        <v>0.24</v>
      </c>
      <c r="Q38" s="63"/>
      <c r="R38" s="63"/>
      <c r="S38" s="63"/>
      <c r="U38" s="40"/>
      <c r="AA38" s="16"/>
    </row>
    <row r="39" spans="14:27" x14ac:dyDescent="0.3">
      <c r="O39" t="s">
        <v>61</v>
      </c>
      <c r="P39" s="17" t="s">
        <v>62</v>
      </c>
      <c r="Q39" s="17" t="s">
        <v>62</v>
      </c>
      <c r="R39" s="17"/>
      <c r="S39" s="17"/>
      <c r="U39" s="40"/>
      <c r="AA39" s="16"/>
    </row>
    <row r="40" spans="14:27" x14ac:dyDescent="0.3">
      <c r="O40" s="4" t="s">
        <v>63</v>
      </c>
      <c r="P40" s="46" t="s">
        <v>64</v>
      </c>
      <c r="Q40" s="46" t="s">
        <v>64</v>
      </c>
      <c r="R40" s="46"/>
      <c r="S40" s="46"/>
      <c r="U40" s="40"/>
      <c r="AA40" s="16"/>
    </row>
    <row r="41" spans="14:27" x14ac:dyDescent="0.3">
      <c r="O41" t="s">
        <v>65</v>
      </c>
      <c r="P41" s="17" t="s">
        <v>66</v>
      </c>
      <c r="Q41" s="17" t="s">
        <v>67</v>
      </c>
      <c r="R41" s="17"/>
      <c r="S41" s="17"/>
      <c r="T41" t="s">
        <v>68</v>
      </c>
      <c r="Z41">
        <v>5</v>
      </c>
    </row>
    <row r="44" spans="14:27" x14ac:dyDescent="0.3">
      <c r="R44" s="3" t="s">
        <v>69</v>
      </c>
      <c r="S44" t="s">
        <v>52</v>
      </c>
    </row>
    <row r="45" spans="14:27" x14ac:dyDescent="0.3">
      <c r="N45" s="3" t="s">
        <v>69</v>
      </c>
      <c r="O45" t="s">
        <v>52</v>
      </c>
      <c r="R45" s="27">
        <v>0.1</v>
      </c>
      <c r="S45" s="22">
        <f t="shared" ref="S45:S54" si="4">NPV(R45,$S$24:$S$28)+$S$23</f>
        <v>884742.10032846639</v>
      </c>
    </row>
    <row r="46" spans="14:27" x14ac:dyDescent="0.3">
      <c r="N46" s="27">
        <v>0.01</v>
      </c>
      <c r="O46" s="28">
        <f t="shared" ref="O46:O57" si="5">NPV(N46,$P$24:$P$28)+$P$23</f>
        <v>-616947.2031768919</v>
      </c>
      <c r="R46" s="27">
        <v>0.2</v>
      </c>
      <c r="S46" s="22">
        <f t="shared" si="4"/>
        <v>206667.95267489739</v>
      </c>
    </row>
    <row r="47" spans="14:27" x14ac:dyDescent="0.3">
      <c r="N47" s="27">
        <v>0.02</v>
      </c>
      <c r="O47" s="28">
        <f t="shared" si="5"/>
        <v>-624351.42058631545</v>
      </c>
      <c r="R47" s="27">
        <v>0.3</v>
      </c>
      <c r="S47" s="22">
        <f t="shared" si="4"/>
        <v>-271562.8896855046</v>
      </c>
    </row>
    <row r="48" spans="14:27" x14ac:dyDescent="0.3">
      <c r="N48" s="27">
        <v>0.1</v>
      </c>
      <c r="O48" s="28">
        <f t="shared" si="5"/>
        <v>-694653.99159272551</v>
      </c>
      <c r="R48" s="27">
        <v>0.4</v>
      </c>
      <c r="S48" s="22">
        <f t="shared" si="4"/>
        <v>-621553.51936693024</v>
      </c>
    </row>
    <row r="49" spans="14:19" x14ac:dyDescent="0.3">
      <c r="N49" s="27">
        <v>0.2</v>
      </c>
      <c r="O49" s="28">
        <f t="shared" si="5"/>
        <v>-793674.12551440322</v>
      </c>
      <c r="R49" s="27">
        <v>0.5</v>
      </c>
      <c r="S49" s="22">
        <f t="shared" si="4"/>
        <v>-885761.31687242817</v>
      </c>
    </row>
    <row r="50" spans="14:19" x14ac:dyDescent="0.3">
      <c r="N50" s="27">
        <v>0.3</v>
      </c>
      <c r="O50" s="28">
        <f t="shared" si="5"/>
        <v>-890909.12029044447</v>
      </c>
      <c r="R50" s="27">
        <v>0.6</v>
      </c>
      <c r="S50" s="22">
        <f t="shared" si="4"/>
        <v>-1090521.240234375</v>
      </c>
    </row>
    <row r="51" spans="14:19" x14ac:dyDescent="0.3">
      <c r="N51" s="27">
        <v>0.4</v>
      </c>
      <c r="O51" s="28">
        <f t="shared" si="5"/>
        <v>-980544.41601713549</v>
      </c>
      <c r="R51" s="27">
        <v>0.7</v>
      </c>
      <c r="S51" s="22">
        <f t="shared" si="4"/>
        <v>-1252811.6563851144</v>
      </c>
    </row>
    <row r="52" spans="14:19" x14ac:dyDescent="0.3">
      <c r="N52" s="27">
        <v>0.5</v>
      </c>
      <c r="O52" s="28">
        <f t="shared" si="5"/>
        <v>-1061004.1152263377</v>
      </c>
      <c r="R52" s="27">
        <v>0.8</v>
      </c>
      <c r="S52" s="22">
        <f t="shared" si="4"/>
        <v>-1383951.4640383413</v>
      </c>
    </row>
    <row r="53" spans="14:19" x14ac:dyDescent="0.3">
      <c r="N53" s="27">
        <v>0.6</v>
      </c>
      <c r="O53" s="28">
        <f t="shared" si="5"/>
        <v>-1132428.2836914063</v>
      </c>
      <c r="R53" s="27">
        <v>0.9</v>
      </c>
      <c r="S53" s="22">
        <f t="shared" si="4"/>
        <v>-1491710.7110822306</v>
      </c>
    </row>
    <row r="54" spans="14:19" x14ac:dyDescent="0.3">
      <c r="N54" s="27">
        <v>0.7</v>
      </c>
      <c r="O54" s="28">
        <f t="shared" si="5"/>
        <v>-1195598.3736390355</v>
      </c>
      <c r="R54" s="27">
        <v>1</v>
      </c>
      <c r="S54" s="22">
        <f t="shared" si="4"/>
        <v>-1581562.5</v>
      </c>
    </row>
    <row r="55" spans="14:19" x14ac:dyDescent="0.3">
      <c r="N55" s="27">
        <v>0.8</v>
      </c>
      <c r="O55" s="28">
        <f t="shared" si="5"/>
        <v>-1251476.062253383</v>
      </c>
    </row>
    <row r="56" spans="14:19" x14ac:dyDescent="0.3">
      <c r="N56" s="27">
        <v>0.9</v>
      </c>
      <c r="O56" s="28">
        <f t="shared" si="5"/>
        <v>-1301010.1453940249</v>
      </c>
    </row>
    <row r="57" spans="14:19" x14ac:dyDescent="0.3">
      <c r="N57" s="27">
        <v>1</v>
      </c>
      <c r="O57" s="28">
        <f t="shared" si="5"/>
        <v>-1345062.5</v>
      </c>
    </row>
    <row r="80" spans="14:20" x14ac:dyDescent="0.3">
      <c r="N80" s="3" t="s">
        <v>55</v>
      </c>
      <c r="O80" s="21">
        <f>MIRR(P23:P28,O81,O82)</f>
        <v>0.12923969305824934</v>
      </c>
      <c r="S80" s="3" t="s">
        <v>55</v>
      </c>
      <c r="T80" s="40">
        <f>MIRR(S23:S28,T81,T82)</f>
        <v>0.23963043766559311</v>
      </c>
    </row>
    <row r="81" spans="14:20" x14ac:dyDescent="0.3">
      <c r="N81" s="3" t="s">
        <v>60</v>
      </c>
      <c r="O81" s="21">
        <v>0.24</v>
      </c>
      <c r="S81" s="3" t="s">
        <v>60</v>
      </c>
      <c r="T81" s="21">
        <v>0.24</v>
      </c>
    </row>
    <row r="82" spans="14:20" ht="28.8" x14ac:dyDescent="0.3">
      <c r="N82" s="3" t="s">
        <v>70</v>
      </c>
      <c r="O82" s="21">
        <v>0.24</v>
      </c>
      <c r="S82" s="3" t="s">
        <v>70</v>
      </c>
      <c r="T82" s="21">
        <v>0.24</v>
      </c>
    </row>
  </sheetData>
  <mergeCells count="5">
    <mergeCell ref="N21:O21"/>
    <mergeCell ref="X10:Y10"/>
    <mergeCell ref="Z10:AA10"/>
    <mergeCell ref="Q21:S21"/>
    <mergeCell ref="P38:S38"/>
  </mergeCells>
  <conditionalFormatting sqref="P39">
    <cfRule type="cellIs" dxfId="0" priority="1" operator="greaterThan">
      <formula>$C$61&gt;$C$63</formula>
    </cfRule>
  </conditionalFormatting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h_Settings xmlns="77d60c8f-f993-498b-b733-2748121c7fab" xsi:nil="true"/>
    <Has_Teacher_Only_SectionGroup xmlns="77d60c8f-f993-498b-b733-2748121c7fab" xsi:nil="true"/>
    <AppVersion xmlns="77d60c8f-f993-498b-b733-2748121c7fab" xsi:nil="true"/>
    <Self_Registration_Enabled xmlns="77d60c8f-f993-498b-b733-2748121c7fab" xsi:nil="true"/>
    <Invited_Students xmlns="77d60c8f-f993-498b-b733-2748121c7fab" xsi:nil="true"/>
    <DefaultSectionNames xmlns="77d60c8f-f993-498b-b733-2748121c7fab" xsi:nil="true"/>
    <Invited_Teachers xmlns="77d60c8f-f993-498b-b733-2748121c7fab" xsi:nil="true"/>
    <NotebookType xmlns="77d60c8f-f993-498b-b733-2748121c7fab" xsi:nil="true"/>
    <FolderType xmlns="77d60c8f-f993-498b-b733-2748121c7fab" xsi:nil="true"/>
    <CultureName xmlns="77d60c8f-f993-498b-b733-2748121c7fab" xsi:nil="true"/>
    <Students xmlns="77d60c8f-f993-498b-b733-2748121c7fab">
      <UserInfo>
        <DisplayName/>
        <AccountId xsi:nil="true"/>
        <AccountType/>
      </UserInfo>
    </Students>
    <Student_Groups xmlns="77d60c8f-f993-498b-b733-2748121c7fab">
      <UserInfo>
        <DisplayName/>
        <AccountId xsi:nil="true"/>
        <AccountType/>
      </UserInfo>
    </Student_Groups>
    <Templates xmlns="77d60c8f-f993-498b-b733-2748121c7fab" xsi:nil="true"/>
    <TeamsChannelId xmlns="77d60c8f-f993-498b-b733-2748121c7fab" xsi:nil="true"/>
    <Owner xmlns="77d60c8f-f993-498b-b733-2748121c7fab">
      <UserInfo>
        <DisplayName/>
        <AccountId xsi:nil="true"/>
        <AccountType/>
      </UserInfo>
    </Owner>
    <Teachers xmlns="77d60c8f-f993-498b-b733-2748121c7fab">
      <UserInfo>
        <DisplayName/>
        <AccountId xsi:nil="true"/>
        <AccountType/>
      </UserInfo>
    </Teachers>
    <Is_Collaboration_Space_Locked xmlns="77d60c8f-f993-498b-b733-2748121c7fab" xsi:nil="true"/>
    <IsNotebookLocked xmlns="77d60c8f-f993-498b-b733-2748121c7fa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8B3CFB06082145AF664213613EE8F0" ma:contentTypeVersion="23" ma:contentTypeDescription="Crear nuevo documento." ma:contentTypeScope="" ma:versionID="cc74812b21ef1869a0778c7b16ca4521">
  <xsd:schema xmlns:xsd="http://www.w3.org/2001/XMLSchema" xmlns:xs="http://www.w3.org/2001/XMLSchema" xmlns:p="http://schemas.microsoft.com/office/2006/metadata/properties" xmlns:ns3="77d60c8f-f993-498b-b733-2748121c7fab" xmlns:ns4="e34da363-7d0e-4741-9845-9969e76b31e4" targetNamespace="http://schemas.microsoft.com/office/2006/metadata/properties" ma:root="true" ma:fieldsID="d91b1b8b5dff0a69e9e9805621f05b33" ns3:_="" ns4:_="">
    <xsd:import namespace="77d60c8f-f993-498b-b733-2748121c7fab"/>
    <xsd:import namespace="e34da363-7d0e-4741-9845-9969e76b31e4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d60c8f-f993-498b-b733-2748121c7fab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IsNotebookLocked" ma:index="25" nillable="true" ma:displayName="Is Notebook Locked" ma:internalName="IsNotebookLocked">
      <xsd:simpleType>
        <xsd:restriction base="dms:Boolean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da363-7d0e-4741-9845-9969e76b31e4" elementFormDefault="qualified">
    <xsd:import namespace="http://schemas.microsoft.com/office/2006/documentManagement/types"/>
    <xsd:import namespace="http://schemas.microsoft.com/office/infopath/2007/PartnerControls"/>
    <xsd:element name="SharedWithUsers" ma:index="2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B8015A-4BC1-4E12-90CA-228E620575B6}">
  <ds:schemaRefs>
    <ds:schemaRef ds:uri="http://schemas.microsoft.com/office/2006/metadata/properties"/>
    <ds:schemaRef ds:uri="http://schemas.microsoft.com/office/infopath/2007/PartnerControls"/>
    <ds:schemaRef ds:uri="77d60c8f-f993-498b-b733-2748121c7fab"/>
  </ds:schemaRefs>
</ds:datastoreItem>
</file>

<file path=customXml/itemProps2.xml><?xml version="1.0" encoding="utf-8"?>
<ds:datastoreItem xmlns:ds="http://schemas.openxmlformats.org/officeDocument/2006/customXml" ds:itemID="{4A46DC02-6CCC-48C7-8D4E-454FFB4882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d60c8f-f993-498b-b733-2748121c7fab"/>
    <ds:schemaRef ds:uri="e34da363-7d0e-4741-9845-9969e76b31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F571F0-2D64-421E-BA8C-EF7A212740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Carátula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 Castro</dc:creator>
  <cp:keywords/>
  <dc:description/>
  <cp:lastModifiedBy>Azurdia</cp:lastModifiedBy>
  <cp:revision/>
  <dcterms:created xsi:type="dcterms:W3CDTF">2021-10-27T01:13:30Z</dcterms:created>
  <dcterms:modified xsi:type="dcterms:W3CDTF">2021-10-27T02:18:33Z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0x0101009D8B3CFB06082145AF664213613EE8F0</vt:lpwstr>
  </property>
</Properties>
</file>