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Universidad\Ingenieria Economica\"/>
    </mc:Choice>
  </mc:AlternateContent>
  <xr:revisionPtr revIDLastSave="0" documentId="13_ncr:1_{2EF7DCD1-8E27-462F-BD03-D2B9CF12C2C8}" xr6:coauthVersionLast="47" xr6:coauthVersionMax="47" xr10:uidLastSave="{00000000-0000-0000-0000-000000000000}"/>
  <bookViews>
    <workbookView xWindow="-120" yWindow="-120" windowWidth="20730" windowHeight="11160" activeTab="1" xr2:uid="{CE021FC5-A2FE-4EB2-BBD6-9418911574A8}"/>
  </bookViews>
  <sheets>
    <sheet name="Portada" sheetId="1" r:id="rId1"/>
    <sheet name="P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7" i="3" l="1"/>
  <c r="K56" i="3"/>
  <c r="J62" i="3" s="1"/>
  <c r="H56" i="3"/>
  <c r="J66" i="3" s="1"/>
  <c r="K52" i="3" a="1"/>
  <c r="K52" i="3" s="1"/>
  <c r="K53" i="3" s="1"/>
  <c r="J52" i="3"/>
  <c r="J53" i="3" s="1"/>
  <c r="D62" i="3"/>
  <c r="E57" i="3"/>
  <c r="E56" i="3"/>
  <c r="B56" i="3"/>
  <c r="E53" i="3"/>
  <c r="D53" i="3"/>
  <c r="E52" i="3" a="1"/>
  <c r="E52" i="3" s="1"/>
  <c r="D52" i="3"/>
  <c r="J49" i="3"/>
  <c r="H49" i="3" s="1"/>
  <c r="E49" i="3"/>
  <c r="J48" i="3"/>
  <c r="H48" i="3" s="1"/>
  <c r="E48" i="3"/>
  <c r="K47" i="3"/>
  <c r="J47" i="3"/>
  <c r="H47" i="3" s="1"/>
  <c r="E47" i="3"/>
  <c r="J46" i="3"/>
  <c r="H46" i="3"/>
  <c r="E46" i="3"/>
  <c r="J45" i="3"/>
  <c r="H45" i="3"/>
  <c r="E45" i="3"/>
  <c r="J44" i="3"/>
  <c r="H44" i="3"/>
  <c r="E44" i="3"/>
  <c r="J43" i="3"/>
  <c r="H43" i="3"/>
  <c r="E43" i="3"/>
  <c r="J42" i="3"/>
  <c r="H42" i="3"/>
  <c r="E42" i="3"/>
  <c r="J41" i="3"/>
  <c r="H41" i="3" s="1"/>
  <c r="E41" i="3"/>
  <c r="K40" i="3"/>
  <c r="J40" i="3"/>
  <c r="H40" i="3" s="1"/>
  <c r="E40" i="3"/>
  <c r="K39" i="3"/>
  <c r="J39" i="3"/>
  <c r="H39" i="3" s="1"/>
  <c r="E39" i="3"/>
  <c r="J38" i="3"/>
  <c r="H38" i="3"/>
  <c r="E38" i="3"/>
  <c r="J37" i="3"/>
  <c r="H37" i="3"/>
  <c r="E37" i="3"/>
  <c r="J36" i="3"/>
  <c r="H36" i="3"/>
  <c r="E36" i="3"/>
  <c r="J35" i="3"/>
  <c r="H35" i="3"/>
  <c r="E35" i="3"/>
  <c r="J34" i="3"/>
  <c r="H34" i="3"/>
  <c r="E34" i="3"/>
  <c r="K33" i="3"/>
  <c r="J33" i="3"/>
  <c r="H33" i="3"/>
  <c r="E33" i="3"/>
  <c r="J32" i="3"/>
  <c r="H32" i="3" s="1"/>
  <c r="E32" i="3"/>
  <c r="J31" i="3"/>
  <c r="H31" i="3"/>
  <c r="E31" i="3"/>
  <c r="J30" i="3"/>
  <c r="H30" i="3"/>
  <c r="E30" i="3"/>
  <c r="J29" i="3"/>
  <c r="H29" i="3"/>
  <c r="E29" i="3"/>
  <c r="J28" i="3"/>
  <c r="H28" i="3"/>
  <c r="E28" i="3"/>
  <c r="J27" i="3"/>
  <c r="H27" i="3"/>
  <c r="E27" i="3"/>
  <c r="K26" i="3"/>
  <c r="K50" i="3" s="1"/>
  <c r="J26" i="3"/>
  <c r="H26" i="3"/>
  <c r="E26" i="3"/>
  <c r="J25" i="3"/>
  <c r="H25" i="3" s="1"/>
  <c r="E25" i="3"/>
  <c r="J24" i="3"/>
  <c r="H24" i="3"/>
  <c r="E24" i="3"/>
  <c r="J23" i="3"/>
  <c r="H23" i="3"/>
  <c r="E23" i="3"/>
  <c r="J22" i="3"/>
  <c r="H22" i="3"/>
  <c r="E22" i="3"/>
  <c r="D22" i="3"/>
  <c r="D23" i="3" s="1"/>
  <c r="J21" i="3"/>
  <c r="H21" i="3"/>
  <c r="E21" i="3"/>
  <c r="E50" i="3" s="1"/>
  <c r="D21" i="3"/>
  <c r="B21" i="3"/>
  <c r="J20" i="3"/>
  <c r="J50" i="3" s="1"/>
  <c r="H20" i="3"/>
  <c r="E20" i="3"/>
  <c r="B20" i="3"/>
  <c r="D66" i="3" l="1"/>
  <c r="D24" i="3"/>
  <c r="B23" i="3"/>
  <c r="H50" i="3"/>
  <c r="B22" i="3"/>
  <c r="D25" i="3" l="1"/>
  <c r="B24" i="3"/>
  <c r="B25" i="3" l="1"/>
  <c r="D26" i="3"/>
  <c r="D27" i="3" l="1"/>
  <c r="B26" i="3"/>
  <c r="D28" i="3" l="1"/>
  <c r="B27" i="3"/>
  <c r="D29" i="3" l="1"/>
  <c r="B28" i="3"/>
  <c r="D30" i="3" l="1"/>
  <c r="B29" i="3"/>
  <c r="D31" i="3" l="1"/>
  <c r="B30" i="3"/>
  <c r="D32" i="3" l="1"/>
  <c r="B31" i="3"/>
  <c r="B32" i="3" l="1"/>
  <c r="D33" i="3"/>
  <c r="D34" i="3" l="1"/>
  <c r="B33" i="3"/>
  <c r="D35" i="3" l="1"/>
  <c r="B34" i="3"/>
  <c r="B35" i="3" l="1"/>
  <c r="D36" i="3"/>
  <c r="D37" i="3" l="1"/>
  <c r="B36" i="3"/>
  <c r="D38" i="3" l="1"/>
  <c r="B37" i="3"/>
  <c r="D39" i="3" l="1"/>
  <c r="B38" i="3"/>
  <c r="D40" i="3" l="1"/>
  <c r="B39" i="3"/>
  <c r="D41" i="3" l="1"/>
  <c r="B40" i="3"/>
  <c r="D42" i="3" l="1"/>
  <c r="B41" i="3"/>
  <c r="D43" i="3" l="1"/>
  <c r="B42" i="3"/>
  <c r="D44" i="3" l="1"/>
  <c r="B43" i="3"/>
  <c r="D45" i="3" l="1"/>
  <c r="B44" i="3"/>
  <c r="D46" i="3" l="1"/>
  <c r="B45" i="3"/>
  <c r="D47" i="3" l="1"/>
  <c r="B46" i="3"/>
  <c r="D48" i="3" l="1"/>
  <c r="B47" i="3"/>
  <c r="D49" i="3" l="1"/>
  <c r="B48" i="3"/>
  <c r="B49" i="3" l="1"/>
  <c r="B50" i="3" s="1"/>
  <c r="D5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<sst xmlns="http://schemas.openxmlformats.org/spreadsheetml/2006/main" count="29" uniqueCount="15">
  <si>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RUBEN GONZALEZ, 1317114, SEC:01</t>
  </si>
  <si>
    <t>3er examen parcial Ingeniería Económica</t>
  </si>
  <si>
    <t>Año</t>
  </si>
  <si>
    <t>FNE</t>
  </si>
  <si>
    <t>Beneficios</t>
  </si>
  <si>
    <t>Costos</t>
  </si>
  <si>
    <t>Diseño Nuevo</t>
  </si>
  <si>
    <t>Diseño original</t>
  </si>
  <si>
    <t>Beneficios anuales</t>
  </si>
  <si>
    <t>Costo de la inversión inicial</t>
  </si>
  <si>
    <t>Valor anual de los costos =</t>
  </si>
  <si>
    <t xml:space="preserve">Costo anual </t>
  </si>
  <si>
    <t>VNA</t>
  </si>
  <si>
    <t>Anualidad</t>
  </si>
  <si>
    <t>DISEÑO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</si>
</sst>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_-[$GTQ]\ * #,##0.00_-;\-[$GTQ]\ * #,##0.00_-;_-[$GTQ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2" fillId="0" borderId="0" xfId="0" applyFont="1"/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1" xfId="1" applyFont="1" applyBorder="1" applyAlignment="1">
      <alignment horizontal="center"/>
    </xf>
    <xf numFmtId="44" fontId="0" fillId="0" borderId="0" xfId="0" applyNumberFormat="1"/>
    <xf numFmtId="44" fontId="2" fillId="2" borderId="0" xfId="1" applyFont="1" applyFill="1" applyAlignment="1">
      <alignment horizontal="center"/>
    </xf>
    <xf numFmtId="44" fontId="2" fillId="0" borderId="0" xfId="1" applyFont="1"/>
    <xf numFmtId="44" fontId="2" fillId="0" borderId="0" xfId="0" applyNumberFormat="1" applyFont="1"/>
    <xf numFmtId="2" fontId="0" fillId="0" borderId="0" xfId="0" applyNumberFormat="1"/>
    <xf numFmtId="44" fontId="0" fillId="0" borderId="0" xfId="1" applyFont="1" applyFill="1" applyBorder="1" applyAlignment="1">
      <alignment horizontal="center"/>
    </xf>
    <xf numFmtId="8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266700</xdr:colOff>
      <xdr:row>15</xdr:row>
      <xdr:rowOff>26816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0F17C9-27FF-46A4-B20D-EAB5CB267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43725" cy="2884316"/>
        </a:xfrm>
        <a:prstGeom prst="rect">
          <a:avLst/>
        </a:prstGeom>
      </xdr:spPr>
    </xdr:pic>
    <xdr:clientData/>
  </xdr:twoCellAnchor>
  <xdr:twoCellAnchor>
    <xdr:from>
      <xdr:col>2</xdr:col>
      <xdr:colOff>473869</xdr:colOff>
      <xdr:row>61</xdr:row>
      <xdr:rowOff>57150</xdr:rowOff>
    </xdr:from>
    <xdr:to>
      <xdr:col>2</xdr:col>
      <xdr:colOff>683419</xdr:colOff>
      <xdr:row>62</xdr:row>
      <xdr:rowOff>0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0D61073B-F07D-43D2-A191-5D9793E665D4}"/>
            </a:ext>
          </a:extLst>
        </xdr:cNvPr>
        <xdr:cNvSpPr/>
      </xdr:nvSpPr>
      <xdr:spPr>
        <a:xfrm>
          <a:off x="3893344" y="2914650"/>
          <a:ext cx="20955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581025</xdr:colOff>
      <xdr:row>65</xdr:row>
      <xdr:rowOff>47625</xdr:rowOff>
    </xdr:from>
    <xdr:to>
      <xdr:col>2</xdr:col>
      <xdr:colOff>790575</xdr:colOff>
      <xdr:row>65</xdr:row>
      <xdr:rowOff>180975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862D23FF-251E-4052-87B1-4320499D7D9F}"/>
            </a:ext>
          </a:extLst>
        </xdr:cNvPr>
        <xdr:cNvSpPr/>
      </xdr:nvSpPr>
      <xdr:spPr>
        <a:xfrm>
          <a:off x="5657850" y="3667125"/>
          <a:ext cx="20955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</xdr:col>
      <xdr:colOff>466725</xdr:colOff>
      <xdr:row>63</xdr:row>
      <xdr:rowOff>161925</xdr:rowOff>
    </xdr:from>
    <xdr:ext cx="1000125" cy="666843"/>
    <xdr:pic>
      <xdr:nvPicPr>
        <xdr:cNvPr id="6" name="Imagen 5">
          <a:extLst>
            <a:ext uri="{FF2B5EF4-FFF2-40B4-BE49-F238E27FC236}">
              <a16:creationId xmlns:a16="http://schemas.microsoft.com/office/drawing/2014/main" id="{D773BBAE-AB56-4C5B-AADF-010FCAA5E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65005"/>
        <a:stretch/>
      </xdr:blipFill>
      <xdr:spPr>
        <a:xfrm>
          <a:off x="2857500" y="12163425"/>
          <a:ext cx="1000125" cy="666843"/>
        </a:xfrm>
        <a:prstGeom prst="rect">
          <a:avLst/>
        </a:prstGeom>
      </xdr:spPr>
    </xdr:pic>
    <xdr:clientData/>
  </xdr:oneCellAnchor>
  <xdr:twoCellAnchor>
    <xdr:from>
      <xdr:col>8</xdr:col>
      <xdr:colOff>473869</xdr:colOff>
      <xdr:row>61</xdr:row>
      <xdr:rowOff>57150</xdr:rowOff>
    </xdr:from>
    <xdr:to>
      <xdr:col>8</xdr:col>
      <xdr:colOff>683419</xdr:colOff>
      <xdr:row>62</xdr:row>
      <xdr:rowOff>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869287F4-3007-4E76-9E3D-F4C3ED2C38AE}"/>
            </a:ext>
          </a:extLst>
        </xdr:cNvPr>
        <xdr:cNvSpPr/>
      </xdr:nvSpPr>
      <xdr:spPr>
        <a:xfrm>
          <a:off x="2864644" y="11677650"/>
          <a:ext cx="20955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581025</xdr:colOff>
      <xdr:row>65</xdr:row>
      <xdr:rowOff>47625</xdr:rowOff>
    </xdr:from>
    <xdr:to>
      <xdr:col>8</xdr:col>
      <xdr:colOff>790575</xdr:colOff>
      <xdr:row>65</xdr:row>
      <xdr:rowOff>180975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CAFA9CE0-DBE4-4C93-BABF-7EA80585B0F0}"/>
            </a:ext>
          </a:extLst>
        </xdr:cNvPr>
        <xdr:cNvSpPr/>
      </xdr:nvSpPr>
      <xdr:spPr>
        <a:xfrm>
          <a:off x="2971800" y="12430125"/>
          <a:ext cx="20955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7</xdr:col>
      <xdr:colOff>466725</xdr:colOff>
      <xdr:row>63</xdr:row>
      <xdr:rowOff>161925</xdr:rowOff>
    </xdr:from>
    <xdr:ext cx="1000125" cy="666843"/>
    <xdr:pic>
      <xdr:nvPicPr>
        <xdr:cNvPr id="9" name="Imagen 8">
          <a:extLst>
            <a:ext uri="{FF2B5EF4-FFF2-40B4-BE49-F238E27FC236}">
              <a16:creationId xmlns:a16="http://schemas.microsoft.com/office/drawing/2014/main" id="{6224370B-EF52-4EFA-BBFD-7C755087DD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65005"/>
        <a:stretch/>
      </xdr:blipFill>
      <xdr:spPr>
        <a:xfrm>
          <a:off x="1228725" y="12163425"/>
          <a:ext cx="1000125" cy="666843"/>
        </a:xfrm>
        <a:prstGeom prst="rect">
          <a:avLst/>
        </a:prstGeom>
      </xdr:spPr>
    </xdr:pic>
    <xdr:clientData/>
  </xdr:oneCellAnchor>
  <xdr:twoCellAnchor>
    <xdr:from>
      <xdr:col>3</xdr:col>
      <xdr:colOff>47625</xdr:colOff>
      <xdr:row>68</xdr:row>
      <xdr:rowOff>28575</xdr:rowOff>
    </xdr:from>
    <xdr:to>
      <xdr:col>5</xdr:col>
      <xdr:colOff>838200</xdr:colOff>
      <xdr:row>73</xdr:row>
      <xdr:rowOff>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3E30112F-CA74-4566-AFBE-157717558BF0}"/>
            </a:ext>
          </a:extLst>
        </xdr:cNvPr>
        <xdr:cNvSpPr txBox="1"/>
      </xdr:nvSpPr>
      <xdr:spPr>
        <a:xfrm>
          <a:off x="3619500" y="12982575"/>
          <a:ext cx="28860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elegir el diseño nuevo del puente de cuota, ya que posee un beneficio costo anual mayor al diseño original.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11E5-3491-40CD-9347-5CCD5FCA6C7C}">
  <dimension ref="A1:F7"/>
  <sheetViews>
    <sheetView workbookViewId="0">
      <selection activeCell="A6" sqref="A6"/>
    </sheetView>
  </sheetViews>
  <sheetFormatPr baseColWidth="10" defaultRowHeight="15" x14ac:dyDescent="0.25"/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7" spans="1:6" x14ac:dyDescent="0.25">
      <c r="A7" s="2" t="s">
        <v>0</v>
      </c>
      <c r="B7" s="2"/>
      <c r="C7" s="2"/>
      <c r="D7" s="2"/>
      <c r="E7" s="2"/>
    </row>
  </sheetData>
  <mergeCells count="2">
    <mergeCell ref="A1:F5"/>
    <mergeCell ref="A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DEC5-F3AF-4E65-82E8-1FED4FA8723E}">
  <dimension ref="A17:K66"/>
  <sheetViews>
    <sheetView tabSelected="1" topLeftCell="A55" workbookViewId="0">
      <selection activeCell="D62" sqref="D62"/>
    </sheetView>
  </sheetViews>
  <sheetFormatPr baseColWidth="10" defaultRowHeight="15" x14ac:dyDescent="0.25"/>
  <cols>
    <col min="1" max="1" width="17.7109375" bestFit="1" customWidth="1"/>
    <col min="2" max="2" width="24.42578125" bestFit="1" customWidth="1"/>
    <col min="3" max="3" width="11.42578125" customWidth="1"/>
    <col min="4" max="4" width="16.28515625" bestFit="1" customWidth="1"/>
    <col min="5" max="6" width="15.140625" bestFit="1" customWidth="1"/>
    <col min="7" max="7" width="15.140625" customWidth="1"/>
    <col min="8" max="8" width="15.140625" bestFit="1" customWidth="1"/>
    <col min="10" max="11" width="15.140625" bestFit="1" customWidth="1"/>
  </cols>
  <sheetData>
    <row r="17" spans="1:11" x14ac:dyDescent="0.25">
      <c r="A17" s="3" t="s">
        <v>6</v>
      </c>
      <c r="B17" s="3"/>
      <c r="C17" s="3"/>
      <c r="D17" s="3"/>
      <c r="E17" s="3"/>
      <c r="G17" s="3" t="s">
        <v>7</v>
      </c>
      <c r="H17" s="3"/>
      <c r="I17" s="3"/>
      <c r="J17" s="3"/>
      <c r="K17" s="3"/>
    </row>
    <row r="18" spans="1:11" x14ac:dyDescent="0.25">
      <c r="A18" s="4" t="s">
        <v>2</v>
      </c>
      <c r="B18" s="4" t="s">
        <v>3</v>
      </c>
      <c r="D18" s="5" t="s">
        <v>4</v>
      </c>
      <c r="E18" s="5" t="s">
        <v>5</v>
      </c>
      <c r="G18" s="4" t="s">
        <v>2</v>
      </c>
      <c r="H18" s="4" t="s">
        <v>3</v>
      </c>
      <c r="J18" s="5" t="s">
        <v>4</v>
      </c>
      <c r="K18" s="5" t="s">
        <v>5</v>
      </c>
    </row>
    <row r="19" spans="1:11" x14ac:dyDescent="0.25">
      <c r="A19" s="6">
        <v>0</v>
      </c>
      <c r="B19" s="10">
        <v>-17500000</v>
      </c>
      <c r="D19" s="7"/>
      <c r="E19" s="10">
        <v>-17500000</v>
      </c>
      <c r="G19" s="6">
        <v>0</v>
      </c>
      <c r="H19" s="10">
        <v>-22500000</v>
      </c>
      <c r="J19" s="7"/>
      <c r="K19" s="10">
        <v>-22500000</v>
      </c>
    </row>
    <row r="20" spans="1:11" x14ac:dyDescent="0.25">
      <c r="A20" s="6">
        <v>1</v>
      </c>
      <c r="B20" s="10">
        <f>-325000+D20</f>
        <v>2175000</v>
      </c>
      <c r="D20" s="10">
        <v>2500000</v>
      </c>
      <c r="E20" s="10">
        <f>-325000</f>
        <v>-325000</v>
      </c>
      <c r="G20" s="6">
        <v>1</v>
      </c>
      <c r="H20" s="10">
        <f>-250000+J20</f>
        <v>2750000</v>
      </c>
      <c r="J20" s="10">
        <f>3000000</f>
        <v>3000000</v>
      </c>
      <c r="K20" s="10">
        <v>-250000</v>
      </c>
    </row>
    <row r="21" spans="1:11" x14ac:dyDescent="0.25">
      <c r="A21" s="6">
        <v>2</v>
      </c>
      <c r="B21" s="10">
        <f t="shared" ref="B21:B23" si="0">-325000+D21</f>
        <v>2231250</v>
      </c>
      <c r="D21" s="10">
        <f>D20*1.0225</f>
        <v>2556250</v>
      </c>
      <c r="E21" s="10">
        <f t="shared" ref="E21:E23" si="1">-325000</f>
        <v>-325000</v>
      </c>
      <c r="G21" s="6">
        <v>2</v>
      </c>
      <c r="H21" s="10">
        <f t="shared" ref="H21:H38" si="2">-250000+J21</f>
        <v>2750000</v>
      </c>
      <c r="J21" s="10">
        <f t="shared" ref="J21:J49" si="3">3000000</f>
        <v>3000000</v>
      </c>
      <c r="K21" s="10">
        <v>-250000</v>
      </c>
    </row>
    <row r="22" spans="1:11" x14ac:dyDescent="0.25">
      <c r="A22" s="6">
        <v>3</v>
      </c>
      <c r="B22" s="10">
        <f t="shared" si="0"/>
        <v>2288765.625</v>
      </c>
      <c r="D22" s="10">
        <f t="shared" ref="D22:D48" si="4">D21*1.0225</f>
        <v>2613765.625</v>
      </c>
      <c r="E22" s="10">
        <f t="shared" si="1"/>
        <v>-325000</v>
      </c>
      <c r="G22" s="6">
        <v>3</v>
      </c>
      <c r="H22" s="10">
        <f t="shared" si="2"/>
        <v>2750000</v>
      </c>
      <c r="J22" s="10">
        <f t="shared" si="3"/>
        <v>3000000</v>
      </c>
      <c r="K22" s="10">
        <v>-250000</v>
      </c>
    </row>
    <row r="23" spans="1:11" x14ac:dyDescent="0.25">
      <c r="A23" s="6">
        <v>4</v>
      </c>
      <c r="B23" s="10">
        <f t="shared" si="0"/>
        <v>2347575.3515625</v>
      </c>
      <c r="C23" s="8"/>
      <c r="D23" s="10">
        <f t="shared" si="4"/>
        <v>2672575.3515625</v>
      </c>
      <c r="E23" s="10">
        <f t="shared" si="1"/>
        <v>-325000</v>
      </c>
      <c r="F23" s="8"/>
      <c r="G23" s="6">
        <v>4</v>
      </c>
      <c r="H23" s="10">
        <f t="shared" si="2"/>
        <v>2750000</v>
      </c>
      <c r="I23" s="8"/>
      <c r="J23" s="10">
        <f t="shared" si="3"/>
        <v>3000000</v>
      </c>
      <c r="K23" s="10">
        <v>-250000</v>
      </c>
    </row>
    <row r="24" spans="1:11" x14ac:dyDescent="0.25">
      <c r="A24" s="6">
        <v>5</v>
      </c>
      <c r="B24" s="10">
        <f>-325000-1250000+D24</f>
        <v>1157708.2969726562</v>
      </c>
      <c r="D24" s="10">
        <f t="shared" si="4"/>
        <v>2732708.2969726562</v>
      </c>
      <c r="E24" s="10">
        <f>-325000-1250000</f>
        <v>-1575000</v>
      </c>
      <c r="G24" s="6">
        <v>5</v>
      </c>
      <c r="H24" s="10">
        <f t="shared" si="2"/>
        <v>2750000</v>
      </c>
      <c r="J24" s="10">
        <f t="shared" si="3"/>
        <v>3000000</v>
      </c>
      <c r="K24" s="10">
        <v>-250000</v>
      </c>
    </row>
    <row r="25" spans="1:11" x14ac:dyDescent="0.25">
      <c r="A25" s="6">
        <v>6</v>
      </c>
      <c r="B25" s="10">
        <f>-325000+D25</f>
        <v>2469194.233654541</v>
      </c>
      <c r="D25" s="10">
        <f t="shared" si="4"/>
        <v>2794194.233654541</v>
      </c>
      <c r="E25" s="10">
        <f>-325000</f>
        <v>-325000</v>
      </c>
      <c r="G25" s="6">
        <v>6</v>
      </c>
      <c r="H25" s="10">
        <f t="shared" si="2"/>
        <v>2750000</v>
      </c>
      <c r="J25" s="10">
        <f t="shared" si="3"/>
        <v>3000000</v>
      </c>
      <c r="K25" s="10">
        <v>-250000</v>
      </c>
    </row>
    <row r="26" spans="1:11" x14ac:dyDescent="0.25">
      <c r="A26" s="6">
        <v>7</v>
      </c>
      <c r="B26" s="10">
        <f t="shared" ref="B26:B28" si="5">-325000+D26</f>
        <v>2532063.6039117682</v>
      </c>
      <c r="D26" s="10">
        <f t="shared" si="4"/>
        <v>2857063.6039117682</v>
      </c>
      <c r="E26" s="10">
        <f t="shared" ref="E26:E33" si="6">-325000</f>
        <v>-325000</v>
      </c>
      <c r="G26" s="6">
        <v>7</v>
      </c>
      <c r="H26" s="10">
        <f>-250000-1000000+J26</f>
        <v>1750000</v>
      </c>
      <c r="J26" s="10">
        <f t="shared" si="3"/>
        <v>3000000</v>
      </c>
      <c r="K26" s="10">
        <f>-250000-1000000</f>
        <v>-1250000</v>
      </c>
    </row>
    <row r="27" spans="1:11" x14ac:dyDescent="0.25">
      <c r="A27" s="6">
        <v>8</v>
      </c>
      <c r="B27" s="10">
        <f t="shared" si="5"/>
        <v>2596347.5349997827</v>
      </c>
      <c r="D27" s="10">
        <f t="shared" si="4"/>
        <v>2921347.5349997827</v>
      </c>
      <c r="E27" s="10">
        <f t="shared" si="6"/>
        <v>-325000</v>
      </c>
      <c r="G27" s="6">
        <v>8</v>
      </c>
      <c r="H27" s="10">
        <f t="shared" si="2"/>
        <v>2750000</v>
      </c>
      <c r="J27" s="10">
        <f t="shared" si="3"/>
        <v>3000000</v>
      </c>
      <c r="K27" s="10">
        <v>-250000</v>
      </c>
    </row>
    <row r="28" spans="1:11" x14ac:dyDescent="0.25">
      <c r="A28" s="6">
        <v>9</v>
      </c>
      <c r="B28" s="10">
        <f t="shared" si="5"/>
        <v>2662077.8545372775</v>
      </c>
      <c r="D28" s="10">
        <f t="shared" si="4"/>
        <v>2987077.8545372775</v>
      </c>
      <c r="E28" s="10">
        <f t="shared" si="6"/>
        <v>-325000</v>
      </c>
      <c r="G28" s="6">
        <v>9</v>
      </c>
      <c r="H28" s="10">
        <f t="shared" si="2"/>
        <v>2750000</v>
      </c>
      <c r="J28" s="10">
        <f t="shared" si="3"/>
        <v>3000000</v>
      </c>
      <c r="K28" s="10">
        <v>-250000</v>
      </c>
    </row>
    <row r="29" spans="1:11" x14ac:dyDescent="0.25">
      <c r="A29" s="6">
        <v>10</v>
      </c>
      <c r="B29" s="10">
        <f>-325000-1250000+D29</f>
        <v>1479287.1062643663</v>
      </c>
      <c r="D29" s="10">
        <f t="shared" si="4"/>
        <v>3054287.1062643663</v>
      </c>
      <c r="E29" s="10">
        <f>-325000-1250000</f>
        <v>-1575000</v>
      </c>
      <c r="G29" s="6">
        <v>10</v>
      </c>
      <c r="H29" s="10">
        <f t="shared" si="2"/>
        <v>2750000</v>
      </c>
      <c r="J29" s="10">
        <f t="shared" si="3"/>
        <v>3000000</v>
      </c>
      <c r="K29" s="10">
        <v>-250000</v>
      </c>
    </row>
    <row r="30" spans="1:11" x14ac:dyDescent="0.25">
      <c r="A30" s="6">
        <v>11</v>
      </c>
      <c r="B30" s="10">
        <f>-325000+D30</f>
        <v>2798008.5661553144</v>
      </c>
      <c r="D30" s="10">
        <f t="shared" si="4"/>
        <v>3123008.5661553144</v>
      </c>
      <c r="E30" s="10">
        <f>-325000</f>
        <v>-325000</v>
      </c>
      <c r="G30" s="6">
        <v>11</v>
      </c>
      <c r="H30" s="10">
        <f t="shared" si="2"/>
        <v>2750000</v>
      </c>
      <c r="J30" s="10">
        <f t="shared" si="3"/>
        <v>3000000</v>
      </c>
      <c r="K30" s="10">
        <v>-250000</v>
      </c>
    </row>
    <row r="31" spans="1:11" x14ac:dyDescent="0.25">
      <c r="A31" s="6">
        <v>12</v>
      </c>
      <c r="B31" s="10">
        <f t="shared" ref="B31:B33" si="7">-325000+D31</f>
        <v>2868276.2588938088</v>
      </c>
      <c r="D31" s="10">
        <f t="shared" si="4"/>
        <v>3193276.2588938088</v>
      </c>
      <c r="E31" s="10">
        <f t="shared" ref="E31:E34" si="8">-325000</f>
        <v>-325000</v>
      </c>
      <c r="G31" s="6">
        <v>12</v>
      </c>
      <c r="H31" s="10">
        <f t="shared" si="2"/>
        <v>2750000</v>
      </c>
      <c r="J31" s="10">
        <f t="shared" si="3"/>
        <v>3000000</v>
      </c>
      <c r="K31" s="10">
        <v>-250000</v>
      </c>
    </row>
    <row r="32" spans="1:11" x14ac:dyDescent="0.25">
      <c r="A32" s="6">
        <v>13</v>
      </c>
      <c r="B32" s="10">
        <f t="shared" si="7"/>
        <v>2940124.9747189195</v>
      </c>
      <c r="D32" s="10">
        <f t="shared" si="4"/>
        <v>3265124.9747189195</v>
      </c>
      <c r="E32" s="10">
        <f t="shared" si="8"/>
        <v>-325000</v>
      </c>
      <c r="G32" s="6">
        <v>13</v>
      </c>
      <c r="H32" s="10">
        <f t="shared" si="2"/>
        <v>2750000</v>
      </c>
      <c r="J32" s="10">
        <f t="shared" si="3"/>
        <v>3000000</v>
      </c>
      <c r="K32" s="10">
        <v>-250000</v>
      </c>
    </row>
    <row r="33" spans="1:11" x14ac:dyDescent="0.25">
      <c r="A33" s="6">
        <v>14</v>
      </c>
      <c r="B33" s="10">
        <f t="shared" si="7"/>
        <v>3013590.2866500951</v>
      </c>
      <c r="D33" s="10">
        <f t="shared" si="4"/>
        <v>3338590.2866500951</v>
      </c>
      <c r="E33" s="10">
        <f t="shared" si="8"/>
        <v>-325000</v>
      </c>
      <c r="G33" s="6">
        <v>14</v>
      </c>
      <c r="H33" s="10">
        <f>-250000-1000000+J33</f>
        <v>1750000</v>
      </c>
      <c r="J33" s="10">
        <f t="shared" si="3"/>
        <v>3000000</v>
      </c>
      <c r="K33" s="10">
        <f>-250000-1000000</f>
        <v>-1250000</v>
      </c>
    </row>
    <row r="34" spans="1:11" x14ac:dyDescent="0.25">
      <c r="A34" s="6">
        <v>15</v>
      </c>
      <c r="B34" s="10">
        <f>-325000-1250000+D34</f>
        <v>1838708.5680997223</v>
      </c>
      <c r="D34" s="10">
        <f t="shared" si="4"/>
        <v>3413708.5680997223</v>
      </c>
      <c r="E34" s="10">
        <f>-325000-1250000</f>
        <v>-1575000</v>
      </c>
      <c r="G34" s="6">
        <v>15</v>
      </c>
      <c r="H34" s="10">
        <f t="shared" si="2"/>
        <v>2750000</v>
      </c>
      <c r="J34" s="10">
        <f t="shared" si="3"/>
        <v>3000000</v>
      </c>
      <c r="K34" s="10">
        <v>-250000</v>
      </c>
    </row>
    <row r="35" spans="1:11" x14ac:dyDescent="0.25">
      <c r="A35" s="6">
        <v>16</v>
      </c>
      <c r="B35" s="10">
        <f>-325000+D35</f>
        <v>3165517.010881966</v>
      </c>
      <c r="D35" s="10">
        <f t="shared" si="4"/>
        <v>3490517.010881966</v>
      </c>
      <c r="E35" s="10">
        <f>-325000</f>
        <v>-325000</v>
      </c>
      <c r="G35" s="6">
        <v>16</v>
      </c>
      <c r="H35" s="10">
        <f t="shared" si="2"/>
        <v>2750000</v>
      </c>
      <c r="J35" s="10">
        <f t="shared" si="3"/>
        <v>3000000</v>
      </c>
      <c r="K35" s="10">
        <v>-250000</v>
      </c>
    </row>
    <row r="36" spans="1:11" x14ac:dyDescent="0.25">
      <c r="A36" s="6">
        <v>17</v>
      </c>
      <c r="B36" s="10">
        <f t="shared" ref="B36:B38" si="9">-325000+D36</f>
        <v>3244053.6436268101</v>
      </c>
      <c r="D36" s="10">
        <f t="shared" si="4"/>
        <v>3569053.6436268101</v>
      </c>
      <c r="E36" s="10">
        <f t="shared" ref="E36:E39" si="10">-325000</f>
        <v>-325000</v>
      </c>
      <c r="G36" s="6">
        <v>17</v>
      </c>
      <c r="H36" s="10">
        <f t="shared" si="2"/>
        <v>2750000</v>
      </c>
      <c r="J36" s="10">
        <f t="shared" si="3"/>
        <v>3000000</v>
      </c>
      <c r="K36" s="10">
        <v>-250000</v>
      </c>
    </row>
    <row r="37" spans="1:11" x14ac:dyDescent="0.25">
      <c r="A37" s="6">
        <v>18</v>
      </c>
      <c r="B37" s="10">
        <f t="shared" si="9"/>
        <v>3324357.3506084131</v>
      </c>
      <c r="D37" s="10">
        <f t="shared" si="4"/>
        <v>3649357.3506084131</v>
      </c>
      <c r="E37" s="10">
        <f t="shared" si="10"/>
        <v>-325000</v>
      </c>
      <c r="G37" s="6">
        <v>18</v>
      </c>
      <c r="H37" s="10">
        <f t="shared" si="2"/>
        <v>2750000</v>
      </c>
      <c r="J37" s="10">
        <f t="shared" si="3"/>
        <v>3000000</v>
      </c>
      <c r="K37" s="10">
        <v>-250000</v>
      </c>
    </row>
    <row r="38" spans="1:11" x14ac:dyDescent="0.25">
      <c r="A38" s="6">
        <v>19</v>
      </c>
      <c r="B38" s="10">
        <f t="shared" si="9"/>
        <v>3406467.8909971025</v>
      </c>
      <c r="D38" s="10">
        <f t="shared" si="4"/>
        <v>3731467.8909971025</v>
      </c>
      <c r="E38" s="10">
        <f t="shared" si="10"/>
        <v>-325000</v>
      </c>
      <c r="G38" s="6">
        <v>19</v>
      </c>
      <c r="H38" s="10">
        <f t="shared" si="2"/>
        <v>2750000</v>
      </c>
      <c r="J38" s="10">
        <f t="shared" si="3"/>
        <v>3000000</v>
      </c>
      <c r="K38" s="10">
        <v>-250000</v>
      </c>
    </row>
    <row r="39" spans="1:11" x14ac:dyDescent="0.25">
      <c r="A39" s="6">
        <v>20</v>
      </c>
      <c r="B39" s="10">
        <f>-325000-1250000+D39</f>
        <v>2240425.9185445374</v>
      </c>
      <c r="D39" s="10">
        <f t="shared" si="4"/>
        <v>3815425.9185445374</v>
      </c>
      <c r="E39" s="10">
        <f>-325000-1250000</f>
        <v>-1575000</v>
      </c>
      <c r="G39" s="6">
        <v>20</v>
      </c>
      <c r="H39" s="10">
        <f>-250000-1750000+J39</f>
        <v>1000000</v>
      </c>
      <c r="J39" s="10">
        <f t="shared" si="3"/>
        <v>3000000</v>
      </c>
      <c r="K39" s="10">
        <f>-250000-1750000</f>
        <v>-2000000</v>
      </c>
    </row>
    <row r="40" spans="1:11" x14ac:dyDescent="0.25">
      <c r="A40" s="6">
        <v>21</v>
      </c>
      <c r="B40" s="10">
        <f>-325000+D40</f>
        <v>3576273.0017117895</v>
      </c>
      <c r="D40" s="10">
        <f t="shared" si="4"/>
        <v>3901273.0017117895</v>
      </c>
      <c r="E40" s="10">
        <f>-325000</f>
        <v>-325000</v>
      </c>
      <c r="G40" s="6">
        <v>21</v>
      </c>
      <c r="H40" s="10">
        <f>-250000-1000000+J40</f>
        <v>1750000</v>
      </c>
      <c r="J40" s="10">
        <f t="shared" si="3"/>
        <v>3000000</v>
      </c>
      <c r="K40" s="10">
        <f>-250000-1000000</f>
        <v>-1250000</v>
      </c>
    </row>
    <row r="41" spans="1:11" x14ac:dyDescent="0.25">
      <c r="A41" s="6">
        <v>22</v>
      </c>
      <c r="B41" s="10">
        <f t="shared" ref="B41:B43" si="11">-325000+D41</f>
        <v>3664051.6442503044</v>
      </c>
      <c r="D41" s="10">
        <f t="shared" si="4"/>
        <v>3989051.6442503044</v>
      </c>
      <c r="E41" s="10">
        <f t="shared" ref="E41:E44" si="12">-325000</f>
        <v>-325000</v>
      </c>
      <c r="G41" s="6">
        <v>22</v>
      </c>
      <c r="H41" s="10">
        <f>-250000+J41</f>
        <v>2750000</v>
      </c>
      <c r="J41" s="10">
        <f t="shared" si="3"/>
        <v>3000000</v>
      </c>
      <c r="K41" s="10">
        <v>-250000</v>
      </c>
    </row>
    <row r="42" spans="1:11" x14ac:dyDescent="0.25">
      <c r="A42" s="6">
        <v>23</v>
      </c>
      <c r="B42" s="10">
        <f t="shared" si="11"/>
        <v>3753805.3062459361</v>
      </c>
      <c r="D42" s="10">
        <f t="shared" si="4"/>
        <v>4078805.3062459361</v>
      </c>
      <c r="E42" s="10">
        <f t="shared" si="12"/>
        <v>-325000</v>
      </c>
      <c r="G42" s="6">
        <v>23</v>
      </c>
      <c r="H42" s="10">
        <f t="shared" ref="H42:H46" si="13">-250000+J42</f>
        <v>2750000</v>
      </c>
      <c r="J42" s="10">
        <f t="shared" si="3"/>
        <v>3000000</v>
      </c>
      <c r="K42" s="10">
        <v>-250000</v>
      </c>
    </row>
    <row r="43" spans="1:11" x14ac:dyDescent="0.25">
      <c r="A43" s="6">
        <v>24</v>
      </c>
      <c r="B43" s="10">
        <f t="shared" si="11"/>
        <v>3845578.4256364694</v>
      </c>
      <c r="D43" s="10">
        <f t="shared" si="4"/>
        <v>4170578.4256364694</v>
      </c>
      <c r="E43" s="10">
        <f t="shared" si="12"/>
        <v>-325000</v>
      </c>
      <c r="G43" s="6">
        <v>24</v>
      </c>
      <c r="H43" s="10">
        <f t="shared" si="13"/>
        <v>2750000</v>
      </c>
      <c r="J43" s="10">
        <f t="shared" si="3"/>
        <v>3000000</v>
      </c>
      <c r="K43" s="10">
        <v>-250000</v>
      </c>
    </row>
    <row r="44" spans="1:11" x14ac:dyDescent="0.25">
      <c r="A44" s="6">
        <v>25</v>
      </c>
      <c r="B44" s="10">
        <f>-325000-1250000+D44</f>
        <v>2689416.44021329</v>
      </c>
      <c r="D44" s="10">
        <f t="shared" si="4"/>
        <v>4264416.44021329</v>
      </c>
      <c r="E44" s="10">
        <f>-325000-1250000</f>
        <v>-1575000</v>
      </c>
      <c r="G44" s="6">
        <v>25</v>
      </c>
      <c r="H44" s="10">
        <f t="shared" si="13"/>
        <v>2750000</v>
      </c>
      <c r="J44" s="10">
        <f t="shared" si="3"/>
        <v>3000000</v>
      </c>
      <c r="K44" s="10">
        <v>-250000</v>
      </c>
    </row>
    <row r="45" spans="1:11" x14ac:dyDescent="0.25">
      <c r="A45" s="6">
        <v>26</v>
      </c>
      <c r="B45" s="10">
        <f>-325000+D45</f>
        <v>4035365.8101180885</v>
      </c>
      <c r="D45" s="10">
        <f t="shared" si="4"/>
        <v>4360365.8101180885</v>
      </c>
      <c r="E45" s="10">
        <f>-325000</f>
        <v>-325000</v>
      </c>
      <c r="G45" s="6">
        <v>26</v>
      </c>
      <c r="H45" s="10">
        <f t="shared" si="13"/>
        <v>2750000</v>
      </c>
      <c r="J45" s="10">
        <f t="shared" si="3"/>
        <v>3000000</v>
      </c>
      <c r="K45" s="10">
        <v>-250000</v>
      </c>
    </row>
    <row r="46" spans="1:11" x14ac:dyDescent="0.25">
      <c r="A46" s="6">
        <v>27</v>
      </c>
      <c r="B46" s="10">
        <f t="shared" ref="B46:B50" si="14">-325000+D46</f>
        <v>4133474.0408457452</v>
      </c>
      <c r="D46" s="10">
        <f t="shared" si="4"/>
        <v>4458474.0408457452</v>
      </c>
      <c r="E46" s="10">
        <f t="shared" ref="E46:E49" si="15">-325000</f>
        <v>-325000</v>
      </c>
      <c r="G46" s="6">
        <v>27</v>
      </c>
      <c r="H46" s="10">
        <f t="shared" si="13"/>
        <v>2750000</v>
      </c>
      <c r="J46" s="10">
        <f t="shared" si="3"/>
        <v>3000000</v>
      </c>
      <c r="K46" s="10">
        <v>-250000</v>
      </c>
    </row>
    <row r="47" spans="1:11" x14ac:dyDescent="0.25">
      <c r="A47" s="6">
        <v>28</v>
      </c>
      <c r="B47" s="10">
        <f t="shared" si="14"/>
        <v>4233789.7067647744</v>
      </c>
      <c r="D47" s="10">
        <f t="shared" si="4"/>
        <v>4558789.7067647744</v>
      </c>
      <c r="E47" s="10">
        <f t="shared" si="15"/>
        <v>-325000</v>
      </c>
      <c r="G47" s="6">
        <v>28</v>
      </c>
      <c r="H47" s="10">
        <f>-250000-1000000+J47</f>
        <v>1750000</v>
      </c>
      <c r="J47" s="10">
        <f t="shared" si="3"/>
        <v>3000000</v>
      </c>
      <c r="K47" s="10">
        <f>-250000-1000000</f>
        <v>-1250000</v>
      </c>
    </row>
    <row r="48" spans="1:11" x14ac:dyDescent="0.25">
      <c r="A48" s="6">
        <v>29</v>
      </c>
      <c r="B48" s="10">
        <f t="shared" si="14"/>
        <v>4336362.475166982</v>
      </c>
      <c r="D48" s="10">
        <f t="shared" si="4"/>
        <v>4661362.475166982</v>
      </c>
      <c r="E48" s="10">
        <f t="shared" si="15"/>
        <v>-325000</v>
      </c>
      <c r="G48" s="6">
        <v>29</v>
      </c>
      <c r="H48" s="10">
        <f>-250000+J48</f>
        <v>2750000</v>
      </c>
      <c r="J48" s="10">
        <f t="shared" si="3"/>
        <v>3000000</v>
      </c>
      <c r="K48" s="10">
        <v>-250000</v>
      </c>
    </row>
    <row r="49" spans="1:11" x14ac:dyDescent="0.25">
      <c r="A49" s="6">
        <v>30</v>
      </c>
      <c r="B49" s="12">
        <f t="shared" si="14"/>
        <v>4441243.1308582388</v>
      </c>
      <c r="D49" s="12">
        <f>D48*1.0225</f>
        <v>4766243.1308582388</v>
      </c>
      <c r="E49" s="12">
        <f>-325000</f>
        <v>-325000</v>
      </c>
      <c r="G49" s="6">
        <v>30</v>
      </c>
      <c r="H49" s="12">
        <f>-250000+J49</f>
        <v>2750000</v>
      </c>
      <c r="J49" s="12">
        <f t="shared" si="3"/>
        <v>3000000</v>
      </c>
      <c r="K49" s="12">
        <v>-250000</v>
      </c>
    </row>
    <row r="50" spans="1:11" x14ac:dyDescent="0.25">
      <c r="B50" s="14">
        <f>NPV(10%,B20:B49)+B19</f>
        <v>6232050.4094115235</v>
      </c>
      <c r="D50" s="15">
        <f>SUM(D20:D49)</f>
        <v>105488160.05789122</v>
      </c>
      <c r="E50" s="16">
        <f>SUM(E19:E49)*-1</f>
        <v>33500000</v>
      </c>
      <c r="H50" s="14">
        <f>NPV(10%,H20:H49)+H19</f>
        <v>2182925.1422133669</v>
      </c>
      <c r="J50" s="15">
        <f>SUM(J20:J49)</f>
        <v>90000000</v>
      </c>
      <c r="K50" s="16">
        <f>SUM(K19:K49)*-1</f>
        <v>35750000</v>
      </c>
    </row>
    <row r="51" spans="1:11" x14ac:dyDescent="0.25">
      <c r="B51" s="18"/>
    </row>
    <row r="52" spans="1:11" x14ac:dyDescent="0.25">
      <c r="C52" t="s">
        <v>12</v>
      </c>
      <c r="D52" s="19">
        <f>NPV(10%,D20:D49)</f>
        <v>28654292.971256539</v>
      </c>
      <c r="E52" s="19" cm="1">
        <f t="array" ref="E52">NPV(10%,-E20:E49)</f>
        <v>4922242.5618450223</v>
      </c>
      <c r="I52" t="s">
        <v>12</v>
      </c>
      <c r="J52" s="19">
        <f>NPV(10%,J20:J49)</f>
        <v>28280743.400964942</v>
      </c>
      <c r="K52" s="19" cm="1">
        <f t="array" ref="K52">NPV(10%,-K20:K49)</f>
        <v>3597818.2587515684</v>
      </c>
    </row>
    <row r="53" spans="1:11" x14ac:dyDescent="0.25">
      <c r="C53" t="s">
        <v>13</v>
      </c>
      <c r="D53" s="19">
        <f>PMT(10%,30,-D52)</f>
        <v>3039625.8576016258</v>
      </c>
      <c r="E53" s="19">
        <f>PMT(10%,30,-E52)</f>
        <v>522147.79067763896</v>
      </c>
      <c r="I53" t="s">
        <v>13</v>
      </c>
      <c r="J53" s="19">
        <f>PMT(10%,30,-J52)</f>
        <v>2999999.9999999986</v>
      </c>
      <c r="K53" s="19">
        <f>PMT(10%,30,-K52)</f>
        <v>381653.85623796674</v>
      </c>
    </row>
    <row r="55" spans="1:11" x14ac:dyDescent="0.25">
      <c r="A55" s="9" t="s">
        <v>4</v>
      </c>
      <c r="B55" s="9"/>
      <c r="C55" s="9" t="s">
        <v>5</v>
      </c>
      <c r="D55" s="9"/>
      <c r="E55" s="9"/>
      <c r="G55" s="9" t="s">
        <v>4</v>
      </c>
      <c r="H55" s="9"/>
      <c r="I55" s="9" t="s">
        <v>5</v>
      </c>
      <c r="J55" s="9"/>
      <c r="K55" s="9"/>
    </row>
    <row r="56" spans="1:11" x14ac:dyDescent="0.25">
      <c r="A56" s="9" t="s">
        <v>8</v>
      </c>
      <c r="B56" s="11">
        <f>D53</f>
        <v>3039625.8576016258</v>
      </c>
      <c r="C56" s="21" t="s">
        <v>9</v>
      </c>
      <c r="D56" s="21"/>
      <c r="E56" s="11">
        <f>E19*-1</f>
        <v>17500000</v>
      </c>
      <c r="G56" s="9" t="s">
        <v>8</v>
      </c>
      <c r="H56" s="11">
        <f>J53</f>
        <v>2999999.9999999986</v>
      </c>
      <c r="I56" s="21" t="s">
        <v>9</v>
      </c>
      <c r="J56" s="21"/>
      <c r="K56" s="11">
        <f>K19*-1</f>
        <v>22500000</v>
      </c>
    </row>
    <row r="57" spans="1:11" x14ac:dyDescent="0.25">
      <c r="C57" s="21" t="s">
        <v>11</v>
      </c>
      <c r="D57" s="21"/>
      <c r="E57" s="11">
        <f>E53</f>
        <v>522147.79067763896</v>
      </c>
      <c r="I57" s="21" t="s">
        <v>11</v>
      </c>
      <c r="J57" s="21"/>
      <c r="K57" s="11">
        <f>K53</f>
        <v>381653.85623796674</v>
      </c>
    </row>
    <row r="58" spans="1:11" x14ac:dyDescent="0.25">
      <c r="A58" s="9"/>
      <c r="G58" s="9"/>
    </row>
    <row r="59" spans="1:11" x14ac:dyDescent="0.25">
      <c r="B59" s="11"/>
      <c r="H59" s="11"/>
    </row>
    <row r="62" spans="1:11" x14ac:dyDescent="0.25">
      <c r="B62" t="s">
        <v>10</v>
      </c>
      <c r="D62" s="13">
        <f>E56*0.1+E57</f>
        <v>2272147.7906776387</v>
      </c>
      <c r="H62" t="s">
        <v>10</v>
      </c>
      <c r="J62" s="13">
        <f>K56*0.1+K57</f>
        <v>2631653.8562379666</v>
      </c>
    </row>
    <row r="65" spans="4:10" x14ac:dyDescent="0.25">
      <c r="D65" t="s">
        <v>14</v>
      </c>
    </row>
    <row r="66" spans="4:10" x14ac:dyDescent="0.25">
      <c r="D66" s="20">
        <f>(B56-B59)/D62</f>
        <v>1.3377764730238331</v>
      </c>
      <c r="J66" s="17">
        <f>(H56-H59)/J62</f>
        <v>1.1399675504014022</v>
      </c>
    </row>
  </sheetData>
  <mergeCells count="6">
    <mergeCell ref="A17:E17"/>
    <mergeCell ref="G17:K17"/>
    <mergeCell ref="C56:D56"/>
    <mergeCell ref="C57:D57"/>
    <mergeCell ref="I56:J56"/>
    <mergeCell ref="I57:J5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3D5EE20347D4C8E7B6C78D09573D6" ma:contentTypeVersion="11" ma:contentTypeDescription="Create a new document." ma:contentTypeScope="" ma:versionID="d0edea229ca59c1518e1bedf8184baf4">
  <xsd:schema xmlns:xsd="http://www.w3.org/2001/XMLSchema" xmlns:xs="http://www.w3.org/2001/XMLSchema" xmlns:p="http://schemas.microsoft.com/office/2006/metadata/properties" xmlns:ns2="81a1f137-0dce-48de-87dc-e646186442ef" xmlns:ns3="8166c9d8-24b3-4905-a1d5-62babcd3670f" targetNamespace="http://schemas.microsoft.com/office/2006/metadata/properties" ma:root="true" ma:fieldsID="e9f9156f79e70e641c51c83afd0aad8b" ns2:_="" ns3:_="">
    <xsd:import namespace="81a1f137-0dce-48de-87dc-e646186442ef"/>
    <xsd:import namespace="8166c9d8-24b3-4905-a1d5-62babcd36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1f137-0dce-48de-87dc-e64618644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b84901-0bcd-4e22-a353-cf4e8fed63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6c9d8-24b3-4905-a1d5-62babcd367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845638-779e-492a-ba88-0108172afd6c}" ma:internalName="TaxCatchAll" ma:showField="CatchAllData" ma:web="8166c9d8-24b3-4905-a1d5-62babcd36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66c9d8-24b3-4905-a1d5-62babcd3670f" xsi:nil="true"/>
    <lcf76f155ced4ddcb4097134ff3c332f xmlns="81a1f137-0dce-48de-87dc-e646186442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C16350-E5B1-4962-89AC-AE11A83BBB3A}"/>
</file>

<file path=customXml/itemProps2.xml><?xml version="1.0" encoding="utf-8"?>
<ds:datastoreItem xmlns:ds="http://schemas.openxmlformats.org/officeDocument/2006/customXml" ds:itemID="{83FC43D9-8124-452D-98C3-D7FB90E3BA34}"/>
</file>

<file path=customXml/itemProps3.xml><?xml version="1.0" encoding="utf-8"?>
<ds:datastoreItem xmlns:ds="http://schemas.openxmlformats.org/officeDocument/2006/customXml" ds:itemID="{D35360CC-1635-4606-B599-B92B31405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Gonzalez</dc:creator>
  <cp:lastModifiedBy>Ruben Gonzalez</cp:lastModifiedBy>
  <dcterms:created xsi:type="dcterms:W3CDTF">2022-04-21T21:48:33Z</dcterms:created>
  <dcterms:modified xsi:type="dcterms:W3CDTF">2022-04-21T22:57:00Z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0x0101009CC3D5EE20347D4C8E7B6C78D09573D6</vt:lpwstr>
  </property>
</Properties>
</file>