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urva" sheetId="2" r:id="rId5"/>
    <sheet state="visible" name="YPCUO" sheetId="3" r:id="rId6"/>
    <sheet state="visible" name="CRCEO" sheetId="4" r:id="rId7"/>
    <sheet state="visible" name="YCA6O" sheetId="5" r:id="rId8"/>
    <sheet state="visible" name="IRC9O" sheetId="6" r:id="rId9"/>
    <sheet state="visible" name="IRC8O" sheetId="7" r:id="rId10"/>
    <sheet state="visible" name="PQCDO" sheetId="8" r:id="rId11"/>
    <sheet state="visible" name="YMCHO" sheetId="9" r:id="rId12"/>
    <sheet state="visible" name="YMCIO" sheetId="10" r:id="rId13"/>
    <sheet state="visible" name="CP17O" sheetId="11" r:id="rId14"/>
    <sheet state="visible" name="TLC1O" sheetId="12" r:id="rId15"/>
    <sheet state="visible" name="CP21O" sheetId="13" r:id="rId16"/>
    <sheet state="visible" name="CS34O" sheetId="14" r:id="rId17"/>
    <sheet state="visible" name="CSKZO" sheetId="15" r:id="rId18"/>
    <sheet state="visible" name="MTCGO" sheetId="16" r:id="rId19"/>
    <sheet state="visible" name="GN34O" sheetId="17" r:id="rId20"/>
    <sheet state="visible" name="GNCXO" sheetId="18" r:id="rId21"/>
    <sheet state="visible" name="RUC3O" sheetId="19" r:id="rId22"/>
    <sheet state="visible" name="PNDCO" sheetId="20" r:id="rId23"/>
    <sheet state="visible" name="TLC5D" sheetId="21" r:id="rId24"/>
    <sheet state="visible" name="CAC2O" sheetId="22" r:id="rId25"/>
    <sheet state="visible" name="LMS1O" sheetId="23" r:id="rId26"/>
    <sheet state="visible" name="RUC4O" sheetId="24" r:id="rId27"/>
    <sheet state="visible" name="VSCEO" sheetId="25" r:id="rId28"/>
    <sheet state="visible" name="CS38O" sheetId="26" r:id="rId29"/>
    <sheet state="visible" name="IRCFO" sheetId="27" r:id="rId30"/>
    <sheet state="visible" name="MGC9O" sheetId="28" r:id="rId31"/>
    <sheet state="visible" name="RUC5O" sheetId="29" r:id="rId32"/>
    <sheet state="visible" name="MRCFO" sheetId="30" r:id="rId33"/>
    <sheet state="visible" name="MSSAO" sheetId="31" r:id="rId34"/>
    <sheet state="visible" name="RCC9O" sheetId="32" r:id="rId35"/>
    <sheet state="visible" name="DNC2O" sheetId="33" r:id="rId36"/>
    <sheet state="visible" name="PNMCO" sheetId="34" r:id="rId37"/>
    <sheet state="visible" name="ARC1O" sheetId="35" r:id="rId38"/>
    <sheet state="visible" name="RUC6O" sheetId="36" r:id="rId39"/>
    <sheet state="visible" name="MRCID" sheetId="37" r:id="rId40"/>
    <sheet state="visible" name="RCCJO" sheetId="38" r:id="rId41"/>
    <sheet state="visible" name="VSCFO" sheetId="39" r:id="rId42"/>
  </sheets>
  <definedNames>
    <definedName name="ust">#REF!</definedName>
    <definedName name="_15_nov_01">#REF!</definedName>
    <definedName hidden="1" localSheetId="1" name="_xlnm._FilterDatabase">Curva!$A$1:$S$38</definedName>
  </definedNames>
  <calcPr/>
</workbook>
</file>

<file path=xl/sharedStrings.xml><?xml version="1.0" encoding="utf-8"?>
<sst xmlns="http://schemas.openxmlformats.org/spreadsheetml/2006/main" count="2037" uniqueCount="194">
  <si>
    <t>FERIADOS</t>
  </si>
  <si>
    <t>Dias de la Semana</t>
  </si>
  <si>
    <t>Domingo</t>
  </si>
  <si>
    <t>Lunes</t>
  </si>
  <si>
    <t>Martes</t>
  </si>
  <si>
    <t>Miércoles</t>
  </si>
  <si>
    <t>Jueves</t>
  </si>
  <si>
    <t>Viernes</t>
  </si>
  <si>
    <t>Sabado</t>
  </si>
  <si>
    <t>Empresa</t>
  </si>
  <si>
    <t>Especie en USD</t>
  </si>
  <si>
    <t>Precio USD</t>
  </si>
  <si>
    <t>YTM (T+2)</t>
  </si>
  <si>
    <t>YTM (T+0)</t>
  </si>
  <si>
    <t>DM</t>
  </si>
  <si>
    <t>Paridad</t>
  </si>
  <si>
    <t>Prox pago</t>
  </si>
  <si>
    <t>Vencimiento</t>
  </si>
  <si>
    <t>LY</t>
  </si>
  <si>
    <t xml:space="preserve">Pago </t>
  </si>
  <si>
    <t>Pagos</t>
  </si>
  <si>
    <t>Cupón</t>
  </si>
  <si>
    <t xml:space="preserve">Minimos </t>
  </si>
  <si>
    <t>VN colocado</t>
  </si>
  <si>
    <t>Precio ARS</t>
  </si>
  <si>
    <t>MEP</t>
  </si>
  <si>
    <t xml:space="preserve">Amortización </t>
  </si>
  <si>
    <t>Especie en Pesos</t>
  </si>
  <si>
    <t>YPF S.A.</t>
  </si>
  <si>
    <t>YPCUD</t>
  </si>
  <si>
    <t>NY</t>
  </si>
  <si>
    <t>CABLE</t>
  </si>
  <si>
    <t>SEM</t>
  </si>
  <si>
    <t>YPCUO</t>
  </si>
  <si>
    <t>CELULOSA ARGENTINA S.A.</t>
  </si>
  <si>
    <t>CRCED</t>
  </si>
  <si>
    <t>ARG</t>
  </si>
  <si>
    <t>TRI</t>
  </si>
  <si>
    <t>CRCEO</t>
  </si>
  <si>
    <t>YCA6P</t>
  </si>
  <si>
    <t>Bullet</t>
  </si>
  <si>
    <t>YCA6O</t>
  </si>
  <si>
    <t>IRSA INVERSIONES Y REPRESENTACIONES S.A.</t>
  </si>
  <si>
    <t>IRC9D</t>
  </si>
  <si>
    <t>IRC9O</t>
  </si>
  <si>
    <t>IRC8D</t>
  </si>
  <si>
    <t>IRC8O</t>
  </si>
  <si>
    <t>PETROQUIMICA COMODORO RIVADAVIA S.A.</t>
  </si>
  <si>
    <t>PQCDD</t>
  </si>
  <si>
    <t>PQCDO</t>
  </si>
  <si>
    <t>YMCHD</t>
  </si>
  <si>
    <t>YMCHO</t>
  </si>
  <si>
    <t>YMCID</t>
  </si>
  <si>
    <t>2,5% y 9%</t>
  </si>
  <si>
    <t>YMCIO</t>
  </si>
  <si>
    <t>COMPAÑIA GENERAL DE COMBUSTIBLES</t>
  </si>
  <si>
    <t>CP17D</t>
  </si>
  <si>
    <t>CP17O</t>
  </si>
  <si>
    <t xml:space="preserve">TELECOM ARGENTINA </t>
  </si>
  <si>
    <t>TLC1D</t>
  </si>
  <si>
    <t>TLC1O</t>
  </si>
  <si>
    <t>CP21D</t>
  </si>
  <si>
    <t>CP21O</t>
  </si>
  <si>
    <t>MASTELLONE HERMANOS SA</t>
  </si>
  <si>
    <t>MTCGD</t>
  </si>
  <si>
    <t>MTCGO</t>
  </si>
  <si>
    <t xml:space="preserve">CRESUD CLASE XXXIII Canje </t>
  </si>
  <si>
    <t>CSKZD</t>
  </si>
  <si>
    <t>CSKZO</t>
  </si>
  <si>
    <t xml:space="preserve">CRESUD CLASE XXXIII new money </t>
  </si>
  <si>
    <t>CS34D</t>
  </si>
  <si>
    <t>CS34O</t>
  </si>
  <si>
    <t>GENNEIA S.A. CLASE XXXIV</t>
  </si>
  <si>
    <t>GN34D</t>
  </si>
  <si>
    <t xml:space="preserve">MEP </t>
  </si>
  <si>
    <t>GN34O</t>
  </si>
  <si>
    <t xml:space="preserve">GENNEIA S.A. Canje </t>
  </si>
  <si>
    <t>GNCXD</t>
  </si>
  <si>
    <t>GNCXO</t>
  </si>
  <si>
    <t xml:space="preserve">MSU Energy S.A. III new money </t>
  </si>
  <si>
    <t>RUC3D</t>
  </si>
  <si>
    <t>RUC3O</t>
  </si>
  <si>
    <t>PAN AMERCIAN ENERGY C12</t>
  </si>
  <si>
    <t>PNDCD</t>
  </si>
  <si>
    <t>PNDCO</t>
  </si>
  <si>
    <t>TELECOM ARGENTINA S. A.</t>
  </si>
  <si>
    <t>TLC5D</t>
  </si>
  <si>
    <t>TLC5O</t>
  </si>
  <si>
    <t>Capex Clase 2 2024</t>
  </si>
  <si>
    <t>CAC2D</t>
  </si>
  <si>
    <t>CAC2O</t>
  </si>
  <si>
    <t>ALUAR ALUMINIO ARGENTINO S.A.</t>
  </si>
  <si>
    <t>LMS1D</t>
  </si>
  <si>
    <t>LMS1O</t>
  </si>
  <si>
    <t>IRCFD</t>
  </si>
  <si>
    <t>IRCFO</t>
  </si>
  <si>
    <t>MSU ENERGY S.A.</t>
  </si>
  <si>
    <t>RUC4D</t>
  </si>
  <si>
    <t>RUC4O</t>
  </si>
  <si>
    <t xml:space="preserve">VISTA new money </t>
  </si>
  <si>
    <t>VSCED</t>
  </si>
  <si>
    <t>VSCEO</t>
  </si>
  <si>
    <t xml:space="preserve">CRESUD  Canje </t>
  </si>
  <si>
    <t>CS38D</t>
  </si>
  <si>
    <t>CS38O</t>
  </si>
  <si>
    <t>PAMPA ENERGIA S.A Canje</t>
  </si>
  <si>
    <t>MGC9D</t>
  </si>
  <si>
    <t>MGC9O</t>
  </si>
  <si>
    <t xml:space="preserve">Generación Mediterránea S.A new money </t>
  </si>
  <si>
    <t>MRFCD</t>
  </si>
  <si>
    <t>MRCFO</t>
  </si>
  <si>
    <t>RUC5D</t>
  </si>
  <si>
    <t>RUC5O</t>
  </si>
  <si>
    <t>MSU AGRO S.A.</t>
  </si>
  <si>
    <t>MSSAD</t>
  </si>
  <si>
    <t>ANUAL</t>
  </si>
  <si>
    <t>MSSAO</t>
  </si>
  <si>
    <t xml:space="preserve">edenor Clase II new money </t>
  </si>
  <si>
    <t>DNC2D</t>
  </si>
  <si>
    <t> 30.000.000,000</t>
  </si>
  <si>
    <t>DNC2O</t>
  </si>
  <si>
    <t>ARCOR S.A.I.C</t>
  </si>
  <si>
    <t>RCC9D</t>
  </si>
  <si>
    <t>RCC9O</t>
  </si>
  <si>
    <t>PAN AMERICAN ENERGY</t>
  </si>
  <si>
    <t>PNMCD</t>
  </si>
  <si>
    <t>PNMCO</t>
  </si>
  <si>
    <t>ARCOR S.A.I.C Canje</t>
  </si>
  <si>
    <t>RCCJD</t>
  </si>
  <si>
    <t>RCCJO</t>
  </si>
  <si>
    <t>AEROPUERTOS ARGENTINA 2000 S.A.</t>
  </si>
  <si>
    <t>ARC1D</t>
  </si>
  <si>
    <t>ARC1O</t>
  </si>
  <si>
    <t>RUC6D</t>
  </si>
  <si>
    <t>RUC6O</t>
  </si>
  <si>
    <t xml:space="preserve">Vista Oil &amp; Gas Argentina Canje </t>
  </si>
  <si>
    <t>VSCFD</t>
  </si>
  <si>
    <t>VSCFO</t>
  </si>
  <si>
    <t>GEMSA</t>
  </si>
  <si>
    <t>MRCID</t>
  </si>
  <si>
    <t>MRCIO</t>
  </si>
  <si>
    <t>Settlement (t+2 o cambiar)</t>
  </si>
  <si>
    <t>T.Value</t>
  </si>
  <si>
    <t>Fecha de emisión</t>
  </si>
  <si>
    <t>Curr Yield</t>
  </si>
  <si>
    <t>Convención días</t>
  </si>
  <si>
    <t>Parity</t>
  </si>
  <si>
    <t>Primer cupón</t>
  </si>
  <si>
    <t>Next Cshf</t>
  </si>
  <si>
    <t>Valor Nominal</t>
  </si>
  <si>
    <t>Maturity</t>
  </si>
  <si>
    <t>Monto adjudicado</t>
  </si>
  <si>
    <t>Días a Vto.</t>
  </si>
  <si>
    <t>Dirty Price</t>
  </si>
  <si>
    <t>T+2</t>
  </si>
  <si>
    <t>T+1</t>
  </si>
  <si>
    <t>T+0</t>
  </si>
  <si>
    <t>Days</t>
  </si>
  <si>
    <t>YTM</t>
  </si>
  <si>
    <t>Acrued Int</t>
  </si>
  <si>
    <t>Clean Price</t>
  </si>
  <si>
    <t>Duration</t>
  </si>
  <si>
    <t>Mod. Dur.</t>
  </si>
  <si>
    <t>Av. Life</t>
  </si>
  <si>
    <t>VR</t>
  </si>
  <si>
    <t>Fecha</t>
  </si>
  <si>
    <t>Amorti</t>
  </si>
  <si>
    <t>v/r</t>
  </si>
  <si>
    <t>B+Cup./Cap-Floor</t>
  </si>
  <si>
    <t>Int.</t>
  </si>
  <si>
    <t>Cshf</t>
  </si>
  <si>
    <t>Dias</t>
  </si>
  <si>
    <t>NAV</t>
  </si>
  <si>
    <t>Par V.</t>
  </si>
  <si>
    <t>Dur</t>
  </si>
  <si>
    <t>PPV</t>
  </si>
  <si>
    <t>Days Accr.</t>
  </si>
  <si>
    <t>Ant y Prox Vto</t>
  </si>
  <si>
    <t>Fecha de pago</t>
  </si>
  <si>
    <t>Bono</t>
  </si>
  <si>
    <t>Ticker</t>
  </si>
  <si>
    <t>Renta</t>
  </si>
  <si>
    <t>Amortización</t>
  </si>
  <si>
    <t>R+A</t>
  </si>
  <si>
    <t>Moneda</t>
  </si>
  <si>
    <t>YPF 2024 Clase 28</t>
  </si>
  <si>
    <t>USD</t>
  </si>
  <si>
    <t>Días Desde Cupón</t>
  </si>
  <si>
    <t>Días del Período</t>
  </si>
  <si>
    <t xml:space="preserve">Cupon corrido </t>
  </si>
  <si>
    <t>Cupón (devengamiento)</t>
  </si>
  <si>
    <t>Pricipal</t>
  </si>
  <si>
    <t xml:space="preserve">Pampa Energía USD </t>
  </si>
  <si>
    <t>PTSTO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</si>
</sst>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4">
    <numFmt numFmtId="164" formatCode="D/M/YYYY"/>
    <numFmt numFmtId="165" formatCode="#,##0.000"/>
    <numFmt numFmtId="166" formatCode="0.0%"/>
    <numFmt numFmtId="167" formatCode="#,##0.0"/>
    <numFmt numFmtId="168" formatCode="#,##0_ ;\-#,##0\ "/>
    <numFmt numFmtId="169" formatCode="0.0"/>
    <numFmt numFmtId="170" formatCode="_-* #,##0_-;\-* #,##0_-;_-* &quot;-&quot;??_-;_-@"/>
    <numFmt numFmtId="171" formatCode="_-&quot;$&quot;\ * #,##0_-;\-&quot;$&quot;\ * #,##0_-;_-&quot;$&quot;\ * &quot;-&quot;??_-;_-@"/>
    <numFmt numFmtId="172" formatCode="0.000%"/>
    <numFmt numFmtId="173" formatCode="d\ mmm\ yy"/>
    <numFmt numFmtId="174" formatCode="#,##0.0000"/>
    <numFmt numFmtId="175" formatCode="_(* #,##0.00_);_(* \(#,##0.00\);_(* &quot;-&quot;??_);_(@_)"/>
    <numFmt numFmtId="176" formatCode="_(* #,##0_);_(* \(#,##0\);_(* &quot;-&quot;??_);_(@_)"/>
    <numFmt numFmtId="177" formatCode="0.0000"/>
  </numFmts>
  <fonts count="20">
    <font>
      <sz val="11.0"/>
      <color theme="1"/>
      <name val="Calibri"/>
      <scheme val="minor"/>
    </font>
    <font>
      <sz val="11.0"/>
      <color theme="1"/>
      <name val="Calibri"/>
    </font>
    <font>
      <b/>
      <sz val="8.0"/>
      <color theme="1"/>
      <name val="Trebuchet MS"/>
    </font>
    <font>
      <b/>
      <sz val="8.0"/>
      <color rgb="FFFFFFFF"/>
      <name val="Arial"/>
    </font>
    <font/>
    <font>
      <sz val="10.0"/>
      <color rgb="FFFF0000"/>
      <name val="Calibri"/>
    </font>
    <font>
      <sz val="8.0"/>
      <color theme="1"/>
      <name val="Arial"/>
    </font>
    <font>
      <b/>
      <sz val="9.0"/>
      <color theme="0"/>
      <name val="Trebuchet MS"/>
    </font>
    <font>
      <b/>
      <sz val="9.0"/>
      <color rgb="FFFFFFFF"/>
      <name val="Trebuchet MS"/>
    </font>
    <font>
      <sz val="9.0"/>
      <color theme="1"/>
      <name val="Trebuchet MS"/>
    </font>
    <font>
      <sz val="11.0"/>
      <color rgb="FF000000"/>
      <name val="Inconsolata"/>
    </font>
    <font>
      <sz val="9.0"/>
      <color rgb="FF000000"/>
      <name val="Trebuchet MS"/>
    </font>
    <font>
      <b/>
      <sz val="8.0"/>
      <color rgb="FFFF0000"/>
      <name val="Trebuchet MS"/>
    </font>
    <font>
      <sz val="8.0"/>
      <color theme="1"/>
      <name val="Trebuchet MS"/>
    </font>
    <font>
      <sz val="6.0"/>
      <color rgb="FF666666"/>
      <name val="Verdana"/>
    </font>
    <font>
      <sz val="8.0"/>
      <color rgb="FFFF0000"/>
      <name val="Trebuchet MS"/>
    </font>
    <font>
      <color theme="1"/>
      <name val="Calibri"/>
      <scheme val="minor"/>
    </font>
    <font>
      <b/>
      <i/>
      <sz val="8.0"/>
      <color theme="1"/>
      <name val="Trebuchet MS"/>
    </font>
    <font>
      <sz val="11.0"/>
      <color theme="0"/>
      <name val="Calibri"/>
    </font>
    <font>
      <sz val="11.0"/>
      <color rgb="FFFFFFFF"/>
      <name val="Calibri"/>
    </font>
  </fonts>
  <fills count="1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808080"/>
        <bgColor rgb="FF808080"/>
      </patternFill>
    </fill>
    <fill>
      <patternFill patternType="solid">
        <fgColor rgb="FF000080"/>
        <bgColor rgb="FF000080"/>
      </patternFill>
    </fill>
    <fill>
      <patternFill patternType="solid">
        <fgColor rgb="FFA8D08D"/>
        <bgColor rgb="FFA8D08D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FFEB84"/>
        <bgColor rgb="FFFFEB84"/>
      </patternFill>
    </fill>
    <fill>
      <patternFill patternType="solid">
        <fgColor rgb="FFD8D8D8"/>
        <bgColor rgb="FFD8D8D8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4A86E8"/>
        <bgColor rgb="FF4A86E8"/>
      </patternFill>
    </fill>
  </fills>
  <borders count="20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/>
      <right/>
      <bottom/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4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/>
    </xf>
    <xf borderId="2" fillId="4" fontId="3" numFmtId="0" xfId="0" applyAlignment="1" applyBorder="1" applyFill="1" applyFont="1">
      <alignment horizontal="center" vertical="center"/>
    </xf>
    <xf borderId="3" fillId="0" fontId="4" numFmtId="0" xfId="0" applyBorder="1" applyFont="1"/>
    <xf borderId="1" fillId="2" fontId="5" numFmtId="164" xfId="0" applyAlignment="1" applyBorder="1" applyFont="1" applyNumberFormat="1">
      <alignment horizontal="center"/>
    </xf>
    <xf borderId="4" fillId="2" fontId="6" numFmtId="0" xfId="0" applyAlignment="1" applyBorder="1" applyFont="1">
      <alignment horizontal="center" vertical="center"/>
    </xf>
    <xf borderId="5" fillId="2" fontId="6" numFmtId="0" xfId="0" applyAlignment="1" applyBorder="1" applyFont="1">
      <alignment horizontal="center" vertical="center"/>
    </xf>
    <xf borderId="6" fillId="2" fontId="6" numFmtId="0" xfId="0" applyAlignment="1" applyBorder="1" applyFont="1">
      <alignment horizontal="center" vertical="center"/>
    </xf>
    <xf borderId="7" fillId="2" fontId="6" numFmtId="0" xfId="0" applyAlignment="1" applyBorder="1" applyFont="1">
      <alignment horizontal="center" vertical="center"/>
    </xf>
    <xf borderId="1" fillId="5" fontId="7" numFmtId="0" xfId="0" applyAlignment="1" applyBorder="1" applyFill="1" applyFont="1">
      <alignment horizontal="center" shrinkToFit="0" wrapText="1"/>
    </xf>
    <xf borderId="1" fillId="5" fontId="8" numFmtId="0" xfId="0" applyAlignment="1" applyBorder="1" applyFont="1">
      <alignment horizontal="center" readingOrder="0" shrinkToFit="0" wrapText="1"/>
    </xf>
    <xf borderId="1" fillId="5" fontId="7" numFmtId="165" xfId="0" applyAlignment="1" applyBorder="1" applyFont="1" applyNumberFormat="1">
      <alignment horizontal="center" shrinkToFit="0" wrapText="1"/>
    </xf>
    <xf borderId="0" fillId="2" fontId="1" numFmtId="0" xfId="0" applyFont="1"/>
    <xf borderId="1" fillId="6" fontId="9" numFmtId="0" xfId="0" applyAlignment="1" applyBorder="1" applyFill="1" applyFont="1">
      <alignment horizontal="center"/>
    </xf>
    <xf borderId="1" fillId="6" fontId="9" numFmtId="9" xfId="0" applyAlignment="1" applyBorder="1" applyFont="1" applyNumberFormat="1">
      <alignment horizontal="center"/>
    </xf>
    <xf borderId="1" fillId="6" fontId="9" numFmtId="4" xfId="0" applyAlignment="1" applyBorder="1" applyFont="1" applyNumberFormat="1">
      <alignment horizontal="center" readingOrder="0"/>
    </xf>
    <xf borderId="1" fillId="6" fontId="9" numFmtId="166" xfId="0" applyAlignment="1" applyBorder="1" applyFont="1" applyNumberFormat="1">
      <alignment horizontal="center"/>
    </xf>
    <xf borderId="1" fillId="6" fontId="9" numFmtId="165" xfId="0" applyAlignment="1" applyBorder="1" applyFont="1" applyNumberFormat="1">
      <alignment horizontal="center"/>
    </xf>
    <xf borderId="1" fillId="6" fontId="9" numFmtId="167" xfId="0" applyAlignment="1" applyBorder="1" applyFont="1" applyNumberFormat="1">
      <alignment horizontal="center"/>
    </xf>
    <xf borderId="1" fillId="6" fontId="9" numFmtId="164" xfId="0" applyAlignment="1" applyBorder="1" applyFont="1" applyNumberFormat="1">
      <alignment horizontal="center"/>
    </xf>
    <xf borderId="1" fillId="6" fontId="9" numFmtId="10" xfId="0" applyAlignment="1" applyBorder="1" applyFont="1" applyNumberFormat="1">
      <alignment horizontal="center"/>
    </xf>
    <xf borderId="1" fillId="6" fontId="9" numFmtId="168" xfId="0" applyBorder="1" applyFont="1" applyNumberFormat="1"/>
    <xf borderId="1" fillId="6" fontId="9" numFmtId="0" xfId="0" applyAlignment="1" applyBorder="1" applyFont="1">
      <alignment readingOrder="0"/>
    </xf>
    <xf borderId="1" fillId="6" fontId="9" numFmtId="4" xfId="0" applyBorder="1" applyFont="1" applyNumberFormat="1"/>
    <xf borderId="1" fillId="7" fontId="9" numFmtId="0" xfId="0" applyAlignment="1" applyBorder="1" applyFill="1" applyFont="1">
      <alignment horizontal="center"/>
    </xf>
    <xf borderId="1" fillId="7" fontId="9" numFmtId="9" xfId="0" applyAlignment="1" applyBorder="1" applyFont="1" applyNumberFormat="1">
      <alignment horizontal="center"/>
    </xf>
    <xf borderId="1" fillId="7" fontId="9" numFmtId="4" xfId="0" applyAlignment="1" applyBorder="1" applyFont="1" applyNumberFormat="1">
      <alignment horizontal="center" readingOrder="0"/>
    </xf>
    <xf borderId="1" fillId="7" fontId="9" numFmtId="166" xfId="0" applyAlignment="1" applyBorder="1" applyFont="1" applyNumberFormat="1">
      <alignment horizontal="center"/>
    </xf>
    <xf borderId="1" fillId="7" fontId="9" numFmtId="165" xfId="0" applyAlignment="1" applyBorder="1" applyFont="1" applyNumberFormat="1">
      <alignment horizontal="center"/>
    </xf>
    <xf borderId="1" fillId="7" fontId="9" numFmtId="167" xfId="0" applyAlignment="1" applyBorder="1" applyFont="1" applyNumberFormat="1">
      <alignment horizontal="center"/>
    </xf>
    <xf borderId="1" fillId="7" fontId="9" numFmtId="164" xfId="0" applyAlignment="1" applyBorder="1" applyFont="1" applyNumberFormat="1">
      <alignment horizontal="center"/>
    </xf>
    <xf borderId="1" fillId="7" fontId="9" numFmtId="10" xfId="0" applyAlignment="1" applyBorder="1" applyFont="1" applyNumberFormat="1">
      <alignment horizontal="center"/>
    </xf>
    <xf borderId="1" fillId="7" fontId="9" numFmtId="168" xfId="0" applyBorder="1" applyFont="1" applyNumberFormat="1"/>
    <xf borderId="1" fillId="7" fontId="9" numFmtId="0" xfId="0" applyAlignment="1" applyBorder="1" applyFont="1">
      <alignment readingOrder="0"/>
    </xf>
    <xf borderId="1" fillId="7" fontId="9" numFmtId="4" xfId="0" applyBorder="1" applyFont="1" applyNumberFormat="1"/>
    <xf borderId="1" fillId="2" fontId="9" numFmtId="169" xfId="0" applyBorder="1" applyFont="1" applyNumberFormat="1"/>
    <xf borderId="0" fillId="8" fontId="10" numFmtId="169" xfId="0" applyFill="1" applyFont="1" applyNumberFormat="1"/>
    <xf borderId="1" fillId="9" fontId="9" numFmtId="0" xfId="0" applyAlignment="1" applyBorder="1" applyFill="1" applyFont="1">
      <alignment horizontal="center"/>
    </xf>
    <xf borderId="1" fillId="9" fontId="9" numFmtId="9" xfId="0" applyAlignment="1" applyBorder="1" applyFont="1" applyNumberFormat="1">
      <alignment horizontal="center"/>
    </xf>
    <xf borderId="1" fillId="9" fontId="9" numFmtId="4" xfId="0" applyAlignment="1" applyBorder="1" applyFont="1" applyNumberFormat="1">
      <alignment horizontal="center" readingOrder="0"/>
    </xf>
    <xf borderId="1" fillId="9" fontId="9" numFmtId="166" xfId="0" applyAlignment="1" applyBorder="1" applyFont="1" applyNumberFormat="1">
      <alignment horizontal="center"/>
    </xf>
    <xf borderId="1" fillId="9" fontId="9" numFmtId="165" xfId="0" applyAlignment="1" applyBorder="1" applyFont="1" applyNumberFormat="1">
      <alignment horizontal="center"/>
    </xf>
    <xf borderId="1" fillId="9" fontId="9" numFmtId="167" xfId="0" applyAlignment="1" applyBorder="1" applyFont="1" applyNumberFormat="1">
      <alignment horizontal="center"/>
    </xf>
    <xf borderId="1" fillId="9" fontId="9" numFmtId="164" xfId="0" applyAlignment="1" applyBorder="1" applyFont="1" applyNumberFormat="1">
      <alignment horizontal="center"/>
    </xf>
    <xf borderId="1" fillId="9" fontId="9" numFmtId="10" xfId="0" applyAlignment="1" applyBorder="1" applyFont="1" applyNumberFormat="1">
      <alignment horizontal="center"/>
    </xf>
    <xf borderId="1" fillId="9" fontId="9" numFmtId="170" xfId="0" applyBorder="1" applyFont="1" applyNumberFormat="1"/>
    <xf borderId="1" fillId="9" fontId="9" numFmtId="0" xfId="0" applyAlignment="1" applyBorder="1" applyFont="1">
      <alignment readingOrder="0"/>
    </xf>
    <xf borderId="1" fillId="9" fontId="9" numFmtId="4" xfId="0" applyBorder="1" applyFont="1" applyNumberFormat="1"/>
    <xf borderId="1" fillId="2" fontId="9" numFmtId="0" xfId="0" applyAlignment="1" applyBorder="1" applyFont="1">
      <alignment horizontal="center"/>
    </xf>
    <xf borderId="0" fillId="2" fontId="9" numFmtId="0" xfId="0" applyAlignment="1" applyFont="1">
      <alignment horizontal="center"/>
    </xf>
    <xf borderId="1" fillId="7" fontId="9" numFmtId="170" xfId="0" applyBorder="1" applyFont="1" applyNumberFormat="1"/>
    <xf borderId="1" fillId="6" fontId="9" numFmtId="9" xfId="0" applyAlignment="1" applyBorder="1" applyFont="1" applyNumberFormat="1">
      <alignment horizontal="center" readingOrder="0"/>
    </xf>
    <xf borderId="1" fillId="6" fontId="9" numFmtId="170" xfId="0" applyBorder="1" applyFont="1" applyNumberFormat="1"/>
    <xf borderId="1" fillId="6" fontId="11" numFmtId="0" xfId="0" applyAlignment="1" applyBorder="1" applyFont="1">
      <alignment horizontal="center"/>
    </xf>
    <xf borderId="1" fillId="6" fontId="11" numFmtId="166" xfId="0" applyAlignment="1" applyBorder="1" applyFont="1" applyNumberFormat="1">
      <alignment horizontal="center"/>
    </xf>
    <xf borderId="1" fillId="6" fontId="11" numFmtId="165" xfId="0" applyAlignment="1" applyBorder="1" applyFont="1" applyNumberFormat="1">
      <alignment horizontal="center"/>
    </xf>
    <xf borderId="1" fillId="6" fontId="11" numFmtId="167" xfId="0" applyAlignment="1" applyBorder="1" applyFont="1" applyNumberFormat="1">
      <alignment horizontal="center"/>
    </xf>
    <xf borderId="1" fillId="6" fontId="11" numFmtId="164" xfId="0" applyAlignment="1" applyBorder="1" applyFont="1" applyNumberFormat="1">
      <alignment horizontal="center"/>
    </xf>
    <xf borderId="1" fillId="6" fontId="11" numFmtId="10" xfId="0" applyAlignment="1" applyBorder="1" applyFont="1" applyNumberFormat="1">
      <alignment horizontal="center"/>
    </xf>
    <xf borderId="1" fillId="6" fontId="11" numFmtId="170" xfId="0" applyBorder="1" applyFont="1" applyNumberFormat="1"/>
    <xf borderId="1" fillId="6" fontId="11" numFmtId="4" xfId="0" applyBorder="1" applyFont="1" applyNumberFormat="1"/>
    <xf borderId="1" fillId="6" fontId="11" numFmtId="9" xfId="0" applyAlignment="1" applyBorder="1" applyFont="1" applyNumberFormat="1">
      <alignment horizontal="center"/>
    </xf>
    <xf borderId="1" fillId="6" fontId="1" numFmtId="3" xfId="0" applyBorder="1" applyFont="1" applyNumberFormat="1"/>
    <xf borderId="1" fillId="2" fontId="1" numFmtId="171" xfId="0" applyBorder="1" applyFont="1" applyNumberFormat="1"/>
    <xf borderId="1" fillId="2" fontId="1" numFmtId="170" xfId="0" applyBorder="1" applyFont="1" applyNumberFormat="1"/>
    <xf borderId="1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1" fillId="2" fontId="1" numFmtId="165" xfId="0" applyBorder="1" applyFont="1" applyNumberFormat="1"/>
    <xf borderId="0" fillId="8" fontId="10" numFmtId="0" xfId="0" applyFont="1"/>
    <xf borderId="1" fillId="10" fontId="2" numFmtId="0" xfId="0" applyAlignment="1" applyBorder="1" applyFill="1" applyFont="1">
      <alignment horizontal="left"/>
    </xf>
    <xf borderId="8" fillId="6" fontId="2" numFmtId="15" xfId="0" applyAlignment="1" applyBorder="1" applyFont="1" applyNumberFormat="1">
      <alignment horizontal="center"/>
    </xf>
    <xf borderId="1" fillId="10" fontId="2" numFmtId="0" xfId="0" applyAlignment="1" applyBorder="1" applyFont="1">
      <alignment shrinkToFit="0" vertical="center" wrapText="1"/>
    </xf>
    <xf borderId="1" fillId="10" fontId="2" numFmtId="164" xfId="0" applyAlignment="1" applyBorder="1" applyFont="1" applyNumberFormat="1">
      <alignment horizontal="right"/>
    </xf>
    <xf borderId="1" fillId="2" fontId="12" numFmtId="172" xfId="0" applyAlignment="1" applyBorder="1" applyFont="1" applyNumberFormat="1">
      <alignment horizontal="center"/>
    </xf>
    <xf borderId="1" fillId="11" fontId="13" numFmtId="4" xfId="0" applyAlignment="1" applyBorder="1" applyFill="1" applyFont="1" applyNumberFormat="1">
      <alignment horizontal="center" vertical="center"/>
    </xf>
    <xf borderId="0" fillId="0" fontId="13" numFmtId="4" xfId="0" applyFont="1" applyNumberFormat="1"/>
    <xf borderId="0" fillId="0" fontId="13" numFmtId="15" xfId="0" applyFont="1" applyNumberFormat="1"/>
    <xf borderId="1" fillId="2" fontId="12" numFmtId="164" xfId="0" applyAlignment="1" applyBorder="1" applyFont="1" applyNumberFormat="1">
      <alignment horizontal="center"/>
    </xf>
    <xf borderId="0" fillId="0" fontId="14" numFmtId="164" xfId="0" applyFont="1" applyNumberFormat="1"/>
    <xf borderId="1" fillId="11" fontId="13" numFmtId="10" xfId="0" applyAlignment="1" applyBorder="1" applyFont="1" applyNumberFormat="1">
      <alignment horizontal="center" vertical="center"/>
    </xf>
    <xf borderId="0" fillId="0" fontId="1" numFmtId="10" xfId="0" applyFont="1" applyNumberFormat="1"/>
    <xf borderId="0" fillId="0" fontId="1" numFmtId="9" xfId="0" applyFont="1" applyNumberFormat="1"/>
    <xf borderId="0" fillId="0" fontId="13" numFmtId="166" xfId="0" applyFont="1" applyNumberFormat="1"/>
    <xf borderId="0" fillId="0" fontId="13" numFmtId="169" xfId="0" applyFont="1" applyNumberFormat="1"/>
    <xf borderId="1" fillId="12" fontId="2" numFmtId="0" xfId="0" applyAlignment="1" applyBorder="1" applyFill="1" applyFont="1">
      <alignment horizontal="left"/>
    </xf>
    <xf borderId="1" fillId="12" fontId="12" numFmtId="3" xfId="0" applyAlignment="1" applyBorder="1" applyFont="1" applyNumberFormat="1">
      <alignment horizontal="center"/>
    </xf>
    <xf borderId="1" fillId="10" fontId="2" numFmtId="164" xfId="0" applyAlignment="1" applyBorder="1" applyFont="1" applyNumberFormat="1">
      <alignment horizontal="left"/>
    </xf>
    <xf borderId="1" fillId="11" fontId="13" numFmtId="173" xfId="0" applyAlignment="1" applyBorder="1" applyFont="1" applyNumberFormat="1">
      <alignment horizontal="center" vertical="center"/>
    </xf>
    <xf borderId="1" fillId="2" fontId="12" numFmtId="174" xfId="0" applyAlignment="1" applyBorder="1" applyFont="1" applyNumberFormat="1">
      <alignment horizontal="center"/>
    </xf>
    <xf borderId="1" fillId="13" fontId="13" numFmtId="0" xfId="0" applyAlignment="1" applyBorder="1" applyFill="1" applyFont="1">
      <alignment horizontal="center"/>
    </xf>
    <xf borderId="1" fillId="11" fontId="13" numFmtId="3" xfId="0" applyAlignment="1" applyBorder="1" applyFont="1" applyNumberFormat="1">
      <alignment horizontal="center" vertical="center"/>
    </xf>
    <xf borderId="8" fillId="14" fontId="2" numFmtId="165" xfId="0" applyAlignment="1" applyBorder="1" applyFill="1" applyFont="1" applyNumberFormat="1">
      <alignment horizontal="center"/>
    </xf>
    <xf borderId="0" fillId="0" fontId="15" numFmtId="0" xfId="0" applyFont="1"/>
    <xf borderId="1" fillId="15" fontId="2" numFmtId="0" xfId="0" applyAlignment="1" applyBorder="1" applyFill="1" applyFont="1">
      <alignment horizontal="center"/>
    </xf>
    <xf borderId="1" fillId="15" fontId="2" numFmtId="0" xfId="0" applyAlignment="1" applyBorder="1" applyFont="1">
      <alignment horizontal="center" vertical="center"/>
    </xf>
    <xf borderId="1" fillId="11" fontId="13" numFmtId="3" xfId="0" applyAlignment="1" applyBorder="1" applyFont="1" applyNumberFormat="1">
      <alignment horizontal="center"/>
    </xf>
    <xf borderId="1" fillId="3" fontId="2" numFmtId="0" xfId="0" applyAlignment="1" applyBorder="1" applyFont="1">
      <alignment horizontal="left"/>
    </xf>
    <xf borderId="1" fillId="3" fontId="2" numFmtId="10" xfId="0" applyAlignment="1" applyBorder="1" applyFont="1" applyNumberFormat="1">
      <alignment horizontal="center"/>
    </xf>
    <xf borderId="1" fillId="11" fontId="13" numFmtId="4" xfId="0" applyAlignment="1" applyBorder="1" applyFont="1" applyNumberFormat="1">
      <alignment horizontal="center"/>
    </xf>
    <xf borderId="0" fillId="0" fontId="13" numFmtId="0" xfId="0" applyFont="1"/>
    <xf borderId="0" fillId="0" fontId="1" numFmtId="4" xfId="0" applyFont="1" applyNumberFormat="1"/>
    <xf borderId="9" fillId="15" fontId="2" numFmtId="0" xfId="0" applyAlignment="1" applyBorder="1" applyFont="1">
      <alignment horizontal="center"/>
    </xf>
    <xf borderId="9" fillId="15" fontId="2" numFmtId="3" xfId="0" applyAlignment="1" applyBorder="1" applyFont="1" applyNumberFormat="1">
      <alignment horizontal="center"/>
    </xf>
    <xf borderId="9" fillId="15" fontId="2" numFmtId="4" xfId="0" applyAlignment="1" applyBorder="1" applyFont="1" applyNumberFormat="1">
      <alignment horizontal="center"/>
    </xf>
    <xf borderId="9" fillId="15" fontId="2" numFmtId="3" xfId="0" applyAlignment="1" applyBorder="1" applyFont="1" applyNumberFormat="1">
      <alignment horizontal="left"/>
    </xf>
    <xf borderId="0" fillId="0" fontId="16" numFmtId="0" xfId="0" applyFont="1"/>
    <xf borderId="1" fillId="6" fontId="2" numFmtId="15" xfId="0" applyAlignment="1" applyBorder="1" applyFont="1" applyNumberFormat="1">
      <alignment horizontal="center"/>
    </xf>
    <xf borderId="10" fillId="0" fontId="13" numFmtId="4" xfId="0" applyAlignment="1" applyBorder="1" applyFont="1" applyNumberFormat="1">
      <alignment horizontal="center"/>
    </xf>
    <xf borderId="10" fillId="0" fontId="13" numFmtId="172" xfId="0" applyAlignment="1" applyBorder="1" applyFont="1" applyNumberFormat="1">
      <alignment horizontal="center"/>
    </xf>
    <xf borderId="10" fillId="0" fontId="13" numFmtId="3" xfId="0" applyAlignment="1" applyBorder="1" applyFont="1" applyNumberFormat="1">
      <alignment horizontal="center"/>
    </xf>
    <xf borderId="10" fillId="0" fontId="13" numFmtId="175" xfId="0" applyAlignment="1" applyBorder="1" applyFont="1" applyNumberFormat="1">
      <alignment horizontal="center"/>
    </xf>
    <xf borderId="10" fillId="0" fontId="13" numFmtId="0" xfId="0" applyAlignment="1" applyBorder="1" applyFont="1">
      <alignment horizontal="center"/>
    </xf>
    <xf borderId="10" fillId="0" fontId="13" numFmtId="173" xfId="0" applyAlignment="1" applyBorder="1" applyFont="1" applyNumberFormat="1">
      <alignment horizontal="center"/>
    </xf>
    <xf borderId="0" fillId="0" fontId="17" numFmtId="4" xfId="0" applyFont="1" applyNumberFormat="1"/>
    <xf borderId="10" fillId="0" fontId="15" numFmtId="173" xfId="0" applyAlignment="1" applyBorder="1" applyFont="1" applyNumberFormat="1">
      <alignment horizontal="center"/>
    </xf>
    <xf borderId="10" fillId="0" fontId="13" numFmtId="176" xfId="0" applyAlignment="1" applyBorder="1" applyFont="1" applyNumberFormat="1">
      <alignment horizontal="center"/>
    </xf>
    <xf borderId="11" fillId="0" fontId="13" numFmtId="2" xfId="0" applyAlignment="1" applyBorder="1" applyFont="1" applyNumberFormat="1">
      <alignment horizontal="center"/>
    </xf>
    <xf borderId="12" fillId="0" fontId="13" numFmtId="2" xfId="0" applyAlignment="1" applyBorder="1" applyFont="1" applyNumberFormat="1">
      <alignment horizontal="center"/>
    </xf>
    <xf borderId="12" fillId="0" fontId="13" numFmtId="177" xfId="0" applyAlignment="1" applyBorder="1" applyFont="1" applyNumberFormat="1">
      <alignment horizontal="center"/>
    </xf>
    <xf borderId="12" fillId="0" fontId="13" numFmtId="175" xfId="0" applyAlignment="1" applyBorder="1" applyFont="1" applyNumberFormat="1">
      <alignment horizontal="center"/>
    </xf>
    <xf borderId="13" fillId="0" fontId="13" numFmtId="0" xfId="0" applyAlignment="1" applyBorder="1" applyFont="1">
      <alignment horizontal="center"/>
    </xf>
    <xf borderId="13" fillId="0" fontId="13" numFmtId="173" xfId="0" applyAlignment="1" applyBorder="1" applyFont="1" applyNumberFormat="1">
      <alignment horizontal="center"/>
    </xf>
    <xf borderId="0" fillId="0" fontId="18" numFmtId="0" xfId="0" applyFont="1"/>
    <xf borderId="0" fillId="0" fontId="18" numFmtId="164" xfId="0" applyFont="1" applyNumberFormat="1"/>
    <xf borderId="8" fillId="16" fontId="19" numFmtId="0" xfId="0" applyAlignment="1" applyBorder="1" applyFill="1" applyFont="1">
      <alignment horizontal="center"/>
    </xf>
    <xf borderId="14" fillId="0" fontId="1" numFmtId="0" xfId="0" applyBorder="1" applyFont="1"/>
    <xf borderId="15" fillId="0" fontId="1" numFmtId="0" xfId="0" applyBorder="1" applyFont="1"/>
    <xf borderId="13" fillId="0" fontId="1" numFmtId="2" xfId="0" applyBorder="1" applyFont="1" applyNumberFormat="1"/>
    <xf borderId="16" fillId="10" fontId="2" numFmtId="0" xfId="0" applyAlignment="1" applyBorder="1" applyFont="1">
      <alignment horizontal="center" shrinkToFit="0" vertical="center" wrapText="1"/>
    </xf>
    <xf borderId="0" fillId="0" fontId="13" numFmtId="10" xfId="0" applyFont="1" applyNumberFormat="1"/>
    <xf borderId="17" fillId="0" fontId="4" numFmtId="0" xfId="0" applyBorder="1" applyFont="1"/>
    <xf borderId="0" fillId="0" fontId="13" numFmtId="167" xfId="0" applyFont="1" applyNumberFormat="1"/>
    <xf borderId="18" fillId="13" fontId="13" numFmtId="0" xfId="0" applyAlignment="1" applyBorder="1" applyFont="1">
      <alignment horizontal="center"/>
    </xf>
    <xf borderId="19" fillId="0" fontId="4" numFmtId="0" xfId="0" applyBorder="1" applyFont="1"/>
    <xf borderId="0" fillId="0" fontId="1" numFmtId="173" xfId="0" applyFont="1" applyNumberFormat="1"/>
    <xf borderId="0" fillId="0" fontId="1" numFmtId="164" xfId="0" applyFont="1" applyNumberFormat="1"/>
    <xf borderId="8" fillId="14" fontId="2" numFmtId="2" xfId="0" applyAlignment="1" applyBorder="1" applyFont="1" applyNumberFormat="1">
      <alignment horizontal="center"/>
    </xf>
    <xf borderId="14" fillId="0" fontId="1" numFmtId="2" xfId="0" applyBorder="1" applyFont="1" applyNumberFormat="1"/>
    <xf borderId="15" fillId="0" fontId="1" numFmtId="2" xfId="0" applyBorder="1" applyFont="1" applyNumberFormat="1"/>
    <xf borderId="13" fillId="0" fontId="13" numFmtId="3" xfId="0" applyAlignment="1" applyBorder="1" applyFont="1" applyNumberFormat="1">
      <alignment horizontal="center"/>
    </xf>
    <xf borderId="1" fillId="1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4.2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3" t="s">
        <v>0</v>
      </c>
      <c r="C4" s="1"/>
      <c r="D4" s="1"/>
      <c r="E4" s="4" t="s">
        <v>1</v>
      </c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6">
        <v>42369.0</v>
      </c>
      <c r="C5" s="1"/>
      <c r="D5" s="1"/>
      <c r="E5" s="7">
        <v>1.0</v>
      </c>
      <c r="F5" s="8" t="s">
        <v>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6">
        <v>42370.0</v>
      </c>
      <c r="C6" s="1"/>
      <c r="D6" s="1"/>
      <c r="E6" s="7">
        <v>2.0</v>
      </c>
      <c r="F6" s="8" t="s">
        <v>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6">
        <v>42408.0</v>
      </c>
      <c r="C7" s="1"/>
      <c r="D7" s="1"/>
      <c r="E7" s="7">
        <v>3.0</v>
      </c>
      <c r="F7" s="8" t="s">
        <v>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6">
        <v>42409.0</v>
      </c>
      <c r="C8" s="1"/>
      <c r="D8" s="1"/>
      <c r="E8" s="7">
        <v>4.0</v>
      </c>
      <c r="F8" s="8" t="s">
        <v>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6">
        <v>42453.0</v>
      </c>
      <c r="C9" s="1"/>
      <c r="D9" s="1"/>
      <c r="E9" s="7">
        <v>5.0</v>
      </c>
      <c r="F9" s="8" t="s">
        <v>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6">
        <v>42454.0</v>
      </c>
      <c r="C10" s="1"/>
      <c r="D10" s="1"/>
      <c r="E10" s="7">
        <v>6.0</v>
      </c>
      <c r="F10" s="8" t="s">
        <v>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6">
        <v>42515.0</v>
      </c>
      <c r="C11" s="1"/>
      <c r="D11" s="1"/>
      <c r="E11" s="9">
        <v>7.0</v>
      </c>
      <c r="F11" s="10" t="s">
        <v>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6">
        <v>42538.0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6">
        <v>42541.0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6">
        <v>42559.0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6">
        <v>42597.0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6">
        <v>42653.0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6">
        <v>42702.0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6">
        <v>42712.0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6">
        <v>42713.0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6">
        <v>42736.0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6">
        <v>42793.0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6">
        <v>42794.0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6">
        <v>42818.0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6">
        <v>42838.0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6">
        <v>42839.0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6">
        <v>42856.0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6">
        <v>42880.0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6">
        <v>42906.0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6">
        <v>42968.0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6">
        <v>43024.0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6">
        <v>43045.0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6">
        <v>43059.0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6">
        <v>43077.0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6">
        <v>43094.0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6">
        <v>43100.0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6">
        <v>43101.0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6">
        <v>43143.0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6">
        <v>43144.0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6">
        <v>43188.0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6">
        <v>43189.0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6">
        <v>43192.0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6">
        <v>43220.0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6">
        <v>43221.0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6">
        <v>43245.0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6">
        <v>43271.0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6">
        <v>43290.0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6">
        <v>43332.0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6">
        <v>43388.0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6">
        <v>43423.0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6">
        <v>43458.0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6">
        <v>43459.0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6">
        <v>43465.0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6">
        <v>43466.0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6">
        <v>43528.0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6">
        <v>43529.0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6">
        <v>43557.0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6">
        <v>43574.0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6">
        <v>43586.0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6">
        <v>43620.0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6">
        <v>43696.0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6">
        <v>43752.0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6">
        <v>43787.0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6">
        <v>43823.0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6">
        <v>43830.0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6">
        <v>43831.0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6">
        <v>43885.0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6">
        <v>43886.0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6">
        <v>43913.0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6">
        <v>43914.0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6">
        <v>43921.0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6">
        <v>43930.0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6">
        <v>43931.0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6">
        <v>43952.0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6">
        <v>43976.0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6">
        <v>43997.0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6">
        <v>44021.0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6">
        <v>44022.0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6">
        <v>44060.0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6">
        <v>44116.0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6">
        <v>44158.0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6">
        <v>44172.0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6">
        <v>44173.0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6">
        <v>44189.0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6">
        <v>44190.0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6">
        <v>44196.0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6">
        <v>44197.0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E4:F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17.29"/>
    <col customWidth="1" min="3" max="3" width="9.14"/>
    <col customWidth="1" min="4" max="5" width="9.29"/>
    <col customWidth="1" min="6" max="6" width="7.43"/>
    <col customWidth="1" min="7" max="7" width="9.0"/>
    <col customWidth="1" min="8" max="8" width="11.57"/>
    <col customWidth="1" min="9" max="9" width="12.57"/>
    <col customWidth="1" min="10" max="10" width="4.57"/>
    <col customWidth="1" min="11" max="11" width="6.43"/>
    <col customWidth="1" min="12" max="12" width="7.14"/>
    <col customWidth="1" min="13" max="13" width="8.86"/>
    <col customWidth="1" min="14" max="14" width="8.43"/>
    <col customWidth="1" min="15" max="15" width="15.0"/>
    <col customWidth="1" min="16" max="16" width="10.0"/>
    <col customWidth="1" min="17" max="17" width="6.86"/>
    <col customWidth="1" min="18" max="18" width="12.86"/>
    <col customWidth="1" min="19" max="19" width="24.14"/>
    <col customWidth="1" min="20" max="24" width="7.29"/>
    <col customWidth="1" min="25" max="39" width="11.43"/>
  </cols>
  <sheetData>
    <row r="1" ht="14.25" customHeight="1">
      <c r="A1" s="11" t="s">
        <v>9</v>
      </c>
      <c r="B1" s="11" t="s">
        <v>10</v>
      </c>
      <c r="C1" s="12" t="s">
        <v>11</v>
      </c>
      <c r="D1" s="11" t="s">
        <v>12</v>
      </c>
      <c r="E1" s="11" t="s">
        <v>13</v>
      </c>
      <c r="F1" s="13" t="s">
        <v>14</v>
      </c>
      <c r="G1" s="11" t="s">
        <v>15</v>
      </c>
      <c r="H1" s="11" t="s">
        <v>16</v>
      </c>
      <c r="I1" s="11" t="s">
        <v>17</v>
      </c>
      <c r="J1" s="11" t="s">
        <v>18</v>
      </c>
      <c r="K1" s="11" t="s">
        <v>19</v>
      </c>
      <c r="L1" s="11" t="s">
        <v>20</v>
      </c>
      <c r="M1" s="11" t="s">
        <v>21</v>
      </c>
      <c r="N1" s="11" t="s">
        <v>22</v>
      </c>
      <c r="O1" s="11" t="s">
        <v>23</v>
      </c>
      <c r="P1" s="12" t="s">
        <v>24</v>
      </c>
      <c r="Q1" s="11" t="s">
        <v>25</v>
      </c>
      <c r="R1" s="11" t="s">
        <v>26</v>
      </c>
      <c r="S1" s="11" t="s">
        <v>27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4"/>
      <c r="AI1" s="14"/>
      <c r="AJ1" s="14"/>
      <c r="AK1" s="14"/>
      <c r="AL1" s="14"/>
      <c r="AM1" s="14"/>
    </row>
    <row r="2" ht="15.75" customHeight="1">
      <c r="A2" s="15" t="s">
        <v>28</v>
      </c>
      <c r="B2" s="16" t="s">
        <v>29</v>
      </c>
      <c r="C2" s="17">
        <v>70.5</v>
      </c>
      <c r="D2" s="18">
        <f>YPCUO!H10</f>
        <v>0.106896374</v>
      </c>
      <c r="E2" s="18">
        <f>YPCUO!J10</f>
        <v>0.1061307961</v>
      </c>
      <c r="F2" s="19">
        <f>YPCUO!E15</f>
        <v>0.7399198424</v>
      </c>
      <c r="G2" s="20">
        <f>YPCUO!H4</f>
        <v>97.66233766</v>
      </c>
      <c r="H2" s="21">
        <f>YPCUO!H5</f>
        <v>45020</v>
      </c>
      <c r="I2" s="21">
        <f>YPCUO!H6</f>
        <v>45386</v>
      </c>
      <c r="J2" s="21" t="s">
        <v>30</v>
      </c>
      <c r="K2" s="21" t="s">
        <v>31</v>
      </c>
      <c r="L2" s="21" t="s">
        <v>32</v>
      </c>
      <c r="M2" s="22">
        <f>YPCUO!E2</f>
        <v>0.0875</v>
      </c>
      <c r="N2" s="15">
        <v>1000.0</v>
      </c>
      <c r="O2" s="23">
        <v>1.522165E9</v>
      </c>
      <c r="P2" s="24">
        <v>23400.0</v>
      </c>
      <c r="Q2" s="25">
        <f t="shared" ref="Q2:Q38" si="1">P2/C2</f>
        <v>331.9148936</v>
      </c>
      <c r="R2" s="16"/>
      <c r="S2" s="15" t="s">
        <v>33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4"/>
      <c r="AJ2" s="14"/>
      <c r="AK2" s="14"/>
      <c r="AL2" s="14"/>
      <c r="AM2" s="14"/>
    </row>
    <row r="3" ht="15.75" customHeight="1">
      <c r="A3" s="26" t="s">
        <v>34</v>
      </c>
      <c r="B3" s="27" t="s">
        <v>35</v>
      </c>
      <c r="C3" s="28">
        <v>65.85</v>
      </c>
      <c r="D3" s="29">
        <f>CRCEO!H10</f>
        <v>0.08522083266</v>
      </c>
      <c r="E3" s="29">
        <f>CRCEO!J10</f>
        <v>0.08486107388</v>
      </c>
      <c r="F3" s="30">
        <f>CRCEO!E15</f>
        <v>1.265645988</v>
      </c>
      <c r="G3" s="31">
        <f>CRCEO!H4</f>
        <v>101.5681234</v>
      </c>
      <c r="H3" s="32">
        <f>CRCEO!H5</f>
        <v>44989</v>
      </c>
      <c r="I3" s="32">
        <f>CRCEO!H6</f>
        <v>45812</v>
      </c>
      <c r="J3" s="32" t="s">
        <v>36</v>
      </c>
      <c r="K3" s="32" t="s">
        <v>25</v>
      </c>
      <c r="L3" s="32" t="s">
        <v>37</v>
      </c>
      <c r="M3" s="33">
        <f>CRCEO!E2</f>
        <v>0.1</v>
      </c>
      <c r="N3" s="26">
        <v>1.0</v>
      </c>
      <c r="O3" s="34">
        <v>6.152396548E7</v>
      </c>
      <c r="P3" s="35">
        <v>22300.0</v>
      </c>
      <c r="Q3" s="36">
        <f t="shared" si="1"/>
        <v>338.6484434</v>
      </c>
      <c r="R3" s="27"/>
      <c r="S3" s="26" t="s">
        <v>38</v>
      </c>
      <c r="T3" s="1"/>
      <c r="U3" s="1"/>
      <c r="V3" s="37"/>
      <c r="W3" s="37"/>
      <c r="X3" s="37"/>
      <c r="Y3" s="1"/>
      <c r="Z3" s="1"/>
      <c r="AA3" s="1"/>
      <c r="AB3" s="1"/>
      <c r="AC3" s="1"/>
      <c r="AD3" s="1"/>
      <c r="AE3" s="1"/>
      <c r="AF3" s="1"/>
      <c r="AG3" s="1"/>
      <c r="AH3" s="14"/>
      <c r="AI3" s="14"/>
      <c r="AJ3" s="14"/>
      <c r="AK3" s="14"/>
      <c r="AL3" s="14"/>
      <c r="AM3" s="14"/>
    </row>
    <row r="4" ht="15.75" customHeight="1">
      <c r="A4" s="15" t="s">
        <v>28</v>
      </c>
      <c r="B4" s="16" t="s">
        <v>39</v>
      </c>
      <c r="C4" s="17">
        <v>91.0</v>
      </c>
      <c r="D4" s="18">
        <f>+YCA6O!H10</f>
        <v>0.1460674646</v>
      </c>
      <c r="E4" s="18">
        <f>+YCA6O!J10</f>
        <v>0.1456995706</v>
      </c>
      <c r="F4" s="19">
        <f>+YCA6O!E15</f>
        <v>2.094401861</v>
      </c>
      <c r="G4" s="20">
        <f>+YCA6O!H4</f>
        <v>87.76723999</v>
      </c>
      <c r="H4" s="21">
        <f>+YCA6O!H5</f>
        <v>44954</v>
      </c>
      <c r="I4" s="21">
        <f>+YCA6O!H6</f>
        <v>45866</v>
      </c>
      <c r="J4" s="21" t="s">
        <v>30</v>
      </c>
      <c r="K4" s="21" t="s">
        <v>31</v>
      </c>
      <c r="L4" s="21" t="s">
        <v>32</v>
      </c>
      <c r="M4" s="22">
        <f>YCA6O!E2</f>
        <v>0.085</v>
      </c>
      <c r="N4" s="15">
        <v>1000.0</v>
      </c>
      <c r="O4" s="25">
        <v>1.5E9</v>
      </c>
      <c r="P4" s="24">
        <v>30100.0</v>
      </c>
      <c r="Q4" s="25">
        <f t="shared" si="1"/>
        <v>330.7692308</v>
      </c>
      <c r="R4" s="16" t="s">
        <v>40</v>
      </c>
      <c r="S4" s="15" t="s">
        <v>41</v>
      </c>
      <c r="T4" s="1"/>
      <c r="U4" s="1"/>
      <c r="V4" s="38"/>
      <c r="W4" s="37"/>
      <c r="X4" s="37"/>
      <c r="Y4" s="1"/>
      <c r="Z4" s="1"/>
      <c r="AA4" s="1"/>
      <c r="AB4" s="1"/>
      <c r="AC4" s="1"/>
      <c r="AD4" s="1"/>
      <c r="AE4" s="1"/>
      <c r="AF4" s="1"/>
      <c r="AG4" s="1"/>
      <c r="AH4" s="14"/>
      <c r="AI4" s="14"/>
      <c r="AJ4" s="14"/>
      <c r="AK4" s="14"/>
      <c r="AL4" s="14"/>
      <c r="AM4" s="14"/>
    </row>
    <row r="5" ht="14.25" customHeight="1">
      <c r="A5" s="39" t="s">
        <v>42</v>
      </c>
      <c r="B5" s="40" t="s">
        <v>43</v>
      </c>
      <c r="C5" s="41">
        <v>107.45</v>
      </c>
      <c r="D5" s="42" t="str">
        <f>+IRC9O!H10</f>
        <v>#NUM!</v>
      </c>
      <c r="E5" s="42" t="str">
        <f>+IRC9O!J10</f>
        <v>#NUM!</v>
      </c>
      <c r="F5" s="43" t="str">
        <f>+IRC9O!E15</f>
        <v>#NUM!</v>
      </c>
      <c r="G5" s="44">
        <f>+IRC9O!H4</f>
        <v>105.9200438</v>
      </c>
      <c r="H5" s="45">
        <f>+IRC9O!H5</f>
        <v>44969</v>
      </c>
      <c r="I5" s="45">
        <f>+IRC9O!H6</f>
        <v>44969</v>
      </c>
      <c r="J5" s="45" t="s">
        <v>36</v>
      </c>
      <c r="K5" s="45" t="s">
        <v>31</v>
      </c>
      <c r="L5" s="45" t="s">
        <v>37</v>
      </c>
      <c r="M5" s="46">
        <f>IRC9O!E2</f>
        <v>0.1</v>
      </c>
      <c r="N5" s="39">
        <v>1.0</v>
      </c>
      <c r="O5" s="47">
        <v>8.0676505E7</v>
      </c>
      <c r="P5" s="48">
        <v>35990.0</v>
      </c>
      <c r="Q5" s="49">
        <f t="shared" si="1"/>
        <v>334.9464867</v>
      </c>
      <c r="R5" s="40" t="s">
        <v>40</v>
      </c>
      <c r="S5" s="39" t="s">
        <v>44</v>
      </c>
      <c r="T5" s="1"/>
      <c r="U5" s="1"/>
      <c r="V5" s="38"/>
      <c r="W5" s="37"/>
      <c r="X5" s="37"/>
      <c r="Y5" s="1"/>
      <c r="Z5" s="1"/>
      <c r="AA5" s="1"/>
      <c r="AB5" s="1"/>
      <c r="AC5" s="1"/>
      <c r="AD5" s="1"/>
      <c r="AE5" s="1"/>
      <c r="AF5" s="1"/>
      <c r="AG5" s="50"/>
      <c r="AH5" s="51"/>
      <c r="AI5" s="51"/>
      <c r="AJ5" s="51"/>
      <c r="AK5" s="51"/>
      <c r="AL5" s="51"/>
      <c r="AM5" s="51"/>
    </row>
    <row r="6" ht="14.25" customHeight="1">
      <c r="A6" s="26" t="s">
        <v>42</v>
      </c>
      <c r="B6" s="27" t="s">
        <v>45</v>
      </c>
      <c r="C6" s="28">
        <v>38.0</v>
      </c>
      <c r="D6" s="29">
        <f>+IRC8O!H10</f>
        <v>-0.01929668255</v>
      </c>
      <c r="E6" s="29">
        <f>+IRC8O!J10</f>
        <v>-0.01916935863</v>
      </c>
      <c r="F6" s="30">
        <f>+IRC8O!E15</f>
        <v>0.8289702343</v>
      </c>
      <c r="G6" s="31">
        <f>+IRC8O!H4</f>
        <v>107.2100313</v>
      </c>
      <c r="H6" s="32">
        <f>+IRC8O!H5</f>
        <v>44969</v>
      </c>
      <c r="I6" s="32">
        <f>+IRC8O!H6</f>
        <v>45242</v>
      </c>
      <c r="J6" s="32" t="s">
        <v>36</v>
      </c>
      <c r="K6" s="32" t="s">
        <v>25</v>
      </c>
      <c r="L6" s="32" t="s">
        <v>37</v>
      </c>
      <c r="M6" s="33">
        <f>IRC8O!E2</f>
        <v>0.1</v>
      </c>
      <c r="N6" s="26">
        <v>1.0</v>
      </c>
      <c r="O6" s="52">
        <v>3.167976E7</v>
      </c>
      <c r="P6" s="35">
        <v>12895.0</v>
      </c>
      <c r="Q6" s="36">
        <f t="shared" si="1"/>
        <v>339.3421053</v>
      </c>
      <c r="R6" s="27"/>
      <c r="S6" s="26" t="s">
        <v>46</v>
      </c>
      <c r="T6" s="1"/>
      <c r="U6" s="1"/>
      <c r="V6" s="37"/>
      <c r="W6" s="37"/>
      <c r="X6" s="37"/>
      <c r="Y6" s="37"/>
      <c r="Z6" s="1"/>
      <c r="AA6" s="1"/>
      <c r="AB6" s="1"/>
      <c r="AC6" s="1"/>
      <c r="AD6" s="1"/>
      <c r="AE6" s="1"/>
      <c r="AF6" s="1"/>
      <c r="AG6" s="1"/>
      <c r="AH6" s="14"/>
      <c r="AI6" s="14"/>
      <c r="AJ6" s="14"/>
      <c r="AK6" s="14"/>
      <c r="AL6" s="14"/>
      <c r="AM6" s="14"/>
    </row>
    <row r="7" ht="14.25" customHeight="1">
      <c r="A7" s="39" t="s">
        <v>47</v>
      </c>
      <c r="B7" s="40" t="s">
        <v>48</v>
      </c>
      <c r="C7" s="41">
        <v>103.0</v>
      </c>
      <c r="D7" s="42">
        <f>+PQCDO!H10</f>
        <v>-0.1039033668</v>
      </c>
      <c r="E7" s="42">
        <f>+PQCDO!J10</f>
        <v>-0.0963954751</v>
      </c>
      <c r="F7" s="43">
        <f>+PQCDO!E15</f>
        <v>0.07224647677</v>
      </c>
      <c r="G7" s="44">
        <f>+PQCDO!H4</f>
        <v>101.3530135</v>
      </c>
      <c r="H7" s="45">
        <f>+PQCDO!H5</f>
        <v>44955</v>
      </c>
      <c r="I7" s="45">
        <f>+PQCDO!H6</f>
        <v>44955</v>
      </c>
      <c r="J7" s="45" t="s">
        <v>36</v>
      </c>
      <c r="K7" s="45" t="s">
        <v>31</v>
      </c>
      <c r="L7" s="45" t="s">
        <v>37</v>
      </c>
      <c r="M7" s="46">
        <f>PQCDO!E2</f>
        <v>0.09</v>
      </c>
      <c r="N7" s="39">
        <v>1.0</v>
      </c>
      <c r="O7" s="47">
        <v>3.0119338E7</v>
      </c>
      <c r="P7" s="48">
        <v>35000.0</v>
      </c>
      <c r="Q7" s="49">
        <f t="shared" si="1"/>
        <v>339.8058252</v>
      </c>
      <c r="R7" s="40" t="s">
        <v>40</v>
      </c>
      <c r="S7" s="39" t="s">
        <v>49</v>
      </c>
      <c r="T7" s="1"/>
      <c r="U7" s="1"/>
      <c r="V7" s="37"/>
      <c r="W7" s="37"/>
      <c r="X7" s="37"/>
      <c r="Y7" s="37"/>
      <c r="Z7" s="1"/>
      <c r="AA7" s="1"/>
      <c r="AB7" s="1"/>
      <c r="AC7" s="1"/>
      <c r="AD7" s="1"/>
      <c r="AE7" s="1"/>
      <c r="AF7" s="1"/>
      <c r="AG7" s="1"/>
      <c r="AH7" s="14"/>
      <c r="AI7" s="14"/>
      <c r="AJ7" s="14"/>
      <c r="AK7" s="14"/>
      <c r="AL7" s="14"/>
      <c r="AM7" s="14"/>
    </row>
    <row r="8" ht="14.25" customHeight="1">
      <c r="A8" s="15" t="s">
        <v>28</v>
      </c>
      <c r="B8" s="16" t="s">
        <v>50</v>
      </c>
      <c r="C8" s="17">
        <v>99.0</v>
      </c>
      <c r="D8" s="18">
        <f>+YMCHO!H10</f>
        <v>0.1073958242</v>
      </c>
      <c r="E8" s="18">
        <f>+YMCHO!J10</f>
        <v>0.1069800234</v>
      </c>
      <c r="F8" s="19">
        <f>+YMCHO!E15</f>
        <v>1.44681334</v>
      </c>
      <c r="G8" s="20">
        <f>+YMCHO!H4</f>
        <v>97.72951629</v>
      </c>
      <c r="H8" s="21">
        <f>+YMCHO!H5</f>
        <v>44969</v>
      </c>
      <c r="I8" s="21">
        <f>+YMCHO!H6</f>
        <v>46065</v>
      </c>
      <c r="J8" s="21" t="s">
        <v>30</v>
      </c>
      <c r="K8" s="21" t="s">
        <v>31</v>
      </c>
      <c r="L8" s="21" t="s">
        <v>37</v>
      </c>
      <c r="M8" s="53">
        <v>0.09</v>
      </c>
      <c r="N8" s="15">
        <v>1.0</v>
      </c>
      <c r="O8" s="54">
        <v>7.75782279E8</v>
      </c>
      <c r="P8" s="24">
        <v>33100.0</v>
      </c>
      <c r="Q8" s="25">
        <f t="shared" si="1"/>
        <v>334.3434343</v>
      </c>
      <c r="R8" s="16"/>
      <c r="S8" s="15" t="s">
        <v>51</v>
      </c>
      <c r="T8" s="1"/>
      <c r="U8" s="1"/>
      <c r="V8" s="37"/>
      <c r="W8" s="37"/>
      <c r="X8" s="37"/>
      <c r="Y8" s="37"/>
      <c r="Z8" s="1"/>
      <c r="AA8" s="1"/>
      <c r="AB8" s="1"/>
      <c r="AC8" s="1"/>
      <c r="AD8" s="1"/>
      <c r="AE8" s="1"/>
      <c r="AF8" s="1"/>
      <c r="AG8" s="1"/>
      <c r="AH8" s="14"/>
      <c r="AI8" s="14"/>
      <c r="AJ8" s="14"/>
      <c r="AK8" s="14"/>
      <c r="AL8" s="14"/>
      <c r="AM8" s="14"/>
    </row>
    <row r="9" ht="14.25" customHeight="1">
      <c r="A9" s="15" t="s">
        <v>28</v>
      </c>
      <c r="B9" s="16" t="s">
        <v>52</v>
      </c>
      <c r="C9" s="17">
        <v>86.1</v>
      </c>
      <c r="D9" s="18">
        <f>+YMCIO!H10</f>
        <v>0.1292420699</v>
      </c>
      <c r="E9" s="18">
        <f>+YMCIO!J10</f>
        <v>0.1290593238</v>
      </c>
      <c r="F9" s="19">
        <f>+YMCIO!E15</f>
        <v>3.991896083</v>
      </c>
      <c r="G9" s="20">
        <f>+YMCIO!H4</f>
        <v>86.01398601</v>
      </c>
      <c r="H9" s="21">
        <f>+YMCIO!H5</f>
        <v>45107</v>
      </c>
      <c r="I9" s="21">
        <f>+YMCIO!H6</f>
        <v>47299</v>
      </c>
      <c r="J9" s="21" t="s">
        <v>30</v>
      </c>
      <c r="K9" s="21" t="s">
        <v>31</v>
      </c>
      <c r="L9" s="21" t="s">
        <v>32</v>
      </c>
      <c r="M9" s="22" t="s">
        <v>53</v>
      </c>
      <c r="N9" s="15">
        <v>1.0</v>
      </c>
      <c r="O9" s="54">
        <v>7.47833257E8</v>
      </c>
      <c r="P9" s="24">
        <v>28400.0</v>
      </c>
      <c r="Q9" s="25">
        <f t="shared" si="1"/>
        <v>329.8490128</v>
      </c>
      <c r="R9" s="16"/>
      <c r="S9" s="15" t="s">
        <v>54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4"/>
      <c r="AI9" s="14"/>
      <c r="AJ9" s="14"/>
      <c r="AK9" s="14"/>
      <c r="AL9" s="14"/>
      <c r="AM9" s="14"/>
    </row>
    <row r="10" ht="14.25" customHeight="1">
      <c r="A10" s="15" t="s">
        <v>55</v>
      </c>
      <c r="B10" s="16" t="s">
        <v>56</v>
      </c>
      <c r="C10" s="17">
        <v>91.3</v>
      </c>
      <c r="D10" s="18">
        <f>+CP17O!H10</f>
        <v>0.0776145323</v>
      </c>
      <c r="E10" s="18">
        <f>+CP17O!J10</f>
        <v>0.07728271523</v>
      </c>
      <c r="F10" s="19">
        <f>+CP17O!E15</f>
        <v>1.251976878</v>
      </c>
      <c r="G10" s="20">
        <f>+CP17O!H4</f>
        <v>101.7144272</v>
      </c>
      <c r="H10" s="21">
        <f>+CP17O!H5</f>
        <v>44993</v>
      </c>
      <c r="I10" s="21">
        <f>+CP17O!H6</f>
        <v>45724</v>
      </c>
      <c r="J10" s="21" t="s">
        <v>30</v>
      </c>
      <c r="K10" s="21" t="s">
        <v>31</v>
      </c>
      <c r="L10" s="21" t="s">
        <v>32</v>
      </c>
      <c r="M10" s="22">
        <f>+CP17O!E2</f>
        <v>0.095</v>
      </c>
      <c r="N10" s="15">
        <v>1000.0</v>
      </c>
      <c r="O10" s="54">
        <v>1.9611E8</v>
      </c>
      <c r="P10" s="24">
        <v>32000.0</v>
      </c>
      <c r="Q10" s="25">
        <f t="shared" si="1"/>
        <v>350.4928806</v>
      </c>
      <c r="R10" s="16"/>
      <c r="S10" s="15" t="s">
        <v>57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4"/>
      <c r="AI10" s="14"/>
      <c r="AJ10" s="14"/>
      <c r="AK10" s="14"/>
      <c r="AL10" s="14"/>
      <c r="AM10" s="14"/>
    </row>
    <row r="11" ht="14.25" customHeight="1">
      <c r="A11" s="15" t="s">
        <v>58</v>
      </c>
      <c r="B11" s="15" t="s">
        <v>59</v>
      </c>
      <c r="C11" s="17">
        <v>101.5</v>
      </c>
      <c r="D11" s="18">
        <f>+TLC1O!H10</f>
        <v>0.08735050725</v>
      </c>
      <c r="E11" s="18">
        <f>+TLC1O!J10</f>
        <v>0.08718949643</v>
      </c>
      <c r="F11" s="19">
        <f>+TLC1O!E15</f>
        <v>2.904150432</v>
      </c>
      <c r="G11" s="20">
        <f>+TLC1O!H4</f>
        <v>97.88898414</v>
      </c>
      <c r="H11" s="21">
        <f>+TLC1O!H5</f>
        <v>44944</v>
      </c>
      <c r="I11" s="21">
        <f>+TLC1O!H6</f>
        <v>46221</v>
      </c>
      <c r="J11" s="21" t="s">
        <v>30</v>
      </c>
      <c r="K11" s="21" t="s">
        <v>31</v>
      </c>
      <c r="L11" s="21" t="s">
        <v>32</v>
      </c>
      <c r="M11" s="22">
        <f>+TLC1O!E2</f>
        <v>0.08</v>
      </c>
      <c r="N11" s="15">
        <v>1000.0</v>
      </c>
      <c r="O11" s="54">
        <v>4.0E8</v>
      </c>
      <c r="P11" s="24">
        <v>34300.0</v>
      </c>
      <c r="Q11" s="25">
        <f t="shared" si="1"/>
        <v>337.9310345</v>
      </c>
      <c r="R11" s="16" t="s">
        <v>40</v>
      </c>
      <c r="S11" s="15" t="s">
        <v>60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4"/>
      <c r="AI11" s="14"/>
      <c r="AJ11" s="14"/>
      <c r="AK11" s="14"/>
      <c r="AL11" s="14"/>
      <c r="AM11" s="14"/>
    </row>
    <row r="12" ht="14.25" customHeight="1">
      <c r="A12" s="26" t="s">
        <v>55</v>
      </c>
      <c r="B12" s="26" t="s">
        <v>61</v>
      </c>
      <c r="C12" s="28">
        <v>103.5</v>
      </c>
      <c r="D12" s="29">
        <f>+CP21O!H10</f>
        <v>0</v>
      </c>
      <c r="E12" s="29">
        <f>+CP21O!J10</f>
        <v>0</v>
      </c>
      <c r="F12" s="30">
        <f>+CP21O!E15</f>
        <v>0.4258751903</v>
      </c>
      <c r="G12" s="31">
        <f>+CP21O!H4</f>
        <v>103.0192435</v>
      </c>
      <c r="H12" s="32">
        <f>+CP21O!H5</f>
        <v>44995</v>
      </c>
      <c r="I12" s="32">
        <f>+CP21O!H6</f>
        <v>45087</v>
      </c>
      <c r="J12" s="32" t="s">
        <v>36</v>
      </c>
      <c r="K12" s="32" t="s">
        <v>25</v>
      </c>
      <c r="L12" s="32" t="s">
        <v>37</v>
      </c>
      <c r="M12" s="33">
        <f>+CP21O!E2</f>
        <v>0.07</v>
      </c>
      <c r="N12" s="26">
        <v>1.0</v>
      </c>
      <c r="O12" s="52">
        <v>1.403714E7</v>
      </c>
      <c r="P12" s="35">
        <v>34800.0</v>
      </c>
      <c r="Q12" s="36">
        <f t="shared" si="1"/>
        <v>336.2318841</v>
      </c>
      <c r="R12" s="27" t="s">
        <v>40</v>
      </c>
      <c r="S12" s="26" t="s">
        <v>62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4"/>
      <c r="AI12" s="14"/>
      <c r="AJ12" s="14"/>
      <c r="AK12" s="14"/>
      <c r="AL12" s="14"/>
      <c r="AM12" s="14"/>
    </row>
    <row r="13" ht="14.25" customHeight="1">
      <c r="A13" s="15" t="s">
        <v>63</v>
      </c>
      <c r="B13" s="15" t="s">
        <v>64</v>
      </c>
      <c r="C13" s="17">
        <v>106.5</v>
      </c>
      <c r="D13" s="18">
        <f>+MTCGO!H10</f>
        <v>0.08907657373</v>
      </c>
      <c r="E13" s="18">
        <f>+MTCGO!J10</f>
        <v>0.08890844844</v>
      </c>
      <c r="F13" s="19">
        <f>+MTCGO!E15</f>
        <v>2.834912413</v>
      </c>
      <c r="G13" s="20">
        <f>+MTCGO!H4</f>
        <v>106.3705825</v>
      </c>
      <c r="H13" s="21">
        <f>+MTCGO!H5</f>
        <v>45015</v>
      </c>
      <c r="I13" s="21">
        <f>+MTCGO!H6</f>
        <v>46203</v>
      </c>
      <c r="J13" s="21" t="s">
        <v>30</v>
      </c>
      <c r="K13" s="21" t="s">
        <v>31</v>
      </c>
      <c r="L13" s="21" t="s">
        <v>37</v>
      </c>
      <c r="M13" s="22">
        <f>+MTCGO!E2</f>
        <v>0.1095</v>
      </c>
      <c r="N13" s="15">
        <v>1.0</v>
      </c>
      <c r="O13" s="54">
        <v>1.10866214E8</v>
      </c>
      <c r="P13" s="24">
        <v>35705.0</v>
      </c>
      <c r="Q13" s="25">
        <f t="shared" si="1"/>
        <v>335.258216</v>
      </c>
      <c r="R13" s="16" t="s">
        <v>40</v>
      </c>
      <c r="S13" s="15" t="s">
        <v>65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4"/>
      <c r="AI13" s="14"/>
      <c r="AJ13" s="14"/>
      <c r="AK13" s="14"/>
      <c r="AL13" s="14"/>
      <c r="AM13" s="14"/>
    </row>
    <row r="14" ht="14.25" customHeight="1">
      <c r="A14" s="15" t="s">
        <v>66</v>
      </c>
      <c r="B14" s="15" t="s">
        <v>67</v>
      </c>
      <c r="C14" s="17">
        <v>72.0</v>
      </c>
      <c r="D14" s="18">
        <f>+CSKZO!H10</f>
        <v>0.02940670615</v>
      </c>
      <c r="E14" s="18">
        <f>+CSKZO!J10</f>
        <v>0.02923900794</v>
      </c>
      <c r="F14" s="19">
        <f>+CSKZO!E15</f>
        <v>0.9483920645</v>
      </c>
      <c r="G14" s="20">
        <f>+CSKZO!H4</f>
        <v>104.7606692</v>
      </c>
      <c r="H14" s="21">
        <f>+CSKZO!H5</f>
        <v>44932</v>
      </c>
      <c r="I14" s="21">
        <f>+CSKZO!H6</f>
        <v>45479</v>
      </c>
      <c r="J14" s="21" t="s">
        <v>36</v>
      </c>
      <c r="K14" s="21" t="s">
        <v>31</v>
      </c>
      <c r="L14" s="21" t="s">
        <v>32</v>
      </c>
      <c r="M14" s="22">
        <f>+CSKZO!E2</f>
        <v>0.0699</v>
      </c>
      <c r="N14" s="15">
        <v>1.0</v>
      </c>
      <c r="O14" s="54">
        <v>1.879769E7</v>
      </c>
      <c r="P14" s="24">
        <v>23500.0</v>
      </c>
      <c r="Q14" s="25">
        <f t="shared" si="1"/>
        <v>326.3888889</v>
      </c>
      <c r="R14" s="16"/>
      <c r="S14" s="15" t="s">
        <v>68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4"/>
      <c r="AI14" s="14"/>
      <c r="AJ14" s="14"/>
      <c r="AK14" s="14"/>
      <c r="AL14" s="14"/>
      <c r="AM14" s="14"/>
    </row>
    <row r="15" ht="14.25" customHeight="1">
      <c r="A15" s="15" t="s">
        <v>69</v>
      </c>
      <c r="B15" s="15" t="s">
        <v>70</v>
      </c>
      <c r="C15" s="17">
        <v>69.9</v>
      </c>
      <c r="D15" s="18">
        <f>+CS34O!H10</f>
        <v>0.02632208648</v>
      </c>
      <c r="E15" s="18">
        <f>+CS34O!J10</f>
        <v>0.02617459507</v>
      </c>
      <c r="F15" s="19">
        <f>+CS34O!E15</f>
        <v>0.9660511068</v>
      </c>
      <c r="G15" s="20">
        <f>+CS34O!H4</f>
        <v>104.2679243</v>
      </c>
      <c r="H15" s="21">
        <f>+CS34O!H5</f>
        <v>45107</v>
      </c>
      <c r="I15" s="21">
        <f>+CS34O!H6</f>
        <v>45473</v>
      </c>
      <c r="J15" s="21" t="s">
        <v>36</v>
      </c>
      <c r="K15" s="21" t="s">
        <v>31</v>
      </c>
      <c r="L15" s="21" t="s">
        <v>32</v>
      </c>
      <c r="M15" s="22">
        <f>+CS34O!E2</f>
        <v>0.0699</v>
      </c>
      <c r="N15" s="15">
        <v>100.0</v>
      </c>
      <c r="O15" s="54">
        <v>3.7737138E7</v>
      </c>
      <c r="P15" s="24">
        <v>23850.0</v>
      </c>
      <c r="Q15" s="25">
        <f t="shared" si="1"/>
        <v>341.2017167</v>
      </c>
      <c r="R15" s="16"/>
      <c r="S15" s="15" t="s">
        <v>71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4"/>
      <c r="AI15" s="14"/>
      <c r="AJ15" s="14"/>
      <c r="AK15" s="14"/>
      <c r="AL15" s="14"/>
      <c r="AM15" s="14"/>
    </row>
    <row r="16" ht="14.25" customHeight="1">
      <c r="A16" s="26" t="s">
        <v>72</v>
      </c>
      <c r="B16" s="26" t="s">
        <v>73</v>
      </c>
      <c r="C16" s="28">
        <v>105.0</v>
      </c>
      <c r="D16" s="29">
        <f>+GN34O!H10</f>
        <v>0.02861701532</v>
      </c>
      <c r="E16" s="29">
        <f>+GN34O!J10</f>
        <v>0.02842657319</v>
      </c>
      <c r="F16" s="30">
        <f>+GN34O!E15</f>
        <v>0.8120719758</v>
      </c>
      <c r="G16" s="31">
        <f>+GN34O!H4</f>
        <v>102.5390625</v>
      </c>
      <c r="H16" s="32">
        <f>+GN34O!H5</f>
        <v>44967</v>
      </c>
      <c r="I16" s="32">
        <f>+GN34O!H6</f>
        <v>45514</v>
      </c>
      <c r="J16" s="32" t="s">
        <v>36</v>
      </c>
      <c r="K16" s="32" t="s">
        <v>74</v>
      </c>
      <c r="L16" s="32" t="s">
        <v>32</v>
      </c>
      <c r="M16" s="33">
        <f>+GN34O!E2</f>
        <v>0.06</v>
      </c>
      <c r="N16" s="26">
        <v>100.0</v>
      </c>
      <c r="O16" s="52">
        <v>1.5605522E7</v>
      </c>
      <c r="P16" s="35">
        <v>35500.0</v>
      </c>
      <c r="Q16" s="36">
        <f t="shared" si="1"/>
        <v>338.0952381</v>
      </c>
      <c r="R16" s="27"/>
      <c r="S16" s="26" t="s">
        <v>75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4"/>
      <c r="AI16" s="14"/>
      <c r="AJ16" s="14"/>
      <c r="AK16" s="14"/>
      <c r="AL16" s="14"/>
      <c r="AM16" s="14"/>
    </row>
    <row r="17" ht="14.25" customHeight="1">
      <c r="A17" s="55" t="s">
        <v>76</v>
      </c>
      <c r="B17" s="55" t="s">
        <v>77</v>
      </c>
      <c r="C17" s="17">
        <v>105.4</v>
      </c>
      <c r="D17" s="56">
        <f>+GNCXO!H10</f>
        <v>0.0758735864</v>
      </c>
      <c r="E17" s="56">
        <f>+GNCXO!J10</f>
        <v>0.07567377523</v>
      </c>
      <c r="F17" s="57">
        <f>+GNCXO!E15</f>
        <v>2.036632818</v>
      </c>
      <c r="G17" s="58">
        <f>+GNCXO!H4</f>
        <v>103.8601293</v>
      </c>
      <c r="H17" s="59">
        <f>+GNCXO!H5</f>
        <v>44987</v>
      </c>
      <c r="I17" s="59">
        <f>+GNCXO!H6</f>
        <v>46632</v>
      </c>
      <c r="J17" s="59" t="s">
        <v>30</v>
      </c>
      <c r="K17" s="59" t="s">
        <v>31</v>
      </c>
      <c r="L17" s="59" t="s">
        <v>32</v>
      </c>
      <c r="M17" s="60">
        <f>+GNCXO!E2</f>
        <v>0.0875</v>
      </c>
      <c r="N17" s="55">
        <v>1000.0</v>
      </c>
      <c r="O17" s="61">
        <v>3.66118638E8</v>
      </c>
      <c r="P17" s="24">
        <v>35300.0</v>
      </c>
      <c r="Q17" s="62">
        <f t="shared" si="1"/>
        <v>334.914611</v>
      </c>
      <c r="R17" s="63"/>
      <c r="S17" s="55" t="s">
        <v>78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4"/>
      <c r="AI17" s="14"/>
      <c r="AJ17" s="14"/>
      <c r="AK17" s="14"/>
      <c r="AL17" s="14"/>
      <c r="AM17" s="14"/>
    </row>
    <row r="18" ht="14.25" customHeight="1">
      <c r="A18" s="26" t="s">
        <v>79</v>
      </c>
      <c r="B18" s="26" t="s">
        <v>80</v>
      </c>
      <c r="C18" s="28">
        <v>99.55</v>
      </c>
      <c r="D18" s="29">
        <f>+RUC3O!H10</f>
        <v>0.08175670322</v>
      </c>
      <c r="E18" s="29">
        <f>+RUC3O!J10</f>
        <v>0.08127393281</v>
      </c>
      <c r="F18" s="30">
        <f>+RUC3O!E15</f>
        <v>0.9041034957</v>
      </c>
      <c r="G18" s="31">
        <f>+RUC3O!H4</f>
        <v>99.4079295</v>
      </c>
      <c r="H18" s="32">
        <f>+RUC3O!H5</f>
        <v>45097</v>
      </c>
      <c r="I18" s="32">
        <f>+RUC3O!H6</f>
        <v>45280</v>
      </c>
      <c r="J18" s="32" t="s">
        <v>36</v>
      </c>
      <c r="K18" s="32" t="s">
        <v>25</v>
      </c>
      <c r="L18" s="32" t="s">
        <v>32</v>
      </c>
      <c r="M18" s="33">
        <f>+RUC3O!E2</f>
        <v>0.0735</v>
      </c>
      <c r="N18" s="26">
        <v>100.0</v>
      </c>
      <c r="O18" s="52">
        <v>3.03E7</v>
      </c>
      <c r="P18" s="35">
        <v>34900.0</v>
      </c>
      <c r="Q18" s="36">
        <f t="shared" si="1"/>
        <v>350.5775992</v>
      </c>
      <c r="R18" s="27" t="s">
        <v>40</v>
      </c>
      <c r="S18" s="26" t="s">
        <v>81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4"/>
      <c r="AI18" s="14"/>
      <c r="AJ18" s="14"/>
      <c r="AK18" s="14"/>
      <c r="AL18" s="14"/>
      <c r="AM18" s="14"/>
    </row>
    <row r="19" ht="14.25" customHeight="1">
      <c r="A19" s="15" t="s">
        <v>82</v>
      </c>
      <c r="B19" s="15" t="s">
        <v>83</v>
      </c>
      <c r="C19" s="17">
        <v>117.0</v>
      </c>
      <c r="D19" s="18">
        <f>+PNDCO!H10</f>
        <v>0.0410995511</v>
      </c>
      <c r="E19" s="18">
        <f>+PNDCO!J10</f>
        <v>0.04102209368</v>
      </c>
      <c r="F19" s="19">
        <f>+PNDCO!E15</f>
        <v>2.872508097</v>
      </c>
      <c r="G19" s="20">
        <f>+PNDCO!H4</f>
        <v>115.1322983</v>
      </c>
      <c r="H19" s="21">
        <f>+PNDCO!H5</f>
        <v>45046</v>
      </c>
      <c r="I19" s="21">
        <f>+PNDCO!H6</f>
        <v>46507</v>
      </c>
      <c r="J19" s="21" t="s">
        <v>30</v>
      </c>
      <c r="K19" s="21" t="s">
        <v>31</v>
      </c>
      <c r="L19" s="21" t="s">
        <v>32</v>
      </c>
      <c r="M19" s="22">
        <f>+PNDCO!E2</f>
        <v>0.09125</v>
      </c>
      <c r="N19" s="15">
        <v>1000.0</v>
      </c>
      <c r="O19" s="54">
        <v>3.0E8</v>
      </c>
      <c r="P19" s="24">
        <v>38600.0</v>
      </c>
      <c r="Q19" s="25">
        <f t="shared" si="1"/>
        <v>329.9145299</v>
      </c>
      <c r="R19" s="64"/>
      <c r="S19" s="15" t="s">
        <v>84</v>
      </c>
      <c r="T19" s="1"/>
      <c r="U19" s="65"/>
      <c r="V19" s="66"/>
      <c r="W19" s="65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4"/>
      <c r="AI19" s="14"/>
      <c r="AJ19" s="14"/>
      <c r="AK19" s="14"/>
      <c r="AL19" s="14"/>
      <c r="AM19" s="14"/>
    </row>
    <row r="20" ht="14.25" customHeight="1">
      <c r="A20" s="15" t="s">
        <v>85</v>
      </c>
      <c r="B20" s="15" t="s">
        <v>86</v>
      </c>
      <c r="C20" s="17">
        <v>104.0</v>
      </c>
      <c r="D20" s="18">
        <f>+TLC5D!H10</f>
        <v>0.08141811838</v>
      </c>
      <c r="E20" s="18">
        <f>+TLC5D!J10</f>
        <v>0.08110376015</v>
      </c>
      <c r="F20" s="19">
        <f>+TLC5D!E15</f>
        <v>1.38556401</v>
      </c>
      <c r="G20" s="20">
        <f>+TLC5D!H4</f>
        <v>100.4884857</v>
      </c>
      <c r="H20" s="21">
        <f>+TLC5D!H5</f>
        <v>44963</v>
      </c>
      <c r="I20" s="21">
        <f>+TLC5D!H6</f>
        <v>45875</v>
      </c>
      <c r="J20" s="21" t="s">
        <v>30</v>
      </c>
      <c r="K20" s="21" t="s">
        <v>31</v>
      </c>
      <c r="L20" s="21" t="s">
        <v>32</v>
      </c>
      <c r="M20" s="22">
        <f>+TLC5D!E2</f>
        <v>0.085</v>
      </c>
      <c r="N20" s="15">
        <v>1000.0</v>
      </c>
      <c r="O20" s="54">
        <v>3.88871E8</v>
      </c>
      <c r="P20" s="24">
        <v>34300.0</v>
      </c>
      <c r="Q20" s="25">
        <f t="shared" si="1"/>
        <v>329.8076923</v>
      </c>
      <c r="R20" s="16"/>
      <c r="S20" s="15" t="s">
        <v>87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4"/>
      <c r="AI20" s="14"/>
      <c r="AJ20" s="14"/>
      <c r="AK20" s="14"/>
      <c r="AL20" s="14"/>
      <c r="AM20" s="14"/>
    </row>
    <row r="21" ht="14.25" customHeight="1">
      <c r="A21" s="15" t="s">
        <v>88</v>
      </c>
      <c r="B21" s="15" t="s">
        <v>89</v>
      </c>
      <c r="C21" s="17">
        <v>103.0</v>
      </c>
      <c r="D21" s="18">
        <f>+CAC2O!H10</f>
        <v>0.05288999172</v>
      </c>
      <c r="E21" s="18">
        <f>+CAC2O!J10</f>
        <v>0.05266730028</v>
      </c>
      <c r="F21" s="19">
        <f>+CAC2O!E15</f>
        <v>1.279066759</v>
      </c>
      <c r="G21" s="20">
        <f>+CAC2O!H4</f>
        <v>102.0450988</v>
      </c>
      <c r="H21" s="21">
        <f>+CAC2O!H5</f>
        <v>45061</v>
      </c>
      <c r="I21" s="21">
        <f>+CAC2O!H6</f>
        <v>45427</v>
      </c>
      <c r="J21" s="21" t="s">
        <v>36</v>
      </c>
      <c r="K21" s="21" t="s">
        <v>31</v>
      </c>
      <c r="L21" s="21" t="s">
        <v>32</v>
      </c>
      <c r="M21" s="22">
        <f>+CAC2O!E2</f>
        <v>0.06875</v>
      </c>
      <c r="N21" s="15">
        <v>1000.0</v>
      </c>
      <c r="O21" s="54">
        <v>3.0E8</v>
      </c>
      <c r="P21" s="24">
        <v>34000.0</v>
      </c>
      <c r="Q21" s="25">
        <f t="shared" si="1"/>
        <v>330.0970874</v>
      </c>
      <c r="R21" s="16" t="s">
        <v>40</v>
      </c>
      <c r="S21" s="15" t="s">
        <v>90</v>
      </c>
      <c r="T21" s="1"/>
      <c r="U21" s="65"/>
      <c r="V21" s="1"/>
      <c r="W21" s="65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4"/>
      <c r="AI21" s="14"/>
      <c r="AJ21" s="14"/>
      <c r="AK21" s="14"/>
      <c r="AL21" s="14"/>
      <c r="AM21" s="14"/>
    </row>
    <row r="22" ht="14.25" customHeight="1">
      <c r="A22" s="15" t="s">
        <v>91</v>
      </c>
      <c r="B22" s="15" t="s">
        <v>92</v>
      </c>
      <c r="C22" s="17">
        <v>55.77</v>
      </c>
      <c r="D22" s="18">
        <f>+LMS1O!H10</f>
        <v>-0.0801482828</v>
      </c>
      <c r="E22" s="18">
        <f>+LMS1O!J10</f>
        <v>-0.07948244125</v>
      </c>
      <c r="F22" s="19">
        <f>+LMS1O!E15</f>
        <v>0.6676237713</v>
      </c>
      <c r="G22" s="20">
        <f>+LMS1O!H4</f>
        <v>108.0773227</v>
      </c>
      <c r="H22" s="21">
        <f>+LMS1O!H5</f>
        <v>44935</v>
      </c>
      <c r="I22" s="21">
        <f>+LMS1O!H6</f>
        <v>45391</v>
      </c>
      <c r="J22" s="21" t="s">
        <v>30</v>
      </c>
      <c r="K22" s="21" t="s">
        <v>31</v>
      </c>
      <c r="L22" s="21" t="s">
        <v>37</v>
      </c>
      <c r="M22" s="22">
        <f>+LMS1O!E2</f>
        <v>0.067</v>
      </c>
      <c r="N22" s="15">
        <v>500.0</v>
      </c>
      <c r="O22" s="54">
        <v>1.5E8</v>
      </c>
      <c r="P22" s="24">
        <v>17100.0</v>
      </c>
      <c r="Q22" s="25">
        <f t="shared" si="1"/>
        <v>306.6164605</v>
      </c>
      <c r="R22" s="16"/>
      <c r="S22" s="15" t="s">
        <v>93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4"/>
      <c r="AI22" s="14"/>
      <c r="AJ22" s="14"/>
      <c r="AK22" s="14"/>
      <c r="AL22" s="14"/>
      <c r="AM22" s="14"/>
    </row>
    <row r="23" ht="14.25" customHeight="1">
      <c r="A23" s="15" t="s">
        <v>42</v>
      </c>
      <c r="B23" s="15" t="s">
        <v>94</v>
      </c>
      <c r="C23" s="17">
        <v>101.7</v>
      </c>
      <c r="D23" s="18">
        <f>+IRCFO!H10</f>
        <v>0.08291873064</v>
      </c>
      <c r="E23" s="18">
        <f>+IRCFO!J10</f>
        <v>0.08277335601</v>
      </c>
      <c r="F23" s="19">
        <f>+IRCFO!E15</f>
        <v>3.056781212</v>
      </c>
      <c r="G23" s="20">
        <f>+IRCFO!H4</f>
        <v>101.5519035</v>
      </c>
      <c r="H23" s="21">
        <f>+IRCFO!H5</f>
        <v>45099</v>
      </c>
      <c r="I23" s="21">
        <f>+IRCFO!H6</f>
        <v>46926</v>
      </c>
      <c r="J23" s="21" t="s">
        <v>30</v>
      </c>
      <c r="K23" s="21" t="s">
        <v>31</v>
      </c>
      <c r="L23" s="21" t="s">
        <v>32</v>
      </c>
      <c r="M23" s="22">
        <f>+IRCFO!E2</f>
        <v>0.0875</v>
      </c>
      <c r="N23" s="15">
        <v>1.0</v>
      </c>
      <c r="O23" s="54">
        <v>1.71202815E8</v>
      </c>
      <c r="P23" s="24">
        <v>34130.0</v>
      </c>
      <c r="Q23" s="25">
        <f t="shared" si="1"/>
        <v>335.5948869</v>
      </c>
      <c r="R23" s="16"/>
      <c r="S23" s="15" t="s">
        <v>95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4"/>
      <c r="AI23" s="14"/>
      <c r="AJ23" s="14"/>
      <c r="AK23" s="14"/>
      <c r="AL23" s="14"/>
      <c r="AM23" s="14"/>
    </row>
    <row r="24" ht="14.25" customHeight="1">
      <c r="A24" s="26" t="s">
        <v>96</v>
      </c>
      <c r="B24" s="26" t="s">
        <v>97</v>
      </c>
      <c r="C24" s="28">
        <v>104.0</v>
      </c>
      <c r="D24" s="29">
        <f>+RUC4O!H10</f>
        <v>0.04699180879</v>
      </c>
      <c r="E24" s="29">
        <f>+RUC4O!J10</f>
        <v>0.0467965811</v>
      </c>
      <c r="F24" s="30">
        <f>+RUC4O!E15</f>
        <v>1.298243096</v>
      </c>
      <c r="G24" s="31">
        <f>+RUC4O!H4</f>
        <v>103.0553262</v>
      </c>
      <c r="H24" s="32">
        <f>+RUC4O!H5</f>
        <v>45066</v>
      </c>
      <c r="I24" s="32">
        <f>+RUC4O!H6</f>
        <v>45432</v>
      </c>
      <c r="J24" s="32" t="s">
        <v>36</v>
      </c>
      <c r="K24" s="32" t="s">
        <v>25</v>
      </c>
      <c r="L24" s="32" t="s">
        <v>32</v>
      </c>
      <c r="M24" s="33">
        <f>+RUC4O!E2</f>
        <v>0.075</v>
      </c>
      <c r="N24" s="26">
        <v>1.0</v>
      </c>
      <c r="O24" s="52">
        <v>1.52E7</v>
      </c>
      <c r="P24" s="35">
        <v>34200.0</v>
      </c>
      <c r="Q24" s="36">
        <f t="shared" si="1"/>
        <v>328.8461538</v>
      </c>
      <c r="R24" s="27"/>
      <c r="S24" s="26" t="s">
        <v>98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4"/>
      <c r="AI24" s="14"/>
      <c r="AJ24" s="14"/>
      <c r="AK24" s="14"/>
      <c r="AL24" s="14"/>
      <c r="AM24" s="14"/>
    </row>
    <row r="25" ht="14.25" customHeight="1">
      <c r="A25" s="26" t="s">
        <v>99</v>
      </c>
      <c r="B25" s="26" t="s">
        <v>100</v>
      </c>
      <c r="C25" s="28">
        <v>102.0</v>
      </c>
      <c r="D25" s="29">
        <f>+VSCEO!H10</f>
        <v>0.05331596529</v>
      </c>
      <c r="E25" s="29">
        <f>+VSCEO!J10</f>
        <v>0.05312183955</v>
      </c>
      <c r="F25" s="30">
        <f>+VSCEO!E15</f>
        <v>1.479788729</v>
      </c>
      <c r="G25" s="31">
        <f>+VSCEO!H4</f>
        <v>101.0568032</v>
      </c>
      <c r="H25" s="32">
        <f>+VSCEO!H5</f>
        <v>44965</v>
      </c>
      <c r="I25" s="32">
        <f>+VSCEO!H6</f>
        <v>45512</v>
      </c>
      <c r="J25" s="32" t="s">
        <v>36</v>
      </c>
      <c r="K25" s="32" t="s">
        <v>25</v>
      </c>
      <c r="L25" s="32" t="s">
        <v>37</v>
      </c>
      <c r="M25" s="33">
        <f>+VSCEO!E2</f>
        <v>0.06</v>
      </c>
      <c r="N25" s="26">
        <v>1.0</v>
      </c>
      <c r="O25" s="52">
        <v>4.35E7</v>
      </c>
      <c r="P25" s="35">
        <v>34400.0</v>
      </c>
      <c r="Q25" s="36">
        <f t="shared" si="1"/>
        <v>337.254902</v>
      </c>
      <c r="R25" s="27" t="s">
        <v>40</v>
      </c>
      <c r="S25" s="26" t="s">
        <v>101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4"/>
      <c r="AI25" s="14"/>
      <c r="AJ25" s="14"/>
      <c r="AK25" s="14"/>
      <c r="AL25" s="14"/>
      <c r="AM25" s="14"/>
    </row>
    <row r="26" ht="14.25" customHeight="1">
      <c r="A26" s="55" t="s">
        <v>102</v>
      </c>
      <c r="B26" s="55" t="s">
        <v>103</v>
      </c>
      <c r="C26" s="17">
        <v>107.0</v>
      </c>
      <c r="D26" s="56">
        <f>+CS38O!H10</f>
        <v>0.05571228892</v>
      </c>
      <c r="E26" s="56">
        <f>+CS38O!J10</f>
        <v>0.05560447113</v>
      </c>
      <c r="F26" s="57">
        <f>+CS38O!E15</f>
        <v>2.78722952</v>
      </c>
      <c r="G26" s="58">
        <f>+CS38O!H4</f>
        <v>105.5805285</v>
      </c>
      <c r="H26" s="59">
        <f>+CS38O!H5</f>
        <v>45110</v>
      </c>
      <c r="I26" s="59">
        <f>+CS38O!H6</f>
        <v>46084</v>
      </c>
      <c r="J26" s="59" t="s">
        <v>36</v>
      </c>
      <c r="K26" s="59" t="s">
        <v>31</v>
      </c>
      <c r="L26" s="59" t="s">
        <v>32</v>
      </c>
      <c r="M26" s="60">
        <f>+CS38O!E2</f>
        <v>0.08</v>
      </c>
      <c r="N26" s="55">
        <v>1.0</v>
      </c>
      <c r="O26" s="61">
        <v>7.0567356E7</v>
      </c>
      <c r="P26" s="24">
        <v>35301.0</v>
      </c>
      <c r="Q26" s="62">
        <f t="shared" si="1"/>
        <v>329.9158879</v>
      </c>
      <c r="R26" s="63" t="s">
        <v>40</v>
      </c>
      <c r="S26" s="55" t="s">
        <v>104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4"/>
      <c r="AI26" s="14"/>
      <c r="AJ26" s="14"/>
      <c r="AK26" s="14"/>
      <c r="AL26" s="14"/>
      <c r="AM26" s="14"/>
    </row>
    <row r="27" ht="14.25" customHeight="1">
      <c r="A27" s="55" t="s">
        <v>105</v>
      </c>
      <c r="B27" s="55" t="s">
        <v>106</v>
      </c>
      <c r="C27" s="17">
        <v>108.0</v>
      </c>
      <c r="D27" s="56">
        <f>+MGC9O!H10</f>
        <v>0.06691987418</v>
      </c>
      <c r="E27" s="56">
        <f>+MGC9O!J10</f>
        <v>0.06677784332</v>
      </c>
      <c r="F27" s="57">
        <f>+MGC9O!E15</f>
        <v>2.534014287</v>
      </c>
      <c r="G27" s="58">
        <f>+MGC9O!H4</f>
        <v>107.6307667</v>
      </c>
      <c r="H27" s="59">
        <f>+MGC9O!H5</f>
        <v>45085</v>
      </c>
      <c r="I27" s="59">
        <f>+MGC9O!H6</f>
        <v>46364</v>
      </c>
      <c r="J27" s="59" t="s">
        <v>30</v>
      </c>
      <c r="K27" s="59" t="s">
        <v>31</v>
      </c>
      <c r="L27" s="59" t="s">
        <v>32</v>
      </c>
      <c r="M27" s="60">
        <f>+MGC9O!E2</f>
        <v>0.095</v>
      </c>
      <c r="N27" s="55">
        <v>1.0</v>
      </c>
      <c r="O27" s="61">
        <v>2.92796835E8</v>
      </c>
      <c r="P27" s="24">
        <v>36100.0</v>
      </c>
      <c r="Q27" s="62">
        <f t="shared" si="1"/>
        <v>334.2592593</v>
      </c>
      <c r="R27" s="63" t="s">
        <v>40</v>
      </c>
      <c r="S27" s="55" t="s">
        <v>107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4"/>
      <c r="AI27" s="14"/>
      <c r="AJ27" s="14"/>
      <c r="AK27" s="14"/>
      <c r="AL27" s="14"/>
      <c r="AM27" s="14"/>
    </row>
    <row r="28" ht="14.25" customHeight="1">
      <c r="A28" s="26" t="s">
        <v>108</v>
      </c>
      <c r="B28" s="26" t="s">
        <v>109</v>
      </c>
      <c r="C28" s="28">
        <v>103.0</v>
      </c>
      <c r="D28" s="29">
        <f>+MRCFO!H10</f>
        <v>0.1050299444</v>
      </c>
      <c r="E28" s="29">
        <f>+MRCFO!J10</f>
        <v>0.1046110517</v>
      </c>
      <c r="F28" s="30">
        <f>+MRCFO!E15</f>
        <v>1.333650769</v>
      </c>
      <c r="G28" s="31">
        <f>+MRCFO!H4</f>
        <v>100.7923672</v>
      </c>
      <c r="H28" s="32">
        <f>+MRCFO!H5</f>
        <v>44944</v>
      </c>
      <c r="I28" s="32">
        <f>+MRCFO!H6</f>
        <v>45491</v>
      </c>
      <c r="J28" s="32" t="s">
        <v>36</v>
      </c>
      <c r="K28" s="32" t="s">
        <v>25</v>
      </c>
      <c r="L28" s="32" t="s">
        <v>32</v>
      </c>
      <c r="M28" s="33">
        <f>+MRCFO!E2</f>
        <v>0.095</v>
      </c>
      <c r="N28" s="26">
        <v>1.0</v>
      </c>
      <c r="O28" s="52">
        <v>5858103.0</v>
      </c>
      <c r="P28" s="35">
        <v>34000.0</v>
      </c>
      <c r="Q28" s="36">
        <f t="shared" si="1"/>
        <v>330.0970874</v>
      </c>
      <c r="R28" s="27" t="s">
        <v>40</v>
      </c>
      <c r="S28" s="26" t="s">
        <v>110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4"/>
      <c r="AI28" s="14"/>
      <c r="AJ28" s="14"/>
      <c r="AK28" s="14"/>
      <c r="AL28" s="14"/>
      <c r="AM28" s="14"/>
    </row>
    <row r="29" ht="14.25" customHeight="1">
      <c r="A29" s="26" t="s">
        <v>96</v>
      </c>
      <c r="B29" s="26" t="s">
        <v>111</v>
      </c>
      <c r="C29" s="28">
        <v>109.0</v>
      </c>
      <c r="D29" s="29">
        <f>+RUC5O!H10</f>
        <v>0.04371449671</v>
      </c>
      <c r="E29" s="29">
        <f>+RUC5O!J10</f>
        <v>0.04354663451</v>
      </c>
      <c r="F29" s="30">
        <f>+RUC5O!E15</f>
        <v>1.406152608</v>
      </c>
      <c r="G29" s="31">
        <f>+RUC5O!H4</f>
        <v>107.0610062</v>
      </c>
      <c r="H29" s="32">
        <f>+RUC5O!H5</f>
        <v>44947</v>
      </c>
      <c r="I29" s="32">
        <f>+RUC5O!H6</f>
        <v>45494</v>
      </c>
      <c r="J29" s="32" t="s">
        <v>36</v>
      </c>
      <c r="K29" s="32" t="s">
        <v>25</v>
      </c>
      <c r="L29" s="32" t="s">
        <v>32</v>
      </c>
      <c r="M29" s="33">
        <f>+RUC5O!E2</f>
        <v>0.08</v>
      </c>
      <c r="N29" s="26">
        <v>1.0</v>
      </c>
      <c r="O29" s="52">
        <v>1.51E7</v>
      </c>
      <c r="P29" s="35">
        <v>35700.0</v>
      </c>
      <c r="Q29" s="36">
        <f t="shared" si="1"/>
        <v>327.5229358</v>
      </c>
      <c r="R29" s="27" t="s">
        <v>40</v>
      </c>
      <c r="S29" s="26" t="s">
        <v>112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4"/>
      <c r="AI29" s="14"/>
      <c r="AJ29" s="14"/>
      <c r="AK29" s="14"/>
      <c r="AL29" s="14"/>
      <c r="AM29" s="14"/>
    </row>
    <row r="30" ht="14.25" customHeight="1">
      <c r="A30" s="26" t="s">
        <v>113</v>
      </c>
      <c r="B30" s="26" t="s">
        <v>114</v>
      </c>
      <c r="C30" s="28">
        <v>102.9</v>
      </c>
      <c r="D30" s="29">
        <f>+MSSAO!H10</f>
        <v>0.07255236817</v>
      </c>
      <c r="E30" s="29">
        <f>+MSSAO!J10</f>
        <v>0.07230319888</v>
      </c>
      <c r="F30" s="30">
        <f>+MSSAO!E15</f>
        <v>1.561843066</v>
      </c>
      <c r="G30" s="31">
        <f>+MSSAO!H4</f>
        <v>100.4773788</v>
      </c>
      <c r="H30" s="32">
        <f>+MSSAO!H5</f>
        <v>45181</v>
      </c>
      <c r="I30" s="32">
        <f>+MSSAO!H6</f>
        <v>45547</v>
      </c>
      <c r="J30" s="32" t="s">
        <v>36</v>
      </c>
      <c r="K30" s="32" t="s">
        <v>25</v>
      </c>
      <c r="L30" s="32" t="s">
        <v>115</v>
      </c>
      <c r="M30" s="33">
        <f>+MSSAO!E2</f>
        <v>0.0775</v>
      </c>
      <c r="N30" s="26">
        <v>1.0</v>
      </c>
      <c r="O30" s="52">
        <v>2.45E7</v>
      </c>
      <c r="P30" s="35">
        <v>34400.0</v>
      </c>
      <c r="Q30" s="36">
        <f t="shared" si="1"/>
        <v>334.3051506</v>
      </c>
      <c r="R30" s="27" t="s">
        <v>40</v>
      </c>
      <c r="S30" s="26" t="s">
        <v>116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4"/>
      <c r="AI30" s="14"/>
      <c r="AJ30" s="14"/>
      <c r="AK30" s="14"/>
      <c r="AL30" s="14"/>
      <c r="AM30" s="14"/>
    </row>
    <row r="31" ht="14.25" customHeight="1">
      <c r="A31" s="26" t="s">
        <v>117</v>
      </c>
      <c r="B31" s="26" t="s">
        <v>118</v>
      </c>
      <c r="C31" s="28">
        <v>106.0</v>
      </c>
      <c r="D31" s="29">
        <f>+DNC2O!H10</f>
        <v>0.06534052661</v>
      </c>
      <c r="E31" s="29">
        <f>+DNC2O!J10</f>
        <v>0.0651476787</v>
      </c>
      <c r="F31" s="30">
        <f>+DNC2O!E15</f>
        <v>1.886370369</v>
      </c>
      <c r="G31" s="31">
        <v>100.0</v>
      </c>
      <c r="H31" s="32">
        <f>+DNC2O!H5</f>
        <v>45068</v>
      </c>
      <c r="I31" s="32">
        <f>+DNC2O!H6</f>
        <v>45667</v>
      </c>
      <c r="J31" s="32" t="s">
        <v>36</v>
      </c>
      <c r="K31" s="32" t="s">
        <v>25</v>
      </c>
      <c r="L31" s="32" t="s">
        <v>32</v>
      </c>
      <c r="M31" s="33">
        <f>+DNC2O!E2</f>
        <v>0.0975</v>
      </c>
      <c r="N31" s="26">
        <v>1.0</v>
      </c>
      <c r="O31" s="52" t="s">
        <v>119</v>
      </c>
      <c r="P31" s="35">
        <v>34900.0</v>
      </c>
      <c r="Q31" s="36">
        <f t="shared" si="1"/>
        <v>329.245283</v>
      </c>
      <c r="R31" s="27" t="s">
        <v>40</v>
      </c>
      <c r="S31" s="26" t="s">
        <v>120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4"/>
      <c r="AI31" s="14"/>
      <c r="AJ31" s="14"/>
      <c r="AK31" s="14"/>
      <c r="AL31" s="14"/>
      <c r="AM31" s="14"/>
    </row>
    <row r="32" ht="14.25" customHeight="1">
      <c r="A32" s="15" t="s">
        <v>121</v>
      </c>
      <c r="B32" s="15" t="s">
        <v>122</v>
      </c>
      <c r="C32" s="17">
        <v>107.0</v>
      </c>
      <c r="D32" s="18">
        <f>+RCC9O!H10</f>
        <v>-0.01917246335</v>
      </c>
      <c r="E32" s="18">
        <f>+RCC9O!E2</f>
        <v>0.06</v>
      </c>
      <c r="F32" s="19">
        <f>+RCC9O!E15</f>
        <v>0.4921831071</v>
      </c>
      <c r="G32" s="20">
        <f>+RCC9O!H4</f>
        <v>103.9171253</v>
      </c>
      <c r="H32" s="21">
        <f>+RCC9O!H5</f>
        <v>44932</v>
      </c>
      <c r="I32" s="21">
        <f>+RCC9O!H6</f>
        <v>45113</v>
      </c>
      <c r="J32" s="21" t="s">
        <v>30</v>
      </c>
      <c r="K32" s="21" t="s">
        <v>31</v>
      </c>
      <c r="L32" s="21" t="s">
        <v>32</v>
      </c>
      <c r="M32" s="22">
        <f>+RCC9O!E2</f>
        <v>0.06</v>
      </c>
      <c r="N32" s="15">
        <v>1000.0</v>
      </c>
      <c r="O32" s="54">
        <v>5.0E8</v>
      </c>
      <c r="P32" s="24">
        <v>34190.0</v>
      </c>
      <c r="Q32" s="25">
        <f t="shared" si="1"/>
        <v>319.5327103</v>
      </c>
      <c r="R32" s="16" t="s">
        <v>40</v>
      </c>
      <c r="S32" s="15" t="s">
        <v>123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4"/>
      <c r="AI32" s="14"/>
      <c r="AJ32" s="14"/>
      <c r="AK32" s="14"/>
      <c r="AL32" s="14"/>
      <c r="AM32" s="14"/>
    </row>
    <row r="33" ht="14.25" customHeight="1">
      <c r="A33" s="15" t="s">
        <v>124</v>
      </c>
      <c r="B33" s="15" t="s">
        <v>125</v>
      </c>
      <c r="C33" s="17">
        <v>106.0</v>
      </c>
      <c r="D33" s="18">
        <f>+PNMCO!H10</f>
        <v>0.06085434888</v>
      </c>
      <c r="E33" s="18">
        <f>+PNMCO!J10</f>
        <v>0.06070750577</v>
      </c>
      <c r="F33" s="19">
        <f>+PNMCO!E15</f>
        <v>2.231494318</v>
      </c>
      <c r="G33" s="20">
        <f>+PNMCO!H4</f>
        <v>104.2882959</v>
      </c>
      <c r="H33" s="21">
        <f>+PNMCO!H5</f>
        <v>44947</v>
      </c>
      <c r="I33" s="21">
        <f>+PNMCO!H6</f>
        <v>45859</v>
      </c>
      <c r="J33" s="21" t="s">
        <v>30</v>
      </c>
      <c r="K33" s="21" t="s">
        <v>31</v>
      </c>
      <c r="L33" s="21" t="s">
        <v>32</v>
      </c>
      <c r="M33" s="22">
        <f>+PNMCO!E2</f>
        <v>0.0725</v>
      </c>
      <c r="N33" s="15">
        <v>1000.0</v>
      </c>
      <c r="O33" s="54">
        <v>1.05152E8</v>
      </c>
      <c r="P33" s="24">
        <v>36200.0</v>
      </c>
      <c r="Q33" s="25">
        <f t="shared" si="1"/>
        <v>341.509434</v>
      </c>
      <c r="R33" s="16" t="s">
        <v>40</v>
      </c>
      <c r="S33" s="15" t="s">
        <v>126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4"/>
      <c r="AI33" s="14"/>
      <c r="AJ33" s="14"/>
      <c r="AK33" s="14"/>
      <c r="AL33" s="14"/>
      <c r="AM33" s="14"/>
    </row>
    <row r="34" ht="14.25" customHeight="1">
      <c r="A34" s="15" t="s">
        <v>127</v>
      </c>
      <c r="B34" s="15" t="s">
        <v>128</v>
      </c>
      <c r="C34" s="17">
        <v>110.0</v>
      </c>
      <c r="D34" s="18">
        <f>+RCCJO!H10</f>
        <v>0.05277547982</v>
      </c>
      <c r="E34" s="18">
        <f>+RCCJO!J10</f>
        <v>0.05267468205</v>
      </c>
      <c r="F34" s="19">
        <f>+RCCJO!E15</f>
        <v>2.826244733</v>
      </c>
      <c r="G34" s="20">
        <v>100.0</v>
      </c>
      <c r="H34" s="21">
        <f>+RCCJO!H5</f>
        <v>45025</v>
      </c>
      <c r="I34" s="21">
        <f>+RCCJO!H6</f>
        <v>46669</v>
      </c>
      <c r="J34" s="21" t="s">
        <v>30</v>
      </c>
      <c r="K34" s="21" t="s">
        <v>31</v>
      </c>
      <c r="L34" s="21" t="s">
        <v>32</v>
      </c>
      <c r="M34" s="22">
        <f>+RCCJO!E2</f>
        <v>0.0825</v>
      </c>
      <c r="N34" s="15">
        <v>1000.0</v>
      </c>
      <c r="O34" s="54">
        <v>2.65427742E8</v>
      </c>
      <c r="P34" s="24">
        <v>37500.0</v>
      </c>
      <c r="Q34" s="25">
        <f t="shared" si="1"/>
        <v>340.9090909</v>
      </c>
      <c r="R34" s="16" t="s">
        <v>40</v>
      </c>
      <c r="S34" s="15" t="s">
        <v>129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4"/>
      <c r="AI34" s="14"/>
      <c r="AJ34" s="14"/>
      <c r="AK34" s="14"/>
      <c r="AL34" s="14"/>
      <c r="AM34" s="14"/>
    </row>
    <row r="35" ht="14.25" customHeight="1">
      <c r="A35" s="15" t="s">
        <v>130</v>
      </c>
      <c r="B35" s="15" t="s">
        <v>131</v>
      </c>
      <c r="C35" s="17">
        <v>88.5</v>
      </c>
      <c r="D35" s="18">
        <f>+ARC1O!H10</f>
        <v>0.1182647209</v>
      </c>
      <c r="E35" s="18">
        <f>+ARC1O!J10</f>
        <v>0.1181120634</v>
      </c>
      <c r="F35" s="19">
        <f>+ARC1O!E16</f>
        <v>4.236800826</v>
      </c>
      <c r="G35" s="20">
        <f>+ARC1O!H4</f>
        <v>87.20285749</v>
      </c>
      <c r="H35" s="21">
        <f>+ARC1O!H5</f>
        <v>44958</v>
      </c>
      <c r="I35" s="21">
        <f>+ARC1O!H6</f>
        <v>48061</v>
      </c>
      <c r="J35" s="21" t="s">
        <v>30</v>
      </c>
      <c r="K35" s="21" t="s">
        <v>31</v>
      </c>
      <c r="L35" s="21" t="s">
        <v>37</v>
      </c>
      <c r="M35" s="22">
        <f>+ARC1O!E2</f>
        <v>0.085</v>
      </c>
      <c r="N35" s="15">
        <v>1000.0</v>
      </c>
      <c r="O35" s="54">
        <v>2.72949631E8</v>
      </c>
      <c r="P35" s="24">
        <v>31000.0</v>
      </c>
      <c r="Q35" s="25">
        <f t="shared" si="1"/>
        <v>350.2824859</v>
      </c>
      <c r="R35" s="16"/>
      <c r="S35" s="15" t="s">
        <v>132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4"/>
      <c r="AI35" s="14"/>
      <c r="AJ35" s="14"/>
      <c r="AK35" s="14"/>
      <c r="AL35" s="14"/>
      <c r="AM35" s="14"/>
    </row>
    <row r="36" ht="14.25" customHeight="1">
      <c r="A36" s="26" t="s">
        <v>96</v>
      </c>
      <c r="B36" s="26" t="s">
        <v>133</v>
      </c>
      <c r="C36" s="28">
        <v>103.0</v>
      </c>
      <c r="D36" s="29">
        <f>+RUC6O!H10</f>
        <v>0.08035533908</v>
      </c>
      <c r="E36" s="29">
        <f>+RUC6O!J10</f>
        <v>0.08009754666</v>
      </c>
      <c r="F36" s="30">
        <f>+RUC6O!E15</f>
        <v>1.669176325</v>
      </c>
      <c r="G36" s="31">
        <f>+RUC6O!H4</f>
        <v>102.615193</v>
      </c>
      <c r="H36" s="32">
        <f>+RUC6O!H5</f>
        <v>45260</v>
      </c>
      <c r="I36" s="32">
        <f>+RUC6O!H6</f>
        <v>45600</v>
      </c>
      <c r="J36" s="32" t="s">
        <v>36</v>
      </c>
      <c r="K36" s="32" t="s">
        <v>25</v>
      </c>
      <c r="L36" s="32" t="s">
        <v>115</v>
      </c>
      <c r="M36" s="33">
        <f>+RUC6O!E2</f>
        <v>0.09</v>
      </c>
      <c r="N36" s="26">
        <v>1.0</v>
      </c>
      <c r="O36" s="52">
        <v>4.554419E7</v>
      </c>
      <c r="P36" s="35">
        <v>34200.0</v>
      </c>
      <c r="Q36" s="36">
        <f t="shared" si="1"/>
        <v>332.038835</v>
      </c>
      <c r="R36" s="27" t="s">
        <v>40</v>
      </c>
      <c r="S36" s="26" t="s">
        <v>134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4"/>
      <c r="AI36" s="14"/>
      <c r="AJ36" s="14"/>
      <c r="AK36" s="14"/>
      <c r="AL36" s="14"/>
      <c r="AM36" s="14"/>
    </row>
    <row r="37" ht="14.25" customHeight="1">
      <c r="A37" s="15" t="s">
        <v>135</v>
      </c>
      <c r="B37" s="15" t="s">
        <v>136</v>
      </c>
      <c r="C37" s="17">
        <v>104.8</v>
      </c>
      <c r="D37" s="18">
        <f>+VSCFO!H10</f>
        <v>0.04778410389</v>
      </c>
      <c r="E37" s="18">
        <f>+VSCFO!J10</f>
        <v>0.04768389596</v>
      </c>
      <c r="F37" s="19">
        <f>+VSCFO!E15</f>
        <v>2.576717439</v>
      </c>
      <c r="G37" s="20">
        <f>+VSCFO!H4</f>
        <v>104.311042</v>
      </c>
      <c r="H37" s="21">
        <f>+VSCFO!H5</f>
        <v>45056</v>
      </c>
      <c r="I37" s="21">
        <f>+VSCFO!H6</f>
        <v>45971</v>
      </c>
      <c r="J37" s="21" t="s">
        <v>36</v>
      </c>
      <c r="K37" s="21" t="s">
        <v>31</v>
      </c>
      <c r="L37" s="21" t="s">
        <v>32</v>
      </c>
      <c r="M37" s="22">
        <f>+VSCFO!E2</f>
        <v>0.0625</v>
      </c>
      <c r="N37" s="15">
        <v>1.0</v>
      </c>
      <c r="O37" s="54"/>
      <c r="P37" s="24">
        <v>36200.0</v>
      </c>
      <c r="Q37" s="25">
        <f t="shared" si="1"/>
        <v>345.4198473</v>
      </c>
      <c r="R37" s="16" t="s">
        <v>40</v>
      </c>
      <c r="S37" s="15" t="s">
        <v>137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4"/>
      <c r="AI37" s="14"/>
      <c r="AJ37" s="14"/>
      <c r="AK37" s="14"/>
      <c r="AL37" s="14"/>
      <c r="AM37" s="14"/>
    </row>
    <row r="38" ht="14.25" customHeight="1">
      <c r="A38" s="26" t="s">
        <v>138</v>
      </c>
      <c r="B38" s="26" t="s">
        <v>139</v>
      </c>
      <c r="C38" s="28">
        <v>99.0</v>
      </c>
      <c r="D38" s="29">
        <f>+MRCID!H10</f>
        <v>0.09347302227</v>
      </c>
      <c r="E38" s="29">
        <f>+MRCID!J10</f>
        <v>0.09272162653</v>
      </c>
      <c r="F38" s="30">
        <f>+MRCID!E15</f>
        <v>1.652047613</v>
      </c>
      <c r="G38" s="31">
        <f>+MRCID!H4</f>
        <v>98.37694601</v>
      </c>
      <c r="H38" s="32">
        <f>+MRCID!H5</f>
        <v>45053</v>
      </c>
      <c r="I38" s="32">
        <f>+MRCID!H6</f>
        <v>45603</v>
      </c>
      <c r="J38" s="32" t="s">
        <v>36</v>
      </c>
      <c r="K38" s="32" t="s">
        <v>25</v>
      </c>
      <c r="L38" s="32" t="s">
        <v>32</v>
      </c>
      <c r="M38" s="33">
        <f>+MRCID!E2</f>
        <v>0.08</v>
      </c>
      <c r="N38" s="26">
        <v>1.0</v>
      </c>
      <c r="O38" s="52">
        <v>1.1485823E7</v>
      </c>
      <c r="P38" s="35">
        <v>32000.0</v>
      </c>
      <c r="Q38" s="36">
        <f t="shared" si="1"/>
        <v>323.2323232</v>
      </c>
      <c r="R38" s="27" t="s">
        <v>40</v>
      </c>
      <c r="S38" s="26" t="s">
        <v>140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4"/>
      <c r="AI38" s="14"/>
      <c r="AJ38" s="14"/>
      <c r="AK38" s="14"/>
      <c r="AL38" s="14"/>
      <c r="AM38" s="14"/>
    </row>
    <row r="39" ht="14.25" customHeight="1"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8"/>
      <c r="AI39" s="68"/>
      <c r="AJ39" s="68"/>
      <c r="AK39" s="68"/>
      <c r="AL39" s="68"/>
      <c r="AM39" s="68"/>
    </row>
    <row r="40" ht="14.25" customHeight="1">
      <c r="A40" s="1"/>
      <c r="B40" s="1"/>
      <c r="C40" s="1"/>
      <c r="D40" s="1"/>
      <c r="E40" s="1"/>
      <c r="F40" s="69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4"/>
      <c r="AI40" s="14"/>
      <c r="AJ40" s="14"/>
      <c r="AK40" s="14"/>
      <c r="AL40" s="14"/>
      <c r="AM40" s="14"/>
    </row>
    <row r="41" ht="14.25" customHeight="1">
      <c r="A41" s="1"/>
      <c r="B41" s="1"/>
      <c r="C41" s="1"/>
      <c r="D41" s="1"/>
      <c r="E41" s="1"/>
      <c r="F41" s="6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4"/>
      <c r="AI41" s="14"/>
      <c r="AJ41" s="14"/>
      <c r="AK41" s="14"/>
      <c r="AL41" s="14"/>
      <c r="AM41" s="14"/>
    </row>
    <row r="42" ht="14.25" customHeight="1">
      <c r="A42" s="1"/>
      <c r="B42" s="1"/>
      <c r="C42" s="1"/>
      <c r="D42" s="1"/>
      <c r="E42" s="1"/>
      <c r="F42" s="6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4"/>
      <c r="AI42" s="14"/>
      <c r="AJ42" s="14"/>
      <c r="AK42" s="14"/>
      <c r="AL42" s="14"/>
      <c r="AM42" s="14"/>
    </row>
    <row r="43" ht="14.25" customHeight="1">
      <c r="A43" s="1"/>
      <c r="B43" s="1"/>
      <c r="C43" s="1"/>
      <c r="D43" s="1"/>
      <c r="E43" s="1"/>
      <c r="F43" s="69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4"/>
      <c r="AI43" s="14"/>
      <c r="AJ43" s="14"/>
      <c r="AK43" s="14"/>
      <c r="AL43" s="14"/>
      <c r="AM43" s="14"/>
    </row>
    <row r="44" ht="14.25" customHeight="1">
      <c r="A44" s="1"/>
      <c r="B44" s="1"/>
      <c r="C44" s="70"/>
      <c r="D44" s="1"/>
      <c r="E44" s="1"/>
      <c r="F44" s="6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4"/>
      <c r="AI44" s="14"/>
      <c r="AJ44" s="14"/>
      <c r="AK44" s="14"/>
      <c r="AL44" s="14"/>
      <c r="AM44" s="14"/>
    </row>
    <row r="45" ht="14.25" customHeight="1">
      <c r="A45" s="1"/>
      <c r="B45" s="1"/>
      <c r="C45" s="1"/>
      <c r="D45" s="1"/>
      <c r="E45" s="1"/>
      <c r="F45" s="6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4"/>
      <c r="AI45" s="14"/>
      <c r="AJ45" s="14"/>
      <c r="AK45" s="14"/>
      <c r="AL45" s="14"/>
      <c r="AM45" s="14"/>
    </row>
    <row r="46" ht="14.25" customHeight="1">
      <c r="A46" s="1"/>
      <c r="B46" s="1"/>
      <c r="C46" s="1"/>
      <c r="D46" s="1"/>
      <c r="E46" s="1"/>
      <c r="F46" s="6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4"/>
      <c r="AI46" s="14"/>
      <c r="AJ46" s="14"/>
      <c r="AK46" s="14"/>
      <c r="AL46" s="14"/>
      <c r="AM46" s="14"/>
    </row>
    <row r="47" ht="14.25" customHeight="1">
      <c r="A47" s="1"/>
      <c r="B47" s="1"/>
      <c r="C47" s="1"/>
      <c r="D47" s="1"/>
      <c r="E47" s="1"/>
      <c r="F47" s="69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4"/>
      <c r="AI47" s="14"/>
      <c r="AJ47" s="14"/>
      <c r="AK47" s="14"/>
      <c r="AL47" s="14"/>
      <c r="AM47" s="14"/>
    </row>
    <row r="48" ht="14.25" customHeight="1">
      <c r="A48" s="1"/>
      <c r="B48" s="1"/>
      <c r="C48" s="1"/>
      <c r="D48" s="1"/>
      <c r="E48" s="1"/>
      <c r="F48" s="69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4"/>
      <c r="AI48" s="14"/>
      <c r="AJ48" s="14"/>
      <c r="AK48" s="14"/>
      <c r="AL48" s="14"/>
      <c r="AM48" s="14"/>
    </row>
    <row r="49" ht="14.25" customHeight="1">
      <c r="A49" s="1"/>
      <c r="B49" s="1"/>
      <c r="C49" s="1"/>
      <c r="D49" s="1"/>
      <c r="E49" s="1"/>
      <c r="F49" s="69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4"/>
      <c r="AI49" s="14"/>
      <c r="AJ49" s="14"/>
      <c r="AK49" s="14"/>
      <c r="AL49" s="14"/>
      <c r="AM49" s="14"/>
    </row>
    <row r="50" ht="14.25" customHeight="1">
      <c r="A50" s="1"/>
      <c r="B50" s="1"/>
      <c r="C50" s="1"/>
      <c r="D50" s="1"/>
      <c r="E50" s="1"/>
      <c r="F50" s="69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4"/>
      <c r="AI50" s="14"/>
      <c r="AJ50" s="14"/>
      <c r="AK50" s="14"/>
      <c r="AL50" s="14"/>
      <c r="AM50" s="14"/>
    </row>
    <row r="51" ht="14.25" customHeight="1">
      <c r="A51" s="1"/>
      <c r="B51" s="1"/>
      <c r="C51" s="1"/>
      <c r="D51" s="1"/>
      <c r="E51" s="1"/>
      <c r="F51" s="69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4"/>
      <c r="AI51" s="14"/>
      <c r="AJ51" s="14"/>
      <c r="AK51" s="14"/>
      <c r="AL51" s="14"/>
      <c r="AM51" s="14"/>
    </row>
    <row r="52" ht="14.25" customHeight="1">
      <c r="A52" s="1"/>
      <c r="B52" s="1"/>
      <c r="C52" s="1"/>
      <c r="D52" s="1"/>
      <c r="E52" s="1"/>
      <c r="F52" s="69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4"/>
      <c r="AI52" s="14"/>
      <c r="AJ52" s="14"/>
      <c r="AK52" s="14"/>
      <c r="AL52" s="14"/>
      <c r="AM52" s="14"/>
    </row>
    <row r="53" ht="14.25" customHeight="1">
      <c r="A53" s="1"/>
      <c r="B53" s="1"/>
      <c r="C53" s="1"/>
      <c r="D53" s="1"/>
      <c r="E53" s="1"/>
      <c r="F53" s="69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4"/>
      <c r="AI53" s="14"/>
      <c r="AJ53" s="14"/>
      <c r="AK53" s="14"/>
      <c r="AL53" s="14"/>
      <c r="AM53" s="14"/>
    </row>
    <row r="54" ht="14.25" customHeight="1">
      <c r="A54" s="1"/>
      <c r="B54" s="1"/>
      <c r="C54" s="1"/>
      <c r="D54" s="1"/>
      <c r="E54" s="1"/>
      <c r="F54" s="69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4"/>
      <c r="AI54" s="14"/>
      <c r="AJ54" s="14"/>
      <c r="AK54" s="14"/>
      <c r="AL54" s="14"/>
      <c r="AM54" s="14"/>
    </row>
    <row r="55" ht="14.25" customHeight="1">
      <c r="A55" s="1"/>
      <c r="B55" s="1"/>
      <c r="C55" s="1"/>
      <c r="D55" s="1"/>
      <c r="E55" s="1"/>
      <c r="F55" s="6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4"/>
      <c r="AI55" s="14"/>
      <c r="AJ55" s="14"/>
      <c r="AK55" s="14"/>
      <c r="AL55" s="14"/>
      <c r="AM55" s="14"/>
    </row>
    <row r="56" ht="14.25" customHeight="1">
      <c r="A56" s="1"/>
      <c r="B56" s="1"/>
      <c r="C56" s="1"/>
      <c r="D56" s="1"/>
      <c r="E56" s="1"/>
      <c r="F56" s="69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4"/>
      <c r="AI56" s="14"/>
      <c r="AJ56" s="14"/>
      <c r="AK56" s="14"/>
      <c r="AL56" s="14"/>
      <c r="AM56" s="14"/>
    </row>
    <row r="57" ht="14.25" customHeight="1">
      <c r="A57" s="1"/>
      <c r="B57" s="1"/>
      <c r="C57" s="1"/>
      <c r="D57" s="1"/>
      <c r="E57" s="1"/>
      <c r="F57" s="69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4"/>
      <c r="AI57" s="14"/>
      <c r="AJ57" s="14"/>
      <c r="AK57" s="14"/>
      <c r="AL57" s="14"/>
      <c r="AM57" s="14"/>
    </row>
    <row r="58" ht="14.25" customHeight="1">
      <c r="A58" s="1"/>
      <c r="B58" s="1"/>
      <c r="C58" s="1"/>
      <c r="D58" s="1"/>
      <c r="E58" s="1"/>
      <c r="F58" s="69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4"/>
      <c r="AI58" s="14"/>
      <c r="AJ58" s="14"/>
      <c r="AK58" s="14"/>
      <c r="AL58" s="14"/>
      <c r="AM58" s="14"/>
    </row>
    <row r="59" ht="14.25" customHeight="1">
      <c r="A59" s="1"/>
      <c r="B59" s="1"/>
      <c r="C59" s="1"/>
      <c r="D59" s="1"/>
      <c r="E59" s="1"/>
      <c r="F59" s="6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4"/>
      <c r="AI59" s="14"/>
      <c r="AJ59" s="14"/>
      <c r="AK59" s="14"/>
      <c r="AL59" s="14"/>
      <c r="AM59" s="14"/>
    </row>
    <row r="60" ht="14.25" customHeight="1">
      <c r="A60" s="1"/>
      <c r="B60" s="1"/>
      <c r="C60" s="1"/>
      <c r="D60" s="1"/>
      <c r="E60" s="1"/>
      <c r="F60" s="69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4"/>
      <c r="AI60" s="14"/>
      <c r="AJ60" s="14"/>
      <c r="AK60" s="14"/>
      <c r="AL60" s="14"/>
      <c r="AM60" s="14"/>
    </row>
    <row r="61" ht="14.25" customHeight="1">
      <c r="A61" s="1"/>
      <c r="B61" s="1"/>
      <c r="C61" s="1"/>
      <c r="D61" s="1"/>
      <c r="E61" s="1"/>
      <c r="F61" s="69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4"/>
      <c r="AI61" s="14"/>
      <c r="AJ61" s="14"/>
      <c r="AK61" s="14"/>
      <c r="AL61" s="14"/>
      <c r="AM61" s="14"/>
    </row>
    <row r="62" ht="14.25" customHeight="1">
      <c r="A62" s="1"/>
      <c r="B62" s="1"/>
      <c r="C62" s="1"/>
      <c r="D62" s="1"/>
      <c r="E62" s="1"/>
      <c r="F62" s="69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4"/>
      <c r="AI62" s="14"/>
      <c r="AJ62" s="14"/>
      <c r="AK62" s="14"/>
      <c r="AL62" s="14"/>
      <c r="AM62" s="14"/>
    </row>
    <row r="63" ht="14.25" customHeight="1">
      <c r="A63" s="1"/>
      <c r="B63" s="1"/>
      <c r="C63" s="1"/>
      <c r="D63" s="1"/>
      <c r="E63" s="1"/>
      <c r="F63" s="69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4"/>
      <c r="AI63" s="14"/>
      <c r="AJ63" s="14"/>
      <c r="AK63" s="14"/>
      <c r="AL63" s="14"/>
      <c r="AM63" s="14"/>
    </row>
    <row r="64" ht="14.25" customHeight="1">
      <c r="A64" s="1"/>
      <c r="B64" s="1"/>
      <c r="C64" s="1"/>
      <c r="D64" s="1"/>
      <c r="E64" s="1"/>
      <c r="F64" s="69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4"/>
      <c r="AI64" s="14"/>
      <c r="AJ64" s="14"/>
      <c r="AK64" s="14"/>
      <c r="AL64" s="14"/>
      <c r="AM64" s="14"/>
    </row>
    <row r="65" ht="14.25" customHeight="1">
      <c r="A65" s="1"/>
      <c r="B65" s="1"/>
      <c r="C65" s="1"/>
      <c r="D65" s="1"/>
      <c r="E65" s="1"/>
      <c r="F65" s="69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4"/>
      <c r="AI65" s="14"/>
      <c r="AJ65" s="14"/>
      <c r="AK65" s="14"/>
      <c r="AL65" s="14"/>
      <c r="AM65" s="14"/>
    </row>
    <row r="66" ht="14.25" customHeight="1">
      <c r="A66" s="1"/>
      <c r="B66" s="1"/>
      <c r="C66" s="1"/>
      <c r="D66" s="1"/>
      <c r="E66" s="1"/>
      <c r="F66" s="69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4"/>
      <c r="AI66" s="14"/>
      <c r="AJ66" s="14"/>
      <c r="AK66" s="14"/>
      <c r="AL66" s="14"/>
      <c r="AM66" s="14"/>
    </row>
    <row r="67" ht="14.25" customHeight="1">
      <c r="A67" s="1"/>
      <c r="B67" s="1"/>
      <c r="C67" s="1"/>
      <c r="D67" s="1"/>
      <c r="E67" s="1"/>
      <c r="F67" s="69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4"/>
      <c r="AI67" s="14"/>
      <c r="AJ67" s="14"/>
      <c r="AK67" s="14"/>
      <c r="AL67" s="14"/>
      <c r="AM67" s="14"/>
    </row>
    <row r="68" ht="14.25" customHeight="1">
      <c r="A68" s="1"/>
      <c r="B68" s="1"/>
      <c r="C68" s="1"/>
      <c r="D68" s="1"/>
      <c r="E68" s="1"/>
      <c r="F68" s="69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4"/>
      <c r="AI68" s="14"/>
      <c r="AJ68" s="14"/>
      <c r="AK68" s="14"/>
      <c r="AL68" s="14"/>
      <c r="AM68" s="14"/>
    </row>
    <row r="69" ht="14.25" customHeight="1">
      <c r="A69" s="1"/>
      <c r="B69" s="1"/>
      <c r="C69" s="1"/>
      <c r="D69" s="1"/>
      <c r="E69" s="1"/>
      <c r="F69" s="69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4"/>
      <c r="AI69" s="14"/>
      <c r="AJ69" s="14"/>
      <c r="AK69" s="14"/>
      <c r="AL69" s="14"/>
      <c r="AM69" s="14"/>
    </row>
    <row r="70" ht="14.25" customHeight="1">
      <c r="A70" s="1"/>
      <c r="B70" s="1"/>
      <c r="C70" s="1"/>
      <c r="D70" s="1"/>
      <c r="E70" s="1"/>
      <c r="F70" s="69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4"/>
      <c r="AI70" s="14"/>
      <c r="AJ70" s="14"/>
      <c r="AK70" s="14"/>
      <c r="AL70" s="14"/>
      <c r="AM70" s="14"/>
    </row>
    <row r="71" ht="14.25" customHeight="1">
      <c r="A71" s="1"/>
      <c r="B71" s="1"/>
      <c r="C71" s="1"/>
      <c r="D71" s="1"/>
      <c r="E71" s="1"/>
      <c r="F71" s="6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4"/>
      <c r="AI71" s="14"/>
      <c r="AJ71" s="14"/>
      <c r="AK71" s="14"/>
      <c r="AL71" s="14"/>
      <c r="AM71" s="14"/>
    </row>
    <row r="72" ht="14.25" customHeight="1">
      <c r="A72" s="1"/>
      <c r="B72" s="1"/>
      <c r="C72" s="1"/>
      <c r="D72" s="1"/>
      <c r="E72" s="1"/>
      <c r="F72" s="6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4"/>
      <c r="AI72" s="14"/>
      <c r="AJ72" s="14"/>
      <c r="AK72" s="14"/>
      <c r="AL72" s="14"/>
      <c r="AM72" s="14"/>
    </row>
    <row r="73" ht="14.25" customHeight="1">
      <c r="A73" s="1"/>
      <c r="B73" s="1"/>
      <c r="C73" s="1"/>
      <c r="D73" s="1"/>
      <c r="E73" s="1"/>
      <c r="F73" s="69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4"/>
      <c r="AI73" s="14"/>
      <c r="AJ73" s="14"/>
      <c r="AK73" s="14"/>
      <c r="AL73" s="14"/>
      <c r="AM73" s="14"/>
    </row>
    <row r="74" ht="14.25" customHeight="1">
      <c r="A74" s="1"/>
      <c r="B74" s="1"/>
      <c r="C74" s="1"/>
      <c r="D74" s="1"/>
      <c r="E74" s="1"/>
      <c r="F74" s="6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4"/>
      <c r="AI74" s="14"/>
      <c r="AJ74" s="14"/>
      <c r="AK74" s="14"/>
      <c r="AL74" s="14"/>
      <c r="AM74" s="14"/>
    </row>
    <row r="75" ht="14.25" customHeight="1">
      <c r="A75" s="1"/>
      <c r="B75" s="1"/>
      <c r="C75" s="1"/>
      <c r="D75" s="1"/>
      <c r="E75" s="1"/>
      <c r="F75" s="69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4"/>
      <c r="AI75" s="14"/>
      <c r="AJ75" s="14"/>
      <c r="AK75" s="14"/>
      <c r="AL75" s="14"/>
      <c r="AM75" s="14"/>
    </row>
    <row r="76" ht="14.25" customHeight="1">
      <c r="A76" s="1"/>
      <c r="B76" s="1"/>
      <c r="C76" s="1"/>
      <c r="D76" s="1"/>
      <c r="E76" s="1"/>
      <c r="F76" s="6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4"/>
      <c r="AI76" s="14"/>
      <c r="AJ76" s="14"/>
      <c r="AK76" s="14"/>
      <c r="AL76" s="14"/>
      <c r="AM76" s="14"/>
    </row>
    <row r="77" ht="14.25" customHeight="1">
      <c r="A77" s="1"/>
      <c r="B77" s="1"/>
      <c r="C77" s="1"/>
      <c r="D77" s="1"/>
      <c r="E77" s="1"/>
      <c r="F77" s="6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4"/>
      <c r="AI77" s="14"/>
      <c r="AJ77" s="14"/>
      <c r="AK77" s="14"/>
      <c r="AL77" s="14"/>
      <c r="AM77" s="14"/>
    </row>
    <row r="78" ht="14.25" customHeight="1">
      <c r="A78" s="1"/>
      <c r="B78" s="1"/>
      <c r="C78" s="1"/>
      <c r="D78" s="1"/>
      <c r="E78" s="1"/>
      <c r="F78" s="69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4"/>
      <c r="AI78" s="14"/>
      <c r="AJ78" s="14"/>
      <c r="AK78" s="14"/>
      <c r="AL78" s="14"/>
      <c r="AM78" s="14"/>
    </row>
    <row r="79" ht="14.25" customHeight="1">
      <c r="A79" s="1"/>
      <c r="B79" s="1"/>
      <c r="C79" s="1"/>
      <c r="D79" s="1"/>
      <c r="E79" s="1"/>
      <c r="F79" s="6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4"/>
      <c r="AI79" s="14"/>
      <c r="AJ79" s="14"/>
      <c r="AK79" s="14"/>
      <c r="AL79" s="14"/>
      <c r="AM79" s="14"/>
    </row>
    <row r="80" ht="14.25" customHeight="1">
      <c r="A80" s="1"/>
      <c r="B80" s="1"/>
      <c r="C80" s="1"/>
      <c r="D80" s="1"/>
      <c r="E80" s="1"/>
      <c r="F80" s="6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4"/>
      <c r="AI80" s="14"/>
      <c r="AJ80" s="14"/>
      <c r="AK80" s="14"/>
      <c r="AL80" s="14"/>
      <c r="AM80" s="14"/>
    </row>
    <row r="81" ht="14.25" customHeight="1">
      <c r="A81" s="1"/>
      <c r="B81" s="1"/>
      <c r="C81" s="1"/>
      <c r="D81" s="1"/>
      <c r="E81" s="1"/>
      <c r="F81" s="6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4"/>
      <c r="AI81" s="14"/>
      <c r="AJ81" s="14"/>
      <c r="AK81" s="14"/>
      <c r="AL81" s="14"/>
      <c r="AM81" s="14"/>
    </row>
    <row r="82" ht="14.25" customHeight="1">
      <c r="A82" s="1"/>
      <c r="B82" s="1"/>
      <c r="C82" s="1"/>
      <c r="D82" s="1"/>
      <c r="E82" s="1"/>
      <c r="F82" s="69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4"/>
      <c r="AI82" s="14"/>
      <c r="AJ82" s="14"/>
      <c r="AK82" s="14"/>
      <c r="AL82" s="14"/>
      <c r="AM82" s="14"/>
    </row>
    <row r="83" ht="14.25" customHeight="1">
      <c r="A83" s="1"/>
      <c r="B83" s="1"/>
      <c r="C83" s="1"/>
      <c r="D83" s="1"/>
      <c r="E83" s="1"/>
      <c r="F83" s="6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4"/>
      <c r="AI83" s="14"/>
      <c r="AJ83" s="14"/>
      <c r="AK83" s="14"/>
      <c r="AL83" s="14"/>
      <c r="AM83" s="14"/>
    </row>
    <row r="84" ht="14.25" customHeight="1">
      <c r="A84" s="1"/>
      <c r="B84" s="1"/>
      <c r="C84" s="1"/>
      <c r="D84" s="1"/>
      <c r="E84" s="1"/>
      <c r="F84" s="6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4"/>
      <c r="AI84" s="14"/>
      <c r="AJ84" s="14"/>
      <c r="AK84" s="14"/>
      <c r="AL84" s="14"/>
      <c r="AM84" s="14"/>
    </row>
    <row r="85" ht="14.25" customHeight="1">
      <c r="A85" s="1"/>
      <c r="B85" s="1"/>
      <c r="C85" s="1"/>
      <c r="D85" s="1"/>
      <c r="E85" s="1"/>
      <c r="F85" s="69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4"/>
      <c r="AI85" s="14"/>
      <c r="AJ85" s="14"/>
      <c r="AK85" s="14"/>
      <c r="AL85" s="14"/>
      <c r="AM85" s="14"/>
    </row>
    <row r="86" ht="14.25" customHeight="1">
      <c r="A86" s="1"/>
      <c r="B86" s="1"/>
      <c r="C86" s="1"/>
      <c r="D86" s="1"/>
      <c r="E86" s="1"/>
      <c r="F86" s="69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4"/>
      <c r="AI86" s="14"/>
      <c r="AJ86" s="14"/>
      <c r="AK86" s="14"/>
      <c r="AL86" s="14"/>
      <c r="AM86" s="14"/>
    </row>
    <row r="87" ht="14.25" customHeight="1">
      <c r="A87" s="1"/>
      <c r="B87" s="1"/>
      <c r="C87" s="1"/>
      <c r="D87" s="1"/>
      <c r="E87" s="1"/>
      <c r="F87" s="69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4"/>
      <c r="AI87" s="14"/>
      <c r="AJ87" s="14"/>
      <c r="AK87" s="14"/>
      <c r="AL87" s="14"/>
      <c r="AM87" s="14"/>
    </row>
    <row r="88" ht="14.25" customHeight="1">
      <c r="A88" s="1"/>
      <c r="B88" s="1"/>
      <c r="C88" s="1"/>
      <c r="D88" s="1"/>
      <c r="E88" s="1"/>
      <c r="F88" s="69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4"/>
      <c r="AI88" s="14"/>
      <c r="AJ88" s="14"/>
      <c r="AK88" s="14"/>
      <c r="AL88" s="14"/>
      <c r="AM88" s="14"/>
    </row>
    <row r="89" ht="14.25" customHeight="1">
      <c r="A89" s="1"/>
      <c r="B89" s="1"/>
      <c r="C89" s="1"/>
      <c r="D89" s="1"/>
      <c r="E89" s="1"/>
      <c r="F89" s="69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4"/>
      <c r="AI89" s="14"/>
      <c r="AJ89" s="14"/>
      <c r="AK89" s="14"/>
      <c r="AL89" s="14"/>
      <c r="AM89" s="14"/>
    </row>
    <row r="90" ht="14.25" customHeight="1">
      <c r="A90" s="1"/>
      <c r="B90" s="1"/>
      <c r="C90" s="1"/>
      <c r="D90" s="1"/>
      <c r="E90" s="1"/>
      <c r="F90" s="69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4"/>
      <c r="AI90" s="14"/>
      <c r="AJ90" s="14"/>
      <c r="AK90" s="14"/>
      <c r="AL90" s="14"/>
      <c r="AM90" s="14"/>
    </row>
    <row r="91" ht="14.25" customHeight="1">
      <c r="A91" s="1"/>
      <c r="B91" s="1"/>
      <c r="C91" s="1"/>
      <c r="D91" s="1"/>
      <c r="E91" s="1"/>
      <c r="F91" s="6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4"/>
      <c r="AI91" s="14"/>
      <c r="AJ91" s="14"/>
      <c r="AK91" s="14"/>
      <c r="AL91" s="14"/>
      <c r="AM91" s="14"/>
    </row>
    <row r="92" ht="14.25" customHeight="1">
      <c r="A92" s="1"/>
      <c r="B92" s="1"/>
      <c r="C92" s="1"/>
      <c r="D92" s="1"/>
      <c r="E92" s="1"/>
      <c r="F92" s="6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4"/>
      <c r="AI92" s="14"/>
      <c r="AJ92" s="14"/>
      <c r="AK92" s="14"/>
      <c r="AL92" s="14"/>
      <c r="AM92" s="14"/>
    </row>
    <row r="93" ht="14.25" customHeight="1">
      <c r="A93" s="1"/>
      <c r="B93" s="1"/>
      <c r="C93" s="1"/>
      <c r="D93" s="1"/>
      <c r="E93" s="1"/>
      <c r="F93" s="6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4"/>
      <c r="AI93" s="14"/>
      <c r="AJ93" s="14"/>
      <c r="AK93" s="14"/>
      <c r="AL93" s="14"/>
      <c r="AM93" s="14"/>
    </row>
    <row r="94" ht="14.25" customHeight="1">
      <c r="A94" s="1"/>
      <c r="B94" s="1"/>
      <c r="C94" s="1"/>
      <c r="D94" s="1"/>
      <c r="E94" s="1"/>
      <c r="F94" s="6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4"/>
      <c r="AI94" s="14"/>
      <c r="AJ94" s="14"/>
      <c r="AK94" s="14"/>
      <c r="AL94" s="14"/>
      <c r="AM94" s="14"/>
    </row>
    <row r="95" ht="14.25" customHeight="1">
      <c r="A95" s="1"/>
      <c r="B95" s="1"/>
      <c r="C95" s="1"/>
      <c r="D95" s="1"/>
      <c r="E95" s="1"/>
      <c r="F95" s="6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4"/>
      <c r="AI95" s="14"/>
      <c r="AJ95" s="14"/>
      <c r="AK95" s="14"/>
      <c r="AL95" s="14"/>
      <c r="AM95" s="14"/>
    </row>
    <row r="96" ht="14.25" customHeight="1">
      <c r="A96" s="1"/>
      <c r="B96" s="1"/>
      <c r="C96" s="1"/>
      <c r="D96" s="1"/>
      <c r="E96" s="1"/>
      <c r="F96" s="6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4"/>
      <c r="AI96" s="14"/>
      <c r="AJ96" s="14"/>
      <c r="AK96" s="14"/>
      <c r="AL96" s="14"/>
      <c r="AM96" s="14"/>
    </row>
    <row r="97" ht="14.25" customHeight="1">
      <c r="A97" s="1"/>
      <c r="B97" s="1"/>
      <c r="C97" s="1"/>
      <c r="D97" s="1"/>
      <c r="E97" s="1"/>
      <c r="F97" s="69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4"/>
      <c r="AI97" s="14"/>
      <c r="AJ97" s="14"/>
      <c r="AK97" s="14"/>
      <c r="AL97" s="14"/>
      <c r="AM97" s="14"/>
    </row>
    <row r="98" ht="14.25" customHeight="1">
      <c r="A98" s="1"/>
      <c r="B98" s="1"/>
      <c r="C98" s="1"/>
      <c r="D98" s="1"/>
      <c r="E98" s="1"/>
      <c r="F98" s="69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4"/>
      <c r="AI98" s="14"/>
      <c r="AJ98" s="14"/>
      <c r="AK98" s="14"/>
      <c r="AL98" s="14"/>
      <c r="AM98" s="14"/>
    </row>
    <row r="99" ht="14.25" customHeight="1">
      <c r="A99" s="1"/>
      <c r="B99" s="1"/>
      <c r="C99" s="1"/>
      <c r="D99" s="1"/>
      <c r="E99" s="1"/>
      <c r="F99" s="69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4"/>
      <c r="AI99" s="14"/>
      <c r="AJ99" s="14"/>
      <c r="AK99" s="14"/>
      <c r="AL99" s="14"/>
      <c r="AM99" s="14"/>
    </row>
    <row r="100" ht="14.25" customHeight="1">
      <c r="A100" s="1"/>
      <c r="B100" s="1"/>
      <c r="C100" s="1"/>
      <c r="D100" s="1"/>
      <c r="E100" s="1"/>
      <c r="F100" s="69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4"/>
      <c r="AI100" s="14"/>
      <c r="AJ100" s="14"/>
      <c r="AK100" s="14"/>
      <c r="AL100" s="14"/>
      <c r="AM100" s="14"/>
    </row>
    <row r="101" ht="14.25" customHeight="1">
      <c r="A101" s="1"/>
      <c r="B101" s="1"/>
      <c r="C101" s="1"/>
      <c r="D101" s="1"/>
      <c r="E101" s="1"/>
      <c r="F101" s="69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4"/>
      <c r="AI101" s="14"/>
      <c r="AJ101" s="14"/>
      <c r="AK101" s="14"/>
      <c r="AL101" s="14"/>
      <c r="AM101" s="14"/>
    </row>
    <row r="102" ht="14.25" customHeight="1">
      <c r="A102" s="1"/>
      <c r="B102" s="1"/>
      <c r="C102" s="1"/>
      <c r="D102" s="1"/>
      <c r="E102" s="1"/>
      <c r="F102" s="69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4"/>
      <c r="AI102" s="14"/>
      <c r="AJ102" s="14"/>
      <c r="AK102" s="14"/>
      <c r="AL102" s="14"/>
      <c r="AM102" s="14"/>
    </row>
    <row r="103" ht="14.25" customHeight="1">
      <c r="A103" s="1"/>
      <c r="B103" s="1"/>
      <c r="C103" s="1"/>
      <c r="D103" s="1"/>
      <c r="E103" s="1"/>
      <c r="F103" s="69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4"/>
      <c r="AI103" s="14"/>
      <c r="AJ103" s="14"/>
      <c r="AK103" s="14"/>
      <c r="AL103" s="14"/>
      <c r="AM103" s="14"/>
    </row>
    <row r="104" ht="14.25" customHeight="1">
      <c r="A104" s="1"/>
      <c r="B104" s="1"/>
      <c r="C104" s="1"/>
      <c r="D104" s="1"/>
      <c r="E104" s="1"/>
      <c r="F104" s="69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4"/>
      <c r="AI104" s="14"/>
      <c r="AJ104" s="14"/>
      <c r="AK104" s="14"/>
      <c r="AL104" s="14"/>
      <c r="AM104" s="14"/>
    </row>
    <row r="105" ht="14.25" customHeight="1">
      <c r="A105" s="1"/>
      <c r="B105" s="1"/>
      <c r="C105" s="1"/>
      <c r="D105" s="1"/>
      <c r="E105" s="1"/>
      <c r="F105" s="69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4"/>
      <c r="AI105" s="14"/>
      <c r="AJ105" s="14"/>
      <c r="AK105" s="14"/>
      <c r="AL105" s="14"/>
      <c r="AM105" s="14"/>
    </row>
    <row r="106" ht="14.25" customHeight="1">
      <c r="A106" s="1"/>
      <c r="B106" s="1"/>
      <c r="C106" s="1"/>
      <c r="D106" s="1"/>
      <c r="E106" s="1"/>
      <c r="F106" s="69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4"/>
      <c r="AI106" s="14"/>
      <c r="AJ106" s="14"/>
      <c r="AK106" s="14"/>
      <c r="AL106" s="14"/>
      <c r="AM106" s="14"/>
    </row>
    <row r="107" ht="14.25" customHeight="1">
      <c r="A107" s="1"/>
      <c r="B107" s="1"/>
      <c r="C107" s="1"/>
      <c r="D107" s="1"/>
      <c r="E107" s="1"/>
      <c r="F107" s="69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4"/>
      <c r="AI107" s="14"/>
      <c r="AJ107" s="14"/>
      <c r="AK107" s="14"/>
      <c r="AL107" s="14"/>
      <c r="AM107" s="14"/>
    </row>
    <row r="108" ht="14.25" customHeight="1">
      <c r="A108" s="1"/>
      <c r="B108" s="1"/>
      <c r="C108" s="1"/>
      <c r="D108" s="1"/>
      <c r="E108" s="1"/>
      <c r="F108" s="69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4"/>
      <c r="AI108" s="14"/>
      <c r="AJ108" s="14"/>
      <c r="AK108" s="14"/>
      <c r="AL108" s="14"/>
      <c r="AM108" s="14"/>
    </row>
    <row r="109" ht="14.25" customHeight="1">
      <c r="A109" s="1"/>
      <c r="B109" s="1"/>
      <c r="C109" s="1"/>
      <c r="D109" s="1"/>
      <c r="E109" s="1"/>
      <c r="F109" s="69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4"/>
      <c r="AI109" s="14"/>
      <c r="AJ109" s="14"/>
      <c r="AK109" s="14"/>
      <c r="AL109" s="14"/>
      <c r="AM109" s="14"/>
    </row>
    <row r="110" ht="14.25" customHeight="1">
      <c r="A110" s="1"/>
      <c r="B110" s="1"/>
      <c r="C110" s="1"/>
      <c r="D110" s="1"/>
      <c r="E110" s="1"/>
      <c r="F110" s="69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4"/>
      <c r="AI110" s="14"/>
      <c r="AJ110" s="14"/>
      <c r="AK110" s="14"/>
      <c r="AL110" s="14"/>
      <c r="AM110" s="14"/>
    </row>
    <row r="111" ht="14.25" customHeight="1">
      <c r="A111" s="1"/>
      <c r="B111" s="1"/>
      <c r="C111" s="1"/>
      <c r="D111" s="1"/>
      <c r="E111" s="1"/>
      <c r="F111" s="69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4"/>
      <c r="AI111" s="14"/>
      <c r="AJ111" s="14"/>
      <c r="AK111" s="14"/>
      <c r="AL111" s="14"/>
      <c r="AM111" s="14"/>
    </row>
    <row r="112" ht="14.25" customHeight="1">
      <c r="A112" s="1"/>
      <c r="B112" s="1"/>
      <c r="C112" s="1"/>
      <c r="D112" s="1"/>
      <c r="E112" s="1"/>
      <c r="F112" s="69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4"/>
      <c r="AI112" s="14"/>
      <c r="AJ112" s="14"/>
      <c r="AK112" s="14"/>
      <c r="AL112" s="14"/>
      <c r="AM112" s="14"/>
    </row>
    <row r="113" ht="14.25" customHeight="1">
      <c r="A113" s="1"/>
      <c r="B113" s="1"/>
      <c r="C113" s="1"/>
      <c r="D113" s="1"/>
      <c r="E113" s="1"/>
      <c r="F113" s="69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4"/>
      <c r="AI113" s="14"/>
      <c r="AJ113" s="14"/>
      <c r="AK113" s="14"/>
      <c r="AL113" s="14"/>
      <c r="AM113" s="14"/>
    </row>
    <row r="114" ht="14.25" customHeight="1">
      <c r="A114" s="1"/>
      <c r="B114" s="1"/>
      <c r="C114" s="1"/>
      <c r="D114" s="1"/>
      <c r="E114" s="1"/>
      <c r="F114" s="69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4"/>
      <c r="AI114" s="14"/>
      <c r="AJ114" s="14"/>
      <c r="AK114" s="14"/>
      <c r="AL114" s="14"/>
      <c r="AM114" s="14"/>
    </row>
    <row r="115" ht="14.25" customHeight="1">
      <c r="A115" s="1"/>
      <c r="B115" s="1"/>
      <c r="C115" s="1"/>
      <c r="D115" s="1"/>
      <c r="E115" s="1"/>
      <c r="F115" s="69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4"/>
      <c r="AI115" s="14"/>
      <c r="AJ115" s="14"/>
      <c r="AK115" s="14"/>
      <c r="AL115" s="14"/>
      <c r="AM115" s="14"/>
    </row>
    <row r="116" ht="14.25" customHeight="1">
      <c r="A116" s="1"/>
      <c r="B116" s="1"/>
      <c r="C116" s="1"/>
      <c r="D116" s="1"/>
      <c r="E116" s="1"/>
      <c r="F116" s="69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4"/>
      <c r="AI116" s="14"/>
      <c r="AJ116" s="14"/>
      <c r="AK116" s="14"/>
      <c r="AL116" s="14"/>
      <c r="AM116" s="14"/>
    </row>
    <row r="117" ht="14.25" customHeight="1">
      <c r="A117" s="1"/>
      <c r="B117" s="1"/>
      <c r="C117" s="1"/>
      <c r="D117" s="1"/>
      <c r="E117" s="1"/>
      <c r="F117" s="69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4"/>
      <c r="AI117" s="14"/>
      <c r="AJ117" s="14"/>
      <c r="AK117" s="14"/>
      <c r="AL117" s="14"/>
      <c r="AM117" s="14"/>
    </row>
    <row r="118" ht="14.25" customHeight="1">
      <c r="A118" s="1"/>
      <c r="B118" s="1"/>
      <c r="C118" s="1"/>
      <c r="D118" s="1"/>
      <c r="E118" s="1"/>
      <c r="F118" s="69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4"/>
      <c r="AI118" s="14"/>
      <c r="AJ118" s="14"/>
      <c r="AK118" s="14"/>
      <c r="AL118" s="14"/>
      <c r="AM118" s="14"/>
    </row>
    <row r="119" ht="14.25" customHeight="1">
      <c r="A119" s="1"/>
      <c r="B119" s="1"/>
      <c r="C119" s="1"/>
      <c r="D119" s="1"/>
      <c r="E119" s="1"/>
      <c r="F119" s="69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4"/>
      <c r="AI119" s="14"/>
      <c r="AJ119" s="14"/>
      <c r="AK119" s="14"/>
      <c r="AL119" s="14"/>
      <c r="AM119" s="14"/>
    </row>
    <row r="120" ht="14.25" customHeight="1">
      <c r="A120" s="1"/>
      <c r="B120" s="1"/>
      <c r="C120" s="1"/>
      <c r="D120" s="1"/>
      <c r="E120" s="1"/>
      <c r="F120" s="69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4"/>
      <c r="AI120" s="14"/>
      <c r="AJ120" s="14"/>
      <c r="AK120" s="14"/>
      <c r="AL120" s="14"/>
      <c r="AM120" s="14"/>
    </row>
    <row r="121" ht="14.25" customHeight="1">
      <c r="A121" s="1"/>
      <c r="B121" s="1"/>
      <c r="C121" s="1"/>
      <c r="D121" s="1"/>
      <c r="E121" s="1"/>
      <c r="F121" s="69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4"/>
      <c r="AI121" s="14"/>
      <c r="AJ121" s="14"/>
      <c r="AK121" s="14"/>
      <c r="AL121" s="14"/>
      <c r="AM121" s="14"/>
    </row>
    <row r="122" ht="14.25" customHeight="1">
      <c r="A122" s="1"/>
      <c r="B122" s="1"/>
      <c r="C122" s="1"/>
      <c r="D122" s="1"/>
      <c r="E122" s="1"/>
      <c r="F122" s="69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4"/>
      <c r="AI122" s="14"/>
      <c r="AJ122" s="14"/>
      <c r="AK122" s="14"/>
      <c r="AL122" s="14"/>
      <c r="AM122" s="14"/>
    </row>
    <row r="123" ht="14.25" customHeight="1">
      <c r="A123" s="1"/>
      <c r="B123" s="1"/>
      <c r="C123" s="1"/>
      <c r="D123" s="1"/>
      <c r="E123" s="1"/>
      <c r="F123" s="69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4"/>
      <c r="AI123" s="14"/>
      <c r="AJ123" s="14"/>
      <c r="AK123" s="14"/>
      <c r="AL123" s="14"/>
      <c r="AM123" s="14"/>
    </row>
    <row r="124" ht="14.25" customHeight="1">
      <c r="A124" s="1"/>
      <c r="B124" s="1"/>
      <c r="C124" s="1"/>
      <c r="D124" s="1"/>
      <c r="E124" s="1"/>
      <c r="F124" s="69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4"/>
      <c r="AI124" s="14"/>
      <c r="AJ124" s="14"/>
      <c r="AK124" s="14"/>
      <c r="AL124" s="14"/>
      <c r="AM124" s="14"/>
    </row>
    <row r="125" ht="14.25" customHeight="1">
      <c r="A125" s="1"/>
      <c r="B125" s="1"/>
      <c r="C125" s="1"/>
      <c r="D125" s="1"/>
      <c r="E125" s="1"/>
      <c r="F125" s="69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4"/>
      <c r="AI125" s="14"/>
      <c r="AJ125" s="14"/>
      <c r="AK125" s="14"/>
      <c r="AL125" s="14"/>
      <c r="AM125" s="14"/>
    </row>
    <row r="126" ht="14.25" customHeight="1">
      <c r="A126" s="1"/>
      <c r="B126" s="1"/>
      <c r="C126" s="1"/>
      <c r="D126" s="1"/>
      <c r="E126" s="1"/>
      <c r="F126" s="69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4"/>
      <c r="AI126" s="14"/>
      <c r="AJ126" s="14"/>
      <c r="AK126" s="14"/>
      <c r="AL126" s="14"/>
      <c r="AM126" s="14"/>
    </row>
    <row r="127" ht="14.25" customHeight="1">
      <c r="A127" s="1"/>
      <c r="B127" s="1"/>
      <c r="C127" s="1"/>
      <c r="D127" s="1"/>
      <c r="E127" s="1"/>
      <c r="F127" s="69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4"/>
      <c r="AI127" s="14"/>
      <c r="AJ127" s="14"/>
      <c r="AK127" s="14"/>
      <c r="AL127" s="14"/>
      <c r="AM127" s="14"/>
    </row>
    <row r="128" ht="14.25" customHeight="1">
      <c r="A128" s="1"/>
      <c r="B128" s="1"/>
      <c r="C128" s="1"/>
      <c r="D128" s="1"/>
      <c r="E128" s="1"/>
      <c r="F128" s="69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4"/>
      <c r="AI128" s="14"/>
      <c r="AJ128" s="14"/>
      <c r="AK128" s="14"/>
      <c r="AL128" s="14"/>
      <c r="AM128" s="14"/>
    </row>
    <row r="129" ht="14.25" customHeight="1">
      <c r="A129" s="1"/>
      <c r="B129" s="1"/>
      <c r="C129" s="1"/>
      <c r="D129" s="1"/>
      <c r="E129" s="1"/>
      <c r="F129" s="69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4"/>
      <c r="AI129" s="14"/>
      <c r="AJ129" s="14"/>
      <c r="AK129" s="14"/>
      <c r="AL129" s="14"/>
      <c r="AM129" s="14"/>
    </row>
    <row r="130" ht="14.25" customHeight="1">
      <c r="A130" s="1"/>
      <c r="B130" s="1"/>
      <c r="C130" s="1"/>
      <c r="D130" s="1"/>
      <c r="E130" s="1"/>
      <c r="F130" s="69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4"/>
      <c r="AI130" s="14"/>
      <c r="AJ130" s="14"/>
      <c r="AK130" s="14"/>
      <c r="AL130" s="14"/>
      <c r="AM130" s="14"/>
    </row>
    <row r="131" ht="14.25" customHeight="1">
      <c r="A131" s="1"/>
      <c r="B131" s="1"/>
      <c r="C131" s="1"/>
      <c r="D131" s="1"/>
      <c r="E131" s="1"/>
      <c r="F131" s="69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4"/>
      <c r="AI131" s="14"/>
      <c r="AJ131" s="14"/>
      <c r="AK131" s="14"/>
      <c r="AL131" s="14"/>
      <c r="AM131" s="14"/>
    </row>
    <row r="132" ht="14.25" customHeight="1">
      <c r="A132" s="1"/>
      <c r="B132" s="1"/>
      <c r="C132" s="1"/>
      <c r="D132" s="1"/>
      <c r="E132" s="1"/>
      <c r="F132" s="69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4"/>
      <c r="AI132" s="14"/>
      <c r="AJ132" s="14"/>
      <c r="AK132" s="14"/>
      <c r="AL132" s="14"/>
      <c r="AM132" s="14"/>
    </row>
    <row r="133" ht="14.25" customHeight="1">
      <c r="A133" s="1"/>
      <c r="B133" s="1"/>
      <c r="C133" s="1"/>
      <c r="D133" s="1"/>
      <c r="E133" s="1"/>
      <c r="F133" s="69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4"/>
      <c r="AI133" s="14"/>
      <c r="AJ133" s="14"/>
      <c r="AK133" s="14"/>
      <c r="AL133" s="14"/>
      <c r="AM133" s="14"/>
    </row>
    <row r="134" ht="14.25" customHeight="1">
      <c r="A134" s="1"/>
      <c r="B134" s="1"/>
      <c r="C134" s="1"/>
      <c r="D134" s="1"/>
      <c r="E134" s="1"/>
      <c r="F134" s="69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4"/>
      <c r="AI134" s="14"/>
      <c r="AJ134" s="14"/>
      <c r="AK134" s="14"/>
      <c r="AL134" s="14"/>
      <c r="AM134" s="14"/>
    </row>
    <row r="135" ht="14.25" customHeight="1">
      <c r="A135" s="1"/>
      <c r="B135" s="1"/>
      <c r="C135" s="1"/>
      <c r="D135" s="1"/>
      <c r="E135" s="1"/>
      <c r="F135" s="69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4"/>
      <c r="AI135" s="14"/>
      <c r="AJ135" s="14"/>
      <c r="AK135" s="14"/>
      <c r="AL135" s="14"/>
      <c r="AM135" s="14"/>
    </row>
    <row r="136" ht="14.25" customHeight="1">
      <c r="A136" s="1"/>
      <c r="B136" s="1"/>
      <c r="C136" s="1"/>
      <c r="D136" s="1"/>
      <c r="E136" s="1"/>
      <c r="F136" s="69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4"/>
      <c r="AI136" s="14"/>
      <c r="AJ136" s="14"/>
      <c r="AK136" s="14"/>
      <c r="AL136" s="14"/>
      <c r="AM136" s="14"/>
    </row>
    <row r="137" ht="14.25" customHeight="1">
      <c r="A137" s="1"/>
      <c r="B137" s="1"/>
      <c r="C137" s="1"/>
      <c r="D137" s="1"/>
      <c r="E137" s="1"/>
      <c r="F137" s="69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4"/>
      <c r="AI137" s="14"/>
      <c r="AJ137" s="14"/>
      <c r="AK137" s="14"/>
      <c r="AL137" s="14"/>
      <c r="AM137" s="14"/>
    </row>
    <row r="138" ht="14.25" customHeight="1">
      <c r="A138" s="1"/>
      <c r="B138" s="1"/>
      <c r="C138" s="1"/>
      <c r="D138" s="1"/>
      <c r="E138" s="1"/>
      <c r="F138" s="69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4"/>
      <c r="AI138" s="14"/>
      <c r="AJ138" s="14"/>
      <c r="AK138" s="14"/>
      <c r="AL138" s="14"/>
      <c r="AM138" s="14"/>
    </row>
    <row r="139" ht="14.25" customHeight="1">
      <c r="A139" s="1"/>
      <c r="B139" s="1"/>
      <c r="C139" s="1"/>
      <c r="D139" s="1"/>
      <c r="E139" s="1"/>
      <c r="F139" s="69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4"/>
      <c r="AI139" s="14"/>
      <c r="AJ139" s="14"/>
      <c r="AK139" s="14"/>
      <c r="AL139" s="14"/>
      <c r="AM139" s="14"/>
    </row>
    <row r="140" ht="14.25" customHeight="1">
      <c r="A140" s="1"/>
      <c r="B140" s="1"/>
      <c r="C140" s="1"/>
      <c r="D140" s="1"/>
      <c r="E140" s="1"/>
      <c r="F140" s="69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4"/>
      <c r="AI140" s="14"/>
      <c r="AJ140" s="14"/>
      <c r="AK140" s="14"/>
      <c r="AL140" s="14"/>
      <c r="AM140" s="14"/>
    </row>
    <row r="141" ht="14.25" customHeight="1">
      <c r="A141" s="1"/>
      <c r="B141" s="1"/>
      <c r="C141" s="1"/>
      <c r="D141" s="1"/>
      <c r="E141" s="1"/>
      <c r="F141" s="69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4"/>
      <c r="AI141" s="14"/>
      <c r="AJ141" s="14"/>
      <c r="AK141" s="14"/>
      <c r="AL141" s="14"/>
      <c r="AM141" s="14"/>
    </row>
    <row r="142" ht="14.25" customHeight="1">
      <c r="A142" s="1"/>
      <c r="B142" s="1"/>
      <c r="C142" s="1"/>
      <c r="D142" s="1"/>
      <c r="E142" s="1"/>
      <c r="F142" s="69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4"/>
      <c r="AI142" s="14"/>
      <c r="AJ142" s="14"/>
      <c r="AK142" s="14"/>
      <c r="AL142" s="14"/>
      <c r="AM142" s="14"/>
    </row>
    <row r="143" ht="14.25" customHeight="1">
      <c r="A143" s="1"/>
      <c r="B143" s="1"/>
      <c r="C143" s="1"/>
      <c r="D143" s="1"/>
      <c r="E143" s="1"/>
      <c r="F143" s="69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4"/>
      <c r="AI143" s="14"/>
      <c r="AJ143" s="14"/>
      <c r="AK143" s="14"/>
      <c r="AL143" s="14"/>
      <c r="AM143" s="14"/>
    </row>
    <row r="144" ht="14.25" customHeight="1">
      <c r="A144" s="1"/>
      <c r="B144" s="1"/>
      <c r="C144" s="1"/>
      <c r="D144" s="1"/>
      <c r="E144" s="1"/>
      <c r="F144" s="69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4"/>
      <c r="AI144" s="14"/>
      <c r="AJ144" s="14"/>
      <c r="AK144" s="14"/>
      <c r="AL144" s="14"/>
      <c r="AM144" s="14"/>
    </row>
    <row r="145" ht="14.25" customHeight="1">
      <c r="A145" s="1"/>
      <c r="B145" s="1"/>
      <c r="C145" s="1"/>
      <c r="D145" s="1"/>
      <c r="E145" s="1"/>
      <c r="F145" s="69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4"/>
      <c r="AI145" s="14"/>
      <c r="AJ145" s="14"/>
      <c r="AK145" s="14"/>
      <c r="AL145" s="14"/>
      <c r="AM145" s="14"/>
    </row>
    <row r="146" ht="14.25" customHeight="1">
      <c r="A146" s="1"/>
      <c r="B146" s="1"/>
      <c r="C146" s="1"/>
      <c r="D146" s="1"/>
      <c r="E146" s="1"/>
      <c r="F146" s="69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4"/>
      <c r="AI146" s="14"/>
      <c r="AJ146" s="14"/>
      <c r="AK146" s="14"/>
      <c r="AL146" s="14"/>
      <c r="AM146" s="14"/>
    </row>
    <row r="147" ht="14.25" customHeight="1">
      <c r="A147" s="1"/>
      <c r="B147" s="1"/>
      <c r="C147" s="1"/>
      <c r="D147" s="1"/>
      <c r="E147" s="1"/>
      <c r="F147" s="69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4"/>
      <c r="AI147" s="14"/>
      <c r="AJ147" s="14"/>
      <c r="AK147" s="14"/>
      <c r="AL147" s="14"/>
      <c r="AM147" s="14"/>
    </row>
    <row r="148" ht="14.25" customHeight="1">
      <c r="A148" s="1"/>
      <c r="B148" s="1"/>
      <c r="C148" s="1"/>
      <c r="D148" s="1"/>
      <c r="E148" s="1"/>
      <c r="F148" s="69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4"/>
      <c r="AI148" s="14"/>
      <c r="AJ148" s="14"/>
      <c r="AK148" s="14"/>
      <c r="AL148" s="14"/>
      <c r="AM148" s="14"/>
    </row>
    <row r="149" ht="14.25" customHeight="1">
      <c r="A149" s="1"/>
      <c r="B149" s="1"/>
      <c r="C149" s="1"/>
      <c r="D149" s="1"/>
      <c r="E149" s="1"/>
      <c r="F149" s="69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4"/>
      <c r="AI149" s="14"/>
      <c r="AJ149" s="14"/>
      <c r="AK149" s="14"/>
      <c r="AL149" s="14"/>
      <c r="AM149" s="14"/>
    </row>
    <row r="150" ht="14.25" customHeight="1">
      <c r="A150" s="1"/>
      <c r="B150" s="1"/>
      <c r="C150" s="1"/>
      <c r="D150" s="1"/>
      <c r="E150" s="1"/>
      <c r="F150" s="69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4"/>
      <c r="AI150" s="14"/>
      <c r="AJ150" s="14"/>
      <c r="AK150" s="14"/>
      <c r="AL150" s="14"/>
      <c r="AM150" s="14"/>
    </row>
    <row r="151" ht="14.25" customHeight="1">
      <c r="A151" s="1"/>
      <c r="B151" s="1"/>
      <c r="C151" s="1"/>
      <c r="D151" s="1"/>
      <c r="E151" s="1"/>
      <c r="F151" s="69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4"/>
      <c r="AI151" s="14"/>
      <c r="AJ151" s="14"/>
      <c r="AK151" s="14"/>
      <c r="AL151" s="14"/>
      <c r="AM151" s="14"/>
    </row>
    <row r="152" ht="14.25" customHeight="1">
      <c r="A152" s="1"/>
      <c r="B152" s="1"/>
      <c r="C152" s="1"/>
      <c r="D152" s="1"/>
      <c r="E152" s="1"/>
      <c r="F152" s="69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4"/>
      <c r="AI152" s="14"/>
      <c r="AJ152" s="14"/>
      <c r="AK152" s="14"/>
      <c r="AL152" s="14"/>
      <c r="AM152" s="14"/>
    </row>
    <row r="153" ht="14.25" customHeight="1">
      <c r="A153" s="1"/>
      <c r="B153" s="1"/>
      <c r="C153" s="1"/>
      <c r="D153" s="1"/>
      <c r="E153" s="1"/>
      <c r="F153" s="69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4"/>
      <c r="AI153" s="14"/>
      <c r="AJ153" s="14"/>
      <c r="AK153" s="14"/>
      <c r="AL153" s="14"/>
      <c r="AM153" s="14"/>
    </row>
    <row r="154" ht="14.25" customHeight="1">
      <c r="A154" s="1"/>
      <c r="B154" s="1"/>
      <c r="C154" s="1"/>
      <c r="D154" s="1"/>
      <c r="E154" s="1"/>
      <c r="F154" s="69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4"/>
      <c r="AI154" s="14"/>
      <c r="AJ154" s="14"/>
      <c r="AK154" s="14"/>
      <c r="AL154" s="14"/>
      <c r="AM154" s="14"/>
    </row>
    <row r="155" ht="14.25" customHeight="1">
      <c r="A155" s="1"/>
      <c r="B155" s="1"/>
      <c r="C155" s="1"/>
      <c r="D155" s="1"/>
      <c r="E155" s="1"/>
      <c r="F155" s="69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4"/>
      <c r="AI155" s="14"/>
      <c r="AJ155" s="14"/>
      <c r="AK155" s="14"/>
      <c r="AL155" s="14"/>
      <c r="AM155" s="14"/>
    </row>
    <row r="156" ht="14.25" customHeight="1">
      <c r="A156" s="1"/>
      <c r="B156" s="1"/>
      <c r="C156" s="1"/>
      <c r="D156" s="1"/>
      <c r="E156" s="1"/>
      <c r="F156" s="69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4"/>
      <c r="AI156" s="14"/>
      <c r="AJ156" s="14"/>
      <c r="AK156" s="14"/>
      <c r="AL156" s="14"/>
      <c r="AM156" s="14"/>
    </row>
    <row r="157" ht="14.25" customHeight="1">
      <c r="A157" s="1"/>
      <c r="B157" s="1"/>
      <c r="C157" s="1"/>
      <c r="D157" s="1"/>
      <c r="E157" s="1"/>
      <c r="F157" s="69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4"/>
      <c r="AI157" s="14"/>
      <c r="AJ157" s="14"/>
      <c r="AK157" s="14"/>
      <c r="AL157" s="14"/>
      <c r="AM157" s="14"/>
    </row>
    <row r="158" ht="14.25" customHeight="1">
      <c r="A158" s="1"/>
      <c r="B158" s="1"/>
      <c r="C158" s="1"/>
      <c r="D158" s="1"/>
      <c r="E158" s="1"/>
      <c r="F158" s="69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4"/>
      <c r="AI158" s="14"/>
      <c r="AJ158" s="14"/>
      <c r="AK158" s="14"/>
      <c r="AL158" s="14"/>
      <c r="AM158" s="14"/>
    </row>
    <row r="159" ht="14.25" customHeight="1">
      <c r="A159" s="1"/>
      <c r="B159" s="1"/>
      <c r="C159" s="1"/>
      <c r="D159" s="1"/>
      <c r="E159" s="1"/>
      <c r="F159" s="69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4"/>
      <c r="AI159" s="14"/>
      <c r="AJ159" s="14"/>
      <c r="AK159" s="14"/>
      <c r="AL159" s="14"/>
      <c r="AM159" s="14"/>
    </row>
    <row r="160" ht="14.25" customHeight="1">
      <c r="A160" s="1"/>
      <c r="B160" s="1"/>
      <c r="C160" s="1"/>
      <c r="D160" s="1"/>
      <c r="E160" s="1"/>
      <c r="F160" s="69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4"/>
      <c r="AI160" s="14"/>
      <c r="AJ160" s="14"/>
      <c r="AK160" s="14"/>
      <c r="AL160" s="14"/>
      <c r="AM160" s="14"/>
    </row>
    <row r="161" ht="14.25" customHeight="1">
      <c r="A161" s="1"/>
      <c r="B161" s="1"/>
      <c r="C161" s="1"/>
      <c r="D161" s="1"/>
      <c r="E161" s="1"/>
      <c r="F161" s="69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4"/>
      <c r="AI161" s="14"/>
      <c r="AJ161" s="14"/>
      <c r="AK161" s="14"/>
      <c r="AL161" s="14"/>
      <c r="AM161" s="14"/>
    </row>
    <row r="162" ht="14.25" customHeight="1">
      <c r="A162" s="1"/>
      <c r="B162" s="1"/>
      <c r="C162" s="1"/>
      <c r="D162" s="1"/>
      <c r="E162" s="1"/>
      <c r="F162" s="69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4"/>
      <c r="AI162" s="14"/>
      <c r="AJ162" s="14"/>
      <c r="AK162" s="14"/>
      <c r="AL162" s="14"/>
      <c r="AM162" s="14"/>
    </row>
    <row r="163" ht="14.25" customHeight="1">
      <c r="A163" s="1"/>
      <c r="B163" s="1"/>
      <c r="C163" s="1"/>
      <c r="D163" s="1"/>
      <c r="E163" s="1"/>
      <c r="F163" s="69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4"/>
      <c r="AI163" s="14"/>
      <c r="AJ163" s="14"/>
      <c r="AK163" s="14"/>
      <c r="AL163" s="14"/>
      <c r="AM163" s="14"/>
    </row>
    <row r="164" ht="14.25" customHeight="1">
      <c r="A164" s="1"/>
      <c r="B164" s="1"/>
      <c r="C164" s="1"/>
      <c r="D164" s="1"/>
      <c r="E164" s="1"/>
      <c r="F164" s="69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4"/>
      <c r="AI164" s="14"/>
      <c r="AJ164" s="14"/>
      <c r="AK164" s="14"/>
      <c r="AL164" s="14"/>
      <c r="AM164" s="14"/>
    </row>
    <row r="165" ht="14.25" customHeight="1">
      <c r="A165" s="1"/>
      <c r="B165" s="1"/>
      <c r="C165" s="1"/>
      <c r="D165" s="1"/>
      <c r="E165" s="1"/>
      <c r="F165" s="69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4"/>
      <c r="AI165" s="14"/>
      <c r="AJ165" s="14"/>
      <c r="AK165" s="14"/>
      <c r="AL165" s="14"/>
      <c r="AM165" s="14"/>
    </row>
    <row r="166" ht="14.25" customHeight="1">
      <c r="A166" s="1"/>
      <c r="B166" s="1"/>
      <c r="C166" s="1"/>
      <c r="D166" s="1"/>
      <c r="E166" s="1"/>
      <c r="F166" s="69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4"/>
      <c r="AI166" s="14"/>
      <c r="AJ166" s="14"/>
      <c r="AK166" s="14"/>
      <c r="AL166" s="14"/>
      <c r="AM166" s="14"/>
    </row>
    <row r="167" ht="14.25" customHeight="1">
      <c r="A167" s="1"/>
      <c r="B167" s="1"/>
      <c r="C167" s="1"/>
      <c r="D167" s="1"/>
      <c r="E167" s="1"/>
      <c r="F167" s="69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4"/>
      <c r="AI167" s="14"/>
      <c r="AJ167" s="14"/>
      <c r="AK167" s="14"/>
      <c r="AL167" s="14"/>
      <c r="AM167" s="14"/>
    </row>
    <row r="168" ht="14.25" customHeight="1">
      <c r="A168" s="1"/>
      <c r="B168" s="1"/>
      <c r="C168" s="1"/>
      <c r="D168" s="1"/>
      <c r="E168" s="1"/>
      <c r="F168" s="69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4"/>
      <c r="AI168" s="14"/>
      <c r="AJ168" s="14"/>
      <c r="AK168" s="14"/>
      <c r="AL168" s="14"/>
      <c r="AM168" s="14"/>
    </row>
    <row r="169" ht="14.25" customHeight="1">
      <c r="A169" s="1"/>
      <c r="B169" s="1"/>
      <c r="C169" s="1"/>
      <c r="D169" s="1"/>
      <c r="E169" s="1"/>
      <c r="F169" s="69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4"/>
      <c r="AI169" s="14"/>
      <c r="AJ169" s="14"/>
      <c r="AK169" s="14"/>
      <c r="AL169" s="14"/>
      <c r="AM169" s="14"/>
    </row>
    <row r="170" ht="14.25" customHeight="1">
      <c r="A170" s="1"/>
      <c r="B170" s="1"/>
      <c r="C170" s="1"/>
      <c r="D170" s="1"/>
      <c r="E170" s="1"/>
      <c r="F170" s="69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4"/>
      <c r="AI170" s="14"/>
      <c r="AJ170" s="14"/>
      <c r="AK170" s="14"/>
      <c r="AL170" s="14"/>
      <c r="AM170" s="14"/>
    </row>
    <row r="171" ht="14.25" customHeight="1">
      <c r="A171" s="1"/>
      <c r="B171" s="1"/>
      <c r="C171" s="1"/>
      <c r="D171" s="1"/>
      <c r="E171" s="1"/>
      <c r="F171" s="69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4"/>
      <c r="AI171" s="14"/>
      <c r="AJ171" s="14"/>
      <c r="AK171" s="14"/>
      <c r="AL171" s="14"/>
      <c r="AM171" s="14"/>
    </row>
    <row r="172" ht="14.25" customHeight="1">
      <c r="A172" s="1"/>
      <c r="B172" s="1"/>
      <c r="C172" s="1"/>
      <c r="D172" s="1"/>
      <c r="E172" s="1"/>
      <c r="F172" s="69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4"/>
      <c r="AI172" s="14"/>
      <c r="AJ172" s="14"/>
      <c r="AK172" s="14"/>
      <c r="AL172" s="14"/>
      <c r="AM172" s="14"/>
    </row>
    <row r="173" ht="14.25" customHeight="1">
      <c r="A173" s="1"/>
      <c r="B173" s="1"/>
      <c r="C173" s="1"/>
      <c r="D173" s="1"/>
      <c r="E173" s="1"/>
      <c r="F173" s="69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4"/>
      <c r="AI173" s="14"/>
      <c r="AJ173" s="14"/>
      <c r="AK173" s="14"/>
      <c r="AL173" s="14"/>
      <c r="AM173" s="14"/>
    </row>
    <row r="174" ht="14.25" customHeight="1">
      <c r="A174" s="1"/>
      <c r="B174" s="1"/>
      <c r="C174" s="1"/>
      <c r="D174" s="1"/>
      <c r="E174" s="1"/>
      <c r="F174" s="69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4"/>
      <c r="AI174" s="14"/>
      <c r="AJ174" s="14"/>
      <c r="AK174" s="14"/>
      <c r="AL174" s="14"/>
      <c r="AM174" s="14"/>
    </row>
    <row r="175" ht="14.25" customHeight="1">
      <c r="A175" s="1"/>
      <c r="B175" s="1"/>
      <c r="C175" s="1"/>
      <c r="D175" s="1"/>
      <c r="E175" s="1"/>
      <c r="F175" s="69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4"/>
      <c r="AI175" s="14"/>
      <c r="AJ175" s="14"/>
      <c r="AK175" s="14"/>
      <c r="AL175" s="14"/>
      <c r="AM175" s="14"/>
    </row>
    <row r="176" ht="14.25" customHeight="1">
      <c r="A176" s="1"/>
      <c r="B176" s="1"/>
      <c r="C176" s="1"/>
      <c r="D176" s="1"/>
      <c r="E176" s="1"/>
      <c r="F176" s="69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4"/>
      <c r="AI176" s="14"/>
      <c r="AJ176" s="14"/>
      <c r="AK176" s="14"/>
      <c r="AL176" s="14"/>
      <c r="AM176" s="14"/>
    </row>
    <row r="177" ht="14.25" customHeight="1">
      <c r="A177" s="1"/>
      <c r="B177" s="1"/>
      <c r="C177" s="1"/>
      <c r="D177" s="1"/>
      <c r="E177" s="1"/>
      <c r="F177" s="69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4"/>
      <c r="AI177" s="14"/>
      <c r="AJ177" s="14"/>
      <c r="AK177" s="14"/>
      <c r="AL177" s="14"/>
      <c r="AM177" s="14"/>
    </row>
    <row r="178" ht="14.25" customHeight="1">
      <c r="A178" s="1"/>
      <c r="B178" s="1"/>
      <c r="C178" s="1"/>
      <c r="D178" s="1"/>
      <c r="E178" s="1"/>
      <c r="F178" s="69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4"/>
      <c r="AI178" s="14"/>
      <c r="AJ178" s="14"/>
      <c r="AK178" s="14"/>
      <c r="AL178" s="14"/>
      <c r="AM178" s="14"/>
    </row>
    <row r="179" ht="14.25" customHeight="1">
      <c r="A179" s="1"/>
      <c r="B179" s="1"/>
      <c r="C179" s="1"/>
      <c r="D179" s="1"/>
      <c r="E179" s="1"/>
      <c r="F179" s="69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4"/>
      <c r="AI179" s="14"/>
      <c r="AJ179" s="14"/>
      <c r="AK179" s="14"/>
      <c r="AL179" s="14"/>
      <c r="AM179" s="14"/>
    </row>
    <row r="180" ht="14.25" customHeight="1">
      <c r="A180" s="1"/>
      <c r="B180" s="1"/>
      <c r="C180" s="1"/>
      <c r="D180" s="1"/>
      <c r="E180" s="1"/>
      <c r="F180" s="69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4"/>
      <c r="AI180" s="14"/>
      <c r="AJ180" s="14"/>
      <c r="AK180" s="14"/>
      <c r="AL180" s="14"/>
      <c r="AM180" s="14"/>
    </row>
    <row r="181" ht="14.25" customHeight="1">
      <c r="A181" s="1"/>
      <c r="B181" s="1"/>
      <c r="C181" s="1"/>
      <c r="D181" s="1"/>
      <c r="E181" s="1"/>
      <c r="F181" s="69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4"/>
      <c r="AI181" s="14"/>
      <c r="AJ181" s="14"/>
      <c r="AK181" s="14"/>
      <c r="AL181" s="14"/>
      <c r="AM181" s="14"/>
    </row>
    <row r="182" ht="14.25" customHeight="1">
      <c r="A182" s="1"/>
      <c r="B182" s="1"/>
      <c r="C182" s="1"/>
      <c r="D182" s="1"/>
      <c r="E182" s="1"/>
      <c r="F182" s="69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4"/>
      <c r="AI182" s="14"/>
      <c r="AJ182" s="14"/>
      <c r="AK182" s="14"/>
      <c r="AL182" s="14"/>
      <c r="AM182" s="14"/>
    </row>
    <row r="183" ht="14.25" customHeight="1">
      <c r="A183" s="1"/>
      <c r="B183" s="1"/>
      <c r="C183" s="1"/>
      <c r="D183" s="1"/>
      <c r="E183" s="1"/>
      <c r="F183" s="69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4"/>
      <c r="AI183" s="14"/>
      <c r="AJ183" s="14"/>
      <c r="AK183" s="14"/>
      <c r="AL183" s="14"/>
      <c r="AM183" s="14"/>
    </row>
    <row r="184" ht="14.25" customHeight="1">
      <c r="A184" s="1"/>
      <c r="B184" s="1"/>
      <c r="C184" s="1"/>
      <c r="D184" s="1"/>
      <c r="E184" s="1"/>
      <c r="F184" s="69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4"/>
      <c r="AI184" s="14"/>
      <c r="AJ184" s="14"/>
      <c r="AK184" s="14"/>
      <c r="AL184" s="14"/>
      <c r="AM184" s="14"/>
    </row>
    <row r="185" ht="14.25" customHeight="1">
      <c r="A185" s="1"/>
      <c r="B185" s="1"/>
      <c r="C185" s="1"/>
      <c r="D185" s="1"/>
      <c r="E185" s="1"/>
      <c r="F185" s="69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4"/>
      <c r="AI185" s="14"/>
      <c r="AJ185" s="14"/>
      <c r="AK185" s="14"/>
      <c r="AL185" s="14"/>
      <c r="AM185" s="14"/>
    </row>
    <row r="186" ht="14.25" customHeight="1">
      <c r="A186" s="1"/>
      <c r="B186" s="1"/>
      <c r="C186" s="1"/>
      <c r="D186" s="1"/>
      <c r="E186" s="1"/>
      <c r="F186" s="69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4"/>
      <c r="AI186" s="14"/>
      <c r="AJ186" s="14"/>
      <c r="AK186" s="14"/>
      <c r="AL186" s="14"/>
      <c r="AM186" s="14"/>
    </row>
    <row r="187" ht="14.25" customHeight="1">
      <c r="A187" s="1"/>
      <c r="B187" s="1"/>
      <c r="C187" s="1"/>
      <c r="D187" s="1"/>
      <c r="E187" s="1"/>
      <c r="F187" s="69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4"/>
      <c r="AI187" s="14"/>
      <c r="AJ187" s="14"/>
      <c r="AK187" s="14"/>
      <c r="AL187" s="14"/>
      <c r="AM187" s="14"/>
    </row>
    <row r="188" ht="14.25" customHeight="1">
      <c r="A188" s="1"/>
      <c r="B188" s="1"/>
      <c r="C188" s="1"/>
      <c r="D188" s="1"/>
      <c r="E188" s="1"/>
      <c r="F188" s="69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4"/>
      <c r="AI188" s="14"/>
      <c r="AJ188" s="14"/>
      <c r="AK188" s="14"/>
      <c r="AL188" s="14"/>
      <c r="AM188" s="14"/>
    </row>
    <row r="189" ht="14.25" customHeight="1">
      <c r="A189" s="1"/>
      <c r="B189" s="1"/>
      <c r="C189" s="1"/>
      <c r="D189" s="1"/>
      <c r="E189" s="1"/>
      <c r="F189" s="69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4"/>
      <c r="AI189" s="14"/>
      <c r="AJ189" s="14"/>
      <c r="AK189" s="14"/>
      <c r="AL189" s="14"/>
      <c r="AM189" s="14"/>
    </row>
    <row r="190" ht="14.25" customHeight="1">
      <c r="A190" s="1"/>
      <c r="B190" s="1"/>
      <c r="C190" s="1"/>
      <c r="D190" s="1"/>
      <c r="E190" s="1"/>
      <c r="F190" s="69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4"/>
      <c r="AI190" s="14"/>
      <c r="AJ190" s="14"/>
      <c r="AK190" s="14"/>
      <c r="AL190" s="14"/>
      <c r="AM190" s="14"/>
    </row>
    <row r="191" ht="14.25" customHeight="1">
      <c r="A191" s="1"/>
      <c r="B191" s="1"/>
      <c r="C191" s="1"/>
      <c r="D191" s="1"/>
      <c r="E191" s="1"/>
      <c r="F191" s="69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4"/>
      <c r="AI191" s="14"/>
      <c r="AJ191" s="14"/>
      <c r="AK191" s="14"/>
      <c r="AL191" s="14"/>
      <c r="AM191" s="14"/>
    </row>
    <row r="192" ht="14.25" customHeight="1">
      <c r="A192" s="1"/>
      <c r="B192" s="1"/>
      <c r="C192" s="1"/>
      <c r="D192" s="1"/>
      <c r="E192" s="1"/>
      <c r="F192" s="69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4"/>
      <c r="AI192" s="14"/>
      <c r="AJ192" s="14"/>
      <c r="AK192" s="14"/>
      <c r="AL192" s="14"/>
      <c r="AM192" s="14"/>
    </row>
    <row r="193" ht="14.25" customHeight="1">
      <c r="A193" s="1"/>
      <c r="B193" s="1"/>
      <c r="C193" s="1"/>
      <c r="D193" s="1"/>
      <c r="E193" s="1"/>
      <c r="F193" s="69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4"/>
      <c r="AI193" s="14"/>
      <c r="AJ193" s="14"/>
      <c r="AK193" s="14"/>
      <c r="AL193" s="14"/>
      <c r="AM193" s="14"/>
    </row>
    <row r="194" ht="14.25" customHeight="1">
      <c r="A194" s="1"/>
      <c r="B194" s="1"/>
      <c r="C194" s="1"/>
      <c r="D194" s="1"/>
      <c r="E194" s="1"/>
      <c r="F194" s="69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4"/>
      <c r="AI194" s="14"/>
      <c r="AJ194" s="14"/>
      <c r="AK194" s="14"/>
      <c r="AL194" s="14"/>
      <c r="AM194" s="14"/>
    </row>
    <row r="195" ht="14.25" customHeight="1">
      <c r="A195" s="1"/>
      <c r="B195" s="1"/>
      <c r="C195" s="1"/>
      <c r="D195" s="1"/>
      <c r="E195" s="1"/>
      <c r="F195" s="69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4"/>
      <c r="AI195" s="14"/>
      <c r="AJ195" s="14"/>
      <c r="AK195" s="14"/>
      <c r="AL195" s="14"/>
      <c r="AM195" s="14"/>
    </row>
    <row r="196" ht="14.25" customHeight="1">
      <c r="A196" s="1"/>
      <c r="B196" s="1"/>
      <c r="C196" s="1"/>
      <c r="D196" s="1"/>
      <c r="E196" s="1"/>
      <c r="F196" s="69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4"/>
      <c r="AI196" s="14"/>
      <c r="AJ196" s="14"/>
      <c r="AK196" s="14"/>
      <c r="AL196" s="14"/>
      <c r="AM196" s="14"/>
    </row>
    <row r="197" ht="14.25" customHeight="1">
      <c r="A197" s="1"/>
      <c r="B197" s="1"/>
      <c r="C197" s="1"/>
      <c r="D197" s="1"/>
      <c r="E197" s="1"/>
      <c r="F197" s="69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4"/>
      <c r="AI197" s="14"/>
      <c r="AJ197" s="14"/>
      <c r="AK197" s="14"/>
      <c r="AL197" s="14"/>
      <c r="AM197" s="14"/>
    </row>
    <row r="198" ht="14.25" customHeight="1">
      <c r="A198" s="1"/>
      <c r="B198" s="1"/>
      <c r="C198" s="1"/>
      <c r="D198" s="1"/>
      <c r="E198" s="1"/>
      <c r="F198" s="69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4"/>
      <c r="AI198" s="14"/>
      <c r="AJ198" s="14"/>
      <c r="AK198" s="14"/>
      <c r="AL198" s="14"/>
      <c r="AM198" s="14"/>
    </row>
    <row r="199" ht="14.25" customHeight="1">
      <c r="A199" s="1"/>
      <c r="B199" s="1"/>
      <c r="C199" s="1"/>
      <c r="D199" s="1"/>
      <c r="E199" s="1"/>
      <c r="F199" s="69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4"/>
      <c r="AI199" s="14"/>
      <c r="AJ199" s="14"/>
      <c r="AK199" s="14"/>
      <c r="AL199" s="14"/>
      <c r="AM199" s="14"/>
    </row>
    <row r="200" ht="14.25" customHeight="1">
      <c r="A200" s="1"/>
      <c r="B200" s="1"/>
      <c r="C200" s="1"/>
      <c r="D200" s="1"/>
      <c r="E200" s="1"/>
      <c r="F200" s="69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4"/>
      <c r="AI200" s="14"/>
      <c r="AJ200" s="14"/>
      <c r="AK200" s="14"/>
      <c r="AL200" s="14"/>
      <c r="AM200" s="14"/>
    </row>
    <row r="201" ht="14.25" customHeight="1">
      <c r="A201" s="1"/>
      <c r="B201" s="1"/>
      <c r="C201" s="1"/>
      <c r="D201" s="1"/>
      <c r="E201" s="1"/>
      <c r="F201" s="69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4"/>
      <c r="AI201" s="14"/>
      <c r="AJ201" s="14"/>
      <c r="AK201" s="14"/>
      <c r="AL201" s="14"/>
      <c r="AM201" s="14"/>
    </row>
    <row r="202" ht="14.25" customHeight="1">
      <c r="A202" s="1"/>
      <c r="B202" s="1"/>
      <c r="C202" s="1"/>
      <c r="D202" s="1"/>
      <c r="E202" s="1"/>
      <c r="F202" s="69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4"/>
      <c r="AI202" s="14"/>
      <c r="AJ202" s="14"/>
      <c r="AK202" s="14"/>
      <c r="AL202" s="14"/>
      <c r="AM202" s="14"/>
    </row>
    <row r="203" ht="14.25" customHeight="1">
      <c r="A203" s="1"/>
      <c r="B203" s="1"/>
      <c r="C203" s="1"/>
      <c r="D203" s="1"/>
      <c r="E203" s="1"/>
      <c r="F203" s="69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4"/>
      <c r="AI203" s="14"/>
      <c r="AJ203" s="14"/>
      <c r="AK203" s="14"/>
      <c r="AL203" s="14"/>
      <c r="AM203" s="14"/>
    </row>
    <row r="204" ht="14.25" customHeight="1">
      <c r="A204" s="1"/>
      <c r="B204" s="1"/>
      <c r="C204" s="1"/>
      <c r="D204" s="1"/>
      <c r="E204" s="1"/>
      <c r="F204" s="69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4"/>
      <c r="AI204" s="14"/>
      <c r="AJ204" s="14"/>
      <c r="AK204" s="14"/>
      <c r="AL204" s="14"/>
      <c r="AM204" s="14"/>
    </row>
    <row r="205" ht="14.25" customHeight="1">
      <c r="A205" s="1"/>
      <c r="B205" s="1"/>
      <c r="C205" s="1"/>
      <c r="D205" s="1"/>
      <c r="E205" s="1"/>
      <c r="F205" s="69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4"/>
      <c r="AI205" s="14"/>
      <c r="AJ205" s="14"/>
      <c r="AK205" s="14"/>
      <c r="AL205" s="14"/>
      <c r="AM205" s="14"/>
    </row>
    <row r="206" ht="14.25" customHeight="1">
      <c r="A206" s="1"/>
      <c r="B206" s="1"/>
      <c r="C206" s="1"/>
      <c r="D206" s="1"/>
      <c r="E206" s="1"/>
      <c r="F206" s="69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4"/>
      <c r="AI206" s="14"/>
      <c r="AJ206" s="14"/>
      <c r="AK206" s="14"/>
      <c r="AL206" s="14"/>
      <c r="AM206" s="14"/>
    </row>
    <row r="207" ht="14.25" customHeight="1">
      <c r="A207" s="1"/>
      <c r="B207" s="1"/>
      <c r="C207" s="1"/>
      <c r="D207" s="1"/>
      <c r="E207" s="1"/>
      <c r="F207" s="69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4"/>
      <c r="AI207" s="14"/>
      <c r="AJ207" s="14"/>
      <c r="AK207" s="14"/>
      <c r="AL207" s="14"/>
      <c r="AM207" s="14"/>
    </row>
    <row r="208" ht="14.25" customHeight="1">
      <c r="A208" s="1"/>
      <c r="B208" s="1"/>
      <c r="C208" s="1"/>
      <c r="D208" s="1"/>
      <c r="E208" s="1"/>
      <c r="F208" s="69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4"/>
      <c r="AI208" s="14"/>
      <c r="AJ208" s="14"/>
      <c r="AK208" s="14"/>
      <c r="AL208" s="14"/>
      <c r="AM208" s="14"/>
    </row>
    <row r="209" ht="14.25" customHeight="1">
      <c r="A209" s="1"/>
      <c r="B209" s="1"/>
      <c r="C209" s="1"/>
      <c r="D209" s="1"/>
      <c r="E209" s="1"/>
      <c r="F209" s="69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4"/>
      <c r="AI209" s="14"/>
      <c r="AJ209" s="14"/>
      <c r="AK209" s="14"/>
      <c r="AL209" s="14"/>
      <c r="AM209" s="14"/>
    </row>
    <row r="210" ht="14.25" customHeight="1">
      <c r="A210" s="1"/>
      <c r="B210" s="1"/>
      <c r="C210" s="1"/>
      <c r="D210" s="1"/>
      <c r="E210" s="1"/>
      <c r="F210" s="69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4"/>
      <c r="AI210" s="14"/>
      <c r="AJ210" s="14"/>
      <c r="AK210" s="14"/>
      <c r="AL210" s="14"/>
      <c r="AM210" s="14"/>
    </row>
    <row r="211" ht="14.25" customHeight="1">
      <c r="A211" s="1"/>
      <c r="B211" s="1"/>
      <c r="C211" s="1"/>
      <c r="D211" s="1"/>
      <c r="E211" s="1"/>
      <c r="F211" s="69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4"/>
      <c r="AI211" s="14"/>
      <c r="AJ211" s="14"/>
      <c r="AK211" s="14"/>
      <c r="AL211" s="14"/>
      <c r="AM211" s="14"/>
    </row>
    <row r="212" ht="14.25" customHeight="1">
      <c r="A212" s="1"/>
      <c r="B212" s="1"/>
      <c r="C212" s="1"/>
      <c r="D212" s="1"/>
      <c r="E212" s="1"/>
      <c r="F212" s="69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4"/>
      <c r="AI212" s="14"/>
      <c r="AJ212" s="14"/>
      <c r="AK212" s="14"/>
      <c r="AL212" s="14"/>
      <c r="AM212" s="14"/>
    </row>
    <row r="213" ht="14.25" customHeight="1">
      <c r="A213" s="1"/>
      <c r="B213" s="1"/>
      <c r="C213" s="1"/>
      <c r="D213" s="1"/>
      <c r="E213" s="1"/>
      <c r="F213" s="69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4"/>
      <c r="AI213" s="14"/>
      <c r="AJ213" s="14"/>
      <c r="AK213" s="14"/>
      <c r="AL213" s="14"/>
      <c r="AM213" s="14"/>
    </row>
    <row r="214" ht="14.25" customHeight="1">
      <c r="A214" s="1"/>
      <c r="B214" s="1"/>
      <c r="C214" s="1"/>
      <c r="D214" s="1"/>
      <c r="E214" s="1"/>
      <c r="F214" s="69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4"/>
      <c r="AI214" s="14"/>
      <c r="AJ214" s="14"/>
      <c r="AK214" s="14"/>
      <c r="AL214" s="14"/>
      <c r="AM214" s="14"/>
    </row>
    <row r="215" ht="14.25" customHeight="1">
      <c r="A215" s="1"/>
      <c r="B215" s="1"/>
      <c r="C215" s="1"/>
      <c r="D215" s="1"/>
      <c r="E215" s="1"/>
      <c r="F215" s="69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4"/>
      <c r="AI215" s="14"/>
      <c r="AJ215" s="14"/>
      <c r="AK215" s="14"/>
      <c r="AL215" s="14"/>
      <c r="AM215" s="14"/>
    </row>
    <row r="216" ht="14.25" customHeight="1">
      <c r="A216" s="1"/>
      <c r="B216" s="1"/>
      <c r="C216" s="1"/>
      <c r="D216" s="1"/>
      <c r="E216" s="1"/>
      <c r="F216" s="69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4"/>
      <c r="AI216" s="14"/>
      <c r="AJ216" s="14"/>
      <c r="AK216" s="14"/>
      <c r="AL216" s="14"/>
      <c r="AM216" s="14"/>
    </row>
    <row r="217" ht="14.25" customHeight="1">
      <c r="A217" s="1"/>
      <c r="B217" s="1"/>
      <c r="C217" s="1"/>
      <c r="D217" s="1"/>
      <c r="E217" s="1"/>
      <c r="F217" s="69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4"/>
      <c r="AI217" s="14"/>
      <c r="AJ217" s="14"/>
      <c r="AK217" s="14"/>
      <c r="AL217" s="14"/>
      <c r="AM217" s="14"/>
    </row>
    <row r="218" ht="14.25" customHeight="1">
      <c r="A218" s="1"/>
      <c r="B218" s="1"/>
      <c r="C218" s="1"/>
      <c r="D218" s="1"/>
      <c r="E218" s="1"/>
      <c r="F218" s="69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4"/>
      <c r="AI218" s="14"/>
      <c r="AJ218" s="14"/>
      <c r="AK218" s="14"/>
      <c r="AL218" s="14"/>
      <c r="AM218" s="14"/>
    </row>
    <row r="219" ht="14.25" customHeight="1">
      <c r="A219" s="1"/>
      <c r="B219" s="1"/>
      <c r="C219" s="1"/>
      <c r="D219" s="1"/>
      <c r="E219" s="1"/>
      <c r="F219" s="69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4"/>
      <c r="AI219" s="14"/>
      <c r="AJ219" s="14"/>
      <c r="AK219" s="14"/>
      <c r="AL219" s="14"/>
      <c r="AM219" s="14"/>
    </row>
    <row r="220" ht="14.25" customHeight="1">
      <c r="A220" s="1"/>
      <c r="B220" s="1"/>
      <c r="C220" s="1"/>
      <c r="D220" s="1"/>
      <c r="E220" s="1"/>
      <c r="F220" s="69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4"/>
      <c r="AI220" s="14"/>
      <c r="AJ220" s="14"/>
      <c r="AK220" s="14"/>
      <c r="AL220" s="14"/>
      <c r="AM220" s="14"/>
    </row>
    <row r="221" ht="14.25" customHeight="1">
      <c r="A221" s="1"/>
      <c r="B221" s="1"/>
      <c r="C221" s="1"/>
      <c r="D221" s="1"/>
      <c r="E221" s="1"/>
      <c r="F221" s="69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4"/>
      <c r="AI221" s="14"/>
      <c r="AJ221" s="14"/>
      <c r="AK221" s="14"/>
      <c r="AL221" s="14"/>
      <c r="AM221" s="14"/>
    </row>
    <row r="222" ht="14.25" customHeight="1">
      <c r="A222" s="1"/>
      <c r="B222" s="1"/>
      <c r="C222" s="1"/>
      <c r="D222" s="1"/>
      <c r="E222" s="1"/>
      <c r="F222" s="69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4"/>
      <c r="AI222" s="14"/>
      <c r="AJ222" s="14"/>
      <c r="AK222" s="14"/>
      <c r="AL222" s="14"/>
      <c r="AM222" s="14"/>
    </row>
    <row r="223" ht="14.25" customHeight="1">
      <c r="A223" s="1"/>
      <c r="B223" s="1"/>
      <c r="C223" s="1"/>
      <c r="D223" s="1"/>
      <c r="E223" s="1"/>
      <c r="F223" s="69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4"/>
      <c r="AI223" s="14"/>
      <c r="AJ223" s="14"/>
      <c r="AK223" s="14"/>
      <c r="AL223" s="14"/>
      <c r="AM223" s="14"/>
    </row>
    <row r="224" ht="14.25" customHeight="1">
      <c r="A224" s="1"/>
      <c r="B224" s="1"/>
      <c r="C224" s="1"/>
      <c r="D224" s="1"/>
      <c r="E224" s="1"/>
      <c r="F224" s="69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4"/>
      <c r="AI224" s="14"/>
      <c r="AJ224" s="14"/>
      <c r="AK224" s="14"/>
      <c r="AL224" s="14"/>
      <c r="AM224" s="14"/>
    </row>
    <row r="225" ht="14.25" customHeight="1">
      <c r="A225" s="1"/>
      <c r="B225" s="1"/>
      <c r="C225" s="1"/>
      <c r="D225" s="1"/>
      <c r="E225" s="1"/>
      <c r="F225" s="69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4"/>
      <c r="AI225" s="14"/>
      <c r="AJ225" s="14"/>
      <c r="AK225" s="14"/>
      <c r="AL225" s="14"/>
      <c r="AM225" s="14"/>
    </row>
    <row r="226" ht="14.25" customHeight="1">
      <c r="A226" s="1"/>
      <c r="B226" s="1"/>
      <c r="C226" s="1"/>
      <c r="D226" s="1"/>
      <c r="E226" s="1"/>
      <c r="F226" s="69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4"/>
      <c r="AI226" s="14"/>
      <c r="AJ226" s="14"/>
      <c r="AK226" s="14"/>
      <c r="AL226" s="14"/>
      <c r="AM226" s="14"/>
    </row>
    <row r="227" ht="14.25" customHeight="1">
      <c r="A227" s="1"/>
      <c r="B227" s="1"/>
      <c r="C227" s="1"/>
      <c r="D227" s="1"/>
      <c r="E227" s="1"/>
      <c r="F227" s="69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4"/>
      <c r="AI227" s="14"/>
      <c r="AJ227" s="14"/>
      <c r="AK227" s="14"/>
      <c r="AL227" s="14"/>
      <c r="AM227" s="14"/>
    </row>
    <row r="228" ht="14.25" customHeight="1">
      <c r="A228" s="1"/>
      <c r="B228" s="1"/>
      <c r="C228" s="1"/>
      <c r="D228" s="1"/>
      <c r="E228" s="1"/>
      <c r="F228" s="69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4"/>
      <c r="AI228" s="14"/>
      <c r="AJ228" s="14"/>
      <c r="AK228" s="14"/>
      <c r="AL228" s="14"/>
      <c r="AM228" s="14"/>
    </row>
    <row r="229" ht="14.25" customHeight="1">
      <c r="A229" s="1"/>
      <c r="B229" s="1"/>
      <c r="C229" s="1"/>
      <c r="D229" s="1"/>
      <c r="E229" s="1"/>
      <c r="F229" s="69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4"/>
      <c r="AI229" s="14"/>
      <c r="AJ229" s="14"/>
      <c r="AK229" s="14"/>
      <c r="AL229" s="14"/>
      <c r="AM229" s="14"/>
    </row>
    <row r="230" ht="14.25" customHeight="1">
      <c r="A230" s="1"/>
      <c r="B230" s="1"/>
      <c r="C230" s="1"/>
      <c r="D230" s="1"/>
      <c r="E230" s="1"/>
      <c r="F230" s="69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4"/>
      <c r="AI230" s="14"/>
      <c r="AJ230" s="14"/>
      <c r="AK230" s="14"/>
      <c r="AL230" s="14"/>
      <c r="AM230" s="14"/>
    </row>
    <row r="231" ht="14.25" customHeight="1">
      <c r="A231" s="1"/>
      <c r="B231" s="1"/>
      <c r="C231" s="1"/>
      <c r="D231" s="1"/>
      <c r="E231" s="1"/>
      <c r="F231" s="69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4"/>
      <c r="AI231" s="14"/>
      <c r="AJ231" s="14"/>
      <c r="AK231" s="14"/>
      <c r="AL231" s="14"/>
      <c r="AM231" s="14"/>
    </row>
    <row r="232" ht="14.25" customHeight="1">
      <c r="A232" s="1"/>
      <c r="B232" s="1"/>
      <c r="C232" s="1"/>
      <c r="D232" s="1"/>
      <c r="E232" s="1"/>
      <c r="F232" s="69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4"/>
      <c r="AI232" s="14"/>
      <c r="AJ232" s="14"/>
      <c r="AK232" s="14"/>
      <c r="AL232" s="14"/>
      <c r="AM232" s="14"/>
    </row>
    <row r="233" ht="14.25" customHeight="1">
      <c r="A233" s="1"/>
      <c r="B233" s="1"/>
      <c r="C233" s="1"/>
      <c r="D233" s="1"/>
      <c r="E233" s="1"/>
      <c r="F233" s="69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4"/>
      <c r="AI233" s="14"/>
      <c r="AJ233" s="14"/>
      <c r="AK233" s="14"/>
      <c r="AL233" s="14"/>
      <c r="AM233" s="14"/>
    </row>
    <row r="234" ht="14.25" customHeight="1">
      <c r="A234" s="1"/>
      <c r="B234" s="1"/>
      <c r="C234" s="1"/>
      <c r="D234" s="1"/>
      <c r="E234" s="1"/>
      <c r="F234" s="69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4"/>
      <c r="AI234" s="14"/>
      <c r="AJ234" s="14"/>
      <c r="AK234" s="14"/>
      <c r="AL234" s="14"/>
      <c r="AM234" s="14"/>
    </row>
    <row r="235" ht="14.25" customHeight="1">
      <c r="A235" s="1"/>
      <c r="B235" s="1"/>
      <c r="C235" s="1"/>
      <c r="D235" s="1"/>
      <c r="E235" s="1"/>
      <c r="F235" s="69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4"/>
      <c r="AI235" s="14"/>
      <c r="AJ235" s="14"/>
      <c r="AK235" s="14"/>
      <c r="AL235" s="14"/>
      <c r="AM235" s="14"/>
    </row>
    <row r="236" ht="14.25" customHeight="1">
      <c r="A236" s="1"/>
      <c r="B236" s="1"/>
      <c r="C236" s="1"/>
      <c r="D236" s="1"/>
      <c r="E236" s="1"/>
      <c r="F236" s="69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4"/>
      <c r="AI236" s="14"/>
      <c r="AJ236" s="14"/>
      <c r="AK236" s="14"/>
      <c r="AL236" s="14"/>
      <c r="AM236" s="14"/>
    </row>
    <row r="237" ht="14.25" customHeight="1">
      <c r="A237" s="1"/>
      <c r="B237" s="1"/>
      <c r="C237" s="1"/>
      <c r="D237" s="1"/>
      <c r="E237" s="1"/>
      <c r="F237" s="69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4"/>
      <c r="AI237" s="14"/>
      <c r="AJ237" s="14"/>
      <c r="AK237" s="14"/>
      <c r="AL237" s="14"/>
      <c r="AM237" s="14"/>
    </row>
    <row r="238" ht="14.25" customHeight="1">
      <c r="A238" s="1"/>
      <c r="B238" s="1"/>
      <c r="C238" s="1"/>
      <c r="D238" s="1"/>
      <c r="E238" s="1"/>
      <c r="F238" s="69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4"/>
      <c r="AI238" s="14"/>
      <c r="AJ238" s="14"/>
      <c r="AK238" s="14"/>
      <c r="AL238" s="14"/>
      <c r="AM238" s="14"/>
    </row>
    <row r="239" ht="14.25" customHeight="1">
      <c r="A239" s="1"/>
      <c r="B239" s="1"/>
      <c r="C239" s="1"/>
      <c r="D239" s="1"/>
      <c r="E239" s="1"/>
      <c r="F239" s="69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4"/>
      <c r="AI239" s="14"/>
      <c r="AJ239" s="14"/>
      <c r="AK239" s="14"/>
      <c r="AL239" s="14"/>
      <c r="AM239" s="14"/>
    </row>
    <row r="240" ht="14.25" customHeight="1">
      <c r="A240" s="1"/>
      <c r="B240" s="1"/>
      <c r="C240" s="1"/>
      <c r="D240" s="1"/>
      <c r="E240" s="1"/>
      <c r="F240" s="69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4"/>
      <c r="AI240" s="14"/>
      <c r="AJ240" s="14"/>
      <c r="AK240" s="14"/>
      <c r="AL240" s="14"/>
      <c r="AM240" s="14"/>
    </row>
    <row r="241" ht="14.25" customHeight="1">
      <c r="A241" s="1"/>
      <c r="B241" s="1"/>
      <c r="C241" s="1"/>
      <c r="D241" s="1"/>
      <c r="E241" s="1"/>
      <c r="F241" s="69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4"/>
      <c r="AI241" s="14"/>
      <c r="AJ241" s="14"/>
      <c r="AK241" s="14"/>
      <c r="AL241" s="14"/>
      <c r="AM241" s="14"/>
    </row>
    <row r="242" ht="14.25" customHeight="1">
      <c r="A242" s="1"/>
      <c r="B242" s="1"/>
      <c r="C242" s="1"/>
      <c r="D242" s="1"/>
      <c r="E242" s="1"/>
      <c r="F242" s="69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4"/>
      <c r="AI242" s="14"/>
      <c r="AJ242" s="14"/>
      <c r="AK242" s="14"/>
      <c r="AL242" s="14"/>
      <c r="AM242" s="14"/>
    </row>
    <row r="243" ht="14.25" customHeight="1">
      <c r="A243" s="1"/>
      <c r="B243" s="1"/>
      <c r="C243" s="1"/>
      <c r="D243" s="1"/>
      <c r="E243" s="1"/>
      <c r="F243" s="69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4"/>
      <c r="AI243" s="14"/>
      <c r="AJ243" s="14"/>
      <c r="AK243" s="14"/>
      <c r="AL243" s="14"/>
      <c r="AM243" s="14"/>
    </row>
    <row r="244" ht="14.25" customHeight="1">
      <c r="A244" s="1"/>
      <c r="B244" s="1"/>
      <c r="C244" s="1"/>
      <c r="D244" s="1"/>
      <c r="E244" s="1"/>
      <c r="F244" s="69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4"/>
      <c r="AI244" s="14"/>
      <c r="AJ244" s="14"/>
      <c r="AK244" s="14"/>
      <c r="AL244" s="14"/>
      <c r="AM244" s="14"/>
    </row>
    <row r="245" ht="14.25" customHeight="1">
      <c r="A245" s="1"/>
      <c r="B245" s="1"/>
      <c r="C245" s="1"/>
      <c r="D245" s="1"/>
      <c r="E245" s="1"/>
      <c r="F245" s="69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4"/>
      <c r="AI245" s="14"/>
      <c r="AJ245" s="14"/>
      <c r="AK245" s="14"/>
      <c r="AL245" s="14"/>
      <c r="AM245" s="14"/>
    </row>
    <row r="246" ht="14.25" customHeight="1">
      <c r="A246" s="1"/>
      <c r="B246" s="1"/>
      <c r="C246" s="1"/>
      <c r="D246" s="1"/>
      <c r="E246" s="1"/>
      <c r="F246" s="69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4"/>
      <c r="AI246" s="14"/>
      <c r="AJ246" s="14"/>
      <c r="AK246" s="14"/>
      <c r="AL246" s="14"/>
      <c r="AM246" s="14"/>
    </row>
    <row r="247" ht="14.25" customHeight="1">
      <c r="A247" s="1"/>
      <c r="B247" s="1"/>
      <c r="C247" s="1"/>
      <c r="D247" s="1"/>
      <c r="E247" s="1"/>
      <c r="F247" s="69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4"/>
      <c r="AI247" s="14"/>
      <c r="AJ247" s="14"/>
      <c r="AK247" s="14"/>
      <c r="AL247" s="14"/>
      <c r="AM247" s="14"/>
    </row>
    <row r="248" ht="14.25" customHeight="1">
      <c r="A248" s="1"/>
      <c r="B248" s="1"/>
      <c r="C248" s="1"/>
      <c r="D248" s="1"/>
      <c r="E248" s="1"/>
      <c r="F248" s="69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4"/>
      <c r="AI248" s="14"/>
      <c r="AJ248" s="14"/>
      <c r="AK248" s="14"/>
      <c r="AL248" s="14"/>
      <c r="AM248" s="14"/>
    </row>
    <row r="249" ht="14.25" customHeight="1">
      <c r="A249" s="1"/>
      <c r="B249" s="1"/>
      <c r="C249" s="1"/>
      <c r="D249" s="1"/>
      <c r="E249" s="1"/>
      <c r="F249" s="69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4"/>
      <c r="AI249" s="14"/>
      <c r="AJ249" s="14"/>
      <c r="AK249" s="14"/>
      <c r="AL249" s="14"/>
      <c r="AM249" s="14"/>
    </row>
    <row r="250" ht="14.25" customHeight="1">
      <c r="A250" s="1"/>
      <c r="B250" s="1"/>
      <c r="C250" s="1"/>
      <c r="D250" s="1"/>
      <c r="E250" s="1"/>
      <c r="F250" s="69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4"/>
      <c r="AI250" s="14"/>
      <c r="AJ250" s="14"/>
      <c r="AK250" s="14"/>
      <c r="AL250" s="14"/>
      <c r="AM250" s="14"/>
    </row>
    <row r="251" ht="14.25" customHeight="1">
      <c r="A251" s="1"/>
      <c r="B251" s="1"/>
      <c r="C251" s="1"/>
      <c r="D251" s="1"/>
      <c r="E251" s="1"/>
      <c r="F251" s="69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4"/>
      <c r="AI251" s="14"/>
      <c r="AJ251" s="14"/>
      <c r="AK251" s="14"/>
      <c r="AL251" s="14"/>
      <c r="AM251" s="14"/>
    </row>
    <row r="252" ht="14.25" customHeight="1">
      <c r="A252" s="1"/>
      <c r="B252" s="1"/>
      <c r="C252" s="1"/>
      <c r="D252" s="1"/>
      <c r="E252" s="1"/>
      <c r="F252" s="69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4"/>
      <c r="AI252" s="14"/>
      <c r="AJ252" s="14"/>
      <c r="AK252" s="14"/>
      <c r="AL252" s="14"/>
      <c r="AM252" s="14"/>
    </row>
    <row r="253" ht="14.25" customHeight="1">
      <c r="A253" s="1"/>
      <c r="B253" s="1"/>
      <c r="C253" s="1"/>
      <c r="D253" s="1"/>
      <c r="E253" s="1"/>
      <c r="F253" s="69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4"/>
      <c r="AI253" s="14"/>
      <c r="AJ253" s="14"/>
      <c r="AK253" s="14"/>
      <c r="AL253" s="14"/>
      <c r="AM253" s="14"/>
    </row>
    <row r="254" ht="14.25" customHeight="1">
      <c r="A254" s="1"/>
      <c r="B254" s="1"/>
      <c r="C254" s="1"/>
      <c r="D254" s="1"/>
      <c r="E254" s="1"/>
      <c r="F254" s="69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4"/>
      <c r="AI254" s="14"/>
      <c r="AJ254" s="14"/>
      <c r="AK254" s="14"/>
      <c r="AL254" s="14"/>
      <c r="AM254" s="14"/>
    </row>
    <row r="255" ht="14.25" customHeight="1">
      <c r="A255" s="1"/>
      <c r="B255" s="1"/>
      <c r="C255" s="1"/>
      <c r="D255" s="1"/>
      <c r="E255" s="1"/>
      <c r="F255" s="69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4"/>
      <c r="AI255" s="14"/>
      <c r="AJ255" s="14"/>
      <c r="AK255" s="14"/>
      <c r="AL255" s="14"/>
      <c r="AM255" s="14"/>
    </row>
    <row r="256" ht="14.25" customHeight="1">
      <c r="A256" s="1"/>
      <c r="B256" s="1"/>
      <c r="C256" s="1"/>
      <c r="D256" s="1"/>
      <c r="E256" s="1"/>
      <c r="F256" s="69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4"/>
      <c r="AI256" s="14"/>
      <c r="AJ256" s="14"/>
      <c r="AK256" s="14"/>
      <c r="AL256" s="14"/>
      <c r="AM256" s="14"/>
    </row>
    <row r="257" ht="14.25" customHeight="1">
      <c r="A257" s="1"/>
      <c r="B257" s="1"/>
      <c r="C257" s="1"/>
      <c r="D257" s="1"/>
      <c r="E257" s="1"/>
      <c r="F257" s="69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4"/>
      <c r="AI257" s="14"/>
      <c r="AJ257" s="14"/>
      <c r="AK257" s="14"/>
      <c r="AL257" s="14"/>
      <c r="AM257" s="14"/>
    </row>
    <row r="258" ht="14.25" customHeight="1">
      <c r="A258" s="1"/>
      <c r="B258" s="1"/>
      <c r="C258" s="1"/>
      <c r="D258" s="1"/>
      <c r="E258" s="1"/>
      <c r="F258" s="69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4"/>
      <c r="AI258" s="14"/>
      <c r="AJ258" s="14"/>
      <c r="AK258" s="14"/>
      <c r="AL258" s="14"/>
      <c r="AM258" s="14"/>
    </row>
    <row r="259" ht="14.25" customHeight="1">
      <c r="A259" s="1"/>
      <c r="B259" s="1"/>
      <c r="C259" s="1"/>
      <c r="D259" s="1"/>
      <c r="E259" s="1"/>
      <c r="F259" s="69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4"/>
      <c r="AI259" s="14"/>
      <c r="AJ259" s="14"/>
      <c r="AK259" s="14"/>
      <c r="AL259" s="14"/>
      <c r="AM259" s="14"/>
    </row>
    <row r="260" ht="14.25" customHeight="1">
      <c r="A260" s="1"/>
      <c r="B260" s="1"/>
      <c r="C260" s="1"/>
      <c r="D260" s="1"/>
      <c r="E260" s="1"/>
      <c r="F260" s="69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4"/>
      <c r="AI260" s="14"/>
      <c r="AJ260" s="14"/>
      <c r="AK260" s="14"/>
      <c r="AL260" s="14"/>
      <c r="AM260" s="14"/>
    </row>
    <row r="261" ht="14.25" customHeight="1">
      <c r="A261" s="1"/>
      <c r="B261" s="1"/>
      <c r="C261" s="1"/>
      <c r="D261" s="1"/>
      <c r="E261" s="1"/>
      <c r="F261" s="69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4"/>
      <c r="AI261" s="14"/>
      <c r="AJ261" s="14"/>
      <c r="AK261" s="14"/>
      <c r="AL261" s="14"/>
      <c r="AM261" s="14"/>
    </row>
    <row r="262" ht="14.25" customHeight="1">
      <c r="A262" s="1"/>
      <c r="B262" s="1"/>
      <c r="C262" s="1"/>
      <c r="D262" s="1"/>
      <c r="E262" s="1"/>
      <c r="F262" s="69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4"/>
      <c r="AI262" s="14"/>
      <c r="AJ262" s="14"/>
      <c r="AK262" s="14"/>
      <c r="AL262" s="14"/>
      <c r="AM262" s="14"/>
    </row>
    <row r="263" ht="14.25" customHeight="1">
      <c r="A263" s="1"/>
      <c r="B263" s="1"/>
      <c r="C263" s="1"/>
      <c r="D263" s="1"/>
      <c r="E263" s="1"/>
      <c r="F263" s="69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4"/>
      <c r="AI263" s="14"/>
      <c r="AJ263" s="14"/>
      <c r="AK263" s="14"/>
      <c r="AL263" s="14"/>
      <c r="AM263" s="14"/>
    </row>
    <row r="264" ht="14.25" customHeight="1">
      <c r="A264" s="1"/>
      <c r="B264" s="1"/>
      <c r="C264" s="1"/>
      <c r="D264" s="1"/>
      <c r="E264" s="1"/>
      <c r="F264" s="69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4"/>
      <c r="AI264" s="14"/>
      <c r="AJ264" s="14"/>
      <c r="AK264" s="14"/>
      <c r="AL264" s="14"/>
      <c r="AM264" s="14"/>
    </row>
    <row r="265" ht="14.25" customHeight="1">
      <c r="A265" s="1"/>
      <c r="B265" s="1"/>
      <c r="C265" s="1"/>
      <c r="D265" s="1"/>
      <c r="E265" s="1"/>
      <c r="F265" s="69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4"/>
      <c r="AI265" s="14"/>
      <c r="AJ265" s="14"/>
      <c r="AK265" s="14"/>
      <c r="AL265" s="14"/>
      <c r="AM265" s="14"/>
    </row>
    <row r="266" ht="14.25" customHeight="1">
      <c r="A266" s="1"/>
      <c r="B266" s="1"/>
      <c r="C266" s="1"/>
      <c r="D266" s="1"/>
      <c r="E266" s="1"/>
      <c r="F266" s="69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4"/>
      <c r="AI266" s="14"/>
      <c r="AJ266" s="14"/>
      <c r="AK266" s="14"/>
      <c r="AL266" s="14"/>
      <c r="AM266" s="14"/>
    </row>
    <row r="267" ht="14.25" customHeight="1">
      <c r="A267" s="1"/>
      <c r="B267" s="1"/>
      <c r="C267" s="1"/>
      <c r="D267" s="1"/>
      <c r="E267" s="1"/>
      <c r="F267" s="69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4"/>
      <c r="AI267" s="14"/>
      <c r="AJ267" s="14"/>
      <c r="AK267" s="14"/>
      <c r="AL267" s="14"/>
      <c r="AM267" s="14"/>
    </row>
    <row r="268" ht="14.25" customHeight="1">
      <c r="A268" s="1"/>
      <c r="B268" s="1"/>
      <c r="C268" s="1"/>
      <c r="D268" s="1"/>
      <c r="E268" s="1"/>
      <c r="F268" s="69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4"/>
      <c r="AI268" s="14"/>
      <c r="AJ268" s="14"/>
      <c r="AK268" s="14"/>
      <c r="AL268" s="14"/>
      <c r="AM268" s="14"/>
    </row>
    <row r="269" ht="14.25" customHeight="1">
      <c r="A269" s="1"/>
      <c r="B269" s="1"/>
      <c r="C269" s="1"/>
      <c r="D269" s="1"/>
      <c r="E269" s="1"/>
      <c r="F269" s="69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4"/>
      <c r="AI269" s="14"/>
      <c r="AJ269" s="14"/>
      <c r="AK269" s="14"/>
      <c r="AL269" s="14"/>
      <c r="AM269" s="14"/>
    </row>
    <row r="270" ht="14.25" customHeight="1">
      <c r="A270" s="1"/>
      <c r="B270" s="1"/>
      <c r="C270" s="1"/>
      <c r="D270" s="1"/>
      <c r="E270" s="1"/>
      <c r="F270" s="69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4"/>
      <c r="AI270" s="14"/>
      <c r="AJ270" s="14"/>
      <c r="AK270" s="14"/>
      <c r="AL270" s="14"/>
      <c r="AM270" s="14"/>
    </row>
    <row r="271" ht="14.25" customHeight="1">
      <c r="A271" s="1"/>
      <c r="B271" s="1"/>
      <c r="C271" s="1"/>
      <c r="D271" s="1"/>
      <c r="E271" s="1"/>
      <c r="F271" s="69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4"/>
      <c r="AI271" s="14"/>
      <c r="AJ271" s="14"/>
      <c r="AK271" s="14"/>
      <c r="AL271" s="14"/>
      <c r="AM271" s="14"/>
    </row>
    <row r="272" ht="14.25" customHeight="1">
      <c r="A272" s="1"/>
      <c r="B272" s="1"/>
      <c r="C272" s="1"/>
      <c r="D272" s="1"/>
      <c r="E272" s="1"/>
      <c r="F272" s="69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4"/>
      <c r="AI272" s="14"/>
      <c r="AJ272" s="14"/>
      <c r="AK272" s="14"/>
      <c r="AL272" s="14"/>
      <c r="AM272" s="14"/>
    </row>
    <row r="273" ht="14.25" customHeight="1">
      <c r="A273" s="1"/>
      <c r="B273" s="1"/>
      <c r="C273" s="1"/>
      <c r="D273" s="1"/>
      <c r="E273" s="1"/>
      <c r="F273" s="69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4"/>
      <c r="AI273" s="14"/>
      <c r="AJ273" s="14"/>
      <c r="AK273" s="14"/>
      <c r="AL273" s="14"/>
      <c r="AM273" s="14"/>
    </row>
    <row r="274" ht="14.25" customHeight="1">
      <c r="A274" s="1"/>
      <c r="B274" s="1"/>
      <c r="C274" s="1"/>
      <c r="D274" s="1"/>
      <c r="E274" s="1"/>
      <c r="F274" s="69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4"/>
      <c r="AI274" s="14"/>
      <c r="AJ274" s="14"/>
      <c r="AK274" s="14"/>
      <c r="AL274" s="14"/>
      <c r="AM274" s="14"/>
    </row>
    <row r="275" ht="14.25" customHeight="1">
      <c r="A275" s="1"/>
      <c r="B275" s="1"/>
      <c r="C275" s="1"/>
      <c r="D275" s="1"/>
      <c r="E275" s="1"/>
      <c r="F275" s="69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4"/>
      <c r="AI275" s="14"/>
      <c r="AJ275" s="14"/>
      <c r="AK275" s="14"/>
      <c r="AL275" s="14"/>
      <c r="AM275" s="14"/>
    </row>
    <row r="276" ht="14.25" customHeight="1">
      <c r="A276" s="1"/>
      <c r="B276" s="1"/>
      <c r="C276" s="1"/>
      <c r="D276" s="1"/>
      <c r="E276" s="1"/>
      <c r="F276" s="69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4"/>
      <c r="AI276" s="14"/>
      <c r="AJ276" s="14"/>
      <c r="AK276" s="14"/>
      <c r="AL276" s="14"/>
      <c r="AM276" s="14"/>
    </row>
    <row r="277" ht="14.25" customHeight="1">
      <c r="A277" s="1"/>
      <c r="B277" s="1"/>
      <c r="C277" s="1"/>
      <c r="D277" s="1"/>
      <c r="E277" s="1"/>
      <c r="F277" s="69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4"/>
      <c r="AI277" s="14"/>
      <c r="AJ277" s="14"/>
      <c r="AK277" s="14"/>
      <c r="AL277" s="14"/>
      <c r="AM277" s="14"/>
    </row>
    <row r="278" ht="14.25" customHeight="1">
      <c r="A278" s="1"/>
      <c r="B278" s="1"/>
      <c r="C278" s="1"/>
      <c r="D278" s="1"/>
      <c r="E278" s="1"/>
      <c r="F278" s="69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4"/>
      <c r="AI278" s="14"/>
      <c r="AJ278" s="14"/>
      <c r="AK278" s="14"/>
      <c r="AL278" s="14"/>
      <c r="AM278" s="14"/>
    </row>
    <row r="279" ht="14.25" customHeight="1">
      <c r="A279" s="1"/>
      <c r="B279" s="1"/>
      <c r="C279" s="1"/>
      <c r="D279" s="1"/>
      <c r="E279" s="1"/>
      <c r="F279" s="69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4"/>
      <c r="AI279" s="14"/>
      <c r="AJ279" s="14"/>
      <c r="AK279" s="14"/>
      <c r="AL279" s="14"/>
      <c r="AM279" s="14"/>
    </row>
    <row r="280" ht="14.25" customHeight="1">
      <c r="A280" s="1"/>
      <c r="B280" s="1"/>
      <c r="C280" s="1"/>
      <c r="D280" s="1"/>
      <c r="E280" s="1"/>
      <c r="F280" s="69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4"/>
      <c r="AI280" s="14"/>
      <c r="AJ280" s="14"/>
      <c r="AK280" s="14"/>
      <c r="AL280" s="14"/>
      <c r="AM280" s="14"/>
    </row>
    <row r="281" ht="14.25" customHeight="1">
      <c r="A281" s="1"/>
      <c r="B281" s="1"/>
      <c r="C281" s="1"/>
      <c r="D281" s="1"/>
      <c r="E281" s="1"/>
      <c r="F281" s="69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4"/>
      <c r="AI281" s="14"/>
      <c r="AJ281" s="14"/>
      <c r="AK281" s="14"/>
      <c r="AL281" s="14"/>
      <c r="AM281" s="14"/>
    </row>
    <row r="282" ht="14.25" customHeight="1">
      <c r="A282" s="1"/>
      <c r="B282" s="1"/>
      <c r="C282" s="1"/>
      <c r="D282" s="1"/>
      <c r="E282" s="1"/>
      <c r="F282" s="69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4"/>
      <c r="AI282" s="14"/>
      <c r="AJ282" s="14"/>
      <c r="AK282" s="14"/>
      <c r="AL282" s="14"/>
      <c r="AM282" s="14"/>
    </row>
    <row r="283" ht="14.25" customHeight="1">
      <c r="A283" s="1"/>
      <c r="B283" s="1"/>
      <c r="C283" s="1"/>
      <c r="D283" s="1"/>
      <c r="E283" s="1"/>
      <c r="F283" s="69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4"/>
      <c r="AI283" s="14"/>
      <c r="AJ283" s="14"/>
      <c r="AK283" s="14"/>
      <c r="AL283" s="14"/>
      <c r="AM283" s="14"/>
    </row>
    <row r="284" ht="14.25" customHeight="1">
      <c r="A284" s="1"/>
      <c r="B284" s="1"/>
      <c r="C284" s="1"/>
      <c r="D284" s="1"/>
      <c r="E284" s="1"/>
      <c r="F284" s="69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4"/>
      <c r="AI284" s="14"/>
      <c r="AJ284" s="14"/>
      <c r="AK284" s="14"/>
      <c r="AL284" s="14"/>
      <c r="AM284" s="14"/>
    </row>
    <row r="285" ht="14.25" customHeight="1">
      <c r="A285" s="1"/>
      <c r="B285" s="1"/>
      <c r="C285" s="1"/>
      <c r="D285" s="1"/>
      <c r="E285" s="1"/>
      <c r="F285" s="69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4"/>
      <c r="AI285" s="14"/>
      <c r="AJ285" s="14"/>
      <c r="AK285" s="14"/>
      <c r="AL285" s="14"/>
      <c r="AM285" s="14"/>
    </row>
    <row r="286" ht="14.25" customHeight="1">
      <c r="A286" s="1"/>
      <c r="B286" s="1"/>
      <c r="C286" s="1"/>
      <c r="D286" s="1"/>
      <c r="E286" s="1"/>
      <c r="F286" s="69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4"/>
      <c r="AI286" s="14"/>
      <c r="AJ286" s="14"/>
      <c r="AK286" s="14"/>
      <c r="AL286" s="14"/>
      <c r="AM286" s="14"/>
    </row>
    <row r="287" ht="14.25" customHeight="1">
      <c r="A287" s="1"/>
      <c r="B287" s="1"/>
      <c r="C287" s="1"/>
      <c r="D287" s="1"/>
      <c r="E287" s="1"/>
      <c r="F287" s="69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4"/>
      <c r="AI287" s="14"/>
      <c r="AJ287" s="14"/>
      <c r="AK287" s="14"/>
      <c r="AL287" s="14"/>
      <c r="AM287" s="14"/>
    </row>
    <row r="288" ht="14.25" customHeight="1">
      <c r="A288" s="1"/>
      <c r="B288" s="1"/>
      <c r="C288" s="1"/>
      <c r="D288" s="1"/>
      <c r="E288" s="1"/>
      <c r="F288" s="69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4"/>
      <c r="AI288" s="14"/>
      <c r="AJ288" s="14"/>
      <c r="AK288" s="14"/>
      <c r="AL288" s="14"/>
      <c r="AM288" s="14"/>
    </row>
    <row r="289" ht="14.25" customHeight="1">
      <c r="A289" s="1"/>
      <c r="B289" s="1"/>
      <c r="C289" s="1"/>
      <c r="D289" s="1"/>
      <c r="E289" s="1"/>
      <c r="F289" s="69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4"/>
      <c r="AI289" s="14"/>
      <c r="AJ289" s="14"/>
      <c r="AK289" s="14"/>
      <c r="AL289" s="14"/>
      <c r="AM289" s="14"/>
    </row>
    <row r="290" ht="14.25" customHeight="1">
      <c r="A290" s="1"/>
      <c r="B290" s="1"/>
      <c r="C290" s="1"/>
      <c r="D290" s="1"/>
      <c r="E290" s="1"/>
      <c r="F290" s="69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4"/>
      <c r="AI290" s="14"/>
      <c r="AJ290" s="14"/>
      <c r="AK290" s="14"/>
      <c r="AL290" s="14"/>
      <c r="AM290" s="14"/>
    </row>
    <row r="291" ht="14.25" customHeight="1">
      <c r="A291" s="1"/>
      <c r="B291" s="1"/>
      <c r="C291" s="1"/>
      <c r="D291" s="1"/>
      <c r="E291" s="1"/>
      <c r="F291" s="69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4"/>
      <c r="AI291" s="14"/>
      <c r="AJ291" s="14"/>
      <c r="AK291" s="14"/>
      <c r="AL291" s="14"/>
      <c r="AM291" s="14"/>
    </row>
    <row r="292" ht="14.25" customHeight="1">
      <c r="A292" s="1"/>
      <c r="B292" s="1"/>
      <c r="C292" s="1"/>
      <c r="D292" s="1"/>
      <c r="E292" s="1"/>
      <c r="F292" s="69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4"/>
      <c r="AI292" s="14"/>
      <c r="AJ292" s="14"/>
      <c r="AK292" s="14"/>
      <c r="AL292" s="14"/>
      <c r="AM292" s="14"/>
    </row>
    <row r="293" ht="14.25" customHeight="1">
      <c r="A293" s="1"/>
      <c r="B293" s="1"/>
      <c r="C293" s="1"/>
      <c r="D293" s="1"/>
      <c r="E293" s="1"/>
      <c r="F293" s="69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4"/>
      <c r="AI293" s="14"/>
      <c r="AJ293" s="14"/>
      <c r="AK293" s="14"/>
      <c r="AL293" s="14"/>
      <c r="AM293" s="14"/>
    </row>
    <row r="294" ht="14.25" customHeight="1">
      <c r="A294" s="1"/>
      <c r="B294" s="1"/>
      <c r="C294" s="1"/>
      <c r="D294" s="1"/>
      <c r="E294" s="1"/>
      <c r="F294" s="69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4"/>
      <c r="AI294" s="14"/>
      <c r="AJ294" s="14"/>
      <c r="AK294" s="14"/>
      <c r="AL294" s="14"/>
      <c r="AM294" s="14"/>
    </row>
    <row r="295" ht="14.25" customHeight="1">
      <c r="A295" s="1"/>
      <c r="B295" s="1"/>
      <c r="C295" s="1"/>
      <c r="D295" s="1"/>
      <c r="E295" s="1"/>
      <c r="F295" s="69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4"/>
      <c r="AI295" s="14"/>
      <c r="AJ295" s="14"/>
      <c r="AK295" s="14"/>
      <c r="AL295" s="14"/>
      <c r="AM295" s="14"/>
    </row>
    <row r="296" ht="14.25" customHeight="1">
      <c r="A296" s="1"/>
      <c r="B296" s="1"/>
      <c r="C296" s="1"/>
      <c r="D296" s="1"/>
      <c r="E296" s="1"/>
      <c r="F296" s="69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4"/>
      <c r="AI296" s="14"/>
      <c r="AJ296" s="14"/>
      <c r="AK296" s="14"/>
      <c r="AL296" s="14"/>
      <c r="AM296" s="14"/>
    </row>
    <row r="297" ht="14.25" customHeight="1">
      <c r="A297" s="1"/>
      <c r="B297" s="1"/>
      <c r="C297" s="1"/>
      <c r="D297" s="1"/>
      <c r="E297" s="1"/>
      <c r="F297" s="69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4"/>
      <c r="AI297" s="14"/>
      <c r="AJ297" s="14"/>
      <c r="AK297" s="14"/>
      <c r="AL297" s="14"/>
      <c r="AM297" s="14"/>
    </row>
    <row r="298" ht="14.25" customHeight="1">
      <c r="A298" s="1"/>
      <c r="B298" s="1"/>
      <c r="C298" s="1"/>
      <c r="D298" s="1"/>
      <c r="E298" s="1"/>
      <c r="F298" s="69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4"/>
      <c r="AI298" s="14"/>
      <c r="AJ298" s="14"/>
      <c r="AK298" s="14"/>
      <c r="AL298" s="14"/>
      <c r="AM298" s="14"/>
    </row>
    <row r="299" ht="14.25" customHeight="1">
      <c r="A299" s="1"/>
      <c r="B299" s="1"/>
      <c r="C299" s="1"/>
      <c r="D299" s="1"/>
      <c r="E299" s="1"/>
      <c r="F299" s="69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4"/>
      <c r="AI299" s="14"/>
      <c r="AJ299" s="14"/>
      <c r="AK299" s="14"/>
      <c r="AL299" s="14"/>
      <c r="AM299" s="14"/>
    </row>
    <row r="300" ht="14.25" customHeight="1">
      <c r="A300" s="1"/>
      <c r="B300" s="1"/>
      <c r="C300" s="1"/>
      <c r="D300" s="1"/>
      <c r="E300" s="1"/>
      <c r="F300" s="69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4"/>
      <c r="AI300" s="14"/>
      <c r="AJ300" s="14"/>
      <c r="AK300" s="14"/>
      <c r="AL300" s="14"/>
      <c r="AM300" s="14"/>
    </row>
    <row r="301" ht="14.25" customHeight="1">
      <c r="A301" s="1"/>
      <c r="B301" s="1"/>
      <c r="C301" s="1"/>
      <c r="D301" s="1"/>
      <c r="E301" s="1"/>
      <c r="F301" s="69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4"/>
      <c r="AI301" s="14"/>
      <c r="AJ301" s="14"/>
      <c r="AK301" s="14"/>
      <c r="AL301" s="14"/>
      <c r="AM301" s="14"/>
    </row>
    <row r="302" ht="14.25" customHeight="1">
      <c r="A302" s="1"/>
      <c r="B302" s="1"/>
      <c r="C302" s="1"/>
      <c r="D302" s="1"/>
      <c r="E302" s="1"/>
      <c r="F302" s="69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4"/>
      <c r="AI302" s="14"/>
      <c r="AJ302" s="14"/>
      <c r="AK302" s="14"/>
      <c r="AL302" s="14"/>
      <c r="AM302" s="14"/>
    </row>
    <row r="303" ht="14.25" customHeight="1">
      <c r="A303" s="1"/>
      <c r="B303" s="1"/>
      <c r="C303" s="1"/>
      <c r="D303" s="1"/>
      <c r="E303" s="1"/>
      <c r="F303" s="69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4"/>
      <c r="AI303" s="14"/>
      <c r="AJ303" s="14"/>
      <c r="AK303" s="14"/>
      <c r="AL303" s="14"/>
      <c r="AM303" s="14"/>
    </row>
    <row r="304" ht="14.25" customHeight="1">
      <c r="A304" s="1"/>
      <c r="B304" s="1"/>
      <c r="C304" s="1"/>
      <c r="D304" s="1"/>
      <c r="E304" s="1"/>
      <c r="F304" s="69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4"/>
      <c r="AI304" s="14"/>
      <c r="AJ304" s="14"/>
      <c r="AK304" s="14"/>
      <c r="AL304" s="14"/>
      <c r="AM304" s="14"/>
    </row>
    <row r="305" ht="14.25" customHeight="1">
      <c r="A305" s="1"/>
      <c r="B305" s="1"/>
      <c r="C305" s="1"/>
      <c r="D305" s="1"/>
      <c r="E305" s="1"/>
      <c r="F305" s="69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4"/>
      <c r="AI305" s="14"/>
      <c r="AJ305" s="14"/>
      <c r="AK305" s="14"/>
      <c r="AL305" s="14"/>
      <c r="AM305" s="14"/>
    </row>
    <row r="306" ht="14.25" customHeight="1">
      <c r="A306" s="1"/>
      <c r="B306" s="1"/>
      <c r="C306" s="1"/>
      <c r="D306" s="1"/>
      <c r="E306" s="1"/>
      <c r="F306" s="69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4"/>
      <c r="AI306" s="14"/>
      <c r="AJ306" s="14"/>
      <c r="AK306" s="14"/>
      <c r="AL306" s="14"/>
      <c r="AM306" s="14"/>
    </row>
    <row r="307" ht="14.25" customHeight="1">
      <c r="A307" s="1"/>
      <c r="B307" s="1"/>
      <c r="C307" s="1"/>
      <c r="D307" s="1"/>
      <c r="E307" s="1"/>
      <c r="F307" s="69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4"/>
      <c r="AI307" s="14"/>
      <c r="AJ307" s="14"/>
      <c r="AK307" s="14"/>
      <c r="AL307" s="14"/>
      <c r="AM307" s="14"/>
    </row>
    <row r="308" ht="14.25" customHeight="1">
      <c r="A308" s="1"/>
      <c r="B308" s="1"/>
      <c r="C308" s="1"/>
      <c r="D308" s="1"/>
      <c r="E308" s="1"/>
      <c r="F308" s="69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4"/>
      <c r="AI308" s="14"/>
      <c r="AJ308" s="14"/>
      <c r="AK308" s="14"/>
      <c r="AL308" s="14"/>
      <c r="AM308" s="14"/>
    </row>
    <row r="309" ht="14.25" customHeight="1">
      <c r="A309" s="1"/>
      <c r="B309" s="1"/>
      <c r="C309" s="1"/>
      <c r="D309" s="1"/>
      <c r="E309" s="1"/>
      <c r="F309" s="69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4"/>
      <c r="AI309" s="14"/>
      <c r="AJ309" s="14"/>
      <c r="AK309" s="14"/>
      <c r="AL309" s="14"/>
      <c r="AM309" s="14"/>
    </row>
    <row r="310" ht="14.25" customHeight="1">
      <c r="A310" s="1"/>
      <c r="B310" s="1"/>
      <c r="C310" s="1"/>
      <c r="D310" s="1"/>
      <c r="E310" s="1"/>
      <c r="F310" s="69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4"/>
      <c r="AI310" s="14"/>
      <c r="AJ310" s="14"/>
      <c r="AK310" s="14"/>
      <c r="AL310" s="14"/>
      <c r="AM310" s="14"/>
    </row>
    <row r="311" ht="14.25" customHeight="1">
      <c r="A311" s="1"/>
      <c r="B311" s="1"/>
      <c r="C311" s="1"/>
      <c r="D311" s="1"/>
      <c r="E311" s="1"/>
      <c r="F311" s="69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4"/>
      <c r="AI311" s="14"/>
      <c r="AJ311" s="14"/>
      <c r="AK311" s="14"/>
      <c r="AL311" s="14"/>
      <c r="AM311" s="14"/>
    </row>
    <row r="312" ht="14.25" customHeight="1">
      <c r="A312" s="1"/>
      <c r="B312" s="1"/>
      <c r="C312" s="1"/>
      <c r="D312" s="1"/>
      <c r="E312" s="1"/>
      <c r="F312" s="69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4"/>
      <c r="AI312" s="14"/>
      <c r="AJ312" s="14"/>
      <c r="AK312" s="14"/>
      <c r="AL312" s="14"/>
      <c r="AM312" s="14"/>
    </row>
    <row r="313" ht="14.25" customHeight="1">
      <c r="A313" s="1"/>
      <c r="B313" s="1"/>
      <c r="C313" s="1"/>
      <c r="D313" s="1"/>
      <c r="E313" s="1"/>
      <c r="F313" s="69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4"/>
      <c r="AI313" s="14"/>
      <c r="AJ313" s="14"/>
      <c r="AK313" s="14"/>
      <c r="AL313" s="14"/>
      <c r="AM313" s="14"/>
    </row>
    <row r="314" ht="14.25" customHeight="1">
      <c r="A314" s="1"/>
      <c r="B314" s="1"/>
      <c r="C314" s="1"/>
      <c r="D314" s="1"/>
      <c r="E314" s="1"/>
      <c r="F314" s="69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4"/>
      <c r="AI314" s="14"/>
      <c r="AJ314" s="14"/>
      <c r="AK314" s="14"/>
      <c r="AL314" s="14"/>
      <c r="AM314" s="14"/>
    </row>
    <row r="315" ht="14.25" customHeight="1">
      <c r="A315" s="1"/>
      <c r="B315" s="1"/>
      <c r="C315" s="1"/>
      <c r="D315" s="1"/>
      <c r="E315" s="1"/>
      <c r="F315" s="69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4"/>
      <c r="AI315" s="14"/>
      <c r="AJ315" s="14"/>
      <c r="AK315" s="14"/>
      <c r="AL315" s="14"/>
      <c r="AM315" s="14"/>
    </row>
    <row r="316" ht="14.25" customHeight="1">
      <c r="A316" s="1"/>
      <c r="B316" s="1"/>
      <c r="C316" s="1"/>
      <c r="D316" s="1"/>
      <c r="E316" s="1"/>
      <c r="F316" s="69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4"/>
      <c r="AI316" s="14"/>
      <c r="AJ316" s="14"/>
      <c r="AK316" s="14"/>
      <c r="AL316" s="14"/>
      <c r="AM316" s="14"/>
    </row>
    <row r="317" ht="14.25" customHeight="1">
      <c r="A317" s="1"/>
      <c r="B317" s="1"/>
      <c r="C317" s="1"/>
      <c r="D317" s="1"/>
      <c r="E317" s="1"/>
      <c r="F317" s="69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4"/>
      <c r="AI317" s="14"/>
      <c r="AJ317" s="14"/>
      <c r="AK317" s="14"/>
      <c r="AL317" s="14"/>
      <c r="AM317" s="14"/>
    </row>
    <row r="318" ht="14.25" customHeight="1">
      <c r="A318" s="1"/>
      <c r="B318" s="1"/>
      <c r="C318" s="1"/>
      <c r="D318" s="1"/>
      <c r="E318" s="1"/>
      <c r="F318" s="69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4"/>
      <c r="AI318" s="14"/>
      <c r="AJ318" s="14"/>
      <c r="AK318" s="14"/>
      <c r="AL318" s="14"/>
      <c r="AM318" s="14"/>
    </row>
    <row r="319" ht="14.25" customHeight="1">
      <c r="A319" s="1"/>
      <c r="B319" s="1"/>
      <c r="C319" s="1"/>
      <c r="D319" s="1"/>
      <c r="E319" s="1"/>
      <c r="F319" s="69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4"/>
      <c r="AI319" s="14"/>
      <c r="AJ319" s="14"/>
      <c r="AK319" s="14"/>
      <c r="AL319" s="14"/>
      <c r="AM319" s="14"/>
    </row>
    <row r="320" ht="14.25" customHeight="1">
      <c r="A320" s="1"/>
      <c r="B320" s="1"/>
      <c r="C320" s="1"/>
      <c r="D320" s="1"/>
      <c r="E320" s="1"/>
      <c r="F320" s="69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4"/>
      <c r="AI320" s="14"/>
      <c r="AJ320" s="14"/>
      <c r="AK320" s="14"/>
      <c r="AL320" s="14"/>
      <c r="AM320" s="14"/>
    </row>
    <row r="321" ht="14.25" customHeight="1">
      <c r="A321" s="1"/>
      <c r="B321" s="1"/>
      <c r="C321" s="1"/>
      <c r="D321" s="1"/>
      <c r="E321" s="1"/>
      <c r="F321" s="69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4"/>
      <c r="AI321" s="14"/>
      <c r="AJ321" s="14"/>
      <c r="AK321" s="14"/>
      <c r="AL321" s="14"/>
      <c r="AM321" s="14"/>
    </row>
    <row r="322" ht="14.25" customHeight="1">
      <c r="A322" s="1"/>
      <c r="B322" s="1"/>
      <c r="C322" s="1"/>
      <c r="D322" s="1"/>
      <c r="E322" s="1"/>
      <c r="F322" s="69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4"/>
      <c r="AI322" s="14"/>
      <c r="AJ322" s="14"/>
      <c r="AK322" s="14"/>
      <c r="AL322" s="14"/>
      <c r="AM322" s="14"/>
    </row>
    <row r="323" ht="14.25" customHeight="1">
      <c r="A323" s="1"/>
      <c r="B323" s="1"/>
      <c r="C323" s="1"/>
      <c r="D323" s="1"/>
      <c r="E323" s="1"/>
      <c r="F323" s="69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4"/>
      <c r="AI323" s="14"/>
      <c r="AJ323" s="14"/>
      <c r="AK323" s="14"/>
      <c r="AL323" s="14"/>
      <c r="AM323" s="14"/>
    </row>
    <row r="324" ht="14.25" customHeight="1">
      <c r="A324" s="1"/>
      <c r="B324" s="1"/>
      <c r="C324" s="1"/>
      <c r="D324" s="1"/>
      <c r="E324" s="1"/>
      <c r="F324" s="69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4"/>
      <c r="AI324" s="14"/>
      <c r="AJ324" s="14"/>
      <c r="AK324" s="14"/>
      <c r="AL324" s="14"/>
      <c r="AM324" s="14"/>
    </row>
    <row r="325" ht="14.25" customHeight="1">
      <c r="A325" s="1"/>
      <c r="B325" s="1"/>
      <c r="C325" s="1"/>
      <c r="D325" s="1"/>
      <c r="E325" s="1"/>
      <c r="F325" s="69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4"/>
      <c r="AI325" s="14"/>
      <c r="AJ325" s="14"/>
      <c r="AK325" s="14"/>
      <c r="AL325" s="14"/>
      <c r="AM325" s="14"/>
    </row>
    <row r="326" ht="14.25" customHeight="1">
      <c r="A326" s="1"/>
      <c r="B326" s="1"/>
      <c r="C326" s="1"/>
      <c r="D326" s="1"/>
      <c r="E326" s="1"/>
      <c r="F326" s="69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4"/>
      <c r="AI326" s="14"/>
      <c r="AJ326" s="14"/>
      <c r="AK326" s="14"/>
      <c r="AL326" s="14"/>
      <c r="AM326" s="14"/>
    </row>
    <row r="327" ht="14.25" customHeight="1">
      <c r="A327" s="1"/>
      <c r="B327" s="1"/>
      <c r="C327" s="1"/>
      <c r="D327" s="1"/>
      <c r="E327" s="1"/>
      <c r="F327" s="69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4"/>
      <c r="AI327" s="14"/>
      <c r="AJ327" s="14"/>
      <c r="AK327" s="14"/>
      <c r="AL327" s="14"/>
      <c r="AM327" s="14"/>
    </row>
    <row r="328" ht="14.25" customHeight="1">
      <c r="A328" s="1"/>
      <c r="B328" s="1"/>
      <c r="C328" s="1"/>
      <c r="D328" s="1"/>
      <c r="E328" s="1"/>
      <c r="F328" s="69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4"/>
      <c r="AI328" s="14"/>
      <c r="AJ328" s="14"/>
      <c r="AK328" s="14"/>
      <c r="AL328" s="14"/>
      <c r="AM328" s="14"/>
    </row>
    <row r="329" ht="14.25" customHeight="1">
      <c r="A329" s="1"/>
      <c r="B329" s="1"/>
      <c r="C329" s="1"/>
      <c r="D329" s="1"/>
      <c r="E329" s="1"/>
      <c r="F329" s="69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4"/>
      <c r="AI329" s="14"/>
      <c r="AJ329" s="14"/>
      <c r="AK329" s="14"/>
      <c r="AL329" s="14"/>
      <c r="AM329" s="14"/>
    </row>
    <row r="330" ht="14.25" customHeight="1">
      <c r="A330" s="1"/>
      <c r="B330" s="1"/>
      <c r="C330" s="1"/>
      <c r="D330" s="1"/>
      <c r="E330" s="1"/>
      <c r="F330" s="69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4"/>
      <c r="AI330" s="14"/>
      <c r="AJ330" s="14"/>
      <c r="AK330" s="14"/>
      <c r="AL330" s="14"/>
      <c r="AM330" s="14"/>
    </row>
    <row r="331" ht="14.25" customHeight="1">
      <c r="A331" s="1"/>
      <c r="B331" s="1"/>
      <c r="C331" s="1"/>
      <c r="D331" s="1"/>
      <c r="E331" s="1"/>
      <c r="F331" s="69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4"/>
      <c r="AI331" s="14"/>
      <c r="AJ331" s="14"/>
      <c r="AK331" s="14"/>
      <c r="AL331" s="14"/>
      <c r="AM331" s="14"/>
    </row>
    <row r="332" ht="14.25" customHeight="1">
      <c r="A332" s="1"/>
      <c r="B332" s="1"/>
      <c r="C332" s="1"/>
      <c r="D332" s="1"/>
      <c r="E332" s="1"/>
      <c r="F332" s="69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4"/>
      <c r="AI332" s="14"/>
      <c r="AJ332" s="14"/>
      <c r="AK332" s="14"/>
      <c r="AL332" s="14"/>
      <c r="AM332" s="14"/>
    </row>
    <row r="333" ht="14.25" customHeight="1">
      <c r="A333" s="1"/>
      <c r="B333" s="1"/>
      <c r="C333" s="1"/>
      <c r="D333" s="1"/>
      <c r="E333" s="1"/>
      <c r="F333" s="69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4"/>
      <c r="AI333" s="14"/>
      <c r="AJ333" s="14"/>
      <c r="AK333" s="14"/>
      <c r="AL333" s="14"/>
      <c r="AM333" s="14"/>
    </row>
    <row r="334" ht="14.25" customHeight="1">
      <c r="A334" s="1"/>
      <c r="B334" s="1"/>
      <c r="C334" s="1"/>
      <c r="D334" s="1"/>
      <c r="E334" s="1"/>
      <c r="F334" s="69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4"/>
      <c r="AI334" s="14"/>
      <c r="AJ334" s="14"/>
      <c r="AK334" s="14"/>
      <c r="AL334" s="14"/>
      <c r="AM334" s="14"/>
    </row>
    <row r="335" ht="14.25" customHeight="1">
      <c r="A335" s="1"/>
      <c r="B335" s="1"/>
      <c r="C335" s="1"/>
      <c r="D335" s="1"/>
      <c r="E335" s="1"/>
      <c r="F335" s="69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4"/>
      <c r="AI335" s="14"/>
      <c r="AJ335" s="14"/>
      <c r="AK335" s="14"/>
      <c r="AL335" s="14"/>
      <c r="AM335" s="14"/>
    </row>
    <row r="336" ht="14.25" customHeight="1">
      <c r="A336" s="1"/>
      <c r="B336" s="1"/>
      <c r="C336" s="1"/>
      <c r="D336" s="1"/>
      <c r="E336" s="1"/>
      <c r="F336" s="69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4"/>
      <c r="AI336" s="14"/>
      <c r="AJ336" s="14"/>
      <c r="AK336" s="14"/>
      <c r="AL336" s="14"/>
      <c r="AM336" s="14"/>
    </row>
    <row r="337" ht="14.25" customHeight="1">
      <c r="A337" s="1"/>
      <c r="B337" s="1"/>
      <c r="C337" s="1"/>
      <c r="D337" s="1"/>
      <c r="E337" s="1"/>
      <c r="F337" s="69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4"/>
      <c r="AI337" s="14"/>
      <c r="AJ337" s="14"/>
      <c r="AK337" s="14"/>
      <c r="AL337" s="14"/>
      <c r="AM337" s="14"/>
    </row>
    <row r="338" ht="14.25" customHeight="1">
      <c r="A338" s="1"/>
      <c r="B338" s="1"/>
      <c r="C338" s="1"/>
      <c r="D338" s="1"/>
      <c r="E338" s="1"/>
      <c r="F338" s="69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4"/>
      <c r="AI338" s="14"/>
      <c r="AJ338" s="14"/>
      <c r="AK338" s="14"/>
      <c r="AL338" s="14"/>
      <c r="AM338" s="14"/>
    </row>
    <row r="339" ht="14.25" customHeight="1">
      <c r="A339" s="1"/>
      <c r="B339" s="1"/>
      <c r="C339" s="1"/>
      <c r="D339" s="1"/>
      <c r="E339" s="1"/>
      <c r="F339" s="69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4"/>
      <c r="AI339" s="14"/>
      <c r="AJ339" s="14"/>
      <c r="AK339" s="14"/>
      <c r="AL339" s="14"/>
      <c r="AM339" s="14"/>
    </row>
    <row r="340" ht="14.25" customHeight="1">
      <c r="A340" s="1"/>
      <c r="B340" s="1"/>
      <c r="C340" s="1"/>
      <c r="D340" s="1"/>
      <c r="E340" s="1"/>
      <c r="F340" s="69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4"/>
      <c r="AI340" s="14"/>
      <c r="AJ340" s="14"/>
      <c r="AK340" s="14"/>
      <c r="AL340" s="14"/>
      <c r="AM340" s="14"/>
    </row>
    <row r="341" ht="14.25" customHeight="1">
      <c r="A341" s="1"/>
      <c r="B341" s="1"/>
      <c r="C341" s="1"/>
      <c r="D341" s="1"/>
      <c r="E341" s="1"/>
      <c r="F341" s="69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4"/>
      <c r="AI341" s="14"/>
      <c r="AJ341" s="14"/>
      <c r="AK341" s="14"/>
      <c r="AL341" s="14"/>
      <c r="AM341" s="14"/>
    </row>
    <row r="342" ht="14.25" customHeight="1">
      <c r="A342" s="1"/>
      <c r="B342" s="1"/>
      <c r="C342" s="1"/>
      <c r="D342" s="1"/>
      <c r="E342" s="1"/>
      <c r="F342" s="69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4"/>
      <c r="AI342" s="14"/>
      <c r="AJ342" s="14"/>
      <c r="AK342" s="14"/>
      <c r="AL342" s="14"/>
      <c r="AM342" s="14"/>
    </row>
    <row r="343" ht="14.25" customHeight="1">
      <c r="A343" s="1"/>
      <c r="B343" s="1"/>
      <c r="C343" s="1"/>
      <c r="D343" s="1"/>
      <c r="E343" s="1"/>
      <c r="F343" s="69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4"/>
      <c r="AI343" s="14"/>
      <c r="AJ343" s="14"/>
      <c r="AK343" s="14"/>
      <c r="AL343" s="14"/>
      <c r="AM343" s="14"/>
    </row>
    <row r="344" ht="14.25" customHeight="1">
      <c r="A344" s="1"/>
      <c r="B344" s="1"/>
      <c r="C344" s="1"/>
      <c r="D344" s="1"/>
      <c r="E344" s="1"/>
      <c r="F344" s="69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4"/>
      <c r="AI344" s="14"/>
      <c r="AJ344" s="14"/>
      <c r="AK344" s="14"/>
      <c r="AL344" s="14"/>
      <c r="AM344" s="14"/>
    </row>
    <row r="345" ht="14.25" customHeight="1">
      <c r="A345" s="1"/>
      <c r="B345" s="1"/>
      <c r="C345" s="1"/>
      <c r="D345" s="1"/>
      <c r="E345" s="1"/>
      <c r="F345" s="69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4"/>
      <c r="AI345" s="14"/>
      <c r="AJ345" s="14"/>
      <c r="AK345" s="14"/>
      <c r="AL345" s="14"/>
      <c r="AM345" s="14"/>
    </row>
    <row r="346" ht="14.25" customHeight="1">
      <c r="A346" s="1"/>
      <c r="B346" s="1"/>
      <c r="C346" s="1"/>
      <c r="D346" s="1"/>
      <c r="E346" s="1"/>
      <c r="F346" s="69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4"/>
      <c r="AI346" s="14"/>
      <c r="AJ346" s="14"/>
      <c r="AK346" s="14"/>
      <c r="AL346" s="14"/>
      <c r="AM346" s="14"/>
    </row>
    <row r="347" ht="14.25" customHeight="1">
      <c r="A347" s="1"/>
      <c r="B347" s="1"/>
      <c r="C347" s="1"/>
      <c r="D347" s="1"/>
      <c r="E347" s="1"/>
      <c r="F347" s="69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4"/>
      <c r="AI347" s="14"/>
      <c r="AJ347" s="14"/>
      <c r="AK347" s="14"/>
      <c r="AL347" s="14"/>
      <c r="AM347" s="14"/>
    </row>
    <row r="348" ht="14.25" customHeight="1">
      <c r="A348" s="1"/>
      <c r="B348" s="1"/>
      <c r="C348" s="1"/>
      <c r="D348" s="1"/>
      <c r="E348" s="1"/>
      <c r="F348" s="69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4"/>
      <c r="AI348" s="14"/>
      <c r="AJ348" s="14"/>
      <c r="AK348" s="14"/>
      <c r="AL348" s="14"/>
      <c r="AM348" s="14"/>
    </row>
    <row r="349" ht="14.25" customHeight="1">
      <c r="A349" s="1"/>
      <c r="B349" s="1"/>
      <c r="C349" s="1"/>
      <c r="D349" s="1"/>
      <c r="E349" s="1"/>
      <c r="F349" s="69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4"/>
      <c r="AI349" s="14"/>
      <c r="AJ349" s="14"/>
      <c r="AK349" s="14"/>
      <c r="AL349" s="14"/>
      <c r="AM349" s="14"/>
    </row>
    <row r="350" ht="14.25" customHeight="1">
      <c r="A350" s="1"/>
      <c r="B350" s="1"/>
      <c r="C350" s="1"/>
      <c r="D350" s="1"/>
      <c r="E350" s="1"/>
      <c r="F350" s="69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4"/>
      <c r="AI350" s="14"/>
      <c r="AJ350" s="14"/>
      <c r="AK350" s="14"/>
      <c r="AL350" s="14"/>
      <c r="AM350" s="14"/>
    </row>
    <row r="351" ht="14.25" customHeight="1">
      <c r="A351" s="1"/>
      <c r="B351" s="1"/>
      <c r="C351" s="1"/>
      <c r="D351" s="1"/>
      <c r="E351" s="1"/>
      <c r="F351" s="69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4"/>
      <c r="AI351" s="14"/>
      <c r="AJ351" s="14"/>
      <c r="AK351" s="14"/>
      <c r="AL351" s="14"/>
      <c r="AM351" s="14"/>
    </row>
    <row r="352" ht="14.25" customHeight="1">
      <c r="A352" s="1"/>
      <c r="B352" s="1"/>
      <c r="C352" s="1"/>
      <c r="D352" s="1"/>
      <c r="E352" s="1"/>
      <c r="F352" s="69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4"/>
      <c r="AI352" s="14"/>
      <c r="AJ352" s="14"/>
      <c r="AK352" s="14"/>
      <c r="AL352" s="14"/>
      <c r="AM352" s="14"/>
    </row>
    <row r="353" ht="14.25" customHeight="1">
      <c r="A353" s="1"/>
      <c r="B353" s="1"/>
      <c r="C353" s="1"/>
      <c r="D353" s="1"/>
      <c r="E353" s="1"/>
      <c r="F353" s="69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4"/>
      <c r="AI353" s="14"/>
      <c r="AJ353" s="14"/>
      <c r="AK353" s="14"/>
      <c r="AL353" s="14"/>
      <c r="AM353" s="14"/>
    </row>
    <row r="354" ht="14.25" customHeight="1">
      <c r="A354" s="1"/>
      <c r="B354" s="1"/>
      <c r="C354" s="1"/>
      <c r="D354" s="1"/>
      <c r="E354" s="1"/>
      <c r="F354" s="69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4"/>
      <c r="AI354" s="14"/>
      <c r="AJ354" s="14"/>
      <c r="AK354" s="14"/>
      <c r="AL354" s="14"/>
      <c r="AM354" s="14"/>
    </row>
    <row r="355" ht="14.25" customHeight="1">
      <c r="A355" s="1"/>
      <c r="B355" s="1"/>
      <c r="C355" s="1"/>
      <c r="D355" s="1"/>
      <c r="E355" s="1"/>
      <c r="F355" s="69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4"/>
      <c r="AI355" s="14"/>
      <c r="AJ355" s="14"/>
      <c r="AK355" s="14"/>
      <c r="AL355" s="14"/>
      <c r="AM355" s="14"/>
    </row>
    <row r="356" ht="14.25" customHeight="1">
      <c r="A356" s="1"/>
      <c r="B356" s="1"/>
      <c r="C356" s="1"/>
      <c r="D356" s="1"/>
      <c r="E356" s="1"/>
      <c r="F356" s="69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4"/>
      <c r="AI356" s="14"/>
      <c r="AJ356" s="14"/>
      <c r="AK356" s="14"/>
      <c r="AL356" s="14"/>
      <c r="AM356" s="14"/>
    </row>
    <row r="357" ht="14.25" customHeight="1">
      <c r="A357" s="1"/>
      <c r="B357" s="1"/>
      <c r="C357" s="1"/>
      <c r="D357" s="1"/>
      <c r="E357" s="1"/>
      <c r="F357" s="69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4"/>
      <c r="AI357" s="14"/>
      <c r="AJ357" s="14"/>
      <c r="AK357" s="14"/>
      <c r="AL357" s="14"/>
      <c r="AM357" s="14"/>
    </row>
    <row r="358" ht="14.25" customHeight="1">
      <c r="A358" s="1"/>
      <c r="B358" s="1"/>
      <c r="C358" s="1"/>
      <c r="D358" s="1"/>
      <c r="E358" s="1"/>
      <c r="F358" s="69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4"/>
      <c r="AI358" s="14"/>
      <c r="AJ358" s="14"/>
      <c r="AK358" s="14"/>
      <c r="AL358" s="14"/>
      <c r="AM358" s="14"/>
    </row>
    <row r="359" ht="14.25" customHeight="1">
      <c r="A359" s="1"/>
      <c r="B359" s="1"/>
      <c r="C359" s="1"/>
      <c r="D359" s="1"/>
      <c r="E359" s="1"/>
      <c r="F359" s="69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4"/>
      <c r="AI359" s="14"/>
      <c r="AJ359" s="14"/>
      <c r="AK359" s="14"/>
      <c r="AL359" s="14"/>
      <c r="AM359" s="14"/>
    </row>
    <row r="360" ht="14.25" customHeight="1">
      <c r="A360" s="1"/>
      <c r="B360" s="1"/>
      <c r="C360" s="1"/>
      <c r="D360" s="1"/>
      <c r="E360" s="1"/>
      <c r="F360" s="69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4"/>
      <c r="AI360" s="14"/>
      <c r="AJ360" s="14"/>
      <c r="AK360" s="14"/>
      <c r="AL360" s="14"/>
      <c r="AM360" s="14"/>
    </row>
    <row r="361" ht="14.25" customHeight="1">
      <c r="A361" s="1"/>
      <c r="B361" s="1"/>
      <c r="C361" s="1"/>
      <c r="D361" s="1"/>
      <c r="E361" s="1"/>
      <c r="F361" s="69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4"/>
      <c r="AI361" s="14"/>
      <c r="AJ361" s="14"/>
      <c r="AK361" s="14"/>
      <c r="AL361" s="14"/>
      <c r="AM361" s="14"/>
    </row>
    <row r="362" ht="14.25" customHeight="1">
      <c r="A362" s="1"/>
      <c r="B362" s="1"/>
      <c r="C362" s="1"/>
      <c r="D362" s="1"/>
      <c r="E362" s="1"/>
      <c r="F362" s="69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4"/>
      <c r="AI362" s="14"/>
      <c r="AJ362" s="14"/>
      <c r="AK362" s="14"/>
      <c r="AL362" s="14"/>
      <c r="AM362" s="14"/>
    </row>
    <row r="363" ht="14.25" customHeight="1">
      <c r="A363" s="1"/>
      <c r="B363" s="1"/>
      <c r="C363" s="1"/>
      <c r="D363" s="1"/>
      <c r="E363" s="1"/>
      <c r="F363" s="69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4"/>
      <c r="AI363" s="14"/>
      <c r="AJ363" s="14"/>
      <c r="AK363" s="14"/>
      <c r="AL363" s="14"/>
      <c r="AM363" s="14"/>
    </row>
    <row r="364" ht="14.25" customHeight="1">
      <c r="A364" s="1"/>
      <c r="B364" s="1"/>
      <c r="C364" s="1"/>
      <c r="D364" s="1"/>
      <c r="E364" s="1"/>
      <c r="F364" s="69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4"/>
      <c r="AI364" s="14"/>
      <c r="AJ364" s="14"/>
      <c r="AK364" s="14"/>
      <c r="AL364" s="14"/>
      <c r="AM364" s="14"/>
    </row>
    <row r="365" ht="14.25" customHeight="1">
      <c r="A365" s="1"/>
      <c r="B365" s="1"/>
      <c r="C365" s="1"/>
      <c r="D365" s="1"/>
      <c r="E365" s="1"/>
      <c r="F365" s="69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4"/>
      <c r="AI365" s="14"/>
      <c r="AJ365" s="14"/>
      <c r="AK365" s="14"/>
      <c r="AL365" s="14"/>
      <c r="AM365" s="14"/>
    </row>
    <row r="366" ht="14.25" customHeight="1">
      <c r="A366" s="1"/>
      <c r="B366" s="1"/>
      <c r="C366" s="1"/>
      <c r="D366" s="1"/>
      <c r="E366" s="1"/>
      <c r="F366" s="69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4"/>
      <c r="AI366" s="14"/>
      <c r="AJ366" s="14"/>
      <c r="AK366" s="14"/>
      <c r="AL366" s="14"/>
      <c r="AM366" s="14"/>
    </row>
    <row r="367" ht="14.25" customHeight="1">
      <c r="A367" s="1"/>
      <c r="B367" s="1"/>
      <c r="C367" s="1"/>
      <c r="D367" s="1"/>
      <c r="E367" s="1"/>
      <c r="F367" s="69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4"/>
      <c r="AI367" s="14"/>
      <c r="AJ367" s="14"/>
      <c r="AK367" s="14"/>
      <c r="AL367" s="14"/>
      <c r="AM367" s="14"/>
    </row>
    <row r="368" ht="14.25" customHeight="1">
      <c r="A368" s="1"/>
      <c r="B368" s="1"/>
      <c r="C368" s="1"/>
      <c r="D368" s="1"/>
      <c r="E368" s="1"/>
      <c r="F368" s="69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4"/>
      <c r="AI368" s="14"/>
      <c r="AJ368" s="14"/>
      <c r="AK368" s="14"/>
      <c r="AL368" s="14"/>
      <c r="AM368" s="14"/>
    </row>
    <row r="369" ht="14.25" customHeight="1">
      <c r="A369" s="1"/>
      <c r="B369" s="1"/>
      <c r="C369" s="1"/>
      <c r="D369" s="1"/>
      <c r="E369" s="1"/>
      <c r="F369" s="69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4"/>
      <c r="AI369" s="14"/>
      <c r="AJ369" s="14"/>
      <c r="AK369" s="14"/>
      <c r="AL369" s="14"/>
      <c r="AM369" s="14"/>
    </row>
    <row r="370" ht="14.25" customHeight="1">
      <c r="A370" s="1"/>
      <c r="B370" s="1"/>
      <c r="C370" s="1"/>
      <c r="D370" s="1"/>
      <c r="E370" s="1"/>
      <c r="F370" s="69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4"/>
      <c r="AI370" s="14"/>
      <c r="AJ370" s="14"/>
      <c r="AK370" s="14"/>
      <c r="AL370" s="14"/>
      <c r="AM370" s="14"/>
    </row>
    <row r="371" ht="14.25" customHeight="1">
      <c r="A371" s="1"/>
      <c r="B371" s="1"/>
      <c r="C371" s="1"/>
      <c r="D371" s="1"/>
      <c r="E371" s="1"/>
      <c r="F371" s="69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4"/>
      <c r="AI371" s="14"/>
      <c r="AJ371" s="14"/>
      <c r="AK371" s="14"/>
      <c r="AL371" s="14"/>
      <c r="AM371" s="14"/>
    </row>
    <row r="372" ht="14.25" customHeight="1">
      <c r="A372" s="1"/>
      <c r="B372" s="1"/>
      <c r="C372" s="1"/>
      <c r="D372" s="1"/>
      <c r="E372" s="1"/>
      <c r="F372" s="69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4"/>
      <c r="AI372" s="14"/>
      <c r="AJ372" s="14"/>
      <c r="AK372" s="14"/>
      <c r="AL372" s="14"/>
      <c r="AM372" s="14"/>
    </row>
    <row r="373" ht="14.25" customHeight="1">
      <c r="A373" s="1"/>
      <c r="B373" s="1"/>
      <c r="C373" s="1"/>
      <c r="D373" s="1"/>
      <c r="E373" s="1"/>
      <c r="F373" s="69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4"/>
      <c r="AI373" s="14"/>
      <c r="AJ373" s="14"/>
      <c r="AK373" s="14"/>
      <c r="AL373" s="14"/>
      <c r="AM373" s="14"/>
    </row>
    <row r="374" ht="14.25" customHeight="1">
      <c r="A374" s="1"/>
      <c r="B374" s="1"/>
      <c r="C374" s="1"/>
      <c r="D374" s="1"/>
      <c r="E374" s="1"/>
      <c r="F374" s="69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4"/>
      <c r="AI374" s="14"/>
      <c r="AJ374" s="14"/>
      <c r="AK374" s="14"/>
      <c r="AL374" s="14"/>
      <c r="AM374" s="14"/>
    </row>
    <row r="375" ht="14.25" customHeight="1">
      <c r="A375" s="1"/>
      <c r="B375" s="1"/>
      <c r="C375" s="1"/>
      <c r="D375" s="1"/>
      <c r="E375" s="1"/>
      <c r="F375" s="69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4"/>
      <c r="AI375" s="14"/>
      <c r="AJ375" s="14"/>
      <c r="AK375" s="14"/>
      <c r="AL375" s="14"/>
      <c r="AM375" s="14"/>
    </row>
    <row r="376" ht="14.25" customHeight="1">
      <c r="A376" s="1"/>
      <c r="B376" s="1"/>
      <c r="C376" s="1"/>
      <c r="D376" s="1"/>
      <c r="E376" s="1"/>
      <c r="F376" s="69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4"/>
      <c r="AI376" s="14"/>
      <c r="AJ376" s="14"/>
      <c r="AK376" s="14"/>
      <c r="AL376" s="14"/>
      <c r="AM376" s="14"/>
    </row>
    <row r="377" ht="14.25" customHeight="1">
      <c r="A377" s="1"/>
      <c r="B377" s="1"/>
      <c r="C377" s="1"/>
      <c r="D377" s="1"/>
      <c r="E377" s="1"/>
      <c r="F377" s="69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4"/>
      <c r="AI377" s="14"/>
      <c r="AJ377" s="14"/>
      <c r="AK377" s="14"/>
      <c r="AL377" s="14"/>
      <c r="AM377" s="14"/>
    </row>
    <row r="378" ht="14.25" customHeight="1">
      <c r="A378" s="1"/>
      <c r="B378" s="1"/>
      <c r="C378" s="1"/>
      <c r="D378" s="1"/>
      <c r="E378" s="1"/>
      <c r="F378" s="69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4"/>
      <c r="AI378" s="14"/>
      <c r="AJ378" s="14"/>
      <c r="AK378" s="14"/>
      <c r="AL378" s="14"/>
      <c r="AM378" s="14"/>
    </row>
    <row r="379" ht="14.25" customHeight="1">
      <c r="A379" s="1"/>
      <c r="B379" s="1"/>
      <c r="C379" s="1"/>
      <c r="D379" s="1"/>
      <c r="E379" s="1"/>
      <c r="F379" s="69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4"/>
      <c r="AI379" s="14"/>
      <c r="AJ379" s="14"/>
      <c r="AK379" s="14"/>
      <c r="AL379" s="14"/>
      <c r="AM379" s="14"/>
    </row>
    <row r="380" ht="14.25" customHeight="1">
      <c r="A380" s="1"/>
      <c r="B380" s="1"/>
      <c r="C380" s="1"/>
      <c r="D380" s="1"/>
      <c r="E380" s="1"/>
      <c r="F380" s="69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4"/>
      <c r="AI380" s="14"/>
      <c r="AJ380" s="14"/>
      <c r="AK380" s="14"/>
      <c r="AL380" s="14"/>
      <c r="AM380" s="14"/>
    </row>
    <row r="381" ht="14.25" customHeight="1">
      <c r="A381" s="1"/>
      <c r="B381" s="1"/>
      <c r="C381" s="1"/>
      <c r="D381" s="1"/>
      <c r="E381" s="1"/>
      <c r="F381" s="69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4"/>
      <c r="AI381" s="14"/>
      <c r="AJ381" s="14"/>
      <c r="AK381" s="14"/>
      <c r="AL381" s="14"/>
      <c r="AM381" s="14"/>
    </row>
    <row r="382" ht="14.25" customHeight="1">
      <c r="A382" s="1"/>
      <c r="B382" s="1"/>
      <c r="C382" s="1"/>
      <c r="D382" s="1"/>
      <c r="E382" s="1"/>
      <c r="F382" s="69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4"/>
      <c r="AI382" s="14"/>
      <c r="AJ382" s="14"/>
      <c r="AK382" s="14"/>
      <c r="AL382" s="14"/>
      <c r="AM382" s="14"/>
    </row>
    <row r="383" ht="14.25" customHeight="1">
      <c r="A383" s="1"/>
      <c r="B383" s="1"/>
      <c r="C383" s="1"/>
      <c r="D383" s="1"/>
      <c r="E383" s="1"/>
      <c r="F383" s="69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4"/>
      <c r="AI383" s="14"/>
      <c r="AJ383" s="14"/>
      <c r="AK383" s="14"/>
      <c r="AL383" s="14"/>
      <c r="AM383" s="14"/>
    </row>
    <row r="384" ht="14.25" customHeight="1">
      <c r="A384" s="1"/>
      <c r="B384" s="1"/>
      <c r="C384" s="1"/>
      <c r="D384" s="1"/>
      <c r="E384" s="1"/>
      <c r="F384" s="69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4"/>
      <c r="AI384" s="14"/>
      <c r="AJ384" s="14"/>
      <c r="AK384" s="14"/>
      <c r="AL384" s="14"/>
      <c r="AM384" s="14"/>
    </row>
    <row r="385" ht="14.25" customHeight="1">
      <c r="A385" s="1"/>
      <c r="B385" s="1"/>
      <c r="C385" s="1"/>
      <c r="D385" s="1"/>
      <c r="E385" s="1"/>
      <c r="F385" s="69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4"/>
      <c r="AI385" s="14"/>
      <c r="AJ385" s="14"/>
      <c r="AK385" s="14"/>
      <c r="AL385" s="14"/>
      <c r="AM385" s="14"/>
    </row>
    <row r="386" ht="14.25" customHeight="1">
      <c r="A386" s="1"/>
      <c r="B386" s="1"/>
      <c r="C386" s="1"/>
      <c r="D386" s="1"/>
      <c r="E386" s="1"/>
      <c r="F386" s="69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4"/>
      <c r="AI386" s="14"/>
      <c r="AJ386" s="14"/>
      <c r="AK386" s="14"/>
      <c r="AL386" s="14"/>
      <c r="AM386" s="14"/>
    </row>
    <row r="387" ht="14.25" customHeight="1">
      <c r="A387" s="1"/>
      <c r="B387" s="1"/>
      <c r="C387" s="1"/>
      <c r="D387" s="1"/>
      <c r="E387" s="1"/>
      <c r="F387" s="69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4"/>
      <c r="AI387" s="14"/>
      <c r="AJ387" s="14"/>
      <c r="AK387" s="14"/>
      <c r="AL387" s="14"/>
      <c r="AM387" s="14"/>
    </row>
    <row r="388" ht="14.25" customHeight="1">
      <c r="A388" s="1"/>
      <c r="B388" s="1"/>
      <c r="C388" s="1"/>
      <c r="D388" s="1"/>
      <c r="E388" s="1"/>
      <c r="F388" s="69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4"/>
      <c r="AI388" s="14"/>
      <c r="AJ388" s="14"/>
      <c r="AK388" s="14"/>
      <c r="AL388" s="14"/>
      <c r="AM388" s="14"/>
    </row>
    <row r="389" ht="14.25" customHeight="1">
      <c r="A389" s="1"/>
      <c r="B389" s="1"/>
      <c r="C389" s="1"/>
      <c r="D389" s="1"/>
      <c r="E389" s="1"/>
      <c r="F389" s="69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4"/>
      <c r="AI389" s="14"/>
      <c r="AJ389" s="14"/>
      <c r="AK389" s="14"/>
      <c r="AL389" s="14"/>
      <c r="AM389" s="14"/>
    </row>
    <row r="390" ht="14.25" customHeight="1">
      <c r="A390" s="1"/>
      <c r="B390" s="1"/>
      <c r="C390" s="1"/>
      <c r="D390" s="1"/>
      <c r="E390" s="1"/>
      <c r="F390" s="69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4"/>
      <c r="AI390" s="14"/>
      <c r="AJ390" s="14"/>
      <c r="AK390" s="14"/>
      <c r="AL390" s="14"/>
      <c r="AM390" s="14"/>
    </row>
    <row r="391" ht="14.25" customHeight="1">
      <c r="A391" s="1"/>
      <c r="B391" s="1"/>
      <c r="C391" s="1"/>
      <c r="D391" s="1"/>
      <c r="E391" s="1"/>
      <c r="F391" s="69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4"/>
      <c r="AI391" s="14"/>
      <c r="AJ391" s="14"/>
      <c r="AK391" s="14"/>
      <c r="AL391" s="14"/>
      <c r="AM391" s="14"/>
    </row>
    <row r="392" ht="14.25" customHeight="1">
      <c r="A392" s="1"/>
      <c r="B392" s="1"/>
      <c r="C392" s="1"/>
      <c r="D392" s="1"/>
      <c r="E392" s="1"/>
      <c r="F392" s="69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4"/>
      <c r="AI392" s="14"/>
      <c r="AJ392" s="14"/>
      <c r="AK392" s="14"/>
      <c r="AL392" s="14"/>
      <c r="AM392" s="14"/>
    </row>
    <row r="393" ht="14.25" customHeight="1">
      <c r="A393" s="1"/>
      <c r="B393" s="1"/>
      <c r="C393" s="1"/>
      <c r="D393" s="1"/>
      <c r="E393" s="1"/>
      <c r="F393" s="69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4"/>
      <c r="AI393" s="14"/>
      <c r="AJ393" s="14"/>
      <c r="AK393" s="14"/>
      <c r="AL393" s="14"/>
      <c r="AM393" s="14"/>
    </row>
    <row r="394" ht="14.25" customHeight="1">
      <c r="A394" s="1"/>
      <c r="B394" s="1"/>
      <c r="C394" s="1"/>
      <c r="D394" s="1"/>
      <c r="E394" s="1"/>
      <c r="F394" s="69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4"/>
      <c r="AI394" s="14"/>
      <c r="AJ394" s="14"/>
      <c r="AK394" s="14"/>
      <c r="AL394" s="14"/>
      <c r="AM394" s="14"/>
    </row>
    <row r="395" ht="14.25" customHeight="1">
      <c r="A395" s="1"/>
      <c r="B395" s="1"/>
      <c r="C395" s="1"/>
      <c r="D395" s="1"/>
      <c r="E395" s="1"/>
      <c r="F395" s="69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4"/>
      <c r="AI395" s="14"/>
      <c r="AJ395" s="14"/>
      <c r="AK395" s="14"/>
      <c r="AL395" s="14"/>
      <c r="AM395" s="14"/>
    </row>
    <row r="396" ht="14.25" customHeight="1">
      <c r="A396" s="1"/>
      <c r="B396" s="1"/>
      <c r="C396" s="1"/>
      <c r="D396" s="1"/>
      <c r="E396" s="1"/>
      <c r="F396" s="69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4"/>
      <c r="AI396" s="14"/>
      <c r="AJ396" s="14"/>
      <c r="AK396" s="14"/>
      <c r="AL396" s="14"/>
      <c r="AM396" s="14"/>
    </row>
    <row r="397" ht="14.25" customHeight="1">
      <c r="A397" s="1"/>
      <c r="B397" s="1"/>
      <c r="C397" s="1"/>
      <c r="D397" s="1"/>
      <c r="E397" s="1"/>
      <c r="F397" s="69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4"/>
      <c r="AI397" s="14"/>
      <c r="AJ397" s="14"/>
      <c r="AK397" s="14"/>
      <c r="AL397" s="14"/>
      <c r="AM397" s="14"/>
    </row>
    <row r="398" ht="14.25" customHeight="1">
      <c r="A398" s="1"/>
      <c r="B398" s="1"/>
      <c r="C398" s="1"/>
      <c r="D398" s="1"/>
      <c r="E398" s="1"/>
      <c r="F398" s="69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4"/>
      <c r="AI398" s="14"/>
      <c r="AJ398" s="14"/>
      <c r="AK398" s="14"/>
      <c r="AL398" s="14"/>
      <c r="AM398" s="14"/>
    </row>
    <row r="399" ht="14.25" customHeight="1">
      <c r="A399" s="1"/>
      <c r="B399" s="1"/>
      <c r="C399" s="1"/>
      <c r="D399" s="1"/>
      <c r="E399" s="1"/>
      <c r="F399" s="69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4"/>
      <c r="AI399" s="14"/>
      <c r="AJ399" s="14"/>
      <c r="AK399" s="14"/>
      <c r="AL399" s="14"/>
      <c r="AM399" s="14"/>
    </row>
    <row r="400" ht="14.25" customHeight="1">
      <c r="A400" s="1"/>
      <c r="B400" s="1"/>
      <c r="C400" s="1"/>
      <c r="D400" s="1"/>
      <c r="E400" s="1"/>
      <c r="F400" s="69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4"/>
      <c r="AI400" s="14"/>
      <c r="AJ400" s="14"/>
      <c r="AK400" s="14"/>
      <c r="AL400" s="14"/>
      <c r="AM400" s="14"/>
    </row>
    <row r="401" ht="14.25" customHeight="1">
      <c r="A401" s="1"/>
      <c r="B401" s="1"/>
      <c r="C401" s="1"/>
      <c r="D401" s="1"/>
      <c r="E401" s="1"/>
      <c r="F401" s="69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4"/>
      <c r="AI401" s="14"/>
      <c r="AJ401" s="14"/>
      <c r="AK401" s="14"/>
      <c r="AL401" s="14"/>
      <c r="AM401" s="14"/>
    </row>
    <row r="402" ht="14.25" customHeight="1">
      <c r="A402" s="1"/>
      <c r="B402" s="1"/>
      <c r="C402" s="1"/>
      <c r="D402" s="1"/>
      <c r="E402" s="1"/>
      <c r="F402" s="69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4"/>
      <c r="AI402" s="14"/>
      <c r="AJ402" s="14"/>
      <c r="AK402" s="14"/>
      <c r="AL402" s="14"/>
      <c r="AM402" s="14"/>
    </row>
    <row r="403" ht="14.25" customHeight="1">
      <c r="A403" s="1"/>
      <c r="B403" s="1"/>
      <c r="C403" s="1"/>
      <c r="D403" s="1"/>
      <c r="E403" s="1"/>
      <c r="F403" s="69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4"/>
      <c r="AI403" s="14"/>
      <c r="AJ403" s="14"/>
      <c r="AK403" s="14"/>
      <c r="AL403" s="14"/>
      <c r="AM403" s="14"/>
    </row>
    <row r="404" ht="14.25" customHeight="1">
      <c r="A404" s="1"/>
      <c r="B404" s="1"/>
      <c r="C404" s="1"/>
      <c r="D404" s="1"/>
      <c r="E404" s="1"/>
      <c r="F404" s="69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4"/>
      <c r="AI404" s="14"/>
      <c r="AJ404" s="14"/>
      <c r="AK404" s="14"/>
      <c r="AL404" s="14"/>
      <c r="AM404" s="14"/>
    </row>
    <row r="405" ht="14.25" customHeight="1">
      <c r="A405" s="1"/>
      <c r="B405" s="1"/>
      <c r="C405" s="1"/>
      <c r="D405" s="1"/>
      <c r="E405" s="1"/>
      <c r="F405" s="69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4"/>
      <c r="AI405" s="14"/>
      <c r="AJ405" s="14"/>
      <c r="AK405" s="14"/>
      <c r="AL405" s="14"/>
      <c r="AM405" s="14"/>
    </row>
    <row r="406" ht="14.25" customHeight="1">
      <c r="A406" s="1"/>
      <c r="B406" s="1"/>
      <c r="C406" s="1"/>
      <c r="D406" s="1"/>
      <c r="E406" s="1"/>
      <c r="F406" s="69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4"/>
      <c r="AI406" s="14"/>
      <c r="AJ406" s="14"/>
      <c r="AK406" s="14"/>
      <c r="AL406" s="14"/>
      <c r="AM406" s="14"/>
    </row>
    <row r="407" ht="14.25" customHeight="1">
      <c r="A407" s="1"/>
      <c r="B407" s="1"/>
      <c r="C407" s="1"/>
      <c r="D407" s="1"/>
      <c r="E407" s="1"/>
      <c r="F407" s="69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4"/>
      <c r="AI407" s="14"/>
      <c r="AJ407" s="14"/>
      <c r="AK407" s="14"/>
      <c r="AL407" s="14"/>
      <c r="AM407" s="14"/>
    </row>
    <row r="408" ht="14.25" customHeight="1">
      <c r="A408" s="1"/>
      <c r="B408" s="1"/>
      <c r="C408" s="1"/>
      <c r="D408" s="1"/>
      <c r="E408" s="1"/>
      <c r="F408" s="69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4"/>
      <c r="AI408" s="14"/>
      <c r="AJ408" s="14"/>
      <c r="AK408" s="14"/>
      <c r="AL408" s="14"/>
      <c r="AM408" s="14"/>
    </row>
    <row r="409" ht="14.25" customHeight="1">
      <c r="A409" s="1"/>
      <c r="B409" s="1"/>
      <c r="C409" s="1"/>
      <c r="D409" s="1"/>
      <c r="E409" s="1"/>
      <c r="F409" s="69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4"/>
      <c r="AI409" s="14"/>
      <c r="AJ409" s="14"/>
      <c r="AK409" s="14"/>
      <c r="AL409" s="14"/>
      <c r="AM409" s="14"/>
    </row>
    <row r="410" ht="14.25" customHeight="1">
      <c r="A410" s="1"/>
      <c r="B410" s="1"/>
      <c r="C410" s="1"/>
      <c r="D410" s="1"/>
      <c r="E410" s="1"/>
      <c r="F410" s="69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4"/>
      <c r="AI410" s="14"/>
      <c r="AJ410" s="14"/>
      <c r="AK410" s="14"/>
      <c r="AL410" s="14"/>
      <c r="AM410" s="14"/>
    </row>
    <row r="411" ht="14.25" customHeight="1">
      <c r="A411" s="1"/>
      <c r="B411" s="1"/>
      <c r="C411" s="1"/>
      <c r="D411" s="1"/>
      <c r="E411" s="1"/>
      <c r="F411" s="69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4"/>
      <c r="AI411" s="14"/>
      <c r="AJ411" s="14"/>
      <c r="AK411" s="14"/>
      <c r="AL411" s="14"/>
      <c r="AM411" s="14"/>
    </row>
    <row r="412" ht="14.25" customHeight="1">
      <c r="A412" s="1"/>
      <c r="B412" s="1"/>
      <c r="C412" s="1"/>
      <c r="D412" s="1"/>
      <c r="E412" s="1"/>
      <c r="F412" s="69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4"/>
      <c r="AI412" s="14"/>
      <c r="AJ412" s="14"/>
      <c r="AK412" s="14"/>
      <c r="AL412" s="14"/>
      <c r="AM412" s="14"/>
    </row>
    <row r="413" ht="14.25" customHeight="1">
      <c r="A413" s="1"/>
      <c r="B413" s="1"/>
      <c r="C413" s="1"/>
      <c r="D413" s="1"/>
      <c r="E413" s="1"/>
      <c r="F413" s="69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4"/>
      <c r="AI413" s="14"/>
      <c r="AJ413" s="14"/>
      <c r="AK413" s="14"/>
      <c r="AL413" s="14"/>
      <c r="AM413" s="14"/>
    </row>
    <row r="414" ht="14.25" customHeight="1">
      <c r="A414" s="1"/>
      <c r="B414" s="1"/>
      <c r="C414" s="1"/>
      <c r="D414" s="1"/>
      <c r="E414" s="1"/>
      <c r="F414" s="69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4"/>
      <c r="AI414" s="14"/>
      <c r="AJ414" s="14"/>
      <c r="AK414" s="14"/>
      <c r="AL414" s="14"/>
      <c r="AM414" s="14"/>
    </row>
    <row r="415" ht="14.25" customHeight="1">
      <c r="A415" s="1"/>
      <c r="B415" s="1"/>
      <c r="C415" s="1"/>
      <c r="D415" s="1"/>
      <c r="E415" s="1"/>
      <c r="F415" s="69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4"/>
      <c r="AI415" s="14"/>
      <c r="AJ415" s="14"/>
      <c r="AK415" s="14"/>
      <c r="AL415" s="14"/>
      <c r="AM415" s="14"/>
    </row>
    <row r="416" ht="14.25" customHeight="1">
      <c r="A416" s="1"/>
      <c r="B416" s="1"/>
      <c r="C416" s="1"/>
      <c r="D416" s="1"/>
      <c r="E416" s="1"/>
      <c r="F416" s="69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4"/>
      <c r="AI416" s="14"/>
      <c r="AJ416" s="14"/>
      <c r="AK416" s="14"/>
      <c r="AL416" s="14"/>
      <c r="AM416" s="14"/>
    </row>
    <row r="417" ht="14.25" customHeight="1">
      <c r="A417" s="1"/>
      <c r="B417" s="1"/>
      <c r="C417" s="1"/>
      <c r="D417" s="1"/>
      <c r="E417" s="1"/>
      <c r="F417" s="69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4"/>
      <c r="AI417" s="14"/>
      <c r="AJ417" s="14"/>
      <c r="AK417" s="14"/>
      <c r="AL417" s="14"/>
      <c r="AM417" s="14"/>
    </row>
    <row r="418" ht="14.25" customHeight="1">
      <c r="A418" s="1"/>
      <c r="B418" s="1"/>
      <c r="C418" s="1"/>
      <c r="D418" s="1"/>
      <c r="E418" s="1"/>
      <c r="F418" s="69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4"/>
      <c r="AI418" s="14"/>
      <c r="AJ418" s="14"/>
      <c r="AK418" s="14"/>
      <c r="AL418" s="14"/>
      <c r="AM418" s="14"/>
    </row>
    <row r="419" ht="14.25" customHeight="1">
      <c r="A419" s="1"/>
      <c r="B419" s="1"/>
      <c r="C419" s="1"/>
      <c r="D419" s="1"/>
      <c r="E419" s="1"/>
      <c r="F419" s="69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4"/>
      <c r="AI419" s="14"/>
      <c r="AJ419" s="14"/>
      <c r="AK419" s="14"/>
      <c r="AL419" s="14"/>
      <c r="AM419" s="14"/>
    </row>
    <row r="420" ht="14.25" customHeight="1">
      <c r="A420" s="1"/>
      <c r="B420" s="1"/>
      <c r="C420" s="1"/>
      <c r="D420" s="1"/>
      <c r="E420" s="1"/>
      <c r="F420" s="69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4"/>
      <c r="AI420" s="14"/>
      <c r="AJ420" s="14"/>
      <c r="AK420" s="14"/>
      <c r="AL420" s="14"/>
      <c r="AM420" s="14"/>
    </row>
    <row r="421" ht="14.25" customHeight="1">
      <c r="A421" s="1"/>
      <c r="B421" s="1"/>
      <c r="C421" s="1"/>
      <c r="D421" s="1"/>
      <c r="E421" s="1"/>
      <c r="F421" s="69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4"/>
      <c r="AI421" s="14"/>
      <c r="AJ421" s="14"/>
      <c r="AK421" s="14"/>
      <c r="AL421" s="14"/>
      <c r="AM421" s="14"/>
    </row>
    <row r="422" ht="14.25" customHeight="1">
      <c r="A422" s="1"/>
      <c r="B422" s="1"/>
      <c r="C422" s="1"/>
      <c r="D422" s="1"/>
      <c r="E422" s="1"/>
      <c r="F422" s="69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4"/>
      <c r="AI422" s="14"/>
      <c r="AJ422" s="14"/>
      <c r="AK422" s="14"/>
      <c r="AL422" s="14"/>
      <c r="AM422" s="14"/>
    </row>
    <row r="423" ht="14.25" customHeight="1">
      <c r="A423" s="1"/>
      <c r="B423" s="1"/>
      <c r="C423" s="1"/>
      <c r="D423" s="1"/>
      <c r="E423" s="1"/>
      <c r="F423" s="69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4"/>
      <c r="AI423" s="14"/>
      <c r="AJ423" s="14"/>
      <c r="AK423" s="14"/>
      <c r="AL423" s="14"/>
      <c r="AM423" s="14"/>
    </row>
    <row r="424" ht="14.25" customHeight="1">
      <c r="A424" s="1"/>
      <c r="B424" s="1"/>
      <c r="C424" s="1"/>
      <c r="D424" s="1"/>
      <c r="E424" s="1"/>
      <c r="F424" s="69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4"/>
      <c r="AI424" s="14"/>
      <c r="AJ424" s="14"/>
      <c r="AK424" s="14"/>
      <c r="AL424" s="14"/>
      <c r="AM424" s="14"/>
    </row>
    <row r="425" ht="14.25" customHeight="1">
      <c r="A425" s="1"/>
      <c r="B425" s="1"/>
      <c r="C425" s="1"/>
      <c r="D425" s="1"/>
      <c r="E425" s="1"/>
      <c r="F425" s="69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4"/>
      <c r="AI425" s="14"/>
      <c r="AJ425" s="14"/>
      <c r="AK425" s="14"/>
      <c r="AL425" s="14"/>
      <c r="AM425" s="14"/>
    </row>
    <row r="426" ht="14.25" customHeight="1">
      <c r="A426" s="1"/>
      <c r="B426" s="1"/>
      <c r="C426" s="1"/>
      <c r="D426" s="1"/>
      <c r="E426" s="1"/>
      <c r="F426" s="69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4"/>
      <c r="AI426" s="14"/>
      <c r="AJ426" s="14"/>
      <c r="AK426" s="14"/>
      <c r="AL426" s="14"/>
      <c r="AM426" s="14"/>
    </row>
    <row r="427" ht="14.25" customHeight="1">
      <c r="A427" s="1"/>
      <c r="B427" s="1"/>
      <c r="C427" s="1"/>
      <c r="D427" s="1"/>
      <c r="E427" s="1"/>
      <c r="F427" s="69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4"/>
      <c r="AI427" s="14"/>
      <c r="AJ427" s="14"/>
      <c r="AK427" s="14"/>
      <c r="AL427" s="14"/>
      <c r="AM427" s="14"/>
    </row>
    <row r="428" ht="14.25" customHeight="1">
      <c r="A428" s="1"/>
      <c r="B428" s="1"/>
      <c r="C428" s="1"/>
      <c r="D428" s="1"/>
      <c r="E428" s="1"/>
      <c r="F428" s="69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4"/>
      <c r="AI428" s="14"/>
      <c r="AJ428" s="14"/>
      <c r="AK428" s="14"/>
      <c r="AL428" s="14"/>
      <c r="AM428" s="14"/>
    </row>
    <row r="429" ht="14.25" customHeight="1">
      <c r="A429" s="1"/>
      <c r="B429" s="1"/>
      <c r="C429" s="1"/>
      <c r="D429" s="1"/>
      <c r="E429" s="1"/>
      <c r="F429" s="69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4"/>
      <c r="AI429" s="14"/>
      <c r="AJ429" s="14"/>
      <c r="AK429" s="14"/>
      <c r="AL429" s="14"/>
      <c r="AM429" s="14"/>
    </row>
    <row r="430" ht="14.25" customHeight="1">
      <c r="A430" s="1"/>
      <c r="B430" s="1"/>
      <c r="C430" s="1"/>
      <c r="D430" s="1"/>
      <c r="E430" s="1"/>
      <c r="F430" s="69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4"/>
      <c r="AI430" s="14"/>
      <c r="AJ430" s="14"/>
      <c r="AK430" s="14"/>
      <c r="AL430" s="14"/>
      <c r="AM430" s="14"/>
    </row>
    <row r="431" ht="14.25" customHeight="1">
      <c r="A431" s="1"/>
      <c r="B431" s="1"/>
      <c r="C431" s="1"/>
      <c r="D431" s="1"/>
      <c r="E431" s="1"/>
      <c r="F431" s="69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4"/>
      <c r="AI431" s="14"/>
      <c r="AJ431" s="14"/>
      <c r="AK431" s="14"/>
      <c r="AL431" s="14"/>
      <c r="AM431" s="14"/>
    </row>
    <row r="432" ht="14.25" customHeight="1">
      <c r="A432" s="1"/>
      <c r="B432" s="1"/>
      <c r="C432" s="1"/>
      <c r="D432" s="1"/>
      <c r="E432" s="1"/>
      <c r="F432" s="69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4"/>
      <c r="AI432" s="14"/>
      <c r="AJ432" s="14"/>
      <c r="AK432" s="14"/>
      <c r="AL432" s="14"/>
      <c r="AM432" s="14"/>
    </row>
    <row r="433" ht="14.25" customHeight="1">
      <c r="A433" s="1"/>
      <c r="B433" s="1"/>
      <c r="C433" s="1"/>
      <c r="D433" s="1"/>
      <c r="E433" s="1"/>
      <c r="F433" s="69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4"/>
      <c r="AI433" s="14"/>
      <c r="AJ433" s="14"/>
      <c r="AK433" s="14"/>
      <c r="AL433" s="14"/>
      <c r="AM433" s="14"/>
    </row>
    <row r="434" ht="14.25" customHeight="1">
      <c r="A434" s="1"/>
      <c r="B434" s="1"/>
      <c r="C434" s="1"/>
      <c r="D434" s="1"/>
      <c r="E434" s="1"/>
      <c r="F434" s="69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4"/>
      <c r="AI434" s="14"/>
      <c r="AJ434" s="14"/>
      <c r="AK434" s="14"/>
      <c r="AL434" s="14"/>
      <c r="AM434" s="14"/>
    </row>
    <row r="435" ht="14.25" customHeight="1">
      <c r="A435" s="1"/>
      <c r="B435" s="1"/>
      <c r="C435" s="1"/>
      <c r="D435" s="1"/>
      <c r="E435" s="1"/>
      <c r="F435" s="69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4"/>
      <c r="AI435" s="14"/>
      <c r="AJ435" s="14"/>
      <c r="AK435" s="14"/>
      <c r="AL435" s="14"/>
      <c r="AM435" s="14"/>
    </row>
    <row r="436" ht="14.25" customHeight="1">
      <c r="A436" s="1"/>
      <c r="B436" s="1"/>
      <c r="C436" s="1"/>
      <c r="D436" s="1"/>
      <c r="E436" s="1"/>
      <c r="F436" s="69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4"/>
      <c r="AI436" s="14"/>
      <c r="AJ436" s="14"/>
      <c r="AK436" s="14"/>
      <c r="AL436" s="14"/>
      <c r="AM436" s="14"/>
    </row>
    <row r="437" ht="14.25" customHeight="1">
      <c r="A437" s="1"/>
      <c r="B437" s="1"/>
      <c r="C437" s="1"/>
      <c r="D437" s="1"/>
      <c r="E437" s="1"/>
      <c r="F437" s="69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4"/>
      <c r="AI437" s="14"/>
      <c r="AJ437" s="14"/>
      <c r="AK437" s="14"/>
      <c r="AL437" s="14"/>
      <c r="AM437" s="14"/>
    </row>
    <row r="438" ht="14.25" customHeight="1">
      <c r="A438" s="1"/>
      <c r="B438" s="1"/>
      <c r="C438" s="1"/>
      <c r="D438" s="1"/>
      <c r="E438" s="1"/>
      <c r="F438" s="69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4"/>
      <c r="AI438" s="14"/>
      <c r="AJ438" s="14"/>
      <c r="AK438" s="14"/>
      <c r="AL438" s="14"/>
      <c r="AM438" s="14"/>
    </row>
    <row r="439" ht="14.25" customHeight="1">
      <c r="A439" s="1"/>
      <c r="B439" s="1"/>
      <c r="C439" s="1"/>
      <c r="D439" s="1"/>
      <c r="E439" s="1"/>
      <c r="F439" s="69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4"/>
      <c r="AI439" s="14"/>
      <c r="AJ439" s="14"/>
      <c r="AK439" s="14"/>
      <c r="AL439" s="14"/>
      <c r="AM439" s="14"/>
    </row>
    <row r="440" ht="14.25" customHeight="1">
      <c r="A440" s="1"/>
      <c r="B440" s="1"/>
      <c r="C440" s="1"/>
      <c r="D440" s="1"/>
      <c r="E440" s="1"/>
      <c r="F440" s="69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4"/>
      <c r="AI440" s="14"/>
      <c r="AJ440" s="14"/>
      <c r="AK440" s="14"/>
      <c r="AL440" s="14"/>
      <c r="AM440" s="14"/>
    </row>
    <row r="441" ht="14.25" customHeight="1">
      <c r="A441" s="1"/>
      <c r="B441" s="1"/>
      <c r="C441" s="1"/>
      <c r="D441" s="1"/>
      <c r="E441" s="1"/>
      <c r="F441" s="69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4"/>
      <c r="AI441" s="14"/>
      <c r="AJ441" s="14"/>
      <c r="AK441" s="14"/>
      <c r="AL441" s="14"/>
      <c r="AM441" s="14"/>
    </row>
    <row r="442" ht="14.25" customHeight="1">
      <c r="A442" s="1"/>
      <c r="B442" s="1"/>
      <c r="C442" s="1"/>
      <c r="D442" s="1"/>
      <c r="E442" s="1"/>
      <c r="F442" s="69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4"/>
      <c r="AI442" s="14"/>
      <c r="AJ442" s="14"/>
      <c r="AK442" s="14"/>
      <c r="AL442" s="14"/>
      <c r="AM442" s="14"/>
    </row>
    <row r="443" ht="14.25" customHeight="1">
      <c r="A443" s="1"/>
      <c r="B443" s="1"/>
      <c r="C443" s="1"/>
      <c r="D443" s="1"/>
      <c r="E443" s="1"/>
      <c r="F443" s="69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4"/>
      <c r="AI443" s="14"/>
      <c r="AJ443" s="14"/>
      <c r="AK443" s="14"/>
      <c r="AL443" s="14"/>
      <c r="AM443" s="14"/>
    </row>
    <row r="444" ht="14.25" customHeight="1">
      <c r="A444" s="1"/>
      <c r="B444" s="1"/>
      <c r="C444" s="1"/>
      <c r="D444" s="1"/>
      <c r="E444" s="1"/>
      <c r="F444" s="69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4"/>
      <c r="AI444" s="14"/>
      <c r="AJ444" s="14"/>
      <c r="AK444" s="14"/>
      <c r="AL444" s="14"/>
      <c r="AM444" s="14"/>
    </row>
    <row r="445" ht="14.25" customHeight="1">
      <c r="A445" s="1"/>
      <c r="B445" s="1"/>
      <c r="C445" s="1"/>
      <c r="D445" s="1"/>
      <c r="E445" s="1"/>
      <c r="F445" s="69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4"/>
      <c r="AI445" s="14"/>
      <c r="AJ445" s="14"/>
      <c r="AK445" s="14"/>
      <c r="AL445" s="14"/>
      <c r="AM445" s="14"/>
    </row>
    <row r="446" ht="14.25" customHeight="1">
      <c r="A446" s="1"/>
      <c r="B446" s="1"/>
      <c r="C446" s="1"/>
      <c r="D446" s="1"/>
      <c r="E446" s="1"/>
      <c r="F446" s="69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4"/>
      <c r="AI446" s="14"/>
      <c r="AJ446" s="14"/>
      <c r="AK446" s="14"/>
      <c r="AL446" s="14"/>
      <c r="AM446" s="14"/>
    </row>
    <row r="447" ht="14.25" customHeight="1">
      <c r="A447" s="1"/>
      <c r="B447" s="1"/>
      <c r="C447" s="1"/>
      <c r="D447" s="1"/>
      <c r="E447" s="1"/>
      <c r="F447" s="69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4"/>
      <c r="AI447" s="14"/>
      <c r="AJ447" s="14"/>
      <c r="AK447" s="14"/>
      <c r="AL447" s="14"/>
      <c r="AM447" s="14"/>
    </row>
    <row r="448" ht="14.25" customHeight="1">
      <c r="A448" s="1"/>
      <c r="B448" s="1"/>
      <c r="C448" s="1"/>
      <c r="D448" s="1"/>
      <c r="E448" s="1"/>
      <c r="F448" s="69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4"/>
      <c r="AI448" s="14"/>
      <c r="AJ448" s="14"/>
      <c r="AK448" s="14"/>
      <c r="AL448" s="14"/>
      <c r="AM448" s="14"/>
    </row>
    <row r="449" ht="14.25" customHeight="1">
      <c r="A449" s="1"/>
      <c r="B449" s="1"/>
      <c r="C449" s="1"/>
      <c r="D449" s="1"/>
      <c r="E449" s="1"/>
      <c r="F449" s="69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4"/>
      <c r="AI449" s="14"/>
      <c r="AJ449" s="14"/>
      <c r="AK449" s="14"/>
      <c r="AL449" s="14"/>
      <c r="AM449" s="14"/>
    </row>
    <row r="450" ht="14.25" customHeight="1">
      <c r="A450" s="1"/>
      <c r="B450" s="1"/>
      <c r="C450" s="1"/>
      <c r="D450" s="1"/>
      <c r="E450" s="1"/>
      <c r="F450" s="69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4"/>
      <c r="AI450" s="14"/>
      <c r="AJ450" s="14"/>
      <c r="AK450" s="14"/>
      <c r="AL450" s="14"/>
      <c r="AM450" s="14"/>
    </row>
    <row r="451" ht="14.25" customHeight="1">
      <c r="A451" s="1"/>
      <c r="B451" s="1"/>
      <c r="C451" s="1"/>
      <c r="D451" s="1"/>
      <c r="E451" s="1"/>
      <c r="F451" s="69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4"/>
      <c r="AI451" s="14"/>
      <c r="AJ451" s="14"/>
      <c r="AK451" s="14"/>
      <c r="AL451" s="14"/>
      <c r="AM451" s="14"/>
    </row>
    <row r="452" ht="14.25" customHeight="1">
      <c r="A452" s="1"/>
      <c r="B452" s="1"/>
      <c r="C452" s="1"/>
      <c r="D452" s="1"/>
      <c r="E452" s="1"/>
      <c r="F452" s="69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4"/>
      <c r="AI452" s="14"/>
      <c r="AJ452" s="14"/>
      <c r="AK452" s="14"/>
      <c r="AL452" s="14"/>
      <c r="AM452" s="14"/>
    </row>
    <row r="453" ht="14.25" customHeight="1">
      <c r="A453" s="1"/>
      <c r="B453" s="1"/>
      <c r="C453" s="1"/>
      <c r="D453" s="1"/>
      <c r="E453" s="1"/>
      <c r="F453" s="69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4"/>
      <c r="AI453" s="14"/>
      <c r="AJ453" s="14"/>
      <c r="AK453" s="14"/>
      <c r="AL453" s="14"/>
      <c r="AM453" s="14"/>
    </row>
    <row r="454" ht="14.25" customHeight="1">
      <c r="A454" s="1"/>
      <c r="B454" s="1"/>
      <c r="C454" s="1"/>
      <c r="D454" s="1"/>
      <c r="E454" s="1"/>
      <c r="F454" s="69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4"/>
      <c r="AI454" s="14"/>
      <c r="AJ454" s="14"/>
      <c r="AK454" s="14"/>
      <c r="AL454" s="14"/>
      <c r="AM454" s="14"/>
    </row>
    <row r="455" ht="14.25" customHeight="1">
      <c r="A455" s="1"/>
      <c r="B455" s="1"/>
      <c r="C455" s="1"/>
      <c r="D455" s="1"/>
      <c r="E455" s="1"/>
      <c r="F455" s="69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4"/>
      <c r="AI455" s="14"/>
      <c r="AJ455" s="14"/>
      <c r="AK455" s="14"/>
      <c r="AL455" s="14"/>
      <c r="AM455" s="14"/>
    </row>
    <row r="456" ht="14.25" customHeight="1">
      <c r="A456" s="1"/>
      <c r="B456" s="1"/>
      <c r="C456" s="1"/>
      <c r="D456" s="1"/>
      <c r="E456" s="1"/>
      <c r="F456" s="69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4"/>
      <c r="AI456" s="14"/>
      <c r="AJ456" s="14"/>
      <c r="AK456" s="14"/>
      <c r="AL456" s="14"/>
      <c r="AM456" s="14"/>
    </row>
    <row r="457" ht="14.25" customHeight="1">
      <c r="A457" s="1"/>
      <c r="B457" s="1"/>
      <c r="C457" s="1"/>
      <c r="D457" s="1"/>
      <c r="E457" s="1"/>
      <c r="F457" s="69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4"/>
      <c r="AI457" s="14"/>
      <c r="AJ457" s="14"/>
      <c r="AK457" s="14"/>
      <c r="AL457" s="14"/>
      <c r="AM457" s="14"/>
    </row>
    <row r="458" ht="14.25" customHeight="1">
      <c r="A458" s="1"/>
      <c r="B458" s="1"/>
      <c r="C458" s="1"/>
      <c r="D458" s="1"/>
      <c r="E458" s="1"/>
      <c r="F458" s="69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4"/>
      <c r="AI458" s="14"/>
      <c r="AJ458" s="14"/>
      <c r="AK458" s="14"/>
      <c r="AL458" s="14"/>
      <c r="AM458" s="14"/>
    </row>
    <row r="459" ht="14.25" customHeight="1">
      <c r="A459" s="1"/>
      <c r="B459" s="1"/>
      <c r="C459" s="1"/>
      <c r="D459" s="1"/>
      <c r="E459" s="1"/>
      <c r="F459" s="69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4"/>
      <c r="AI459" s="14"/>
      <c r="AJ459" s="14"/>
      <c r="AK459" s="14"/>
      <c r="AL459" s="14"/>
      <c r="AM459" s="14"/>
    </row>
    <row r="460" ht="14.25" customHeight="1">
      <c r="A460" s="1"/>
      <c r="B460" s="1"/>
      <c r="C460" s="1"/>
      <c r="D460" s="1"/>
      <c r="E460" s="1"/>
      <c r="F460" s="69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4"/>
      <c r="AI460" s="14"/>
      <c r="AJ460" s="14"/>
      <c r="AK460" s="14"/>
      <c r="AL460" s="14"/>
      <c r="AM460" s="14"/>
    </row>
    <row r="461" ht="14.25" customHeight="1">
      <c r="A461" s="1"/>
      <c r="B461" s="1"/>
      <c r="C461" s="1"/>
      <c r="D461" s="1"/>
      <c r="E461" s="1"/>
      <c r="F461" s="69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4"/>
      <c r="AI461" s="14"/>
      <c r="AJ461" s="14"/>
      <c r="AK461" s="14"/>
      <c r="AL461" s="14"/>
      <c r="AM461" s="14"/>
    </row>
    <row r="462" ht="14.25" customHeight="1">
      <c r="A462" s="1"/>
      <c r="B462" s="1"/>
      <c r="C462" s="1"/>
      <c r="D462" s="1"/>
      <c r="E462" s="1"/>
      <c r="F462" s="69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4"/>
      <c r="AI462" s="14"/>
      <c r="AJ462" s="14"/>
      <c r="AK462" s="14"/>
      <c r="AL462" s="14"/>
      <c r="AM462" s="14"/>
    </row>
    <row r="463" ht="14.25" customHeight="1">
      <c r="A463" s="1"/>
      <c r="B463" s="1"/>
      <c r="C463" s="1"/>
      <c r="D463" s="1"/>
      <c r="E463" s="1"/>
      <c r="F463" s="69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4"/>
      <c r="AI463" s="14"/>
      <c r="AJ463" s="14"/>
      <c r="AK463" s="14"/>
      <c r="AL463" s="14"/>
      <c r="AM463" s="14"/>
    </row>
    <row r="464" ht="14.25" customHeight="1">
      <c r="A464" s="1"/>
      <c r="B464" s="1"/>
      <c r="C464" s="1"/>
      <c r="D464" s="1"/>
      <c r="E464" s="1"/>
      <c r="F464" s="69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4"/>
      <c r="AI464" s="14"/>
      <c r="AJ464" s="14"/>
      <c r="AK464" s="14"/>
      <c r="AL464" s="14"/>
      <c r="AM464" s="14"/>
    </row>
    <row r="465" ht="14.25" customHeight="1">
      <c r="A465" s="1"/>
      <c r="B465" s="1"/>
      <c r="C465" s="1"/>
      <c r="D465" s="1"/>
      <c r="E465" s="1"/>
      <c r="F465" s="69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4"/>
      <c r="AI465" s="14"/>
      <c r="AJ465" s="14"/>
      <c r="AK465" s="14"/>
      <c r="AL465" s="14"/>
      <c r="AM465" s="14"/>
    </row>
    <row r="466" ht="14.25" customHeight="1">
      <c r="A466" s="1"/>
      <c r="B466" s="1"/>
      <c r="C466" s="1"/>
      <c r="D466" s="1"/>
      <c r="E466" s="1"/>
      <c r="F466" s="69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4"/>
      <c r="AI466" s="14"/>
      <c r="AJ466" s="14"/>
      <c r="AK466" s="14"/>
      <c r="AL466" s="14"/>
      <c r="AM466" s="14"/>
    </row>
    <row r="467" ht="14.25" customHeight="1">
      <c r="A467" s="1"/>
      <c r="B467" s="1"/>
      <c r="C467" s="1"/>
      <c r="D467" s="1"/>
      <c r="E467" s="1"/>
      <c r="F467" s="69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4"/>
      <c r="AI467" s="14"/>
      <c r="AJ467" s="14"/>
      <c r="AK467" s="14"/>
      <c r="AL467" s="14"/>
      <c r="AM467" s="14"/>
    </row>
    <row r="468" ht="14.25" customHeight="1">
      <c r="A468" s="1"/>
      <c r="B468" s="1"/>
      <c r="C468" s="1"/>
      <c r="D468" s="1"/>
      <c r="E468" s="1"/>
      <c r="F468" s="69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4"/>
      <c r="AI468" s="14"/>
      <c r="AJ468" s="14"/>
      <c r="AK468" s="14"/>
      <c r="AL468" s="14"/>
      <c r="AM468" s="14"/>
    </row>
    <row r="469" ht="14.25" customHeight="1">
      <c r="A469" s="1"/>
      <c r="B469" s="1"/>
      <c r="C469" s="1"/>
      <c r="D469" s="1"/>
      <c r="E469" s="1"/>
      <c r="F469" s="69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4"/>
      <c r="AI469" s="14"/>
      <c r="AJ469" s="14"/>
      <c r="AK469" s="14"/>
      <c r="AL469" s="14"/>
      <c r="AM469" s="14"/>
    </row>
    <row r="470" ht="14.25" customHeight="1">
      <c r="A470" s="1"/>
      <c r="B470" s="1"/>
      <c r="C470" s="1"/>
      <c r="D470" s="1"/>
      <c r="E470" s="1"/>
      <c r="F470" s="69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4"/>
      <c r="AI470" s="14"/>
      <c r="AJ470" s="14"/>
      <c r="AK470" s="14"/>
      <c r="AL470" s="14"/>
      <c r="AM470" s="14"/>
    </row>
    <row r="471" ht="14.25" customHeight="1">
      <c r="A471" s="1"/>
      <c r="B471" s="1"/>
      <c r="C471" s="1"/>
      <c r="D471" s="1"/>
      <c r="E471" s="1"/>
      <c r="F471" s="69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4"/>
      <c r="AI471" s="14"/>
      <c r="AJ471" s="14"/>
      <c r="AK471" s="14"/>
      <c r="AL471" s="14"/>
      <c r="AM471" s="14"/>
    </row>
    <row r="472" ht="14.25" customHeight="1">
      <c r="A472" s="1"/>
      <c r="B472" s="1"/>
      <c r="C472" s="1"/>
      <c r="D472" s="1"/>
      <c r="E472" s="1"/>
      <c r="F472" s="69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4"/>
      <c r="AI472" s="14"/>
      <c r="AJ472" s="14"/>
      <c r="AK472" s="14"/>
      <c r="AL472" s="14"/>
      <c r="AM472" s="14"/>
    </row>
    <row r="473" ht="14.25" customHeight="1">
      <c r="A473" s="1"/>
      <c r="B473" s="1"/>
      <c r="C473" s="1"/>
      <c r="D473" s="1"/>
      <c r="E473" s="1"/>
      <c r="F473" s="69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4"/>
      <c r="AI473" s="14"/>
      <c r="AJ473" s="14"/>
      <c r="AK473" s="14"/>
      <c r="AL473" s="14"/>
      <c r="AM473" s="14"/>
    </row>
    <row r="474" ht="14.25" customHeight="1">
      <c r="A474" s="1"/>
      <c r="B474" s="1"/>
      <c r="C474" s="1"/>
      <c r="D474" s="1"/>
      <c r="E474" s="1"/>
      <c r="F474" s="69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4"/>
      <c r="AI474" s="14"/>
      <c r="AJ474" s="14"/>
      <c r="AK474" s="14"/>
      <c r="AL474" s="14"/>
      <c r="AM474" s="14"/>
    </row>
    <row r="475" ht="14.25" customHeight="1">
      <c r="A475" s="1"/>
      <c r="B475" s="1"/>
      <c r="C475" s="1"/>
      <c r="D475" s="1"/>
      <c r="E475" s="1"/>
      <c r="F475" s="69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4"/>
      <c r="AI475" s="14"/>
      <c r="AJ475" s="14"/>
      <c r="AK475" s="14"/>
      <c r="AL475" s="14"/>
      <c r="AM475" s="14"/>
    </row>
    <row r="476" ht="14.25" customHeight="1">
      <c r="A476" s="1"/>
      <c r="B476" s="1"/>
      <c r="C476" s="1"/>
      <c r="D476" s="1"/>
      <c r="E476" s="1"/>
      <c r="F476" s="69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4"/>
      <c r="AI476" s="14"/>
      <c r="AJ476" s="14"/>
      <c r="AK476" s="14"/>
      <c r="AL476" s="14"/>
      <c r="AM476" s="14"/>
    </row>
    <row r="477" ht="14.25" customHeight="1">
      <c r="A477" s="1"/>
      <c r="B477" s="1"/>
      <c r="C477" s="1"/>
      <c r="D477" s="1"/>
      <c r="E477" s="1"/>
      <c r="F477" s="69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4"/>
      <c r="AI477" s="14"/>
      <c r="AJ477" s="14"/>
      <c r="AK477" s="14"/>
      <c r="AL477" s="14"/>
      <c r="AM477" s="14"/>
    </row>
    <row r="478" ht="14.25" customHeight="1">
      <c r="A478" s="1"/>
      <c r="B478" s="1"/>
      <c r="C478" s="1"/>
      <c r="D478" s="1"/>
      <c r="E478" s="1"/>
      <c r="F478" s="69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4"/>
      <c r="AI478" s="14"/>
      <c r="AJ478" s="14"/>
      <c r="AK478" s="14"/>
      <c r="AL478" s="14"/>
      <c r="AM478" s="14"/>
    </row>
    <row r="479" ht="14.25" customHeight="1">
      <c r="A479" s="1"/>
      <c r="B479" s="1"/>
      <c r="C479" s="1"/>
      <c r="D479" s="1"/>
      <c r="E479" s="1"/>
      <c r="F479" s="69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4"/>
      <c r="AI479" s="14"/>
      <c r="AJ479" s="14"/>
      <c r="AK479" s="14"/>
      <c r="AL479" s="14"/>
      <c r="AM479" s="14"/>
    </row>
    <row r="480" ht="14.25" customHeight="1">
      <c r="A480" s="1"/>
      <c r="B480" s="1"/>
      <c r="C480" s="1"/>
      <c r="D480" s="1"/>
      <c r="E480" s="1"/>
      <c r="F480" s="69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4"/>
      <c r="AI480" s="14"/>
      <c r="AJ480" s="14"/>
      <c r="AK480" s="14"/>
      <c r="AL480" s="14"/>
      <c r="AM480" s="14"/>
    </row>
    <row r="481" ht="14.25" customHeight="1">
      <c r="A481" s="1"/>
      <c r="B481" s="1"/>
      <c r="C481" s="1"/>
      <c r="D481" s="1"/>
      <c r="E481" s="1"/>
      <c r="F481" s="69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4"/>
      <c r="AI481" s="14"/>
      <c r="AJ481" s="14"/>
      <c r="AK481" s="14"/>
      <c r="AL481" s="14"/>
      <c r="AM481" s="14"/>
    </row>
    <row r="482" ht="14.25" customHeight="1">
      <c r="A482" s="1"/>
      <c r="B482" s="1"/>
      <c r="C482" s="1"/>
      <c r="D482" s="1"/>
      <c r="E482" s="1"/>
      <c r="F482" s="69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4"/>
      <c r="AI482" s="14"/>
      <c r="AJ482" s="14"/>
      <c r="AK482" s="14"/>
      <c r="AL482" s="14"/>
      <c r="AM482" s="14"/>
    </row>
    <row r="483" ht="14.25" customHeight="1">
      <c r="A483" s="1"/>
      <c r="B483" s="1"/>
      <c r="C483" s="1"/>
      <c r="D483" s="1"/>
      <c r="E483" s="1"/>
      <c r="F483" s="69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4"/>
      <c r="AI483" s="14"/>
      <c r="AJ483" s="14"/>
      <c r="AK483" s="14"/>
      <c r="AL483" s="14"/>
      <c r="AM483" s="14"/>
    </row>
    <row r="484" ht="14.25" customHeight="1">
      <c r="A484" s="1"/>
      <c r="B484" s="1"/>
      <c r="C484" s="1"/>
      <c r="D484" s="1"/>
      <c r="E484" s="1"/>
      <c r="F484" s="69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4"/>
      <c r="AI484" s="14"/>
      <c r="AJ484" s="14"/>
      <c r="AK484" s="14"/>
      <c r="AL484" s="14"/>
      <c r="AM484" s="14"/>
    </row>
    <row r="485" ht="14.25" customHeight="1">
      <c r="A485" s="1"/>
      <c r="B485" s="1"/>
      <c r="C485" s="1"/>
      <c r="D485" s="1"/>
      <c r="E485" s="1"/>
      <c r="F485" s="69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4"/>
      <c r="AI485" s="14"/>
      <c r="AJ485" s="14"/>
      <c r="AK485" s="14"/>
      <c r="AL485" s="14"/>
      <c r="AM485" s="14"/>
    </row>
    <row r="486" ht="14.25" customHeight="1">
      <c r="A486" s="1"/>
      <c r="B486" s="1"/>
      <c r="C486" s="1"/>
      <c r="D486" s="1"/>
      <c r="E486" s="1"/>
      <c r="F486" s="69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4"/>
      <c r="AI486" s="14"/>
      <c r="AJ486" s="14"/>
      <c r="AK486" s="14"/>
      <c r="AL486" s="14"/>
      <c r="AM486" s="14"/>
    </row>
    <row r="487" ht="14.25" customHeight="1">
      <c r="A487" s="1"/>
      <c r="B487" s="1"/>
      <c r="C487" s="1"/>
      <c r="D487" s="1"/>
      <c r="E487" s="1"/>
      <c r="F487" s="69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4"/>
      <c r="AI487" s="14"/>
      <c r="AJ487" s="14"/>
      <c r="AK487" s="14"/>
      <c r="AL487" s="14"/>
      <c r="AM487" s="14"/>
    </row>
    <row r="488" ht="14.25" customHeight="1">
      <c r="A488" s="1"/>
      <c r="B488" s="1"/>
      <c r="C488" s="1"/>
      <c r="D488" s="1"/>
      <c r="E488" s="1"/>
      <c r="F488" s="69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4"/>
      <c r="AI488" s="14"/>
      <c r="AJ488" s="14"/>
      <c r="AK488" s="14"/>
      <c r="AL488" s="14"/>
      <c r="AM488" s="14"/>
    </row>
    <row r="489" ht="14.25" customHeight="1">
      <c r="A489" s="1"/>
      <c r="B489" s="1"/>
      <c r="C489" s="1"/>
      <c r="D489" s="1"/>
      <c r="E489" s="1"/>
      <c r="F489" s="69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4"/>
      <c r="AI489" s="14"/>
      <c r="AJ489" s="14"/>
      <c r="AK489" s="14"/>
      <c r="AL489" s="14"/>
      <c r="AM489" s="14"/>
    </row>
    <row r="490" ht="14.25" customHeight="1">
      <c r="A490" s="1"/>
      <c r="B490" s="1"/>
      <c r="C490" s="1"/>
      <c r="D490" s="1"/>
      <c r="E490" s="1"/>
      <c r="F490" s="69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4"/>
      <c r="AI490" s="14"/>
      <c r="AJ490" s="14"/>
      <c r="AK490" s="14"/>
      <c r="AL490" s="14"/>
      <c r="AM490" s="14"/>
    </row>
    <row r="491" ht="14.25" customHeight="1">
      <c r="A491" s="1"/>
      <c r="B491" s="1"/>
      <c r="C491" s="1"/>
      <c r="D491" s="1"/>
      <c r="E491" s="1"/>
      <c r="F491" s="69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4"/>
      <c r="AI491" s="14"/>
      <c r="AJ491" s="14"/>
      <c r="AK491" s="14"/>
      <c r="AL491" s="14"/>
      <c r="AM491" s="14"/>
    </row>
    <row r="492" ht="14.25" customHeight="1">
      <c r="A492" s="1"/>
      <c r="B492" s="1"/>
      <c r="C492" s="1"/>
      <c r="D492" s="1"/>
      <c r="E492" s="1"/>
      <c r="F492" s="69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4"/>
      <c r="AI492" s="14"/>
      <c r="AJ492" s="14"/>
      <c r="AK492" s="14"/>
      <c r="AL492" s="14"/>
      <c r="AM492" s="14"/>
    </row>
    <row r="493" ht="14.25" customHeight="1">
      <c r="A493" s="1"/>
      <c r="B493" s="1"/>
      <c r="C493" s="1"/>
      <c r="D493" s="1"/>
      <c r="E493" s="1"/>
      <c r="F493" s="69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4"/>
      <c r="AI493" s="14"/>
      <c r="AJ493" s="14"/>
      <c r="AK493" s="14"/>
      <c r="AL493" s="14"/>
      <c r="AM493" s="14"/>
    </row>
    <row r="494" ht="14.25" customHeight="1">
      <c r="A494" s="1"/>
      <c r="B494" s="1"/>
      <c r="C494" s="1"/>
      <c r="D494" s="1"/>
      <c r="E494" s="1"/>
      <c r="F494" s="69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4"/>
      <c r="AI494" s="14"/>
      <c r="AJ494" s="14"/>
      <c r="AK494" s="14"/>
      <c r="AL494" s="14"/>
      <c r="AM494" s="14"/>
    </row>
    <row r="495" ht="14.25" customHeight="1">
      <c r="A495" s="1"/>
      <c r="B495" s="1"/>
      <c r="C495" s="1"/>
      <c r="D495" s="1"/>
      <c r="E495" s="1"/>
      <c r="F495" s="69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4"/>
      <c r="AI495" s="14"/>
      <c r="AJ495" s="14"/>
      <c r="AK495" s="14"/>
      <c r="AL495" s="14"/>
      <c r="AM495" s="14"/>
    </row>
    <row r="496" ht="14.25" customHeight="1">
      <c r="A496" s="1"/>
      <c r="B496" s="1"/>
      <c r="C496" s="1"/>
      <c r="D496" s="1"/>
      <c r="E496" s="1"/>
      <c r="F496" s="69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4"/>
      <c r="AI496" s="14"/>
      <c r="AJ496" s="14"/>
      <c r="AK496" s="14"/>
      <c r="AL496" s="14"/>
      <c r="AM496" s="14"/>
    </row>
    <row r="497" ht="14.25" customHeight="1">
      <c r="A497" s="1"/>
      <c r="B497" s="1"/>
      <c r="C497" s="1"/>
      <c r="D497" s="1"/>
      <c r="E497" s="1"/>
      <c r="F497" s="69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4"/>
      <c r="AI497" s="14"/>
      <c r="AJ497" s="14"/>
      <c r="AK497" s="14"/>
      <c r="AL497" s="14"/>
      <c r="AM497" s="14"/>
    </row>
    <row r="498" ht="14.25" customHeight="1">
      <c r="A498" s="1"/>
      <c r="B498" s="1"/>
      <c r="C498" s="1"/>
      <c r="D498" s="1"/>
      <c r="E498" s="1"/>
      <c r="F498" s="69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4"/>
      <c r="AI498" s="14"/>
      <c r="AJ498" s="14"/>
      <c r="AK498" s="14"/>
      <c r="AL498" s="14"/>
      <c r="AM498" s="14"/>
    </row>
    <row r="499" ht="14.25" customHeight="1">
      <c r="A499" s="1"/>
      <c r="B499" s="1"/>
      <c r="C499" s="1"/>
      <c r="D499" s="1"/>
      <c r="E499" s="1"/>
      <c r="F499" s="69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4"/>
      <c r="AI499" s="14"/>
      <c r="AJ499" s="14"/>
      <c r="AK499" s="14"/>
      <c r="AL499" s="14"/>
      <c r="AM499" s="14"/>
    </row>
    <row r="500" ht="14.25" customHeight="1">
      <c r="A500" s="1"/>
      <c r="B500" s="1"/>
      <c r="C500" s="1"/>
      <c r="D500" s="1"/>
      <c r="E500" s="1"/>
      <c r="F500" s="69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4"/>
      <c r="AI500" s="14"/>
      <c r="AJ500" s="14"/>
      <c r="AK500" s="14"/>
      <c r="AL500" s="14"/>
      <c r="AM500" s="14"/>
    </row>
    <row r="501" ht="14.25" customHeight="1">
      <c r="A501" s="1"/>
      <c r="B501" s="1"/>
      <c r="C501" s="1"/>
      <c r="D501" s="1"/>
      <c r="E501" s="1"/>
      <c r="F501" s="69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4"/>
      <c r="AI501" s="14"/>
      <c r="AJ501" s="14"/>
      <c r="AK501" s="14"/>
      <c r="AL501" s="14"/>
      <c r="AM501" s="14"/>
    </row>
    <row r="502" ht="14.25" customHeight="1">
      <c r="A502" s="1"/>
      <c r="B502" s="1"/>
      <c r="C502" s="1"/>
      <c r="D502" s="1"/>
      <c r="E502" s="1"/>
      <c r="F502" s="69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4"/>
      <c r="AI502" s="14"/>
      <c r="AJ502" s="14"/>
      <c r="AK502" s="14"/>
      <c r="AL502" s="14"/>
      <c r="AM502" s="14"/>
    </row>
    <row r="503" ht="14.25" customHeight="1">
      <c r="A503" s="1"/>
      <c r="B503" s="1"/>
      <c r="C503" s="1"/>
      <c r="D503" s="1"/>
      <c r="E503" s="1"/>
      <c r="F503" s="69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4"/>
      <c r="AI503" s="14"/>
      <c r="AJ503" s="14"/>
      <c r="AK503" s="14"/>
      <c r="AL503" s="14"/>
      <c r="AM503" s="14"/>
    </row>
    <row r="504" ht="14.25" customHeight="1">
      <c r="A504" s="1"/>
      <c r="B504" s="1"/>
      <c r="C504" s="1"/>
      <c r="D504" s="1"/>
      <c r="E504" s="1"/>
      <c r="F504" s="69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4"/>
      <c r="AI504" s="14"/>
      <c r="AJ504" s="14"/>
      <c r="AK504" s="14"/>
      <c r="AL504" s="14"/>
      <c r="AM504" s="14"/>
    </row>
    <row r="505" ht="14.25" customHeight="1">
      <c r="A505" s="1"/>
      <c r="B505" s="1"/>
      <c r="C505" s="1"/>
      <c r="D505" s="1"/>
      <c r="E505" s="1"/>
      <c r="F505" s="69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4"/>
      <c r="AI505" s="14"/>
      <c r="AJ505" s="14"/>
      <c r="AK505" s="14"/>
      <c r="AL505" s="14"/>
      <c r="AM505" s="14"/>
    </row>
    <row r="506" ht="14.25" customHeight="1">
      <c r="A506" s="1"/>
      <c r="B506" s="1"/>
      <c r="C506" s="1"/>
      <c r="D506" s="1"/>
      <c r="E506" s="1"/>
      <c r="F506" s="69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4"/>
      <c r="AI506" s="14"/>
      <c r="AJ506" s="14"/>
      <c r="AK506" s="14"/>
      <c r="AL506" s="14"/>
      <c r="AM506" s="14"/>
    </row>
    <row r="507" ht="14.25" customHeight="1">
      <c r="A507" s="1"/>
      <c r="B507" s="1"/>
      <c r="C507" s="1"/>
      <c r="D507" s="1"/>
      <c r="E507" s="1"/>
      <c r="F507" s="69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4"/>
      <c r="AI507" s="14"/>
      <c r="AJ507" s="14"/>
      <c r="AK507" s="14"/>
      <c r="AL507" s="14"/>
      <c r="AM507" s="14"/>
    </row>
    <row r="508" ht="14.25" customHeight="1">
      <c r="A508" s="1"/>
      <c r="B508" s="1"/>
      <c r="C508" s="1"/>
      <c r="D508" s="1"/>
      <c r="E508" s="1"/>
      <c r="F508" s="69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4"/>
      <c r="AI508" s="14"/>
      <c r="AJ508" s="14"/>
      <c r="AK508" s="14"/>
      <c r="AL508" s="14"/>
      <c r="AM508" s="14"/>
    </row>
    <row r="509" ht="14.25" customHeight="1">
      <c r="A509" s="1"/>
      <c r="B509" s="1"/>
      <c r="C509" s="1"/>
      <c r="D509" s="1"/>
      <c r="E509" s="1"/>
      <c r="F509" s="69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4"/>
      <c r="AI509" s="14"/>
      <c r="AJ509" s="14"/>
      <c r="AK509" s="14"/>
      <c r="AL509" s="14"/>
      <c r="AM509" s="14"/>
    </row>
    <row r="510" ht="14.25" customHeight="1">
      <c r="A510" s="1"/>
      <c r="B510" s="1"/>
      <c r="C510" s="1"/>
      <c r="D510" s="1"/>
      <c r="E510" s="1"/>
      <c r="F510" s="69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4"/>
      <c r="AI510" s="14"/>
      <c r="AJ510" s="14"/>
      <c r="AK510" s="14"/>
      <c r="AL510" s="14"/>
      <c r="AM510" s="14"/>
    </row>
    <row r="511" ht="14.25" customHeight="1">
      <c r="A511" s="1"/>
      <c r="B511" s="1"/>
      <c r="C511" s="1"/>
      <c r="D511" s="1"/>
      <c r="E511" s="1"/>
      <c r="F511" s="69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4"/>
      <c r="AI511" s="14"/>
      <c r="AJ511" s="14"/>
      <c r="AK511" s="14"/>
      <c r="AL511" s="14"/>
      <c r="AM511" s="14"/>
    </row>
    <row r="512" ht="14.25" customHeight="1">
      <c r="A512" s="1"/>
      <c r="B512" s="1"/>
      <c r="C512" s="1"/>
      <c r="D512" s="1"/>
      <c r="E512" s="1"/>
      <c r="F512" s="69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4"/>
      <c r="AI512" s="14"/>
      <c r="AJ512" s="14"/>
      <c r="AK512" s="14"/>
      <c r="AL512" s="14"/>
      <c r="AM512" s="14"/>
    </row>
    <row r="513" ht="14.25" customHeight="1">
      <c r="A513" s="1"/>
      <c r="B513" s="1"/>
      <c r="C513" s="1"/>
      <c r="D513" s="1"/>
      <c r="E513" s="1"/>
      <c r="F513" s="69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4"/>
      <c r="AI513" s="14"/>
      <c r="AJ513" s="14"/>
      <c r="AK513" s="14"/>
      <c r="AL513" s="14"/>
      <c r="AM513" s="14"/>
    </row>
    <row r="514" ht="14.25" customHeight="1">
      <c r="A514" s="1"/>
      <c r="B514" s="1"/>
      <c r="C514" s="1"/>
      <c r="D514" s="1"/>
      <c r="E514" s="1"/>
      <c r="F514" s="69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4"/>
      <c r="AI514" s="14"/>
      <c r="AJ514" s="14"/>
      <c r="AK514" s="14"/>
      <c r="AL514" s="14"/>
      <c r="AM514" s="14"/>
    </row>
    <row r="515" ht="14.25" customHeight="1">
      <c r="A515" s="1"/>
      <c r="B515" s="1"/>
      <c r="C515" s="1"/>
      <c r="D515" s="1"/>
      <c r="E515" s="1"/>
      <c r="F515" s="69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4"/>
      <c r="AI515" s="14"/>
      <c r="AJ515" s="14"/>
      <c r="AK515" s="14"/>
      <c r="AL515" s="14"/>
      <c r="AM515" s="14"/>
    </row>
    <row r="516" ht="14.25" customHeight="1">
      <c r="A516" s="1"/>
      <c r="B516" s="1"/>
      <c r="C516" s="1"/>
      <c r="D516" s="1"/>
      <c r="E516" s="1"/>
      <c r="F516" s="69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4"/>
      <c r="AI516" s="14"/>
      <c r="AJ516" s="14"/>
      <c r="AK516" s="14"/>
      <c r="AL516" s="14"/>
      <c r="AM516" s="14"/>
    </row>
    <row r="517" ht="14.25" customHeight="1">
      <c r="A517" s="1"/>
      <c r="B517" s="1"/>
      <c r="C517" s="1"/>
      <c r="D517" s="1"/>
      <c r="E517" s="1"/>
      <c r="F517" s="69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4"/>
      <c r="AI517" s="14"/>
      <c r="AJ517" s="14"/>
      <c r="AK517" s="14"/>
      <c r="AL517" s="14"/>
      <c r="AM517" s="14"/>
    </row>
    <row r="518" ht="14.25" customHeight="1">
      <c r="A518" s="1"/>
      <c r="B518" s="1"/>
      <c r="C518" s="1"/>
      <c r="D518" s="1"/>
      <c r="E518" s="1"/>
      <c r="F518" s="69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4"/>
      <c r="AI518" s="14"/>
      <c r="AJ518" s="14"/>
      <c r="AK518" s="14"/>
      <c r="AL518" s="14"/>
      <c r="AM518" s="14"/>
    </row>
    <row r="519" ht="14.25" customHeight="1">
      <c r="A519" s="1"/>
      <c r="B519" s="1"/>
      <c r="C519" s="1"/>
      <c r="D519" s="1"/>
      <c r="E519" s="1"/>
      <c r="F519" s="69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4"/>
      <c r="AI519" s="14"/>
      <c r="AJ519" s="14"/>
      <c r="AK519" s="14"/>
      <c r="AL519" s="14"/>
      <c r="AM519" s="14"/>
    </row>
    <row r="520" ht="14.25" customHeight="1">
      <c r="A520" s="1"/>
      <c r="B520" s="1"/>
      <c r="C520" s="1"/>
      <c r="D520" s="1"/>
      <c r="E520" s="1"/>
      <c r="F520" s="69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4"/>
      <c r="AI520" s="14"/>
      <c r="AJ520" s="14"/>
      <c r="AK520" s="14"/>
      <c r="AL520" s="14"/>
      <c r="AM520" s="14"/>
    </row>
    <row r="521" ht="14.25" customHeight="1">
      <c r="A521" s="1"/>
      <c r="B521" s="1"/>
      <c r="C521" s="1"/>
      <c r="D521" s="1"/>
      <c r="E521" s="1"/>
      <c r="F521" s="69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4"/>
      <c r="AI521" s="14"/>
      <c r="AJ521" s="14"/>
      <c r="AK521" s="14"/>
      <c r="AL521" s="14"/>
      <c r="AM521" s="14"/>
    </row>
    <row r="522" ht="14.25" customHeight="1">
      <c r="A522" s="1"/>
      <c r="B522" s="1"/>
      <c r="C522" s="1"/>
      <c r="D522" s="1"/>
      <c r="E522" s="1"/>
      <c r="F522" s="69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4"/>
      <c r="AI522" s="14"/>
      <c r="AJ522" s="14"/>
      <c r="AK522" s="14"/>
      <c r="AL522" s="14"/>
      <c r="AM522" s="14"/>
    </row>
    <row r="523" ht="14.25" customHeight="1">
      <c r="A523" s="1"/>
      <c r="B523" s="1"/>
      <c r="C523" s="1"/>
      <c r="D523" s="1"/>
      <c r="E523" s="1"/>
      <c r="F523" s="69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4"/>
      <c r="AI523" s="14"/>
      <c r="AJ523" s="14"/>
      <c r="AK523" s="14"/>
      <c r="AL523" s="14"/>
      <c r="AM523" s="14"/>
    </row>
    <row r="524" ht="14.25" customHeight="1">
      <c r="A524" s="1"/>
      <c r="B524" s="1"/>
      <c r="C524" s="1"/>
      <c r="D524" s="1"/>
      <c r="E524" s="1"/>
      <c r="F524" s="69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4"/>
      <c r="AI524" s="14"/>
      <c r="AJ524" s="14"/>
      <c r="AK524" s="14"/>
      <c r="AL524" s="14"/>
      <c r="AM524" s="14"/>
    </row>
    <row r="525" ht="14.25" customHeight="1">
      <c r="A525" s="1"/>
      <c r="B525" s="1"/>
      <c r="C525" s="1"/>
      <c r="D525" s="1"/>
      <c r="E525" s="1"/>
      <c r="F525" s="69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4"/>
      <c r="AI525" s="14"/>
      <c r="AJ525" s="14"/>
      <c r="AK525" s="14"/>
      <c r="AL525" s="14"/>
      <c r="AM525" s="14"/>
    </row>
    <row r="526" ht="14.25" customHeight="1">
      <c r="A526" s="1"/>
      <c r="B526" s="1"/>
      <c r="C526" s="1"/>
      <c r="D526" s="1"/>
      <c r="E526" s="1"/>
      <c r="F526" s="69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4"/>
      <c r="AI526" s="14"/>
      <c r="AJ526" s="14"/>
      <c r="AK526" s="14"/>
      <c r="AL526" s="14"/>
      <c r="AM526" s="14"/>
    </row>
    <row r="527" ht="14.25" customHeight="1">
      <c r="A527" s="1"/>
      <c r="B527" s="1"/>
      <c r="C527" s="1"/>
      <c r="D527" s="1"/>
      <c r="E527" s="1"/>
      <c r="F527" s="69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4"/>
      <c r="AI527" s="14"/>
      <c r="AJ527" s="14"/>
      <c r="AK527" s="14"/>
      <c r="AL527" s="14"/>
      <c r="AM527" s="14"/>
    </row>
    <row r="528" ht="14.25" customHeight="1">
      <c r="A528" s="1"/>
      <c r="B528" s="1"/>
      <c r="C528" s="1"/>
      <c r="D528" s="1"/>
      <c r="E528" s="1"/>
      <c r="F528" s="69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4"/>
      <c r="AI528" s="14"/>
      <c r="AJ528" s="14"/>
      <c r="AK528" s="14"/>
      <c r="AL528" s="14"/>
      <c r="AM528" s="14"/>
    </row>
    <row r="529" ht="14.25" customHeight="1">
      <c r="A529" s="1"/>
      <c r="B529" s="1"/>
      <c r="C529" s="1"/>
      <c r="D529" s="1"/>
      <c r="E529" s="1"/>
      <c r="F529" s="69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4"/>
      <c r="AI529" s="14"/>
      <c r="AJ529" s="14"/>
      <c r="AK529" s="14"/>
      <c r="AL529" s="14"/>
      <c r="AM529" s="14"/>
    </row>
    <row r="530" ht="14.25" customHeight="1">
      <c r="A530" s="1"/>
      <c r="B530" s="1"/>
      <c r="C530" s="1"/>
      <c r="D530" s="1"/>
      <c r="E530" s="1"/>
      <c r="F530" s="69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4"/>
      <c r="AI530" s="14"/>
      <c r="AJ530" s="14"/>
      <c r="AK530" s="14"/>
      <c r="AL530" s="14"/>
      <c r="AM530" s="14"/>
    </row>
    <row r="531" ht="14.25" customHeight="1">
      <c r="A531" s="1"/>
      <c r="B531" s="1"/>
      <c r="C531" s="1"/>
      <c r="D531" s="1"/>
      <c r="E531" s="1"/>
      <c r="F531" s="69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4"/>
      <c r="AI531" s="14"/>
      <c r="AJ531" s="14"/>
      <c r="AK531" s="14"/>
      <c r="AL531" s="14"/>
      <c r="AM531" s="14"/>
    </row>
    <row r="532" ht="14.25" customHeight="1">
      <c r="A532" s="1"/>
      <c r="B532" s="1"/>
      <c r="C532" s="1"/>
      <c r="D532" s="1"/>
      <c r="E532" s="1"/>
      <c r="F532" s="69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4"/>
      <c r="AI532" s="14"/>
      <c r="AJ532" s="14"/>
      <c r="AK532" s="14"/>
      <c r="AL532" s="14"/>
      <c r="AM532" s="14"/>
    </row>
    <row r="533" ht="14.25" customHeight="1">
      <c r="A533" s="1"/>
      <c r="B533" s="1"/>
      <c r="C533" s="1"/>
      <c r="D533" s="1"/>
      <c r="E533" s="1"/>
      <c r="F533" s="69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4"/>
      <c r="AI533" s="14"/>
      <c r="AJ533" s="14"/>
      <c r="AK533" s="14"/>
      <c r="AL533" s="14"/>
      <c r="AM533" s="14"/>
    </row>
    <row r="534" ht="14.25" customHeight="1">
      <c r="A534" s="1"/>
      <c r="B534" s="1"/>
      <c r="C534" s="1"/>
      <c r="D534" s="1"/>
      <c r="E534" s="1"/>
      <c r="F534" s="69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4"/>
      <c r="AI534" s="14"/>
      <c r="AJ534" s="14"/>
      <c r="AK534" s="14"/>
      <c r="AL534" s="14"/>
      <c r="AM534" s="14"/>
    </row>
    <row r="535" ht="14.25" customHeight="1">
      <c r="A535" s="1"/>
      <c r="B535" s="1"/>
      <c r="C535" s="1"/>
      <c r="D535" s="1"/>
      <c r="E535" s="1"/>
      <c r="F535" s="69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4"/>
      <c r="AI535" s="14"/>
      <c r="AJ535" s="14"/>
      <c r="AK535" s="14"/>
      <c r="AL535" s="14"/>
      <c r="AM535" s="14"/>
    </row>
    <row r="536" ht="14.25" customHeight="1">
      <c r="A536" s="1"/>
      <c r="B536" s="1"/>
      <c r="C536" s="1"/>
      <c r="D536" s="1"/>
      <c r="E536" s="1"/>
      <c r="F536" s="69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4"/>
      <c r="AI536" s="14"/>
      <c r="AJ536" s="14"/>
      <c r="AK536" s="14"/>
      <c r="AL536" s="14"/>
      <c r="AM536" s="14"/>
    </row>
    <row r="537" ht="14.25" customHeight="1">
      <c r="A537" s="1"/>
      <c r="B537" s="1"/>
      <c r="C537" s="1"/>
      <c r="D537" s="1"/>
      <c r="E537" s="1"/>
      <c r="F537" s="69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4"/>
      <c r="AI537" s="14"/>
      <c r="AJ537" s="14"/>
      <c r="AK537" s="14"/>
      <c r="AL537" s="14"/>
      <c r="AM537" s="14"/>
    </row>
    <row r="538" ht="14.25" customHeight="1">
      <c r="A538" s="1"/>
      <c r="B538" s="1"/>
      <c r="C538" s="1"/>
      <c r="D538" s="1"/>
      <c r="E538" s="1"/>
      <c r="F538" s="69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4"/>
      <c r="AI538" s="14"/>
      <c r="AJ538" s="14"/>
      <c r="AK538" s="14"/>
      <c r="AL538" s="14"/>
      <c r="AM538" s="14"/>
    </row>
    <row r="539" ht="14.25" customHeight="1">
      <c r="A539" s="1"/>
      <c r="B539" s="1"/>
      <c r="C539" s="1"/>
      <c r="D539" s="1"/>
      <c r="E539" s="1"/>
      <c r="F539" s="69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4"/>
      <c r="AI539" s="14"/>
      <c r="AJ539" s="14"/>
      <c r="AK539" s="14"/>
      <c r="AL539" s="14"/>
      <c r="AM539" s="14"/>
    </row>
    <row r="540" ht="14.25" customHeight="1">
      <c r="A540" s="1"/>
      <c r="B540" s="1"/>
      <c r="C540" s="1"/>
      <c r="D540" s="1"/>
      <c r="E540" s="1"/>
      <c r="F540" s="69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4"/>
      <c r="AI540" s="14"/>
      <c r="AJ540" s="14"/>
      <c r="AK540" s="14"/>
      <c r="AL540" s="14"/>
      <c r="AM540" s="14"/>
    </row>
    <row r="541" ht="14.25" customHeight="1">
      <c r="A541" s="1"/>
      <c r="B541" s="1"/>
      <c r="C541" s="1"/>
      <c r="D541" s="1"/>
      <c r="E541" s="1"/>
      <c r="F541" s="69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4"/>
      <c r="AI541" s="14"/>
      <c r="AJ541" s="14"/>
      <c r="AK541" s="14"/>
      <c r="AL541" s="14"/>
      <c r="AM541" s="14"/>
    </row>
    <row r="542" ht="14.25" customHeight="1">
      <c r="A542" s="1"/>
      <c r="B542" s="1"/>
      <c r="C542" s="1"/>
      <c r="D542" s="1"/>
      <c r="E542" s="1"/>
      <c r="F542" s="69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4"/>
      <c r="AI542" s="14"/>
      <c r="AJ542" s="14"/>
      <c r="AK542" s="14"/>
      <c r="AL542" s="14"/>
      <c r="AM542" s="14"/>
    </row>
    <row r="543" ht="14.25" customHeight="1">
      <c r="A543" s="1"/>
      <c r="B543" s="1"/>
      <c r="C543" s="1"/>
      <c r="D543" s="1"/>
      <c r="E543" s="1"/>
      <c r="F543" s="69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4"/>
      <c r="AI543" s="14"/>
      <c r="AJ543" s="14"/>
      <c r="AK543" s="14"/>
      <c r="AL543" s="14"/>
      <c r="AM543" s="14"/>
    </row>
    <row r="544" ht="14.25" customHeight="1">
      <c r="A544" s="1"/>
      <c r="B544" s="1"/>
      <c r="C544" s="1"/>
      <c r="D544" s="1"/>
      <c r="E544" s="1"/>
      <c r="F544" s="69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4"/>
      <c r="AI544" s="14"/>
      <c r="AJ544" s="14"/>
      <c r="AK544" s="14"/>
      <c r="AL544" s="14"/>
      <c r="AM544" s="14"/>
    </row>
    <row r="545" ht="14.25" customHeight="1">
      <c r="A545" s="1"/>
      <c r="B545" s="1"/>
      <c r="C545" s="1"/>
      <c r="D545" s="1"/>
      <c r="E545" s="1"/>
      <c r="F545" s="69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4"/>
      <c r="AI545" s="14"/>
      <c r="AJ545" s="14"/>
      <c r="AK545" s="14"/>
      <c r="AL545" s="14"/>
      <c r="AM545" s="14"/>
    </row>
    <row r="546" ht="14.25" customHeight="1">
      <c r="A546" s="1"/>
      <c r="B546" s="1"/>
      <c r="C546" s="1"/>
      <c r="D546" s="1"/>
      <c r="E546" s="1"/>
      <c r="F546" s="69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4"/>
      <c r="AI546" s="14"/>
      <c r="AJ546" s="14"/>
      <c r="AK546" s="14"/>
      <c r="AL546" s="14"/>
      <c r="AM546" s="14"/>
    </row>
    <row r="547" ht="14.25" customHeight="1">
      <c r="A547" s="1"/>
      <c r="B547" s="1"/>
      <c r="C547" s="1"/>
      <c r="D547" s="1"/>
      <c r="E547" s="1"/>
      <c r="F547" s="69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4"/>
      <c r="AI547" s="14"/>
      <c r="AJ547" s="14"/>
      <c r="AK547" s="14"/>
      <c r="AL547" s="14"/>
      <c r="AM547" s="14"/>
    </row>
    <row r="548" ht="14.25" customHeight="1">
      <c r="A548" s="1"/>
      <c r="B548" s="1"/>
      <c r="C548" s="1"/>
      <c r="D548" s="1"/>
      <c r="E548" s="1"/>
      <c r="F548" s="69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4"/>
      <c r="AI548" s="14"/>
      <c r="AJ548" s="14"/>
      <c r="AK548" s="14"/>
      <c r="AL548" s="14"/>
      <c r="AM548" s="14"/>
    </row>
    <row r="549" ht="14.25" customHeight="1">
      <c r="A549" s="1"/>
      <c r="B549" s="1"/>
      <c r="C549" s="1"/>
      <c r="D549" s="1"/>
      <c r="E549" s="1"/>
      <c r="F549" s="69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4"/>
      <c r="AI549" s="14"/>
      <c r="AJ549" s="14"/>
      <c r="AK549" s="14"/>
      <c r="AL549" s="14"/>
      <c r="AM549" s="14"/>
    </row>
    <row r="550" ht="14.25" customHeight="1">
      <c r="A550" s="1"/>
      <c r="B550" s="1"/>
      <c r="C550" s="1"/>
      <c r="D550" s="1"/>
      <c r="E550" s="1"/>
      <c r="F550" s="69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4"/>
      <c r="AI550" s="14"/>
      <c r="AJ550" s="14"/>
      <c r="AK550" s="14"/>
      <c r="AL550" s="14"/>
      <c r="AM550" s="14"/>
    </row>
    <row r="551" ht="14.25" customHeight="1">
      <c r="A551" s="1"/>
      <c r="B551" s="1"/>
      <c r="C551" s="1"/>
      <c r="D551" s="1"/>
      <c r="E551" s="1"/>
      <c r="F551" s="69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4"/>
      <c r="AI551" s="14"/>
      <c r="AJ551" s="14"/>
      <c r="AK551" s="14"/>
      <c r="AL551" s="14"/>
      <c r="AM551" s="14"/>
    </row>
    <row r="552" ht="14.25" customHeight="1">
      <c r="A552" s="1"/>
      <c r="B552" s="1"/>
      <c r="C552" s="1"/>
      <c r="D552" s="1"/>
      <c r="E552" s="1"/>
      <c r="F552" s="69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4"/>
      <c r="AI552" s="14"/>
      <c r="AJ552" s="14"/>
      <c r="AK552" s="14"/>
      <c r="AL552" s="14"/>
      <c r="AM552" s="14"/>
    </row>
    <row r="553" ht="14.25" customHeight="1">
      <c r="A553" s="1"/>
      <c r="B553" s="1"/>
      <c r="C553" s="1"/>
      <c r="D553" s="1"/>
      <c r="E553" s="1"/>
      <c r="F553" s="69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4"/>
      <c r="AI553" s="14"/>
      <c r="AJ553" s="14"/>
      <c r="AK553" s="14"/>
      <c r="AL553" s="14"/>
      <c r="AM553" s="14"/>
    </row>
    <row r="554" ht="14.25" customHeight="1">
      <c r="A554" s="1"/>
      <c r="B554" s="1"/>
      <c r="C554" s="1"/>
      <c r="D554" s="1"/>
      <c r="E554" s="1"/>
      <c r="F554" s="69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4"/>
      <c r="AI554" s="14"/>
      <c r="AJ554" s="14"/>
      <c r="AK554" s="14"/>
      <c r="AL554" s="14"/>
      <c r="AM554" s="14"/>
    </row>
    <row r="555" ht="14.25" customHeight="1">
      <c r="A555" s="1"/>
      <c r="B555" s="1"/>
      <c r="C555" s="1"/>
      <c r="D555" s="1"/>
      <c r="E555" s="1"/>
      <c r="F555" s="69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4"/>
      <c r="AI555" s="14"/>
      <c r="AJ555" s="14"/>
      <c r="AK555" s="14"/>
      <c r="AL555" s="14"/>
      <c r="AM555" s="14"/>
    </row>
    <row r="556" ht="14.25" customHeight="1">
      <c r="A556" s="1"/>
      <c r="B556" s="1"/>
      <c r="C556" s="1"/>
      <c r="D556" s="1"/>
      <c r="E556" s="1"/>
      <c r="F556" s="69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4"/>
      <c r="AI556" s="14"/>
      <c r="AJ556" s="14"/>
      <c r="AK556" s="14"/>
      <c r="AL556" s="14"/>
      <c r="AM556" s="14"/>
    </row>
    <row r="557" ht="14.25" customHeight="1">
      <c r="A557" s="1"/>
      <c r="B557" s="1"/>
      <c r="C557" s="1"/>
      <c r="D557" s="1"/>
      <c r="E557" s="1"/>
      <c r="F557" s="69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4"/>
      <c r="AI557" s="14"/>
      <c r="AJ557" s="14"/>
      <c r="AK557" s="14"/>
      <c r="AL557" s="14"/>
      <c r="AM557" s="14"/>
    </row>
    <row r="558" ht="14.25" customHeight="1">
      <c r="A558" s="1"/>
      <c r="B558" s="1"/>
      <c r="C558" s="1"/>
      <c r="D558" s="1"/>
      <c r="E558" s="1"/>
      <c r="F558" s="69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4"/>
      <c r="AI558" s="14"/>
      <c r="AJ558" s="14"/>
      <c r="AK558" s="14"/>
      <c r="AL558" s="14"/>
      <c r="AM558" s="14"/>
    </row>
    <row r="559" ht="14.25" customHeight="1">
      <c r="A559" s="1"/>
      <c r="B559" s="1"/>
      <c r="C559" s="1"/>
      <c r="D559" s="1"/>
      <c r="E559" s="1"/>
      <c r="F559" s="69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4"/>
      <c r="AI559" s="14"/>
      <c r="AJ559" s="14"/>
      <c r="AK559" s="14"/>
      <c r="AL559" s="14"/>
      <c r="AM559" s="14"/>
    </row>
    <row r="560" ht="14.25" customHeight="1">
      <c r="A560" s="1"/>
      <c r="B560" s="1"/>
      <c r="C560" s="1"/>
      <c r="D560" s="1"/>
      <c r="E560" s="1"/>
      <c r="F560" s="69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4"/>
      <c r="AI560" s="14"/>
      <c r="AJ560" s="14"/>
      <c r="AK560" s="14"/>
      <c r="AL560" s="14"/>
      <c r="AM560" s="14"/>
    </row>
    <row r="561" ht="14.25" customHeight="1">
      <c r="A561" s="1"/>
      <c r="B561" s="1"/>
      <c r="C561" s="1"/>
      <c r="D561" s="1"/>
      <c r="E561" s="1"/>
      <c r="F561" s="69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4"/>
      <c r="AI561" s="14"/>
      <c r="AJ561" s="14"/>
      <c r="AK561" s="14"/>
      <c r="AL561" s="14"/>
      <c r="AM561" s="14"/>
    </row>
    <row r="562" ht="14.25" customHeight="1">
      <c r="A562" s="1"/>
      <c r="B562" s="1"/>
      <c r="C562" s="1"/>
      <c r="D562" s="1"/>
      <c r="E562" s="1"/>
      <c r="F562" s="69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4"/>
      <c r="AI562" s="14"/>
      <c r="AJ562" s="14"/>
      <c r="AK562" s="14"/>
      <c r="AL562" s="14"/>
      <c r="AM562" s="14"/>
    </row>
    <row r="563" ht="14.25" customHeight="1">
      <c r="A563" s="1"/>
      <c r="B563" s="1"/>
      <c r="C563" s="1"/>
      <c r="D563" s="1"/>
      <c r="E563" s="1"/>
      <c r="F563" s="69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4"/>
      <c r="AI563" s="14"/>
      <c r="AJ563" s="14"/>
      <c r="AK563" s="14"/>
      <c r="AL563" s="14"/>
      <c r="AM563" s="14"/>
    </row>
    <row r="564" ht="14.25" customHeight="1">
      <c r="A564" s="1"/>
      <c r="B564" s="1"/>
      <c r="C564" s="1"/>
      <c r="D564" s="1"/>
      <c r="E564" s="1"/>
      <c r="F564" s="69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4"/>
      <c r="AI564" s="14"/>
      <c r="AJ564" s="14"/>
      <c r="AK564" s="14"/>
      <c r="AL564" s="14"/>
      <c r="AM564" s="14"/>
    </row>
    <row r="565" ht="14.25" customHeight="1">
      <c r="A565" s="1"/>
      <c r="B565" s="1"/>
      <c r="C565" s="1"/>
      <c r="D565" s="1"/>
      <c r="E565" s="1"/>
      <c r="F565" s="69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4"/>
      <c r="AI565" s="14"/>
      <c r="AJ565" s="14"/>
      <c r="AK565" s="14"/>
      <c r="AL565" s="14"/>
      <c r="AM565" s="14"/>
    </row>
    <row r="566" ht="14.25" customHeight="1">
      <c r="A566" s="1"/>
      <c r="B566" s="1"/>
      <c r="C566" s="1"/>
      <c r="D566" s="1"/>
      <c r="E566" s="1"/>
      <c r="F566" s="69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4"/>
      <c r="AI566" s="14"/>
      <c r="AJ566" s="14"/>
      <c r="AK566" s="14"/>
      <c r="AL566" s="14"/>
      <c r="AM566" s="14"/>
    </row>
    <row r="567" ht="14.25" customHeight="1">
      <c r="A567" s="1"/>
      <c r="B567" s="1"/>
      <c r="C567" s="1"/>
      <c r="D567" s="1"/>
      <c r="E567" s="1"/>
      <c r="F567" s="69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4"/>
      <c r="AI567" s="14"/>
      <c r="AJ567" s="14"/>
      <c r="AK567" s="14"/>
      <c r="AL567" s="14"/>
      <c r="AM567" s="14"/>
    </row>
    <row r="568" ht="14.25" customHeight="1">
      <c r="A568" s="1"/>
      <c r="B568" s="1"/>
      <c r="C568" s="1"/>
      <c r="D568" s="1"/>
      <c r="E568" s="1"/>
      <c r="F568" s="69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4"/>
      <c r="AI568" s="14"/>
      <c r="AJ568" s="14"/>
      <c r="AK568" s="14"/>
      <c r="AL568" s="14"/>
      <c r="AM568" s="14"/>
    </row>
    <row r="569" ht="14.25" customHeight="1">
      <c r="A569" s="1"/>
      <c r="B569" s="1"/>
      <c r="C569" s="1"/>
      <c r="D569" s="1"/>
      <c r="E569" s="1"/>
      <c r="F569" s="69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4"/>
      <c r="AI569" s="14"/>
      <c r="AJ569" s="14"/>
      <c r="AK569" s="14"/>
      <c r="AL569" s="14"/>
      <c r="AM569" s="14"/>
    </row>
    <row r="570" ht="14.25" customHeight="1">
      <c r="A570" s="1"/>
      <c r="B570" s="1"/>
      <c r="C570" s="1"/>
      <c r="D570" s="1"/>
      <c r="E570" s="1"/>
      <c r="F570" s="69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4"/>
      <c r="AI570" s="14"/>
      <c r="AJ570" s="14"/>
      <c r="AK570" s="14"/>
      <c r="AL570" s="14"/>
      <c r="AM570" s="14"/>
    </row>
    <row r="571" ht="14.25" customHeight="1">
      <c r="A571" s="1"/>
      <c r="B571" s="1"/>
      <c r="C571" s="1"/>
      <c r="D571" s="1"/>
      <c r="E571" s="1"/>
      <c r="F571" s="69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4"/>
      <c r="AI571" s="14"/>
      <c r="AJ571" s="14"/>
      <c r="AK571" s="14"/>
      <c r="AL571" s="14"/>
      <c r="AM571" s="14"/>
    </row>
    <row r="572" ht="14.25" customHeight="1">
      <c r="A572" s="1"/>
      <c r="B572" s="1"/>
      <c r="C572" s="1"/>
      <c r="D572" s="1"/>
      <c r="E572" s="1"/>
      <c r="F572" s="69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4"/>
      <c r="AI572" s="14"/>
      <c r="AJ572" s="14"/>
      <c r="AK572" s="14"/>
      <c r="AL572" s="14"/>
      <c r="AM572" s="14"/>
    </row>
    <row r="573" ht="14.25" customHeight="1">
      <c r="A573" s="1"/>
      <c r="B573" s="1"/>
      <c r="C573" s="1"/>
      <c r="D573" s="1"/>
      <c r="E573" s="1"/>
      <c r="F573" s="69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4"/>
      <c r="AI573" s="14"/>
      <c r="AJ573" s="14"/>
      <c r="AK573" s="14"/>
      <c r="AL573" s="14"/>
      <c r="AM573" s="14"/>
    </row>
    <row r="574" ht="14.25" customHeight="1">
      <c r="A574" s="1"/>
      <c r="B574" s="1"/>
      <c r="C574" s="1"/>
      <c r="D574" s="1"/>
      <c r="E574" s="1"/>
      <c r="F574" s="69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4"/>
      <c r="AI574" s="14"/>
      <c r="AJ574" s="14"/>
      <c r="AK574" s="14"/>
      <c r="AL574" s="14"/>
      <c r="AM574" s="14"/>
    </row>
    <row r="575" ht="14.25" customHeight="1">
      <c r="A575" s="1"/>
      <c r="B575" s="1"/>
      <c r="C575" s="1"/>
      <c r="D575" s="1"/>
      <c r="E575" s="1"/>
      <c r="F575" s="69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4"/>
      <c r="AI575" s="14"/>
      <c r="AJ575" s="14"/>
      <c r="AK575" s="14"/>
      <c r="AL575" s="14"/>
      <c r="AM575" s="14"/>
    </row>
    <row r="576" ht="14.25" customHeight="1">
      <c r="A576" s="1"/>
      <c r="B576" s="1"/>
      <c r="C576" s="1"/>
      <c r="D576" s="1"/>
      <c r="E576" s="1"/>
      <c r="F576" s="69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4"/>
      <c r="AI576" s="14"/>
      <c r="AJ576" s="14"/>
      <c r="AK576" s="14"/>
      <c r="AL576" s="14"/>
      <c r="AM576" s="14"/>
    </row>
    <row r="577" ht="14.25" customHeight="1">
      <c r="A577" s="1"/>
      <c r="B577" s="1"/>
      <c r="C577" s="1"/>
      <c r="D577" s="1"/>
      <c r="E577" s="1"/>
      <c r="F577" s="69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4"/>
      <c r="AI577" s="14"/>
      <c r="AJ577" s="14"/>
      <c r="AK577" s="14"/>
      <c r="AL577" s="14"/>
      <c r="AM577" s="14"/>
    </row>
    <row r="578" ht="14.25" customHeight="1">
      <c r="A578" s="1"/>
      <c r="B578" s="1"/>
      <c r="C578" s="1"/>
      <c r="D578" s="1"/>
      <c r="E578" s="1"/>
      <c r="F578" s="69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4"/>
      <c r="AI578" s="14"/>
      <c r="AJ578" s="14"/>
      <c r="AK578" s="14"/>
      <c r="AL578" s="14"/>
      <c r="AM578" s="14"/>
    </row>
    <row r="579" ht="14.25" customHeight="1">
      <c r="A579" s="1"/>
      <c r="B579" s="1"/>
      <c r="C579" s="1"/>
      <c r="D579" s="1"/>
      <c r="E579" s="1"/>
      <c r="F579" s="69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4"/>
      <c r="AI579" s="14"/>
      <c r="AJ579" s="14"/>
      <c r="AK579" s="14"/>
      <c r="AL579" s="14"/>
      <c r="AM579" s="14"/>
    </row>
    <row r="580" ht="14.25" customHeight="1">
      <c r="A580" s="1"/>
      <c r="B580" s="1"/>
      <c r="C580" s="1"/>
      <c r="D580" s="1"/>
      <c r="E580" s="1"/>
      <c r="F580" s="69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4"/>
      <c r="AI580" s="14"/>
      <c r="AJ580" s="14"/>
      <c r="AK580" s="14"/>
      <c r="AL580" s="14"/>
      <c r="AM580" s="14"/>
    </row>
    <row r="581" ht="14.25" customHeight="1">
      <c r="A581" s="1"/>
      <c r="B581" s="1"/>
      <c r="C581" s="1"/>
      <c r="D581" s="1"/>
      <c r="E581" s="1"/>
      <c r="F581" s="69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4"/>
      <c r="AI581" s="14"/>
      <c r="AJ581" s="14"/>
      <c r="AK581" s="14"/>
      <c r="AL581" s="14"/>
      <c r="AM581" s="14"/>
    </row>
    <row r="582" ht="14.25" customHeight="1">
      <c r="A582" s="1"/>
      <c r="B582" s="1"/>
      <c r="C582" s="1"/>
      <c r="D582" s="1"/>
      <c r="E582" s="1"/>
      <c r="F582" s="69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4"/>
      <c r="AI582" s="14"/>
      <c r="AJ582" s="14"/>
      <c r="AK582" s="14"/>
      <c r="AL582" s="14"/>
      <c r="AM582" s="14"/>
    </row>
    <row r="583" ht="14.25" customHeight="1">
      <c r="A583" s="1"/>
      <c r="B583" s="1"/>
      <c r="C583" s="1"/>
      <c r="D583" s="1"/>
      <c r="E583" s="1"/>
      <c r="F583" s="69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4"/>
      <c r="AI583" s="14"/>
      <c r="AJ583" s="14"/>
      <c r="AK583" s="14"/>
      <c r="AL583" s="14"/>
      <c r="AM583" s="14"/>
    </row>
    <row r="584" ht="14.25" customHeight="1">
      <c r="A584" s="1"/>
      <c r="B584" s="1"/>
      <c r="C584" s="1"/>
      <c r="D584" s="1"/>
      <c r="E584" s="1"/>
      <c r="F584" s="69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4"/>
      <c r="AI584" s="14"/>
      <c r="AJ584" s="14"/>
      <c r="AK584" s="14"/>
      <c r="AL584" s="14"/>
      <c r="AM584" s="14"/>
    </row>
    <row r="585" ht="14.25" customHeight="1">
      <c r="A585" s="1"/>
      <c r="B585" s="1"/>
      <c r="C585" s="1"/>
      <c r="D585" s="1"/>
      <c r="E585" s="1"/>
      <c r="F585" s="69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4"/>
      <c r="AI585" s="14"/>
      <c r="AJ585" s="14"/>
      <c r="AK585" s="14"/>
      <c r="AL585" s="14"/>
      <c r="AM585" s="14"/>
    </row>
    <row r="586" ht="14.25" customHeight="1">
      <c r="A586" s="1"/>
      <c r="B586" s="1"/>
      <c r="C586" s="1"/>
      <c r="D586" s="1"/>
      <c r="E586" s="1"/>
      <c r="F586" s="69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4"/>
      <c r="AI586" s="14"/>
      <c r="AJ586" s="14"/>
      <c r="AK586" s="14"/>
      <c r="AL586" s="14"/>
      <c r="AM586" s="14"/>
    </row>
    <row r="587" ht="14.25" customHeight="1">
      <c r="A587" s="1"/>
      <c r="B587" s="1"/>
      <c r="C587" s="1"/>
      <c r="D587" s="1"/>
      <c r="E587" s="1"/>
      <c r="F587" s="69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4"/>
      <c r="AI587" s="14"/>
      <c r="AJ587" s="14"/>
      <c r="AK587" s="14"/>
      <c r="AL587" s="14"/>
      <c r="AM587" s="14"/>
    </row>
    <row r="588" ht="14.25" customHeight="1">
      <c r="A588" s="1"/>
      <c r="B588" s="1"/>
      <c r="C588" s="1"/>
      <c r="D588" s="1"/>
      <c r="E588" s="1"/>
      <c r="F588" s="69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4"/>
      <c r="AI588" s="14"/>
      <c r="AJ588" s="14"/>
      <c r="AK588" s="14"/>
      <c r="AL588" s="14"/>
      <c r="AM588" s="14"/>
    </row>
    <row r="589" ht="14.25" customHeight="1">
      <c r="A589" s="1"/>
      <c r="B589" s="1"/>
      <c r="C589" s="1"/>
      <c r="D589" s="1"/>
      <c r="E589" s="1"/>
      <c r="F589" s="69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4"/>
      <c r="AI589" s="14"/>
      <c r="AJ589" s="14"/>
      <c r="AK589" s="14"/>
      <c r="AL589" s="14"/>
      <c r="AM589" s="14"/>
    </row>
    <row r="590" ht="14.25" customHeight="1">
      <c r="A590" s="1"/>
      <c r="B590" s="1"/>
      <c r="C590" s="1"/>
      <c r="D590" s="1"/>
      <c r="E590" s="1"/>
      <c r="F590" s="69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4"/>
      <c r="AI590" s="14"/>
      <c r="AJ590" s="14"/>
      <c r="AK590" s="14"/>
      <c r="AL590" s="14"/>
      <c r="AM590" s="14"/>
    </row>
    <row r="591" ht="14.25" customHeight="1">
      <c r="A591" s="1"/>
      <c r="B591" s="1"/>
      <c r="C591" s="1"/>
      <c r="D591" s="1"/>
      <c r="E591" s="1"/>
      <c r="F591" s="69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4"/>
      <c r="AI591" s="14"/>
      <c r="AJ591" s="14"/>
      <c r="AK591" s="14"/>
      <c r="AL591" s="14"/>
      <c r="AM591" s="14"/>
    </row>
    <row r="592" ht="14.25" customHeight="1">
      <c r="A592" s="1"/>
      <c r="B592" s="1"/>
      <c r="C592" s="1"/>
      <c r="D592" s="1"/>
      <c r="E592" s="1"/>
      <c r="F592" s="69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4"/>
      <c r="AI592" s="14"/>
      <c r="AJ592" s="14"/>
      <c r="AK592" s="14"/>
      <c r="AL592" s="14"/>
      <c r="AM592" s="14"/>
    </row>
    <row r="593" ht="14.25" customHeight="1">
      <c r="A593" s="1"/>
      <c r="B593" s="1"/>
      <c r="C593" s="1"/>
      <c r="D593" s="1"/>
      <c r="E593" s="1"/>
      <c r="F593" s="69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4"/>
      <c r="AI593" s="14"/>
      <c r="AJ593" s="14"/>
      <c r="AK593" s="14"/>
      <c r="AL593" s="14"/>
      <c r="AM593" s="14"/>
    </row>
    <row r="594" ht="14.25" customHeight="1">
      <c r="A594" s="1"/>
      <c r="B594" s="1"/>
      <c r="C594" s="1"/>
      <c r="D594" s="1"/>
      <c r="E594" s="1"/>
      <c r="F594" s="69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4"/>
      <c r="AI594" s="14"/>
      <c r="AJ594" s="14"/>
      <c r="AK594" s="14"/>
      <c r="AL594" s="14"/>
      <c r="AM594" s="14"/>
    </row>
    <row r="595" ht="14.25" customHeight="1">
      <c r="A595" s="1"/>
      <c r="B595" s="1"/>
      <c r="C595" s="1"/>
      <c r="D595" s="1"/>
      <c r="E595" s="1"/>
      <c r="F595" s="69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4"/>
      <c r="AI595" s="14"/>
      <c r="AJ595" s="14"/>
      <c r="AK595" s="14"/>
      <c r="AL595" s="14"/>
      <c r="AM595" s="14"/>
    </row>
    <row r="596" ht="14.25" customHeight="1">
      <c r="A596" s="1"/>
      <c r="B596" s="1"/>
      <c r="C596" s="1"/>
      <c r="D596" s="1"/>
      <c r="E596" s="1"/>
      <c r="F596" s="69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4"/>
      <c r="AI596" s="14"/>
      <c r="AJ596" s="14"/>
      <c r="AK596" s="14"/>
      <c r="AL596" s="14"/>
      <c r="AM596" s="14"/>
    </row>
    <row r="597" ht="14.25" customHeight="1">
      <c r="A597" s="1"/>
      <c r="B597" s="1"/>
      <c r="C597" s="1"/>
      <c r="D597" s="1"/>
      <c r="E597" s="1"/>
      <c r="F597" s="69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4"/>
      <c r="AI597" s="14"/>
      <c r="AJ597" s="14"/>
      <c r="AK597" s="14"/>
      <c r="AL597" s="14"/>
      <c r="AM597" s="14"/>
    </row>
    <row r="598" ht="14.25" customHeight="1">
      <c r="A598" s="1"/>
      <c r="B598" s="1"/>
      <c r="C598" s="1"/>
      <c r="D598" s="1"/>
      <c r="E598" s="1"/>
      <c r="F598" s="69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4"/>
      <c r="AI598" s="14"/>
      <c r="AJ598" s="14"/>
      <c r="AK598" s="14"/>
      <c r="AL598" s="14"/>
      <c r="AM598" s="14"/>
    </row>
    <row r="599" ht="14.25" customHeight="1">
      <c r="A599" s="1"/>
      <c r="B599" s="1"/>
      <c r="C599" s="1"/>
      <c r="D599" s="1"/>
      <c r="E599" s="1"/>
      <c r="F599" s="69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4"/>
      <c r="AI599" s="14"/>
      <c r="AJ599" s="14"/>
      <c r="AK599" s="14"/>
      <c r="AL599" s="14"/>
      <c r="AM599" s="14"/>
    </row>
    <row r="600" ht="14.25" customHeight="1">
      <c r="A600" s="1"/>
      <c r="B600" s="1"/>
      <c r="C600" s="1"/>
      <c r="D600" s="1"/>
      <c r="E600" s="1"/>
      <c r="F600" s="69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4"/>
      <c r="AI600" s="14"/>
      <c r="AJ600" s="14"/>
      <c r="AK600" s="14"/>
      <c r="AL600" s="14"/>
      <c r="AM600" s="14"/>
    </row>
    <row r="601" ht="14.25" customHeight="1">
      <c r="A601" s="1"/>
      <c r="B601" s="1"/>
      <c r="C601" s="1"/>
      <c r="D601" s="1"/>
      <c r="E601" s="1"/>
      <c r="F601" s="69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4"/>
      <c r="AI601" s="14"/>
      <c r="AJ601" s="14"/>
      <c r="AK601" s="14"/>
      <c r="AL601" s="14"/>
      <c r="AM601" s="14"/>
    </row>
    <row r="602" ht="14.25" customHeight="1">
      <c r="A602" s="1"/>
      <c r="B602" s="1"/>
      <c r="C602" s="1"/>
      <c r="D602" s="1"/>
      <c r="E602" s="1"/>
      <c r="F602" s="69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4"/>
      <c r="AI602" s="14"/>
      <c r="AJ602" s="14"/>
      <c r="AK602" s="14"/>
      <c r="AL602" s="14"/>
      <c r="AM602" s="14"/>
    </row>
    <row r="603" ht="14.25" customHeight="1">
      <c r="A603" s="1"/>
      <c r="B603" s="1"/>
      <c r="C603" s="1"/>
      <c r="D603" s="1"/>
      <c r="E603" s="1"/>
      <c r="F603" s="69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4"/>
      <c r="AI603" s="14"/>
      <c r="AJ603" s="14"/>
      <c r="AK603" s="14"/>
      <c r="AL603" s="14"/>
      <c r="AM603" s="14"/>
    </row>
    <row r="604" ht="14.25" customHeight="1">
      <c r="A604" s="1"/>
      <c r="B604" s="1"/>
      <c r="C604" s="1"/>
      <c r="D604" s="1"/>
      <c r="E604" s="1"/>
      <c r="F604" s="69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4"/>
      <c r="AI604" s="14"/>
      <c r="AJ604" s="14"/>
      <c r="AK604" s="14"/>
      <c r="AL604" s="14"/>
      <c r="AM604" s="14"/>
    </row>
    <row r="605" ht="14.25" customHeight="1">
      <c r="A605" s="1"/>
      <c r="B605" s="1"/>
      <c r="C605" s="1"/>
      <c r="D605" s="1"/>
      <c r="E605" s="1"/>
      <c r="F605" s="69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4"/>
      <c r="AI605" s="14"/>
      <c r="AJ605" s="14"/>
      <c r="AK605" s="14"/>
      <c r="AL605" s="14"/>
      <c r="AM605" s="14"/>
    </row>
    <row r="606" ht="14.25" customHeight="1">
      <c r="A606" s="1"/>
      <c r="B606" s="1"/>
      <c r="C606" s="1"/>
      <c r="D606" s="1"/>
      <c r="E606" s="1"/>
      <c r="F606" s="69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4"/>
      <c r="AI606" s="14"/>
      <c r="AJ606" s="14"/>
      <c r="AK606" s="14"/>
      <c r="AL606" s="14"/>
      <c r="AM606" s="14"/>
    </row>
    <row r="607" ht="14.25" customHeight="1">
      <c r="A607" s="1"/>
      <c r="B607" s="1"/>
      <c r="C607" s="1"/>
      <c r="D607" s="1"/>
      <c r="E607" s="1"/>
      <c r="F607" s="69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4"/>
      <c r="AI607" s="14"/>
      <c r="AJ607" s="14"/>
      <c r="AK607" s="14"/>
      <c r="AL607" s="14"/>
      <c r="AM607" s="14"/>
    </row>
    <row r="608" ht="14.25" customHeight="1">
      <c r="A608" s="1"/>
      <c r="B608" s="1"/>
      <c r="C608" s="1"/>
      <c r="D608" s="1"/>
      <c r="E608" s="1"/>
      <c r="F608" s="69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4"/>
      <c r="AI608" s="14"/>
      <c r="AJ608" s="14"/>
      <c r="AK608" s="14"/>
      <c r="AL608" s="14"/>
      <c r="AM608" s="14"/>
    </row>
    <row r="609" ht="14.25" customHeight="1">
      <c r="A609" s="1"/>
      <c r="B609" s="1"/>
      <c r="C609" s="1"/>
      <c r="D609" s="1"/>
      <c r="E609" s="1"/>
      <c r="F609" s="69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4"/>
      <c r="AI609" s="14"/>
      <c r="AJ609" s="14"/>
      <c r="AK609" s="14"/>
      <c r="AL609" s="14"/>
      <c r="AM609" s="14"/>
    </row>
    <row r="610" ht="14.25" customHeight="1">
      <c r="A610" s="1"/>
      <c r="B610" s="1"/>
      <c r="C610" s="1"/>
      <c r="D610" s="1"/>
      <c r="E610" s="1"/>
      <c r="F610" s="69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4"/>
      <c r="AI610" s="14"/>
      <c r="AJ610" s="14"/>
      <c r="AK610" s="14"/>
      <c r="AL610" s="14"/>
      <c r="AM610" s="14"/>
    </row>
    <row r="611" ht="14.25" customHeight="1">
      <c r="A611" s="1"/>
      <c r="B611" s="1"/>
      <c r="C611" s="1"/>
      <c r="D611" s="1"/>
      <c r="E611" s="1"/>
      <c r="F611" s="69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4"/>
      <c r="AI611" s="14"/>
      <c r="AJ611" s="14"/>
      <c r="AK611" s="14"/>
      <c r="AL611" s="14"/>
      <c r="AM611" s="14"/>
    </row>
    <row r="612" ht="14.25" customHeight="1">
      <c r="A612" s="1"/>
      <c r="B612" s="1"/>
      <c r="C612" s="1"/>
      <c r="D612" s="1"/>
      <c r="E612" s="1"/>
      <c r="F612" s="69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4"/>
      <c r="AI612" s="14"/>
      <c r="AJ612" s="14"/>
      <c r="AK612" s="14"/>
      <c r="AL612" s="14"/>
      <c r="AM612" s="14"/>
    </row>
    <row r="613" ht="14.25" customHeight="1">
      <c r="A613" s="1"/>
      <c r="B613" s="1"/>
      <c r="C613" s="1"/>
      <c r="D613" s="1"/>
      <c r="E613" s="1"/>
      <c r="F613" s="69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4"/>
      <c r="AI613" s="14"/>
      <c r="AJ613" s="14"/>
      <c r="AK613" s="14"/>
      <c r="AL613" s="14"/>
      <c r="AM613" s="14"/>
    </row>
    <row r="614" ht="14.25" customHeight="1">
      <c r="A614" s="1"/>
      <c r="B614" s="1"/>
      <c r="C614" s="1"/>
      <c r="D614" s="1"/>
      <c r="E614" s="1"/>
      <c r="F614" s="69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4"/>
      <c r="AI614" s="14"/>
      <c r="AJ614" s="14"/>
      <c r="AK614" s="14"/>
      <c r="AL614" s="14"/>
      <c r="AM614" s="14"/>
    </row>
    <row r="615" ht="14.25" customHeight="1">
      <c r="A615" s="1"/>
      <c r="B615" s="1"/>
      <c r="C615" s="1"/>
      <c r="D615" s="1"/>
      <c r="E615" s="1"/>
      <c r="F615" s="69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4"/>
      <c r="AI615" s="14"/>
      <c r="AJ615" s="14"/>
      <c r="AK615" s="14"/>
      <c r="AL615" s="14"/>
      <c r="AM615" s="14"/>
    </row>
    <row r="616" ht="14.25" customHeight="1">
      <c r="A616" s="1"/>
      <c r="B616" s="1"/>
      <c r="C616" s="1"/>
      <c r="D616" s="1"/>
      <c r="E616" s="1"/>
      <c r="F616" s="69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4"/>
      <c r="AI616" s="14"/>
      <c r="AJ616" s="14"/>
      <c r="AK616" s="14"/>
      <c r="AL616" s="14"/>
      <c r="AM616" s="14"/>
    </row>
    <row r="617" ht="14.25" customHeight="1">
      <c r="A617" s="1"/>
      <c r="B617" s="1"/>
      <c r="C617" s="1"/>
      <c r="D617" s="1"/>
      <c r="E617" s="1"/>
      <c r="F617" s="69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4"/>
      <c r="AI617" s="14"/>
      <c r="AJ617" s="14"/>
      <c r="AK617" s="14"/>
      <c r="AL617" s="14"/>
      <c r="AM617" s="14"/>
    </row>
    <row r="618" ht="14.25" customHeight="1">
      <c r="A618" s="1"/>
      <c r="B618" s="1"/>
      <c r="C618" s="1"/>
      <c r="D618" s="1"/>
      <c r="E618" s="1"/>
      <c r="F618" s="69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4"/>
      <c r="AI618" s="14"/>
      <c r="AJ618" s="14"/>
      <c r="AK618" s="14"/>
      <c r="AL618" s="14"/>
      <c r="AM618" s="14"/>
    </row>
    <row r="619" ht="14.25" customHeight="1">
      <c r="A619" s="1"/>
      <c r="B619" s="1"/>
      <c r="C619" s="1"/>
      <c r="D619" s="1"/>
      <c r="E619" s="1"/>
      <c r="F619" s="69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4"/>
      <c r="AI619" s="14"/>
      <c r="AJ619" s="14"/>
      <c r="AK619" s="14"/>
      <c r="AL619" s="14"/>
      <c r="AM619" s="14"/>
    </row>
    <row r="620" ht="14.25" customHeight="1">
      <c r="A620" s="1"/>
      <c r="B620" s="1"/>
      <c r="C620" s="1"/>
      <c r="D620" s="1"/>
      <c r="E620" s="1"/>
      <c r="F620" s="69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4"/>
      <c r="AI620" s="14"/>
      <c r="AJ620" s="14"/>
      <c r="AK620" s="14"/>
      <c r="AL620" s="14"/>
      <c r="AM620" s="14"/>
    </row>
    <row r="621" ht="14.25" customHeight="1">
      <c r="A621" s="1"/>
      <c r="B621" s="1"/>
      <c r="C621" s="1"/>
      <c r="D621" s="1"/>
      <c r="E621" s="1"/>
      <c r="F621" s="69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4"/>
      <c r="AI621" s="14"/>
      <c r="AJ621" s="14"/>
      <c r="AK621" s="14"/>
      <c r="AL621" s="14"/>
      <c r="AM621" s="14"/>
    </row>
    <row r="622" ht="14.25" customHeight="1">
      <c r="A622" s="1"/>
      <c r="B622" s="1"/>
      <c r="C622" s="1"/>
      <c r="D622" s="1"/>
      <c r="E622" s="1"/>
      <c r="F622" s="69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4"/>
      <c r="AI622" s="14"/>
      <c r="AJ622" s="14"/>
      <c r="AK622" s="14"/>
      <c r="AL622" s="14"/>
      <c r="AM622" s="14"/>
    </row>
    <row r="623" ht="14.25" customHeight="1">
      <c r="A623" s="1"/>
      <c r="B623" s="1"/>
      <c r="C623" s="1"/>
      <c r="D623" s="1"/>
      <c r="E623" s="1"/>
      <c r="F623" s="69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4"/>
      <c r="AI623" s="14"/>
      <c r="AJ623" s="14"/>
      <c r="AK623" s="14"/>
      <c r="AL623" s="14"/>
      <c r="AM623" s="14"/>
    </row>
    <row r="624" ht="14.25" customHeight="1">
      <c r="A624" s="1"/>
      <c r="B624" s="1"/>
      <c r="C624" s="1"/>
      <c r="D624" s="1"/>
      <c r="E624" s="1"/>
      <c r="F624" s="69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4"/>
      <c r="AI624" s="14"/>
      <c r="AJ624" s="14"/>
      <c r="AK624" s="14"/>
      <c r="AL624" s="14"/>
      <c r="AM624" s="14"/>
    </row>
    <row r="625" ht="14.25" customHeight="1">
      <c r="A625" s="1"/>
      <c r="B625" s="1"/>
      <c r="C625" s="1"/>
      <c r="D625" s="1"/>
      <c r="E625" s="1"/>
      <c r="F625" s="69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4"/>
      <c r="AI625" s="14"/>
      <c r="AJ625" s="14"/>
      <c r="AK625" s="14"/>
      <c r="AL625" s="14"/>
      <c r="AM625" s="14"/>
    </row>
    <row r="626" ht="14.25" customHeight="1">
      <c r="A626" s="1"/>
      <c r="B626" s="1"/>
      <c r="C626" s="1"/>
      <c r="D626" s="1"/>
      <c r="E626" s="1"/>
      <c r="F626" s="69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4"/>
      <c r="AI626" s="14"/>
      <c r="AJ626" s="14"/>
      <c r="AK626" s="14"/>
      <c r="AL626" s="14"/>
      <c r="AM626" s="14"/>
    </row>
    <row r="627" ht="14.25" customHeight="1">
      <c r="A627" s="1"/>
      <c r="B627" s="1"/>
      <c r="C627" s="1"/>
      <c r="D627" s="1"/>
      <c r="E627" s="1"/>
      <c r="F627" s="69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4"/>
      <c r="AI627" s="14"/>
      <c r="AJ627" s="14"/>
      <c r="AK627" s="14"/>
      <c r="AL627" s="14"/>
      <c r="AM627" s="14"/>
    </row>
    <row r="628" ht="14.25" customHeight="1">
      <c r="A628" s="1"/>
      <c r="B628" s="1"/>
      <c r="C628" s="1"/>
      <c r="D628" s="1"/>
      <c r="E628" s="1"/>
      <c r="F628" s="69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4"/>
      <c r="AI628" s="14"/>
      <c r="AJ628" s="14"/>
      <c r="AK628" s="14"/>
      <c r="AL628" s="14"/>
      <c r="AM628" s="14"/>
    </row>
    <row r="629" ht="14.25" customHeight="1">
      <c r="A629" s="1"/>
      <c r="B629" s="1"/>
      <c r="C629" s="1"/>
      <c r="D629" s="1"/>
      <c r="E629" s="1"/>
      <c r="F629" s="69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4"/>
      <c r="AI629" s="14"/>
      <c r="AJ629" s="14"/>
      <c r="AK629" s="14"/>
      <c r="AL629" s="14"/>
      <c r="AM629" s="14"/>
    </row>
    <row r="630" ht="14.25" customHeight="1">
      <c r="A630" s="1"/>
      <c r="B630" s="1"/>
      <c r="C630" s="1"/>
      <c r="D630" s="1"/>
      <c r="E630" s="1"/>
      <c r="F630" s="69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4"/>
      <c r="AI630" s="14"/>
      <c r="AJ630" s="14"/>
      <c r="AK630" s="14"/>
      <c r="AL630" s="14"/>
      <c r="AM630" s="14"/>
    </row>
    <row r="631" ht="14.25" customHeight="1">
      <c r="A631" s="1"/>
      <c r="B631" s="1"/>
      <c r="C631" s="1"/>
      <c r="D631" s="1"/>
      <c r="E631" s="1"/>
      <c r="F631" s="69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4"/>
      <c r="AI631" s="14"/>
      <c r="AJ631" s="14"/>
      <c r="AK631" s="14"/>
      <c r="AL631" s="14"/>
      <c r="AM631" s="14"/>
    </row>
    <row r="632" ht="14.25" customHeight="1">
      <c r="A632" s="1"/>
      <c r="B632" s="1"/>
      <c r="C632" s="1"/>
      <c r="D632" s="1"/>
      <c r="E632" s="1"/>
      <c r="F632" s="69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4"/>
      <c r="AI632" s="14"/>
      <c r="AJ632" s="14"/>
      <c r="AK632" s="14"/>
      <c r="AL632" s="14"/>
      <c r="AM632" s="14"/>
    </row>
    <row r="633" ht="14.25" customHeight="1">
      <c r="A633" s="1"/>
      <c r="B633" s="1"/>
      <c r="C633" s="1"/>
      <c r="D633" s="1"/>
      <c r="E633" s="1"/>
      <c r="F633" s="69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4"/>
      <c r="AI633" s="14"/>
      <c r="AJ633" s="14"/>
      <c r="AK633" s="14"/>
      <c r="AL633" s="14"/>
      <c r="AM633" s="14"/>
    </row>
    <row r="634" ht="14.25" customHeight="1">
      <c r="A634" s="1"/>
      <c r="B634" s="1"/>
      <c r="C634" s="1"/>
      <c r="D634" s="1"/>
      <c r="E634" s="1"/>
      <c r="F634" s="69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4"/>
      <c r="AI634" s="14"/>
      <c r="AJ634" s="14"/>
      <c r="AK634" s="14"/>
      <c r="AL634" s="14"/>
      <c r="AM634" s="14"/>
    </row>
    <row r="635" ht="14.25" customHeight="1">
      <c r="A635" s="1"/>
      <c r="B635" s="1"/>
      <c r="C635" s="1"/>
      <c r="D635" s="1"/>
      <c r="E635" s="1"/>
      <c r="F635" s="69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4"/>
      <c r="AI635" s="14"/>
      <c r="AJ635" s="14"/>
      <c r="AK635" s="14"/>
      <c r="AL635" s="14"/>
      <c r="AM635" s="14"/>
    </row>
    <row r="636" ht="14.25" customHeight="1">
      <c r="A636" s="1"/>
      <c r="B636" s="1"/>
      <c r="C636" s="1"/>
      <c r="D636" s="1"/>
      <c r="E636" s="1"/>
      <c r="F636" s="69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4"/>
      <c r="AI636" s="14"/>
      <c r="AJ636" s="14"/>
      <c r="AK636" s="14"/>
      <c r="AL636" s="14"/>
      <c r="AM636" s="14"/>
    </row>
    <row r="637" ht="14.25" customHeight="1">
      <c r="A637" s="1"/>
      <c r="B637" s="1"/>
      <c r="C637" s="1"/>
      <c r="D637" s="1"/>
      <c r="E637" s="1"/>
      <c r="F637" s="69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4"/>
      <c r="AI637" s="14"/>
      <c r="AJ637" s="14"/>
      <c r="AK637" s="14"/>
      <c r="AL637" s="14"/>
      <c r="AM637" s="14"/>
    </row>
    <row r="638" ht="14.25" customHeight="1">
      <c r="A638" s="1"/>
      <c r="B638" s="1"/>
      <c r="C638" s="1"/>
      <c r="D638" s="1"/>
      <c r="E638" s="1"/>
      <c r="F638" s="69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4"/>
      <c r="AI638" s="14"/>
      <c r="AJ638" s="14"/>
      <c r="AK638" s="14"/>
      <c r="AL638" s="14"/>
      <c r="AM638" s="14"/>
    </row>
    <row r="639" ht="14.25" customHeight="1">
      <c r="A639" s="1"/>
      <c r="B639" s="1"/>
      <c r="C639" s="1"/>
      <c r="D639" s="1"/>
      <c r="E639" s="1"/>
      <c r="F639" s="69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4"/>
      <c r="AI639" s="14"/>
      <c r="AJ639" s="14"/>
      <c r="AK639" s="14"/>
      <c r="AL639" s="14"/>
      <c r="AM639" s="14"/>
    </row>
    <row r="640" ht="14.25" customHeight="1">
      <c r="A640" s="1"/>
      <c r="B640" s="1"/>
      <c r="C640" s="1"/>
      <c r="D640" s="1"/>
      <c r="E640" s="1"/>
      <c r="F640" s="69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4"/>
      <c r="AI640" s="14"/>
      <c r="AJ640" s="14"/>
      <c r="AK640" s="14"/>
      <c r="AL640" s="14"/>
      <c r="AM640" s="14"/>
    </row>
    <row r="641" ht="14.25" customHeight="1">
      <c r="A641" s="1"/>
      <c r="B641" s="1"/>
      <c r="C641" s="1"/>
      <c r="D641" s="1"/>
      <c r="E641" s="1"/>
      <c r="F641" s="69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4"/>
      <c r="AI641" s="14"/>
      <c r="AJ641" s="14"/>
      <c r="AK641" s="14"/>
      <c r="AL641" s="14"/>
      <c r="AM641" s="14"/>
    </row>
    <row r="642" ht="14.25" customHeight="1">
      <c r="A642" s="1"/>
      <c r="B642" s="1"/>
      <c r="C642" s="1"/>
      <c r="D642" s="1"/>
      <c r="E642" s="1"/>
      <c r="F642" s="69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4"/>
      <c r="AI642" s="14"/>
      <c r="AJ642" s="14"/>
      <c r="AK642" s="14"/>
      <c r="AL642" s="14"/>
      <c r="AM642" s="14"/>
    </row>
    <row r="643" ht="14.25" customHeight="1">
      <c r="A643" s="1"/>
      <c r="B643" s="1"/>
      <c r="C643" s="1"/>
      <c r="D643" s="1"/>
      <c r="E643" s="1"/>
      <c r="F643" s="69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4"/>
      <c r="AI643" s="14"/>
      <c r="AJ643" s="14"/>
      <c r="AK643" s="14"/>
      <c r="AL643" s="14"/>
      <c r="AM643" s="14"/>
    </row>
    <row r="644" ht="14.25" customHeight="1">
      <c r="A644" s="1"/>
      <c r="B644" s="1"/>
      <c r="C644" s="1"/>
      <c r="D644" s="1"/>
      <c r="E644" s="1"/>
      <c r="F644" s="69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4"/>
      <c r="AI644" s="14"/>
      <c r="AJ644" s="14"/>
      <c r="AK644" s="14"/>
      <c r="AL644" s="14"/>
      <c r="AM644" s="14"/>
    </row>
    <row r="645" ht="14.25" customHeight="1">
      <c r="A645" s="1"/>
      <c r="B645" s="1"/>
      <c r="C645" s="1"/>
      <c r="D645" s="1"/>
      <c r="E645" s="1"/>
      <c r="F645" s="69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4"/>
      <c r="AI645" s="14"/>
      <c r="AJ645" s="14"/>
      <c r="AK645" s="14"/>
      <c r="AL645" s="14"/>
      <c r="AM645" s="14"/>
    </row>
    <row r="646" ht="14.25" customHeight="1">
      <c r="A646" s="1"/>
      <c r="B646" s="1"/>
      <c r="C646" s="1"/>
      <c r="D646" s="1"/>
      <c r="E646" s="1"/>
      <c r="F646" s="69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4"/>
      <c r="AI646" s="14"/>
      <c r="AJ646" s="14"/>
      <c r="AK646" s="14"/>
      <c r="AL646" s="14"/>
      <c r="AM646" s="14"/>
    </row>
    <row r="647" ht="14.25" customHeight="1">
      <c r="A647" s="1"/>
      <c r="B647" s="1"/>
      <c r="C647" s="1"/>
      <c r="D647" s="1"/>
      <c r="E647" s="1"/>
      <c r="F647" s="69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4"/>
      <c r="AI647" s="14"/>
      <c r="AJ647" s="14"/>
      <c r="AK647" s="14"/>
      <c r="AL647" s="14"/>
      <c r="AM647" s="14"/>
    </row>
    <row r="648" ht="14.25" customHeight="1">
      <c r="A648" s="1"/>
      <c r="B648" s="1"/>
      <c r="C648" s="1"/>
      <c r="D648" s="1"/>
      <c r="E648" s="1"/>
      <c r="F648" s="69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4"/>
      <c r="AI648" s="14"/>
      <c r="AJ648" s="14"/>
      <c r="AK648" s="14"/>
      <c r="AL648" s="14"/>
      <c r="AM648" s="14"/>
    </row>
    <row r="649" ht="14.25" customHeight="1">
      <c r="A649" s="1"/>
      <c r="B649" s="1"/>
      <c r="C649" s="1"/>
      <c r="D649" s="1"/>
      <c r="E649" s="1"/>
      <c r="F649" s="69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4"/>
      <c r="AI649" s="14"/>
      <c r="AJ649" s="14"/>
      <c r="AK649" s="14"/>
      <c r="AL649" s="14"/>
      <c r="AM649" s="14"/>
    </row>
    <row r="650" ht="14.25" customHeight="1">
      <c r="A650" s="1"/>
      <c r="B650" s="1"/>
      <c r="C650" s="1"/>
      <c r="D650" s="1"/>
      <c r="E650" s="1"/>
      <c r="F650" s="69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4"/>
      <c r="AI650" s="14"/>
      <c r="AJ650" s="14"/>
      <c r="AK650" s="14"/>
      <c r="AL650" s="14"/>
      <c r="AM650" s="14"/>
    </row>
    <row r="651" ht="14.25" customHeight="1">
      <c r="A651" s="1"/>
      <c r="B651" s="1"/>
      <c r="C651" s="1"/>
      <c r="D651" s="1"/>
      <c r="E651" s="1"/>
      <c r="F651" s="69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4"/>
      <c r="AI651" s="14"/>
      <c r="AJ651" s="14"/>
      <c r="AK651" s="14"/>
      <c r="AL651" s="14"/>
      <c r="AM651" s="14"/>
    </row>
    <row r="652" ht="14.25" customHeight="1">
      <c r="A652" s="1"/>
      <c r="B652" s="1"/>
      <c r="C652" s="1"/>
      <c r="D652" s="1"/>
      <c r="E652" s="1"/>
      <c r="F652" s="69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4"/>
      <c r="AI652" s="14"/>
      <c r="AJ652" s="14"/>
      <c r="AK652" s="14"/>
      <c r="AL652" s="14"/>
      <c r="AM652" s="14"/>
    </row>
    <row r="653" ht="14.25" customHeight="1">
      <c r="A653" s="1"/>
      <c r="B653" s="1"/>
      <c r="C653" s="1"/>
      <c r="D653" s="1"/>
      <c r="E653" s="1"/>
      <c r="F653" s="69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4"/>
      <c r="AI653" s="14"/>
      <c r="AJ653" s="14"/>
      <c r="AK653" s="14"/>
      <c r="AL653" s="14"/>
      <c r="AM653" s="14"/>
    </row>
    <row r="654" ht="14.25" customHeight="1">
      <c r="A654" s="1"/>
      <c r="B654" s="1"/>
      <c r="C654" s="1"/>
      <c r="D654" s="1"/>
      <c r="E654" s="1"/>
      <c r="F654" s="69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4"/>
      <c r="AI654" s="14"/>
      <c r="AJ654" s="14"/>
      <c r="AK654" s="14"/>
      <c r="AL654" s="14"/>
      <c r="AM654" s="14"/>
    </row>
    <row r="655" ht="14.25" customHeight="1">
      <c r="A655" s="1"/>
      <c r="B655" s="1"/>
      <c r="C655" s="1"/>
      <c r="D655" s="1"/>
      <c r="E655" s="1"/>
      <c r="F655" s="69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4"/>
      <c r="AI655" s="14"/>
      <c r="AJ655" s="14"/>
      <c r="AK655" s="14"/>
      <c r="AL655" s="14"/>
      <c r="AM655" s="14"/>
    </row>
    <row r="656" ht="14.25" customHeight="1">
      <c r="A656" s="1"/>
      <c r="B656" s="1"/>
      <c r="C656" s="1"/>
      <c r="D656" s="1"/>
      <c r="E656" s="1"/>
      <c r="F656" s="69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4"/>
      <c r="AI656" s="14"/>
      <c r="AJ656" s="14"/>
      <c r="AK656" s="14"/>
      <c r="AL656" s="14"/>
      <c r="AM656" s="14"/>
    </row>
    <row r="657" ht="14.25" customHeight="1">
      <c r="A657" s="1"/>
      <c r="B657" s="1"/>
      <c r="C657" s="1"/>
      <c r="D657" s="1"/>
      <c r="E657" s="1"/>
      <c r="F657" s="69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4"/>
      <c r="AI657" s="14"/>
      <c r="AJ657" s="14"/>
      <c r="AK657" s="14"/>
      <c r="AL657" s="14"/>
      <c r="AM657" s="14"/>
    </row>
    <row r="658" ht="14.25" customHeight="1">
      <c r="A658" s="1"/>
      <c r="B658" s="1"/>
      <c r="C658" s="1"/>
      <c r="D658" s="1"/>
      <c r="E658" s="1"/>
      <c r="F658" s="69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4"/>
      <c r="AI658" s="14"/>
      <c r="AJ658" s="14"/>
      <c r="AK658" s="14"/>
      <c r="AL658" s="14"/>
      <c r="AM658" s="14"/>
    </row>
    <row r="659" ht="14.25" customHeight="1">
      <c r="A659" s="1"/>
      <c r="B659" s="1"/>
      <c r="C659" s="1"/>
      <c r="D659" s="1"/>
      <c r="E659" s="1"/>
      <c r="F659" s="69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4"/>
      <c r="AI659" s="14"/>
      <c r="AJ659" s="14"/>
      <c r="AK659" s="14"/>
      <c r="AL659" s="14"/>
      <c r="AM659" s="14"/>
    </row>
    <row r="660" ht="14.25" customHeight="1">
      <c r="A660" s="1"/>
      <c r="B660" s="1"/>
      <c r="C660" s="1"/>
      <c r="D660" s="1"/>
      <c r="E660" s="1"/>
      <c r="F660" s="69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4"/>
      <c r="AI660" s="14"/>
      <c r="AJ660" s="14"/>
      <c r="AK660" s="14"/>
      <c r="AL660" s="14"/>
      <c r="AM660" s="14"/>
    </row>
    <row r="661" ht="14.25" customHeight="1">
      <c r="A661" s="1"/>
      <c r="B661" s="1"/>
      <c r="C661" s="1"/>
      <c r="D661" s="1"/>
      <c r="E661" s="1"/>
      <c r="F661" s="69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4"/>
      <c r="AI661" s="14"/>
      <c r="AJ661" s="14"/>
      <c r="AK661" s="14"/>
      <c r="AL661" s="14"/>
      <c r="AM661" s="14"/>
    </row>
    <row r="662" ht="14.25" customHeight="1">
      <c r="A662" s="1"/>
      <c r="B662" s="1"/>
      <c r="C662" s="1"/>
      <c r="D662" s="1"/>
      <c r="E662" s="1"/>
      <c r="F662" s="69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4"/>
      <c r="AI662" s="14"/>
      <c r="AJ662" s="14"/>
      <c r="AK662" s="14"/>
      <c r="AL662" s="14"/>
      <c r="AM662" s="14"/>
    </row>
    <row r="663" ht="14.25" customHeight="1">
      <c r="A663" s="1"/>
      <c r="B663" s="1"/>
      <c r="C663" s="1"/>
      <c r="D663" s="1"/>
      <c r="E663" s="1"/>
      <c r="F663" s="69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4"/>
      <c r="AI663" s="14"/>
      <c r="AJ663" s="14"/>
      <c r="AK663" s="14"/>
      <c r="AL663" s="14"/>
      <c r="AM663" s="14"/>
    </row>
    <row r="664" ht="14.25" customHeight="1">
      <c r="A664" s="1"/>
      <c r="B664" s="1"/>
      <c r="C664" s="1"/>
      <c r="D664" s="1"/>
      <c r="E664" s="1"/>
      <c r="F664" s="69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4"/>
      <c r="AI664" s="14"/>
      <c r="AJ664" s="14"/>
      <c r="AK664" s="14"/>
      <c r="AL664" s="14"/>
      <c r="AM664" s="14"/>
    </row>
    <row r="665" ht="14.25" customHeight="1">
      <c r="A665" s="1"/>
      <c r="B665" s="1"/>
      <c r="C665" s="1"/>
      <c r="D665" s="1"/>
      <c r="E665" s="1"/>
      <c r="F665" s="69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4"/>
      <c r="AI665" s="14"/>
      <c r="AJ665" s="14"/>
      <c r="AK665" s="14"/>
      <c r="AL665" s="14"/>
      <c r="AM665" s="14"/>
    </row>
    <row r="666" ht="14.25" customHeight="1">
      <c r="A666" s="1"/>
      <c r="B666" s="1"/>
      <c r="C666" s="1"/>
      <c r="D666" s="1"/>
      <c r="E666" s="1"/>
      <c r="F666" s="69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4"/>
      <c r="AI666" s="14"/>
      <c r="AJ666" s="14"/>
      <c r="AK666" s="14"/>
      <c r="AL666" s="14"/>
      <c r="AM666" s="14"/>
    </row>
    <row r="667" ht="14.25" customHeight="1">
      <c r="A667" s="1"/>
      <c r="B667" s="1"/>
      <c r="C667" s="1"/>
      <c r="D667" s="1"/>
      <c r="E667" s="1"/>
      <c r="F667" s="69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4"/>
      <c r="AI667" s="14"/>
      <c r="AJ667" s="14"/>
      <c r="AK667" s="14"/>
      <c r="AL667" s="14"/>
      <c r="AM667" s="14"/>
    </row>
    <row r="668" ht="14.25" customHeight="1">
      <c r="A668" s="1"/>
      <c r="B668" s="1"/>
      <c r="C668" s="1"/>
      <c r="D668" s="1"/>
      <c r="E668" s="1"/>
      <c r="F668" s="69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4"/>
      <c r="AI668" s="14"/>
      <c r="AJ668" s="14"/>
      <c r="AK668" s="14"/>
      <c r="AL668" s="14"/>
      <c r="AM668" s="14"/>
    </row>
    <row r="669" ht="14.25" customHeight="1">
      <c r="A669" s="1"/>
      <c r="B669" s="1"/>
      <c r="C669" s="1"/>
      <c r="D669" s="1"/>
      <c r="E669" s="1"/>
      <c r="F669" s="69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4"/>
      <c r="AI669" s="14"/>
      <c r="AJ669" s="14"/>
      <c r="AK669" s="14"/>
      <c r="AL669" s="14"/>
      <c r="AM669" s="14"/>
    </row>
    <row r="670" ht="14.25" customHeight="1">
      <c r="A670" s="1"/>
      <c r="B670" s="1"/>
      <c r="C670" s="1"/>
      <c r="D670" s="1"/>
      <c r="E670" s="1"/>
      <c r="F670" s="69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4"/>
      <c r="AI670" s="14"/>
      <c r="AJ670" s="14"/>
      <c r="AK670" s="14"/>
      <c r="AL670" s="14"/>
      <c r="AM670" s="14"/>
    </row>
    <row r="671" ht="14.25" customHeight="1">
      <c r="A671" s="1"/>
      <c r="B671" s="1"/>
      <c r="C671" s="1"/>
      <c r="D671" s="1"/>
      <c r="E671" s="1"/>
      <c r="F671" s="69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4"/>
      <c r="AI671" s="14"/>
      <c r="AJ671" s="14"/>
      <c r="AK671" s="14"/>
      <c r="AL671" s="14"/>
      <c r="AM671" s="14"/>
    </row>
    <row r="672" ht="14.25" customHeight="1">
      <c r="A672" s="1"/>
      <c r="B672" s="1"/>
      <c r="C672" s="1"/>
      <c r="D672" s="1"/>
      <c r="E672" s="1"/>
      <c r="F672" s="69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4"/>
      <c r="AI672" s="14"/>
      <c r="AJ672" s="14"/>
      <c r="AK672" s="14"/>
      <c r="AL672" s="14"/>
      <c r="AM672" s="14"/>
    </row>
    <row r="673" ht="14.25" customHeight="1">
      <c r="A673" s="1"/>
      <c r="B673" s="1"/>
      <c r="C673" s="1"/>
      <c r="D673" s="1"/>
      <c r="E673" s="1"/>
      <c r="F673" s="69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4"/>
      <c r="AI673" s="14"/>
      <c r="AJ673" s="14"/>
      <c r="AK673" s="14"/>
      <c r="AL673" s="14"/>
      <c r="AM673" s="14"/>
    </row>
    <row r="674" ht="14.25" customHeight="1">
      <c r="A674" s="1"/>
      <c r="B674" s="1"/>
      <c r="C674" s="1"/>
      <c r="D674" s="1"/>
      <c r="E674" s="1"/>
      <c r="F674" s="69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4"/>
      <c r="AI674" s="14"/>
      <c r="AJ674" s="14"/>
      <c r="AK674" s="14"/>
      <c r="AL674" s="14"/>
      <c r="AM674" s="14"/>
    </row>
    <row r="675" ht="14.25" customHeight="1">
      <c r="A675" s="1"/>
      <c r="B675" s="1"/>
      <c r="C675" s="1"/>
      <c r="D675" s="1"/>
      <c r="E675" s="1"/>
      <c r="F675" s="69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4"/>
      <c r="AI675" s="14"/>
      <c r="AJ675" s="14"/>
      <c r="AK675" s="14"/>
      <c r="AL675" s="14"/>
      <c r="AM675" s="14"/>
    </row>
    <row r="676" ht="14.25" customHeight="1">
      <c r="A676" s="1"/>
      <c r="B676" s="1"/>
      <c r="C676" s="1"/>
      <c r="D676" s="1"/>
      <c r="E676" s="1"/>
      <c r="F676" s="69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4"/>
      <c r="AI676" s="14"/>
      <c r="AJ676" s="14"/>
      <c r="AK676" s="14"/>
      <c r="AL676" s="14"/>
      <c r="AM676" s="14"/>
    </row>
    <row r="677" ht="14.25" customHeight="1">
      <c r="A677" s="1"/>
      <c r="B677" s="1"/>
      <c r="C677" s="1"/>
      <c r="D677" s="1"/>
      <c r="E677" s="1"/>
      <c r="F677" s="69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4"/>
      <c r="AI677" s="14"/>
      <c r="AJ677" s="14"/>
      <c r="AK677" s="14"/>
      <c r="AL677" s="14"/>
      <c r="AM677" s="14"/>
    </row>
    <row r="678" ht="14.25" customHeight="1">
      <c r="A678" s="1"/>
      <c r="B678" s="1"/>
      <c r="C678" s="1"/>
      <c r="D678" s="1"/>
      <c r="E678" s="1"/>
      <c r="F678" s="69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4"/>
      <c r="AI678" s="14"/>
      <c r="AJ678" s="14"/>
      <c r="AK678" s="14"/>
      <c r="AL678" s="14"/>
      <c r="AM678" s="14"/>
    </row>
    <row r="679" ht="14.25" customHeight="1">
      <c r="A679" s="1"/>
      <c r="B679" s="1"/>
      <c r="C679" s="1"/>
      <c r="D679" s="1"/>
      <c r="E679" s="1"/>
      <c r="F679" s="69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4"/>
      <c r="AI679" s="14"/>
      <c r="AJ679" s="14"/>
      <c r="AK679" s="14"/>
      <c r="AL679" s="14"/>
      <c r="AM679" s="14"/>
    </row>
    <row r="680" ht="14.25" customHeight="1">
      <c r="A680" s="1"/>
      <c r="B680" s="1"/>
      <c r="C680" s="1"/>
      <c r="D680" s="1"/>
      <c r="E680" s="1"/>
      <c r="F680" s="69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4"/>
      <c r="AI680" s="14"/>
      <c r="AJ680" s="14"/>
      <c r="AK680" s="14"/>
      <c r="AL680" s="14"/>
      <c r="AM680" s="14"/>
    </row>
    <row r="681" ht="14.25" customHeight="1">
      <c r="A681" s="1"/>
      <c r="B681" s="1"/>
      <c r="C681" s="1"/>
      <c r="D681" s="1"/>
      <c r="E681" s="1"/>
      <c r="F681" s="69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4"/>
      <c r="AI681" s="14"/>
      <c r="AJ681" s="14"/>
      <c r="AK681" s="14"/>
      <c r="AL681" s="14"/>
      <c r="AM681" s="14"/>
    </row>
    <row r="682" ht="14.25" customHeight="1">
      <c r="A682" s="1"/>
      <c r="B682" s="1"/>
      <c r="C682" s="1"/>
      <c r="D682" s="1"/>
      <c r="E682" s="1"/>
      <c r="F682" s="69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4"/>
      <c r="AI682" s="14"/>
      <c r="AJ682" s="14"/>
      <c r="AK682" s="14"/>
      <c r="AL682" s="14"/>
      <c r="AM682" s="14"/>
    </row>
    <row r="683" ht="14.25" customHeight="1">
      <c r="A683" s="1"/>
      <c r="B683" s="1"/>
      <c r="C683" s="1"/>
      <c r="D683" s="1"/>
      <c r="E683" s="1"/>
      <c r="F683" s="69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4"/>
      <c r="AI683" s="14"/>
      <c r="AJ683" s="14"/>
      <c r="AK683" s="14"/>
      <c r="AL683" s="14"/>
      <c r="AM683" s="14"/>
    </row>
    <row r="684" ht="14.25" customHeight="1">
      <c r="A684" s="1"/>
      <c r="B684" s="1"/>
      <c r="C684" s="1"/>
      <c r="D684" s="1"/>
      <c r="E684" s="1"/>
      <c r="F684" s="69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4"/>
      <c r="AI684" s="14"/>
      <c r="AJ684" s="14"/>
      <c r="AK684" s="14"/>
      <c r="AL684" s="14"/>
      <c r="AM684" s="14"/>
    </row>
    <row r="685" ht="14.25" customHeight="1">
      <c r="A685" s="1"/>
      <c r="B685" s="1"/>
      <c r="C685" s="1"/>
      <c r="D685" s="1"/>
      <c r="E685" s="1"/>
      <c r="F685" s="69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4"/>
      <c r="AI685" s="14"/>
      <c r="AJ685" s="14"/>
      <c r="AK685" s="14"/>
      <c r="AL685" s="14"/>
      <c r="AM685" s="14"/>
    </row>
    <row r="686" ht="14.25" customHeight="1">
      <c r="A686" s="1"/>
      <c r="B686" s="1"/>
      <c r="C686" s="1"/>
      <c r="D686" s="1"/>
      <c r="E686" s="1"/>
      <c r="F686" s="69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4"/>
      <c r="AI686" s="14"/>
      <c r="AJ686" s="14"/>
      <c r="AK686" s="14"/>
      <c r="AL686" s="14"/>
      <c r="AM686" s="14"/>
    </row>
    <row r="687" ht="14.25" customHeight="1">
      <c r="A687" s="1"/>
      <c r="B687" s="1"/>
      <c r="C687" s="1"/>
      <c r="D687" s="1"/>
      <c r="E687" s="1"/>
      <c r="F687" s="69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4"/>
      <c r="AI687" s="14"/>
      <c r="AJ687" s="14"/>
      <c r="AK687" s="14"/>
      <c r="AL687" s="14"/>
      <c r="AM687" s="14"/>
    </row>
    <row r="688" ht="14.25" customHeight="1">
      <c r="A688" s="1"/>
      <c r="B688" s="1"/>
      <c r="C688" s="1"/>
      <c r="D688" s="1"/>
      <c r="E688" s="1"/>
      <c r="F688" s="69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4"/>
      <c r="AI688" s="14"/>
      <c r="AJ688" s="14"/>
      <c r="AK688" s="14"/>
      <c r="AL688" s="14"/>
      <c r="AM688" s="14"/>
    </row>
    <row r="689" ht="14.25" customHeight="1">
      <c r="A689" s="1"/>
      <c r="B689" s="1"/>
      <c r="C689" s="1"/>
      <c r="D689" s="1"/>
      <c r="E689" s="1"/>
      <c r="F689" s="69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4"/>
      <c r="AI689" s="14"/>
      <c r="AJ689" s="14"/>
      <c r="AK689" s="14"/>
      <c r="AL689" s="14"/>
      <c r="AM689" s="14"/>
    </row>
    <row r="690" ht="14.25" customHeight="1">
      <c r="A690" s="1"/>
      <c r="B690" s="1"/>
      <c r="C690" s="1"/>
      <c r="D690" s="1"/>
      <c r="E690" s="1"/>
      <c r="F690" s="69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4"/>
      <c r="AI690" s="14"/>
      <c r="AJ690" s="14"/>
      <c r="AK690" s="14"/>
      <c r="AL690" s="14"/>
      <c r="AM690" s="14"/>
    </row>
    <row r="691" ht="14.25" customHeight="1">
      <c r="A691" s="1"/>
      <c r="B691" s="1"/>
      <c r="C691" s="1"/>
      <c r="D691" s="1"/>
      <c r="E691" s="1"/>
      <c r="F691" s="69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4"/>
      <c r="AI691" s="14"/>
      <c r="AJ691" s="14"/>
      <c r="AK691" s="14"/>
      <c r="AL691" s="14"/>
      <c r="AM691" s="14"/>
    </row>
    <row r="692" ht="14.25" customHeight="1">
      <c r="A692" s="1"/>
      <c r="B692" s="1"/>
      <c r="C692" s="1"/>
      <c r="D692" s="1"/>
      <c r="E692" s="1"/>
      <c r="F692" s="69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4"/>
      <c r="AI692" s="14"/>
      <c r="AJ692" s="14"/>
      <c r="AK692" s="14"/>
      <c r="AL692" s="14"/>
      <c r="AM692" s="14"/>
    </row>
    <row r="693" ht="14.25" customHeight="1">
      <c r="A693" s="1"/>
      <c r="B693" s="1"/>
      <c r="C693" s="1"/>
      <c r="D693" s="1"/>
      <c r="E693" s="1"/>
      <c r="F693" s="69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4"/>
      <c r="AI693" s="14"/>
      <c r="AJ693" s="14"/>
      <c r="AK693" s="14"/>
      <c r="AL693" s="14"/>
      <c r="AM693" s="14"/>
    </row>
    <row r="694" ht="14.25" customHeight="1">
      <c r="A694" s="1"/>
      <c r="B694" s="1"/>
      <c r="C694" s="1"/>
      <c r="D694" s="1"/>
      <c r="E694" s="1"/>
      <c r="F694" s="69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4"/>
      <c r="AI694" s="14"/>
      <c r="AJ694" s="14"/>
      <c r="AK694" s="14"/>
      <c r="AL694" s="14"/>
      <c r="AM694" s="14"/>
    </row>
    <row r="695" ht="14.25" customHeight="1">
      <c r="A695" s="1"/>
      <c r="B695" s="1"/>
      <c r="C695" s="1"/>
      <c r="D695" s="1"/>
      <c r="E695" s="1"/>
      <c r="F695" s="69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4"/>
      <c r="AI695" s="14"/>
      <c r="AJ695" s="14"/>
      <c r="AK695" s="14"/>
      <c r="AL695" s="14"/>
      <c r="AM695" s="14"/>
    </row>
    <row r="696" ht="14.25" customHeight="1">
      <c r="A696" s="1"/>
      <c r="B696" s="1"/>
      <c r="C696" s="1"/>
      <c r="D696" s="1"/>
      <c r="E696" s="1"/>
      <c r="F696" s="69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4"/>
      <c r="AI696" s="14"/>
      <c r="AJ696" s="14"/>
      <c r="AK696" s="14"/>
      <c r="AL696" s="14"/>
      <c r="AM696" s="14"/>
    </row>
    <row r="697" ht="14.25" customHeight="1">
      <c r="A697" s="1"/>
      <c r="B697" s="1"/>
      <c r="C697" s="1"/>
      <c r="D697" s="1"/>
      <c r="E697" s="1"/>
      <c r="F697" s="69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4"/>
      <c r="AI697" s="14"/>
      <c r="AJ697" s="14"/>
      <c r="AK697" s="14"/>
      <c r="AL697" s="14"/>
      <c r="AM697" s="14"/>
    </row>
    <row r="698" ht="14.25" customHeight="1">
      <c r="A698" s="1"/>
      <c r="B698" s="1"/>
      <c r="C698" s="1"/>
      <c r="D698" s="1"/>
      <c r="E698" s="1"/>
      <c r="F698" s="69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4"/>
      <c r="AI698" s="14"/>
      <c r="AJ698" s="14"/>
      <c r="AK698" s="14"/>
      <c r="AL698" s="14"/>
      <c r="AM698" s="14"/>
    </row>
    <row r="699" ht="14.25" customHeight="1">
      <c r="A699" s="1"/>
      <c r="B699" s="1"/>
      <c r="C699" s="1"/>
      <c r="D699" s="1"/>
      <c r="E699" s="1"/>
      <c r="F699" s="69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4"/>
      <c r="AI699" s="14"/>
      <c r="AJ699" s="14"/>
      <c r="AK699" s="14"/>
      <c r="AL699" s="14"/>
      <c r="AM699" s="14"/>
    </row>
    <row r="700" ht="14.25" customHeight="1">
      <c r="A700" s="1"/>
      <c r="B700" s="1"/>
      <c r="C700" s="1"/>
      <c r="D700" s="1"/>
      <c r="E700" s="1"/>
      <c r="F700" s="69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4"/>
      <c r="AI700" s="14"/>
      <c r="AJ700" s="14"/>
      <c r="AK700" s="14"/>
      <c r="AL700" s="14"/>
      <c r="AM700" s="14"/>
    </row>
    <row r="701" ht="14.25" customHeight="1">
      <c r="A701" s="1"/>
      <c r="B701" s="1"/>
      <c r="C701" s="1"/>
      <c r="D701" s="1"/>
      <c r="E701" s="1"/>
      <c r="F701" s="69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4"/>
      <c r="AI701" s="14"/>
      <c r="AJ701" s="14"/>
      <c r="AK701" s="14"/>
      <c r="AL701" s="14"/>
      <c r="AM701" s="14"/>
    </row>
    <row r="702" ht="14.25" customHeight="1">
      <c r="A702" s="1"/>
      <c r="B702" s="1"/>
      <c r="C702" s="1"/>
      <c r="D702" s="1"/>
      <c r="E702" s="1"/>
      <c r="F702" s="69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4"/>
      <c r="AI702" s="14"/>
      <c r="AJ702" s="14"/>
      <c r="AK702" s="14"/>
      <c r="AL702" s="14"/>
      <c r="AM702" s="14"/>
    </row>
    <row r="703" ht="14.25" customHeight="1">
      <c r="A703" s="1"/>
      <c r="B703" s="1"/>
      <c r="C703" s="1"/>
      <c r="D703" s="1"/>
      <c r="E703" s="1"/>
      <c r="F703" s="69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4"/>
      <c r="AI703" s="14"/>
      <c r="AJ703" s="14"/>
      <c r="AK703" s="14"/>
      <c r="AL703" s="14"/>
      <c r="AM703" s="14"/>
    </row>
    <row r="704" ht="14.25" customHeight="1">
      <c r="A704" s="1"/>
      <c r="B704" s="1"/>
      <c r="C704" s="1"/>
      <c r="D704" s="1"/>
      <c r="E704" s="1"/>
      <c r="F704" s="69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4"/>
      <c r="AI704" s="14"/>
      <c r="AJ704" s="14"/>
      <c r="AK704" s="14"/>
      <c r="AL704" s="14"/>
      <c r="AM704" s="14"/>
    </row>
    <row r="705" ht="14.25" customHeight="1">
      <c r="A705" s="1"/>
      <c r="B705" s="1"/>
      <c r="C705" s="1"/>
      <c r="D705" s="1"/>
      <c r="E705" s="1"/>
      <c r="F705" s="69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4"/>
      <c r="AI705" s="14"/>
      <c r="AJ705" s="14"/>
      <c r="AK705" s="14"/>
      <c r="AL705" s="14"/>
      <c r="AM705" s="14"/>
    </row>
    <row r="706" ht="14.25" customHeight="1">
      <c r="A706" s="1"/>
      <c r="B706" s="1"/>
      <c r="C706" s="1"/>
      <c r="D706" s="1"/>
      <c r="E706" s="1"/>
      <c r="F706" s="69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4"/>
      <c r="AI706" s="14"/>
      <c r="AJ706" s="14"/>
      <c r="AK706" s="14"/>
      <c r="AL706" s="14"/>
      <c r="AM706" s="14"/>
    </row>
    <row r="707" ht="14.25" customHeight="1">
      <c r="A707" s="1"/>
      <c r="B707" s="1"/>
      <c r="C707" s="1"/>
      <c r="D707" s="1"/>
      <c r="E707" s="1"/>
      <c r="F707" s="69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4"/>
      <c r="AI707" s="14"/>
      <c r="AJ707" s="14"/>
      <c r="AK707" s="14"/>
      <c r="AL707" s="14"/>
      <c r="AM707" s="14"/>
    </row>
    <row r="708" ht="14.25" customHeight="1">
      <c r="A708" s="1"/>
      <c r="B708" s="1"/>
      <c r="C708" s="1"/>
      <c r="D708" s="1"/>
      <c r="E708" s="1"/>
      <c r="F708" s="69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4"/>
      <c r="AI708" s="14"/>
      <c r="AJ708" s="14"/>
      <c r="AK708" s="14"/>
      <c r="AL708" s="14"/>
      <c r="AM708" s="14"/>
    </row>
    <row r="709" ht="14.25" customHeight="1">
      <c r="A709" s="1"/>
      <c r="B709" s="1"/>
      <c r="C709" s="1"/>
      <c r="D709" s="1"/>
      <c r="E709" s="1"/>
      <c r="F709" s="69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4"/>
      <c r="AI709" s="14"/>
      <c r="AJ709" s="14"/>
      <c r="AK709" s="14"/>
      <c r="AL709" s="14"/>
      <c r="AM709" s="14"/>
    </row>
    <row r="710" ht="14.25" customHeight="1">
      <c r="A710" s="1"/>
      <c r="B710" s="1"/>
      <c r="C710" s="1"/>
      <c r="D710" s="1"/>
      <c r="E710" s="1"/>
      <c r="F710" s="69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4"/>
      <c r="AI710" s="14"/>
      <c r="AJ710" s="14"/>
      <c r="AK710" s="14"/>
      <c r="AL710" s="14"/>
      <c r="AM710" s="14"/>
    </row>
    <row r="711" ht="14.25" customHeight="1">
      <c r="A711" s="1"/>
      <c r="B711" s="1"/>
      <c r="C711" s="1"/>
      <c r="D711" s="1"/>
      <c r="E711" s="1"/>
      <c r="F711" s="69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4"/>
      <c r="AI711" s="14"/>
      <c r="AJ711" s="14"/>
      <c r="AK711" s="14"/>
      <c r="AL711" s="14"/>
      <c r="AM711" s="14"/>
    </row>
    <row r="712" ht="14.25" customHeight="1">
      <c r="A712" s="1"/>
      <c r="B712" s="1"/>
      <c r="C712" s="1"/>
      <c r="D712" s="1"/>
      <c r="E712" s="1"/>
      <c r="F712" s="69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4"/>
      <c r="AI712" s="14"/>
      <c r="AJ712" s="14"/>
      <c r="AK712" s="14"/>
      <c r="AL712" s="14"/>
      <c r="AM712" s="14"/>
    </row>
    <row r="713" ht="14.25" customHeight="1">
      <c r="A713" s="1"/>
      <c r="B713" s="1"/>
      <c r="C713" s="1"/>
      <c r="D713" s="1"/>
      <c r="E713" s="1"/>
      <c r="F713" s="69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4"/>
      <c r="AI713" s="14"/>
      <c r="AJ713" s="14"/>
      <c r="AK713" s="14"/>
      <c r="AL713" s="14"/>
      <c r="AM713" s="14"/>
    </row>
    <row r="714" ht="14.25" customHeight="1">
      <c r="A714" s="1"/>
      <c r="B714" s="1"/>
      <c r="C714" s="1"/>
      <c r="D714" s="1"/>
      <c r="E714" s="1"/>
      <c r="F714" s="69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4"/>
      <c r="AI714" s="14"/>
      <c r="AJ714" s="14"/>
      <c r="AK714" s="14"/>
      <c r="AL714" s="14"/>
      <c r="AM714" s="14"/>
    </row>
    <row r="715" ht="14.25" customHeight="1">
      <c r="A715" s="1"/>
      <c r="B715" s="1"/>
      <c r="C715" s="1"/>
      <c r="D715" s="1"/>
      <c r="E715" s="1"/>
      <c r="F715" s="69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4"/>
      <c r="AI715" s="14"/>
      <c r="AJ715" s="14"/>
      <c r="AK715" s="14"/>
      <c r="AL715" s="14"/>
      <c r="AM715" s="14"/>
    </row>
    <row r="716" ht="14.25" customHeight="1">
      <c r="A716" s="1"/>
      <c r="B716" s="1"/>
      <c r="C716" s="1"/>
      <c r="D716" s="1"/>
      <c r="E716" s="1"/>
      <c r="F716" s="69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4"/>
      <c r="AI716" s="14"/>
      <c r="AJ716" s="14"/>
      <c r="AK716" s="14"/>
      <c r="AL716" s="14"/>
      <c r="AM716" s="14"/>
    </row>
    <row r="717" ht="14.25" customHeight="1">
      <c r="A717" s="1"/>
      <c r="B717" s="1"/>
      <c r="C717" s="1"/>
      <c r="D717" s="1"/>
      <c r="E717" s="1"/>
      <c r="F717" s="69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4"/>
      <c r="AI717" s="14"/>
      <c r="AJ717" s="14"/>
      <c r="AK717" s="14"/>
      <c r="AL717" s="14"/>
      <c r="AM717" s="14"/>
    </row>
    <row r="718" ht="14.25" customHeight="1">
      <c r="A718" s="1"/>
      <c r="B718" s="1"/>
      <c r="C718" s="1"/>
      <c r="D718" s="1"/>
      <c r="E718" s="1"/>
      <c r="F718" s="69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4"/>
      <c r="AI718" s="14"/>
      <c r="AJ718" s="14"/>
      <c r="AK718" s="14"/>
      <c r="AL718" s="14"/>
      <c r="AM718" s="14"/>
    </row>
    <row r="719" ht="14.25" customHeight="1">
      <c r="A719" s="1"/>
      <c r="B719" s="1"/>
      <c r="C719" s="1"/>
      <c r="D719" s="1"/>
      <c r="E719" s="1"/>
      <c r="F719" s="69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4"/>
      <c r="AI719" s="14"/>
      <c r="AJ719" s="14"/>
      <c r="AK719" s="14"/>
      <c r="AL719" s="14"/>
      <c r="AM719" s="14"/>
    </row>
    <row r="720" ht="14.25" customHeight="1">
      <c r="A720" s="1"/>
      <c r="B720" s="1"/>
      <c r="C720" s="1"/>
      <c r="D720" s="1"/>
      <c r="E720" s="1"/>
      <c r="F720" s="69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4"/>
      <c r="AI720" s="14"/>
      <c r="AJ720" s="14"/>
      <c r="AK720" s="14"/>
      <c r="AL720" s="14"/>
      <c r="AM720" s="14"/>
    </row>
    <row r="721" ht="14.25" customHeight="1">
      <c r="A721" s="1"/>
      <c r="B721" s="1"/>
      <c r="C721" s="1"/>
      <c r="D721" s="1"/>
      <c r="E721" s="1"/>
      <c r="F721" s="69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4"/>
      <c r="AI721" s="14"/>
      <c r="AJ721" s="14"/>
      <c r="AK721" s="14"/>
      <c r="AL721" s="14"/>
      <c r="AM721" s="14"/>
    </row>
    <row r="722" ht="14.25" customHeight="1">
      <c r="A722" s="1"/>
      <c r="B722" s="1"/>
      <c r="C722" s="1"/>
      <c r="D722" s="1"/>
      <c r="E722" s="1"/>
      <c r="F722" s="69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4"/>
      <c r="AI722" s="14"/>
      <c r="AJ722" s="14"/>
      <c r="AK722" s="14"/>
      <c r="AL722" s="14"/>
      <c r="AM722" s="14"/>
    </row>
    <row r="723" ht="14.25" customHeight="1">
      <c r="A723" s="1"/>
      <c r="B723" s="1"/>
      <c r="C723" s="1"/>
      <c r="D723" s="1"/>
      <c r="E723" s="1"/>
      <c r="F723" s="69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4"/>
      <c r="AI723" s="14"/>
      <c r="AJ723" s="14"/>
      <c r="AK723" s="14"/>
      <c r="AL723" s="14"/>
      <c r="AM723" s="14"/>
    </row>
    <row r="724" ht="14.25" customHeight="1">
      <c r="A724" s="1"/>
      <c r="B724" s="1"/>
      <c r="C724" s="1"/>
      <c r="D724" s="1"/>
      <c r="E724" s="1"/>
      <c r="F724" s="69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4"/>
      <c r="AI724" s="14"/>
      <c r="AJ724" s="14"/>
      <c r="AK724" s="14"/>
      <c r="AL724" s="14"/>
      <c r="AM724" s="14"/>
    </row>
    <row r="725" ht="14.25" customHeight="1">
      <c r="A725" s="1"/>
      <c r="B725" s="1"/>
      <c r="C725" s="1"/>
      <c r="D725" s="1"/>
      <c r="E725" s="1"/>
      <c r="F725" s="69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4"/>
      <c r="AI725" s="14"/>
      <c r="AJ725" s="14"/>
      <c r="AK725" s="14"/>
      <c r="AL725" s="14"/>
      <c r="AM725" s="14"/>
    </row>
    <row r="726" ht="14.25" customHeight="1">
      <c r="A726" s="1"/>
      <c r="B726" s="1"/>
      <c r="C726" s="1"/>
      <c r="D726" s="1"/>
      <c r="E726" s="1"/>
      <c r="F726" s="69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4"/>
      <c r="AI726" s="14"/>
      <c r="AJ726" s="14"/>
      <c r="AK726" s="14"/>
      <c r="AL726" s="14"/>
      <c r="AM726" s="14"/>
    </row>
    <row r="727" ht="14.25" customHeight="1">
      <c r="A727" s="1"/>
      <c r="B727" s="1"/>
      <c r="C727" s="1"/>
      <c r="D727" s="1"/>
      <c r="E727" s="1"/>
      <c r="F727" s="69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4"/>
      <c r="AI727" s="14"/>
      <c r="AJ727" s="14"/>
      <c r="AK727" s="14"/>
      <c r="AL727" s="14"/>
      <c r="AM727" s="14"/>
    </row>
    <row r="728" ht="14.25" customHeight="1">
      <c r="A728" s="1"/>
      <c r="B728" s="1"/>
      <c r="C728" s="1"/>
      <c r="D728" s="1"/>
      <c r="E728" s="1"/>
      <c r="F728" s="69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4"/>
      <c r="AI728" s="14"/>
      <c r="AJ728" s="14"/>
      <c r="AK728" s="14"/>
      <c r="AL728" s="14"/>
      <c r="AM728" s="14"/>
    </row>
    <row r="729" ht="14.25" customHeight="1">
      <c r="A729" s="1"/>
      <c r="B729" s="1"/>
      <c r="C729" s="1"/>
      <c r="D729" s="1"/>
      <c r="E729" s="1"/>
      <c r="F729" s="69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4"/>
      <c r="AI729" s="14"/>
      <c r="AJ729" s="14"/>
      <c r="AK729" s="14"/>
      <c r="AL729" s="14"/>
      <c r="AM729" s="14"/>
    </row>
    <row r="730" ht="14.25" customHeight="1">
      <c r="A730" s="1"/>
      <c r="B730" s="1"/>
      <c r="C730" s="1"/>
      <c r="D730" s="1"/>
      <c r="E730" s="1"/>
      <c r="F730" s="69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4"/>
      <c r="AI730" s="14"/>
      <c r="AJ730" s="14"/>
      <c r="AK730" s="14"/>
      <c r="AL730" s="14"/>
      <c r="AM730" s="14"/>
    </row>
    <row r="731" ht="14.25" customHeight="1">
      <c r="A731" s="1"/>
      <c r="B731" s="1"/>
      <c r="C731" s="1"/>
      <c r="D731" s="1"/>
      <c r="E731" s="1"/>
      <c r="F731" s="69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4"/>
      <c r="AI731" s="14"/>
      <c r="AJ731" s="14"/>
      <c r="AK731" s="14"/>
      <c r="AL731" s="14"/>
      <c r="AM731" s="14"/>
    </row>
    <row r="732" ht="14.25" customHeight="1">
      <c r="A732" s="1"/>
      <c r="B732" s="1"/>
      <c r="C732" s="1"/>
      <c r="D732" s="1"/>
      <c r="E732" s="1"/>
      <c r="F732" s="69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4"/>
      <c r="AI732" s="14"/>
      <c r="AJ732" s="14"/>
      <c r="AK732" s="14"/>
      <c r="AL732" s="14"/>
      <c r="AM732" s="14"/>
    </row>
    <row r="733" ht="14.25" customHeight="1">
      <c r="A733" s="1"/>
      <c r="B733" s="1"/>
      <c r="C733" s="1"/>
      <c r="D733" s="1"/>
      <c r="E733" s="1"/>
      <c r="F733" s="69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4"/>
      <c r="AI733" s="14"/>
      <c r="AJ733" s="14"/>
      <c r="AK733" s="14"/>
      <c r="AL733" s="14"/>
      <c r="AM733" s="14"/>
    </row>
    <row r="734" ht="14.25" customHeight="1">
      <c r="A734" s="1"/>
      <c r="B734" s="1"/>
      <c r="C734" s="1"/>
      <c r="D734" s="1"/>
      <c r="E734" s="1"/>
      <c r="F734" s="69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4"/>
      <c r="AI734" s="14"/>
      <c r="AJ734" s="14"/>
      <c r="AK734" s="14"/>
      <c r="AL734" s="14"/>
      <c r="AM734" s="14"/>
    </row>
    <row r="735" ht="14.25" customHeight="1">
      <c r="A735" s="1"/>
      <c r="B735" s="1"/>
      <c r="C735" s="1"/>
      <c r="D735" s="1"/>
      <c r="E735" s="1"/>
      <c r="F735" s="69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4"/>
      <c r="AI735" s="14"/>
      <c r="AJ735" s="14"/>
      <c r="AK735" s="14"/>
      <c r="AL735" s="14"/>
      <c r="AM735" s="14"/>
    </row>
    <row r="736" ht="14.25" customHeight="1">
      <c r="A736" s="1"/>
      <c r="B736" s="1"/>
      <c r="C736" s="1"/>
      <c r="D736" s="1"/>
      <c r="E736" s="1"/>
      <c r="F736" s="69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4"/>
      <c r="AI736" s="14"/>
      <c r="AJ736" s="14"/>
      <c r="AK736" s="14"/>
      <c r="AL736" s="14"/>
      <c r="AM736" s="14"/>
    </row>
    <row r="737" ht="14.25" customHeight="1">
      <c r="A737" s="1"/>
      <c r="B737" s="1"/>
      <c r="C737" s="1"/>
      <c r="D737" s="1"/>
      <c r="E737" s="1"/>
      <c r="F737" s="69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4"/>
      <c r="AI737" s="14"/>
      <c r="AJ737" s="14"/>
      <c r="AK737" s="14"/>
      <c r="AL737" s="14"/>
      <c r="AM737" s="14"/>
    </row>
    <row r="738" ht="14.25" customHeight="1">
      <c r="A738" s="1"/>
      <c r="B738" s="1"/>
      <c r="C738" s="1"/>
      <c r="D738" s="1"/>
      <c r="E738" s="1"/>
      <c r="F738" s="69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4"/>
      <c r="AI738" s="14"/>
      <c r="AJ738" s="14"/>
      <c r="AK738" s="14"/>
      <c r="AL738" s="14"/>
      <c r="AM738" s="14"/>
    </row>
    <row r="739" ht="14.25" customHeight="1">
      <c r="A739" s="1"/>
      <c r="B739" s="1"/>
      <c r="C739" s="1"/>
      <c r="D739" s="1"/>
      <c r="E739" s="1"/>
      <c r="F739" s="69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4"/>
      <c r="AI739" s="14"/>
      <c r="AJ739" s="14"/>
      <c r="AK739" s="14"/>
      <c r="AL739" s="14"/>
      <c r="AM739" s="14"/>
    </row>
    <row r="740" ht="14.25" customHeight="1">
      <c r="A740" s="1"/>
      <c r="B740" s="1"/>
      <c r="C740" s="1"/>
      <c r="D740" s="1"/>
      <c r="E740" s="1"/>
      <c r="F740" s="69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4"/>
      <c r="AI740" s="14"/>
      <c r="AJ740" s="14"/>
      <c r="AK740" s="14"/>
      <c r="AL740" s="14"/>
      <c r="AM740" s="14"/>
    </row>
    <row r="741" ht="14.25" customHeight="1">
      <c r="A741" s="1"/>
      <c r="B741" s="1"/>
      <c r="C741" s="1"/>
      <c r="D741" s="1"/>
      <c r="E741" s="1"/>
      <c r="F741" s="69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4"/>
      <c r="AI741" s="14"/>
      <c r="AJ741" s="14"/>
      <c r="AK741" s="14"/>
      <c r="AL741" s="14"/>
      <c r="AM741" s="14"/>
    </row>
    <row r="742" ht="14.25" customHeight="1">
      <c r="A742" s="1"/>
      <c r="B742" s="1"/>
      <c r="C742" s="1"/>
      <c r="D742" s="1"/>
      <c r="E742" s="1"/>
      <c r="F742" s="69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4"/>
      <c r="AI742" s="14"/>
      <c r="AJ742" s="14"/>
      <c r="AK742" s="14"/>
      <c r="AL742" s="14"/>
      <c r="AM742" s="14"/>
    </row>
    <row r="743" ht="14.25" customHeight="1">
      <c r="A743" s="1"/>
      <c r="B743" s="1"/>
      <c r="C743" s="1"/>
      <c r="D743" s="1"/>
      <c r="E743" s="1"/>
      <c r="F743" s="69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4"/>
      <c r="AI743" s="14"/>
      <c r="AJ743" s="14"/>
      <c r="AK743" s="14"/>
      <c r="AL743" s="14"/>
      <c r="AM743" s="14"/>
    </row>
    <row r="744" ht="14.25" customHeight="1">
      <c r="A744" s="1"/>
      <c r="B744" s="1"/>
      <c r="C744" s="1"/>
      <c r="D744" s="1"/>
      <c r="E744" s="1"/>
      <c r="F744" s="69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4"/>
      <c r="AI744" s="14"/>
      <c r="AJ744" s="14"/>
      <c r="AK744" s="14"/>
      <c r="AL744" s="14"/>
      <c r="AM744" s="14"/>
    </row>
    <row r="745" ht="14.25" customHeight="1">
      <c r="A745" s="1"/>
      <c r="B745" s="1"/>
      <c r="C745" s="1"/>
      <c r="D745" s="1"/>
      <c r="E745" s="1"/>
      <c r="F745" s="69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4"/>
      <c r="AI745" s="14"/>
      <c r="AJ745" s="14"/>
      <c r="AK745" s="14"/>
      <c r="AL745" s="14"/>
      <c r="AM745" s="14"/>
    </row>
    <row r="746" ht="14.25" customHeight="1">
      <c r="A746" s="1"/>
      <c r="B746" s="1"/>
      <c r="C746" s="1"/>
      <c r="D746" s="1"/>
      <c r="E746" s="1"/>
      <c r="F746" s="69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4"/>
      <c r="AI746" s="14"/>
      <c r="AJ746" s="14"/>
      <c r="AK746" s="14"/>
      <c r="AL746" s="14"/>
      <c r="AM746" s="14"/>
    </row>
    <row r="747" ht="14.25" customHeight="1">
      <c r="A747" s="1"/>
      <c r="B747" s="1"/>
      <c r="C747" s="1"/>
      <c r="D747" s="1"/>
      <c r="E747" s="1"/>
      <c r="F747" s="69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4"/>
      <c r="AI747" s="14"/>
      <c r="AJ747" s="14"/>
      <c r="AK747" s="14"/>
      <c r="AL747" s="14"/>
      <c r="AM747" s="14"/>
    </row>
    <row r="748" ht="14.25" customHeight="1">
      <c r="A748" s="1"/>
      <c r="B748" s="1"/>
      <c r="C748" s="1"/>
      <c r="D748" s="1"/>
      <c r="E748" s="1"/>
      <c r="F748" s="69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4"/>
      <c r="AI748" s="14"/>
      <c r="AJ748" s="14"/>
      <c r="AK748" s="14"/>
      <c r="AL748" s="14"/>
      <c r="AM748" s="14"/>
    </row>
    <row r="749" ht="14.25" customHeight="1">
      <c r="A749" s="1"/>
      <c r="B749" s="1"/>
      <c r="C749" s="1"/>
      <c r="D749" s="1"/>
      <c r="E749" s="1"/>
      <c r="F749" s="69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4"/>
      <c r="AI749" s="14"/>
      <c r="AJ749" s="14"/>
      <c r="AK749" s="14"/>
      <c r="AL749" s="14"/>
      <c r="AM749" s="14"/>
    </row>
    <row r="750" ht="14.25" customHeight="1">
      <c r="A750" s="1"/>
      <c r="B750" s="1"/>
      <c r="C750" s="1"/>
      <c r="D750" s="1"/>
      <c r="E750" s="1"/>
      <c r="F750" s="69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4"/>
      <c r="AI750" s="14"/>
      <c r="AJ750" s="14"/>
      <c r="AK750" s="14"/>
      <c r="AL750" s="14"/>
      <c r="AM750" s="14"/>
    </row>
    <row r="751" ht="14.25" customHeight="1">
      <c r="A751" s="1"/>
      <c r="B751" s="1"/>
      <c r="C751" s="1"/>
      <c r="D751" s="1"/>
      <c r="E751" s="1"/>
      <c r="F751" s="69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4"/>
      <c r="AI751" s="14"/>
      <c r="AJ751" s="14"/>
      <c r="AK751" s="14"/>
      <c r="AL751" s="14"/>
      <c r="AM751" s="14"/>
    </row>
    <row r="752" ht="14.25" customHeight="1">
      <c r="A752" s="1"/>
      <c r="B752" s="1"/>
      <c r="C752" s="1"/>
      <c r="D752" s="1"/>
      <c r="E752" s="1"/>
      <c r="F752" s="69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4"/>
      <c r="AI752" s="14"/>
      <c r="AJ752" s="14"/>
      <c r="AK752" s="14"/>
      <c r="AL752" s="14"/>
      <c r="AM752" s="14"/>
    </row>
    <row r="753" ht="14.25" customHeight="1">
      <c r="A753" s="1"/>
      <c r="B753" s="1"/>
      <c r="C753" s="1"/>
      <c r="D753" s="1"/>
      <c r="E753" s="1"/>
      <c r="F753" s="69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4"/>
      <c r="AI753" s="14"/>
      <c r="AJ753" s="14"/>
      <c r="AK753" s="14"/>
      <c r="AL753" s="14"/>
      <c r="AM753" s="14"/>
    </row>
    <row r="754" ht="14.25" customHeight="1">
      <c r="A754" s="1"/>
      <c r="B754" s="1"/>
      <c r="C754" s="1"/>
      <c r="D754" s="1"/>
      <c r="E754" s="1"/>
      <c r="F754" s="69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4"/>
      <c r="AI754" s="14"/>
      <c r="AJ754" s="14"/>
      <c r="AK754" s="14"/>
      <c r="AL754" s="14"/>
      <c r="AM754" s="14"/>
    </row>
    <row r="755" ht="14.25" customHeight="1">
      <c r="A755" s="1"/>
      <c r="B755" s="1"/>
      <c r="C755" s="1"/>
      <c r="D755" s="1"/>
      <c r="E755" s="1"/>
      <c r="F755" s="69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4"/>
      <c r="AI755" s="14"/>
      <c r="AJ755" s="14"/>
      <c r="AK755" s="14"/>
      <c r="AL755" s="14"/>
      <c r="AM755" s="14"/>
    </row>
    <row r="756" ht="14.25" customHeight="1">
      <c r="A756" s="1"/>
      <c r="B756" s="1"/>
      <c r="C756" s="1"/>
      <c r="D756" s="1"/>
      <c r="E756" s="1"/>
      <c r="F756" s="69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4"/>
      <c r="AI756" s="14"/>
      <c r="AJ756" s="14"/>
      <c r="AK756" s="14"/>
      <c r="AL756" s="14"/>
      <c r="AM756" s="14"/>
    </row>
    <row r="757" ht="14.25" customHeight="1">
      <c r="A757" s="1"/>
      <c r="B757" s="1"/>
      <c r="C757" s="1"/>
      <c r="D757" s="1"/>
      <c r="E757" s="1"/>
      <c r="F757" s="69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4"/>
      <c r="AI757" s="14"/>
      <c r="AJ757" s="14"/>
      <c r="AK757" s="14"/>
      <c r="AL757" s="14"/>
      <c r="AM757" s="14"/>
    </row>
    <row r="758" ht="14.25" customHeight="1">
      <c r="A758" s="1"/>
      <c r="B758" s="1"/>
      <c r="C758" s="1"/>
      <c r="D758" s="1"/>
      <c r="E758" s="1"/>
      <c r="F758" s="69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4"/>
      <c r="AI758" s="14"/>
      <c r="AJ758" s="14"/>
      <c r="AK758" s="14"/>
      <c r="AL758" s="14"/>
      <c r="AM758" s="14"/>
    </row>
    <row r="759" ht="14.25" customHeight="1">
      <c r="A759" s="1"/>
      <c r="B759" s="1"/>
      <c r="C759" s="1"/>
      <c r="D759" s="1"/>
      <c r="E759" s="1"/>
      <c r="F759" s="69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4"/>
      <c r="AI759" s="14"/>
      <c r="AJ759" s="14"/>
      <c r="AK759" s="14"/>
      <c r="AL759" s="14"/>
      <c r="AM759" s="14"/>
    </row>
    <row r="760" ht="14.25" customHeight="1">
      <c r="A760" s="1"/>
      <c r="B760" s="1"/>
      <c r="C760" s="1"/>
      <c r="D760" s="1"/>
      <c r="E760" s="1"/>
      <c r="F760" s="69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4"/>
      <c r="AI760" s="14"/>
      <c r="AJ760" s="14"/>
      <c r="AK760" s="14"/>
      <c r="AL760" s="14"/>
      <c r="AM760" s="14"/>
    </row>
    <row r="761" ht="14.25" customHeight="1">
      <c r="A761" s="1"/>
      <c r="B761" s="1"/>
      <c r="C761" s="1"/>
      <c r="D761" s="1"/>
      <c r="E761" s="1"/>
      <c r="F761" s="69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4"/>
      <c r="AI761" s="14"/>
      <c r="AJ761" s="14"/>
      <c r="AK761" s="14"/>
      <c r="AL761" s="14"/>
      <c r="AM761" s="14"/>
    </row>
    <row r="762" ht="14.25" customHeight="1">
      <c r="A762" s="1"/>
      <c r="B762" s="1"/>
      <c r="C762" s="1"/>
      <c r="D762" s="1"/>
      <c r="E762" s="1"/>
      <c r="F762" s="69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4"/>
      <c r="AI762" s="14"/>
      <c r="AJ762" s="14"/>
      <c r="AK762" s="14"/>
      <c r="AL762" s="14"/>
      <c r="AM762" s="14"/>
    </row>
    <row r="763" ht="14.25" customHeight="1">
      <c r="A763" s="1"/>
      <c r="B763" s="1"/>
      <c r="C763" s="1"/>
      <c r="D763" s="1"/>
      <c r="E763" s="1"/>
      <c r="F763" s="69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4"/>
      <c r="AI763" s="14"/>
      <c r="AJ763" s="14"/>
      <c r="AK763" s="14"/>
      <c r="AL763" s="14"/>
      <c r="AM763" s="14"/>
    </row>
    <row r="764" ht="14.25" customHeight="1">
      <c r="A764" s="1"/>
      <c r="B764" s="1"/>
      <c r="C764" s="1"/>
      <c r="D764" s="1"/>
      <c r="E764" s="1"/>
      <c r="F764" s="69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4"/>
      <c r="AI764" s="14"/>
      <c r="AJ764" s="14"/>
      <c r="AK764" s="14"/>
      <c r="AL764" s="14"/>
      <c r="AM764" s="14"/>
    </row>
    <row r="765" ht="14.25" customHeight="1">
      <c r="A765" s="1"/>
      <c r="B765" s="1"/>
      <c r="C765" s="1"/>
      <c r="D765" s="1"/>
      <c r="E765" s="1"/>
      <c r="F765" s="69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4"/>
      <c r="AI765" s="14"/>
      <c r="AJ765" s="14"/>
      <c r="AK765" s="14"/>
      <c r="AL765" s="14"/>
      <c r="AM765" s="14"/>
    </row>
    <row r="766" ht="14.25" customHeight="1">
      <c r="A766" s="1"/>
      <c r="B766" s="1"/>
      <c r="C766" s="1"/>
      <c r="D766" s="1"/>
      <c r="E766" s="1"/>
      <c r="F766" s="69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4"/>
      <c r="AI766" s="14"/>
      <c r="AJ766" s="14"/>
      <c r="AK766" s="14"/>
      <c r="AL766" s="14"/>
      <c r="AM766" s="14"/>
    </row>
    <row r="767" ht="14.25" customHeight="1">
      <c r="A767" s="1"/>
      <c r="B767" s="1"/>
      <c r="C767" s="1"/>
      <c r="D767" s="1"/>
      <c r="E767" s="1"/>
      <c r="F767" s="69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4"/>
      <c r="AI767" s="14"/>
      <c r="AJ767" s="14"/>
      <c r="AK767" s="14"/>
      <c r="AL767" s="14"/>
      <c r="AM767" s="14"/>
    </row>
    <row r="768" ht="14.25" customHeight="1">
      <c r="A768" s="1"/>
      <c r="B768" s="1"/>
      <c r="C768" s="1"/>
      <c r="D768" s="1"/>
      <c r="E768" s="1"/>
      <c r="F768" s="69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4"/>
      <c r="AI768" s="14"/>
      <c r="AJ768" s="14"/>
      <c r="AK768" s="14"/>
      <c r="AL768" s="14"/>
      <c r="AM768" s="14"/>
    </row>
    <row r="769" ht="14.25" customHeight="1">
      <c r="A769" s="1"/>
      <c r="B769" s="1"/>
      <c r="C769" s="1"/>
      <c r="D769" s="1"/>
      <c r="E769" s="1"/>
      <c r="F769" s="69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4"/>
      <c r="AI769" s="14"/>
      <c r="AJ769" s="14"/>
      <c r="AK769" s="14"/>
      <c r="AL769" s="14"/>
      <c r="AM769" s="14"/>
    </row>
    <row r="770" ht="14.25" customHeight="1">
      <c r="A770" s="1"/>
      <c r="B770" s="1"/>
      <c r="C770" s="1"/>
      <c r="D770" s="1"/>
      <c r="E770" s="1"/>
      <c r="F770" s="69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4"/>
      <c r="AI770" s="14"/>
      <c r="AJ770" s="14"/>
      <c r="AK770" s="14"/>
      <c r="AL770" s="14"/>
      <c r="AM770" s="14"/>
    </row>
    <row r="771" ht="14.25" customHeight="1">
      <c r="A771" s="1"/>
      <c r="B771" s="1"/>
      <c r="C771" s="1"/>
      <c r="D771" s="1"/>
      <c r="E771" s="1"/>
      <c r="F771" s="69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4"/>
      <c r="AI771" s="14"/>
      <c r="AJ771" s="14"/>
      <c r="AK771" s="14"/>
      <c r="AL771" s="14"/>
      <c r="AM771" s="14"/>
    </row>
    <row r="772" ht="14.25" customHeight="1">
      <c r="A772" s="1"/>
      <c r="B772" s="1"/>
      <c r="C772" s="1"/>
      <c r="D772" s="1"/>
      <c r="E772" s="1"/>
      <c r="F772" s="69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4"/>
      <c r="AI772" s="14"/>
      <c r="AJ772" s="14"/>
      <c r="AK772" s="14"/>
      <c r="AL772" s="14"/>
      <c r="AM772" s="14"/>
    </row>
    <row r="773" ht="14.25" customHeight="1">
      <c r="A773" s="1"/>
      <c r="B773" s="1"/>
      <c r="C773" s="1"/>
      <c r="D773" s="1"/>
      <c r="E773" s="1"/>
      <c r="F773" s="69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4"/>
      <c r="AI773" s="14"/>
      <c r="AJ773" s="14"/>
      <c r="AK773" s="14"/>
      <c r="AL773" s="14"/>
      <c r="AM773" s="14"/>
    </row>
    <row r="774" ht="14.25" customHeight="1">
      <c r="A774" s="1"/>
      <c r="B774" s="1"/>
      <c r="C774" s="1"/>
      <c r="D774" s="1"/>
      <c r="E774" s="1"/>
      <c r="F774" s="69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4"/>
      <c r="AI774" s="14"/>
      <c r="AJ774" s="14"/>
      <c r="AK774" s="14"/>
      <c r="AL774" s="14"/>
      <c r="AM774" s="14"/>
    </row>
    <row r="775" ht="14.25" customHeight="1">
      <c r="A775" s="1"/>
      <c r="B775" s="1"/>
      <c r="C775" s="1"/>
      <c r="D775" s="1"/>
      <c r="E775" s="1"/>
      <c r="F775" s="69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4"/>
      <c r="AI775" s="14"/>
      <c r="AJ775" s="14"/>
      <c r="AK775" s="14"/>
      <c r="AL775" s="14"/>
      <c r="AM775" s="14"/>
    </row>
    <row r="776" ht="14.25" customHeight="1">
      <c r="A776" s="1"/>
      <c r="B776" s="1"/>
      <c r="C776" s="1"/>
      <c r="D776" s="1"/>
      <c r="E776" s="1"/>
      <c r="F776" s="69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4"/>
      <c r="AI776" s="14"/>
      <c r="AJ776" s="14"/>
      <c r="AK776" s="14"/>
      <c r="AL776" s="14"/>
      <c r="AM776" s="14"/>
    </row>
    <row r="777" ht="14.25" customHeight="1">
      <c r="A777" s="1"/>
      <c r="B777" s="1"/>
      <c r="C777" s="1"/>
      <c r="D777" s="1"/>
      <c r="E777" s="1"/>
      <c r="F777" s="69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4"/>
      <c r="AI777" s="14"/>
      <c r="AJ777" s="14"/>
      <c r="AK777" s="14"/>
      <c r="AL777" s="14"/>
      <c r="AM777" s="14"/>
    </row>
    <row r="778" ht="14.25" customHeight="1">
      <c r="A778" s="1"/>
      <c r="B778" s="1"/>
      <c r="C778" s="1"/>
      <c r="D778" s="1"/>
      <c r="E778" s="1"/>
      <c r="F778" s="69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4"/>
      <c r="AI778" s="14"/>
      <c r="AJ778" s="14"/>
      <c r="AK778" s="14"/>
      <c r="AL778" s="14"/>
      <c r="AM778" s="14"/>
    </row>
    <row r="779" ht="14.25" customHeight="1">
      <c r="A779" s="1"/>
      <c r="B779" s="1"/>
      <c r="C779" s="1"/>
      <c r="D779" s="1"/>
      <c r="E779" s="1"/>
      <c r="F779" s="69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4"/>
      <c r="AI779" s="14"/>
      <c r="AJ779" s="14"/>
      <c r="AK779" s="14"/>
      <c r="AL779" s="14"/>
      <c r="AM779" s="14"/>
    </row>
    <row r="780" ht="14.25" customHeight="1">
      <c r="A780" s="1"/>
      <c r="B780" s="1"/>
      <c r="C780" s="1"/>
      <c r="D780" s="1"/>
      <c r="E780" s="1"/>
      <c r="F780" s="69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4"/>
      <c r="AI780" s="14"/>
      <c r="AJ780" s="14"/>
      <c r="AK780" s="14"/>
      <c r="AL780" s="14"/>
      <c r="AM780" s="14"/>
    </row>
    <row r="781" ht="14.25" customHeight="1">
      <c r="A781" s="1"/>
      <c r="B781" s="1"/>
      <c r="C781" s="1"/>
      <c r="D781" s="1"/>
      <c r="E781" s="1"/>
      <c r="F781" s="69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4"/>
      <c r="AI781" s="14"/>
      <c r="AJ781" s="14"/>
      <c r="AK781" s="14"/>
      <c r="AL781" s="14"/>
      <c r="AM781" s="14"/>
    </row>
    <row r="782" ht="14.25" customHeight="1">
      <c r="A782" s="1"/>
      <c r="B782" s="1"/>
      <c r="C782" s="1"/>
      <c r="D782" s="1"/>
      <c r="E782" s="1"/>
      <c r="F782" s="69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4"/>
      <c r="AI782" s="14"/>
      <c r="AJ782" s="14"/>
      <c r="AK782" s="14"/>
      <c r="AL782" s="14"/>
      <c r="AM782" s="14"/>
    </row>
    <row r="783" ht="14.25" customHeight="1">
      <c r="A783" s="1"/>
      <c r="B783" s="1"/>
      <c r="C783" s="1"/>
      <c r="D783" s="1"/>
      <c r="E783" s="1"/>
      <c r="F783" s="69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4"/>
      <c r="AI783" s="14"/>
      <c r="AJ783" s="14"/>
      <c r="AK783" s="14"/>
      <c r="AL783" s="14"/>
      <c r="AM783" s="14"/>
    </row>
    <row r="784" ht="14.25" customHeight="1">
      <c r="A784" s="1"/>
      <c r="B784" s="1"/>
      <c r="C784" s="1"/>
      <c r="D784" s="1"/>
      <c r="E784" s="1"/>
      <c r="F784" s="69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4"/>
      <c r="AI784" s="14"/>
      <c r="AJ784" s="14"/>
      <c r="AK784" s="14"/>
      <c r="AL784" s="14"/>
      <c r="AM784" s="14"/>
    </row>
    <row r="785" ht="14.25" customHeight="1">
      <c r="A785" s="1"/>
      <c r="B785" s="1"/>
      <c r="C785" s="1"/>
      <c r="D785" s="1"/>
      <c r="E785" s="1"/>
      <c r="F785" s="69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4"/>
      <c r="AI785" s="14"/>
      <c r="AJ785" s="14"/>
      <c r="AK785" s="14"/>
      <c r="AL785" s="14"/>
      <c r="AM785" s="14"/>
    </row>
    <row r="786" ht="14.25" customHeight="1">
      <c r="A786" s="1"/>
      <c r="B786" s="1"/>
      <c r="C786" s="1"/>
      <c r="D786" s="1"/>
      <c r="E786" s="1"/>
      <c r="F786" s="69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4"/>
      <c r="AI786" s="14"/>
      <c r="AJ786" s="14"/>
      <c r="AK786" s="14"/>
      <c r="AL786" s="14"/>
      <c r="AM786" s="14"/>
    </row>
    <row r="787" ht="14.25" customHeight="1">
      <c r="A787" s="1"/>
      <c r="B787" s="1"/>
      <c r="C787" s="1"/>
      <c r="D787" s="1"/>
      <c r="E787" s="1"/>
      <c r="F787" s="69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4"/>
      <c r="AI787" s="14"/>
      <c r="AJ787" s="14"/>
      <c r="AK787" s="14"/>
      <c r="AL787" s="14"/>
      <c r="AM787" s="14"/>
    </row>
    <row r="788" ht="14.25" customHeight="1">
      <c r="A788" s="1"/>
      <c r="B788" s="1"/>
      <c r="C788" s="1"/>
      <c r="D788" s="1"/>
      <c r="E788" s="1"/>
      <c r="F788" s="69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4"/>
      <c r="AI788" s="14"/>
      <c r="AJ788" s="14"/>
      <c r="AK788" s="14"/>
      <c r="AL788" s="14"/>
      <c r="AM788" s="14"/>
    </row>
    <row r="789" ht="14.25" customHeight="1">
      <c r="A789" s="1"/>
      <c r="B789" s="1"/>
      <c r="C789" s="1"/>
      <c r="D789" s="1"/>
      <c r="E789" s="1"/>
      <c r="F789" s="69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4"/>
      <c r="AI789" s="14"/>
      <c r="AJ789" s="14"/>
      <c r="AK789" s="14"/>
      <c r="AL789" s="14"/>
      <c r="AM789" s="14"/>
    </row>
    <row r="790" ht="14.25" customHeight="1">
      <c r="A790" s="1"/>
      <c r="B790" s="1"/>
      <c r="C790" s="1"/>
      <c r="D790" s="1"/>
      <c r="E790" s="1"/>
      <c r="F790" s="69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4"/>
      <c r="AI790" s="14"/>
      <c r="AJ790" s="14"/>
      <c r="AK790" s="14"/>
      <c r="AL790" s="14"/>
      <c r="AM790" s="14"/>
    </row>
    <row r="791" ht="14.25" customHeight="1">
      <c r="A791" s="1"/>
      <c r="B791" s="1"/>
      <c r="C791" s="1"/>
      <c r="D791" s="1"/>
      <c r="E791" s="1"/>
      <c r="F791" s="69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4"/>
      <c r="AI791" s="14"/>
      <c r="AJ791" s="14"/>
      <c r="AK791" s="14"/>
      <c r="AL791" s="14"/>
      <c r="AM791" s="14"/>
    </row>
    <row r="792" ht="14.25" customHeight="1">
      <c r="A792" s="1"/>
      <c r="B792" s="1"/>
      <c r="C792" s="1"/>
      <c r="D792" s="1"/>
      <c r="E792" s="1"/>
      <c r="F792" s="69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4"/>
      <c r="AI792" s="14"/>
      <c r="AJ792" s="14"/>
      <c r="AK792" s="14"/>
      <c r="AL792" s="14"/>
      <c r="AM792" s="14"/>
    </row>
    <row r="793" ht="14.25" customHeight="1">
      <c r="A793" s="1"/>
      <c r="B793" s="1"/>
      <c r="C793" s="1"/>
      <c r="D793" s="1"/>
      <c r="E793" s="1"/>
      <c r="F793" s="69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4"/>
      <c r="AI793" s="14"/>
      <c r="AJ793" s="14"/>
      <c r="AK793" s="14"/>
      <c r="AL793" s="14"/>
      <c r="AM793" s="14"/>
    </row>
    <row r="794" ht="14.25" customHeight="1">
      <c r="A794" s="1"/>
      <c r="B794" s="1"/>
      <c r="C794" s="1"/>
      <c r="D794" s="1"/>
      <c r="E794" s="1"/>
      <c r="F794" s="69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4"/>
      <c r="AI794" s="14"/>
      <c r="AJ794" s="14"/>
      <c r="AK794" s="14"/>
      <c r="AL794" s="14"/>
      <c r="AM794" s="14"/>
    </row>
    <row r="795" ht="14.25" customHeight="1">
      <c r="A795" s="1"/>
      <c r="B795" s="1"/>
      <c r="C795" s="1"/>
      <c r="D795" s="1"/>
      <c r="E795" s="1"/>
      <c r="F795" s="69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4"/>
      <c r="AI795" s="14"/>
      <c r="AJ795" s="14"/>
      <c r="AK795" s="14"/>
      <c r="AL795" s="14"/>
      <c r="AM795" s="14"/>
    </row>
    <row r="796" ht="14.25" customHeight="1">
      <c r="A796" s="1"/>
      <c r="B796" s="1"/>
      <c r="C796" s="1"/>
      <c r="D796" s="1"/>
      <c r="E796" s="1"/>
      <c r="F796" s="69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4"/>
      <c r="AI796" s="14"/>
      <c r="AJ796" s="14"/>
      <c r="AK796" s="14"/>
      <c r="AL796" s="14"/>
      <c r="AM796" s="14"/>
    </row>
    <row r="797" ht="14.25" customHeight="1">
      <c r="A797" s="1"/>
      <c r="B797" s="1"/>
      <c r="C797" s="1"/>
      <c r="D797" s="1"/>
      <c r="E797" s="1"/>
      <c r="F797" s="69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4"/>
      <c r="AI797" s="14"/>
      <c r="AJ797" s="14"/>
      <c r="AK797" s="14"/>
      <c r="AL797" s="14"/>
      <c r="AM797" s="14"/>
    </row>
    <row r="798" ht="14.25" customHeight="1">
      <c r="A798" s="1"/>
      <c r="B798" s="1"/>
      <c r="C798" s="1"/>
      <c r="D798" s="1"/>
      <c r="E798" s="1"/>
      <c r="F798" s="69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4"/>
      <c r="AI798" s="14"/>
      <c r="AJ798" s="14"/>
      <c r="AK798" s="14"/>
      <c r="AL798" s="14"/>
      <c r="AM798" s="14"/>
    </row>
    <row r="799" ht="14.25" customHeight="1">
      <c r="A799" s="1"/>
      <c r="B799" s="1"/>
      <c r="C799" s="1"/>
      <c r="D799" s="1"/>
      <c r="E799" s="1"/>
      <c r="F799" s="69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4"/>
      <c r="AI799" s="14"/>
      <c r="AJ799" s="14"/>
      <c r="AK799" s="14"/>
      <c r="AL799" s="14"/>
      <c r="AM799" s="14"/>
    </row>
    <row r="800" ht="14.25" customHeight="1">
      <c r="A800" s="1"/>
      <c r="B800" s="1"/>
      <c r="C800" s="1"/>
      <c r="D800" s="1"/>
      <c r="E800" s="1"/>
      <c r="F800" s="69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4"/>
      <c r="AI800" s="14"/>
      <c r="AJ800" s="14"/>
      <c r="AK800" s="14"/>
      <c r="AL800" s="14"/>
      <c r="AM800" s="14"/>
    </row>
    <row r="801" ht="14.25" customHeight="1">
      <c r="A801" s="1"/>
      <c r="B801" s="1"/>
      <c r="C801" s="1"/>
      <c r="D801" s="1"/>
      <c r="E801" s="1"/>
      <c r="F801" s="69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4"/>
      <c r="AI801" s="14"/>
      <c r="AJ801" s="14"/>
      <c r="AK801" s="14"/>
      <c r="AL801" s="14"/>
      <c r="AM801" s="14"/>
    </row>
    <row r="802" ht="14.25" customHeight="1">
      <c r="A802" s="1"/>
      <c r="B802" s="1"/>
      <c r="C802" s="1"/>
      <c r="D802" s="1"/>
      <c r="E802" s="1"/>
      <c r="F802" s="69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4"/>
      <c r="AI802" s="14"/>
      <c r="AJ802" s="14"/>
      <c r="AK802" s="14"/>
      <c r="AL802" s="14"/>
      <c r="AM802" s="14"/>
    </row>
    <row r="803" ht="14.25" customHeight="1">
      <c r="A803" s="1"/>
      <c r="B803" s="1"/>
      <c r="C803" s="1"/>
      <c r="D803" s="1"/>
      <c r="E803" s="1"/>
      <c r="F803" s="69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4"/>
      <c r="AI803" s="14"/>
      <c r="AJ803" s="14"/>
      <c r="AK803" s="14"/>
      <c r="AL803" s="14"/>
      <c r="AM803" s="14"/>
    </row>
    <row r="804" ht="14.25" customHeight="1">
      <c r="A804" s="1"/>
      <c r="B804" s="1"/>
      <c r="C804" s="1"/>
      <c r="D804" s="1"/>
      <c r="E804" s="1"/>
      <c r="F804" s="69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4"/>
      <c r="AI804" s="14"/>
      <c r="AJ804" s="14"/>
      <c r="AK804" s="14"/>
      <c r="AL804" s="14"/>
      <c r="AM804" s="14"/>
    </row>
    <row r="805" ht="14.25" customHeight="1">
      <c r="A805" s="1"/>
      <c r="B805" s="1"/>
      <c r="C805" s="1"/>
      <c r="D805" s="1"/>
      <c r="E805" s="1"/>
      <c r="F805" s="69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4"/>
      <c r="AI805" s="14"/>
      <c r="AJ805" s="14"/>
      <c r="AK805" s="14"/>
      <c r="AL805" s="14"/>
      <c r="AM805" s="14"/>
    </row>
    <row r="806" ht="14.25" customHeight="1">
      <c r="A806" s="1"/>
      <c r="B806" s="1"/>
      <c r="C806" s="1"/>
      <c r="D806" s="1"/>
      <c r="E806" s="1"/>
      <c r="F806" s="69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4"/>
      <c r="AI806" s="14"/>
      <c r="AJ806" s="14"/>
      <c r="AK806" s="14"/>
      <c r="AL806" s="14"/>
      <c r="AM806" s="14"/>
    </row>
    <row r="807" ht="14.25" customHeight="1">
      <c r="A807" s="1"/>
      <c r="B807" s="1"/>
      <c r="C807" s="1"/>
      <c r="D807" s="1"/>
      <c r="E807" s="1"/>
      <c r="F807" s="69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4"/>
      <c r="AI807" s="14"/>
      <c r="AJ807" s="14"/>
      <c r="AK807" s="14"/>
      <c r="AL807" s="14"/>
      <c r="AM807" s="14"/>
    </row>
    <row r="808" ht="14.25" customHeight="1">
      <c r="A808" s="1"/>
      <c r="B808" s="1"/>
      <c r="C808" s="1"/>
      <c r="D808" s="1"/>
      <c r="E808" s="1"/>
      <c r="F808" s="69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4"/>
      <c r="AI808" s="14"/>
      <c r="AJ808" s="14"/>
      <c r="AK808" s="14"/>
      <c r="AL808" s="14"/>
      <c r="AM808" s="14"/>
    </row>
    <row r="809" ht="14.25" customHeight="1">
      <c r="A809" s="1"/>
      <c r="B809" s="1"/>
      <c r="C809" s="1"/>
      <c r="D809" s="1"/>
      <c r="E809" s="1"/>
      <c r="F809" s="69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4"/>
      <c r="AI809" s="14"/>
      <c r="AJ809" s="14"/>
      <c r="AK809" s="14"/>
      <c r="AL809" s="14"/>
      <c r="AM809" s="14"/>
    </row>
    <row r="810" ht="14.25" customHeight="1">
      <c r="A810" s="1"/>
      <c r="B810" s="1"/>
      <c r="C810" s="1"/>
      <c r="D810" s="1"/>
      <c r="E810" s="1"/>
      <c r="F810" s="69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4"/>
      <c r="AI810" s="14"/>
      <c r="AJ810" s="14"/>
      <c r="AK810" s="14"/>
      <c r="AL810" s="14"/>
      <c r="AM810" s="14"/>
    </row>
    <row r="811" ht="14.25" customHeight="1">
      <c r="A811" s="1"/>
      <c r="B811" s="1"/>
      <c r="C811" s="1"/>
      <c r="D811" s="1"/>
      <c r="E811" s="1"/>
      <c r="F811" s="69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4"/>
      <c r="AI811" s="14"/>
      <c r="AJ811" s="14"/>
      <c r="AK811" s="14"/>
      <c r="AL811" s="14"/>
      <c r="AM811" s="14"/>
    </row>
    <row r="812" ht="14.25" customHeight="1">
      <c r="A812" s="1"/>
      <c r="B812" s="1"/>
      <c r="C812" s="1"/>
      <c r="D812" s="1"/>
      <c r="E812" s="1"/>
      <c r="F812" s="69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4"/>
      <c r="AI812" s="14"/>
      <c r="AJ812" s="14"/>
      <c r="AK812" s="14"/>
      <c r="AL812" s="14"/>
      <c r="AM812" s="14"/>
    </row>
    <row r="813" ht="14.25" customHeight="1">
      <c r="A813" s="1"/>
      <c r="B813" s="1"/>
      <c r="C813" s="1"/>
      <c r="D813" s="1"/>
      <c r="E813" s="1"/>
      <c r="F813" s="69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4"/>
      <c r="AI813" s="14"/>
      <c r="AJ813" s="14"/>
      <c r="AK813" s="14"/>
      <c r="AL813" s="14"/>
      <c r="AM813" s="14"/>
    </row>
    <row r="814" ht="14.25" customHeight="1">
      <c r="A814" s="1"/>
      <c r="B814" s="1"/>
      <c r="C814" s="1"/>
      <c r="D814" s="1"/>
      <c r="E814" s="1"/>
      <c r="F814" s="69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4"/>
      <c r="AI814" s="14"/>
      <c r="AJ814" s="14"/>
      <c r="AK814" s="14"/>
      <c r="AL814" s="14"/>
      <c r="AM814" s="14"/>
    </row>
    <row r="815" ht="14.25" customHeight="1">
      <c r="A815" s="1"/>
      <c r="B815" s="1"/>
      <c r="C815" s="1"/>
      <c r="D815" s="1"/>
      <c r="E815" s="1"/>
      <c r="F815" s="69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4"/>
      <c r="AI815" s="14"/>
      <c r="AJ815" s="14"/>
      <c r="AK815" s="14"/>
      <c r="AL815" s="14"/>
      <c r="AM815" s="14"/>
    </row>
    <row r="816" ht="14.25" customHeight="1">
      <c r="A816" s="1"/>
      <c r="B816" s="1"/>
      <c r="C816" s="1"/>
      <c r="D816" s="1"/>
      <c r="E816" s="1"/>
      <c r="F816" s="69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4"/>
      <c r="AI816" s="14"/>
      <c r="AJ816" s="14"/>
      <c r="AK816" s="14"/>
      <c r="AL816" s="14"/>
      <c r="AM816" s="14"/>
    </row>
    <row r="817" ht="14.25" customHeight="1">
      <c r="A817" s="1"/>
      <c r="B817" s="1"/>
      <c r="C817" s="1"/>
      <c r="D817" s="1"/>
      <c r="E817" s="1"/>
      <c r="F817" s="69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4"/>
      <c r="AI817" s="14"/>
      <c r="AJ817" s="14"/>
      <c r="AK817" s="14"/>
      <c r="AL817" s="14"/>
      <c r="AM817" s="14"/>
    </row>
    <row r="818" ht="14.25" customHeight="1">
      <c r="A818" s="1"/>
      <c r="B818" s="1"/>
      <c r="C818" s="1"/>
      <c r="D818" s="1"/>
      <c r="E818" s="1"/>
      <c r="F818" s="69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4"/>
      <c r="AI818" s="14"/>
      <c r="AJ818" s="14"/>
      <c r="AK818" s="14"/>
      <c r="AL818" s="14"/>
      <c r="AM818" s="14"/>
    </row>
    <row r="819" ht="14.25" customHeight="1">
      <c r="A819" s="1"/>
      <c r="B819" s="1"/>
      <c r="C819" s="1"/>
      <c r="D819" s="1"/>
      <c r="E819" s="1"/>
      <c r="F819" s="69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4"/>
      <c r="AI819" s="14"/>
      <c r="AJ819" s="14"/>
      <c r="AK819" s="14"/>
      <c r="AL819" s="14"/>
      <c r="AM819" s="14"/>
    </row>
    <row r="820" ht="14.25" customHeight="1">
      <c r="A820" s="1"/>
      <c r="B820" s="1"/>
      <c r="C820" s="1"/>
      <c r="D820" s="1"/>
      <c r="E820" s="1"/>
      <c r="F820" s="69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4"/>
      <c r="AI820" s="14"/>
      <c r="AJ820" s="14"/>
      <c r="AK820" s="14"/>
      <c r="AL820" s="14"/>
      <c r="AM820" s="14"/>
    </row>
    <row r="821" ht="14.25" customHeight="1">
      <c r="A821" s="1"/>
      <c r="B821" s="1"/>
      <c r="C821" s="1"/>
      <c r="D821" s="1"/>
      <c r="E821" s="1"/>
      <c r="F821" s="69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4"/>
      <c r="AI821" s="14"/>
      <c r="AJ821" s="14"/>
      <c r="AK821" s="14"/>
      <c r="AL821" s="14"/>
      <c r="AM821" s="14"/>
    </row>
    <row r="822" ht="14.25" customHeight="1">
      <c r="A822" s="1"/>
      <c r="B822" s="1"/>
      <c r="C822" s="1"/>
      <c r="D822" s="1"/>
      <c r="E822" s="1"/>
      <c r="F822" s="69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4"/>
      <c r="AI822" s="14"/>
      <c r="AJ822" s="14"/>
      <c r="AK822" s="14"/>
      <c r="AL822" s="14"/>
      <c r="AM822" s="14"/>
    </row>
    <row r="823" ht="14.25" customHeight="1">
      <c r="A823" s="1"/>
      <c r="B823" s="1"/>
      <c r="C823" s="1"/>
      <c r="D823" s="1"/>
      <c r="E823" s="1"/>
      <c r="F823" s="69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4"/>
      <c r="AI823" s="14"/>
      <c r="AJ823" s="14"/>
      <c r="AK823" s="14"/>
      <c r="AL823" s="14"/>
      <c r="AM823" s="14"/>
    </row>
    <row r="824" ht="14.25" customHeight="1">
      <c r="A824" s="1"/>
      <c r="B824" s="1"/>
      <c r="C824" s="1"/>
      <c r="D824" s="1"/>
      <c r="E824" s="1"/>
      <c r="F824" s="69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4"/>
      <c r="AI824" s="14"/>
      <c r="AJ824" s="14"/>
      <c r="AK824" s="14"/>
      <c r="AL824" s="14"/>
      <c r="AM824" s="14"/>
    </row>
    <row r="825" ht="14.25" customHeight="1">
      <c r="A825" s="1"/>
      <c r="B825" s="1"/>
      <c r="C825" s="1"/>
      <c r="D825" s="1"/>
      <c r="E825" s="1"/>
      <c r="F825" s="69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4"/>
      <c r="AI825" s="14"/>
      <c r="AJ825" s="14"/>
      <c r="AK825" s="14"/>
      <c r="AL825" s="14"/>
      <c r="AM825" s="14"/>
    </row>
    <row r="826" ht="14.25" customHeight="1">
      <c r="A826" s="1"/>
      <c r="B826" s="1"/>
      <c r="C826" s="1"/>
      <c r="D826" s="1"/>
      <c r="E826" s="1"/>
      <c r="F826" s="69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4"/>
      <c r="AI826" s="14"/>
      <c r="AJ826" s="14"/>
      <c r="AK826" s="14"/>
      <c r="AL826" s="14"/>
      <c r="AM826" s="14"/>
    </row>
    <row r="827" ht="14.25" customHeight="1">
      <c r="A827" s="1"/>
      <c r="B827" s="1"/>
      <c r="C827" s="1"/>
      <c r="D827" s="1"/>
      <c r="E827" s="1"/>
      <c r="F827" s="69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4"/>
      <c r="AI827" s="14"/>
      <c r="AJ827" s="14"/>
      <c r="AK827" s="14"/>
      <c r="AL827" s="14"/>
      <c r="AM827" s="14"/>
    </row>
    <row r="828" ht="14.25" customHeight="1">
      <c r="A828" s="1"/>
      <c r="B828" s="1"/>
      <c r="C828" s="1"/>
      <c r="D828" s="1"/>
      <c r="E828" s="1"/>
      <c r="F828" s="69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4"/>
      <c r="AI828" s="14"/>
      <c r="AJ828" s="14"/>
      <c r="AK828" s="14"/>
      <c r="AL828" s="14"/>
      <c r="AM828" s="14"/>
    </row>
    <row r="829" ht="14.25" customHeight="1">
      <c r="A829" s="1"/>
      <c r="B829" s="1"/>
      <c r="C829" s="1"/>
      <c r="D829" s="1"/>
      <c r="E829" s="1"/>
      <c r="F829" s="69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4"/>
      <c r="AI829" s="14"/>
      <c r="AJ829" s="14"/>
      <c r="AK829" s="14"/>
      <c r="AL829" s="14"/>
      <c r="AM829" s="14"/>
    </row>
    <row r="830" ht="14.25" customHeight="1">
      <c r="A830" s="1"/>
      <c r="B830" s="1"/>
      <c r="C830" s="1"/>
      <c r="D830" s="1"/>
      <c r="E830" s="1"/>
      <c r="F830" s="69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4"/>
      <c r="AI830" s="14"/>
      <c r="AJ830" s="14"/>
      <c r="AK830" s="14"/>
      <c r="AL830" s="14"/>
      <c r="AM830" s="14"/>
    </row>
    <row r="831" ht="14.25" customHeight="1">
      <c r="A831" s="1"/>
      <c r="B831" s="1"/>
      <c r="C831" s="1"/>
      <c r="D831" s="1"/>
      <c r="E831" s="1"/>
      <c r="F831" s="69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4"/>
      <c r="AI831" s="14"/>
      <c r="AJ831" s="14"/>
      <c r="AK831" s="14"/>
      <c r="AL831" s="14"/>
      <c r="AM831" s="14"/>
    </row>
    <row r="832" ht="14.25" customHeight="1">
      <c r="A832" s="1"/>
      <c r="B832" s="1"/>
      <c r="C832" s="1"/>
      <c r="D832" s="1"/>
      <c r="E832" s="1"/>
      <c r="F832" s="69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4"/>
      <c r="AI832" s="14"/>
      <c r="AJ832" s="14"/>
      <c r="AK832" s="14"/>
      <c r="AL832" s="14"/>
      <c r="AM832" s="14"/>
    </row>
    <row r="833" ht="14.25" customHeight="1">
      <c r="A833" s="1"/>
      <c r="B833" s="1"/>
      <c r="C833" s="1"/>
      <c r="D833" s="1"/>
      <c r="E833" s="1"/>
      <c r="F833" s="69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4"/>
      <c r="AI833" s="14"/>
      <c r="AJ833" s="14"/>
      <c r="AK833" s="14"/>
      <c r="AL833" s="14"/>
      <c r="AM833" s="14"/>
    </row>
    <row r="834" ht="14.25" customHeight="1">
      <c r="A834" s="1"/>
      <c r="B834" s="1"/>
      <c r="C834" s="1"/>
      <c r="D834" s="1"/>
      <c r="E834" s="1"/>
      <c r="F834" s="69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4"/>
      <c r="AI834" s="14"/>
      <c r="AJ834" s="14"/>
      <c r="AK834" s="14"/>
      <c r="AL834" s="14"/>
      <c r="AM834" s="14"/>
    </row>
    <row r="835" ht="14.25" customHeight="1">
      <c r="A835" s="1"/>
      <c r="B835" s="1"/>
      <c r="C835" s="1"/>
      <c r="D835" s="1"/>
      <c r="E835" s="1"/>
      <c r="F835" s="69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4"/>
      <c r="AI835" s="14"/>
      <c r="AJ835" s="14"/>
      <c r="AK835" s="14"/>
      <c r="AL835" s="14"/>
      <c r="AM835" s="14"/>
    </row>
    <row r="836" ht="14.25" customHeight="1">
      <c r="A836" s="1"/>
      <c r="B836" s="1"/>
      <c r="C836" s="1"/>
      <c r="D836" s="1"/>
      <c r="E836" s="1"/>
      <c r="F836" s="69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4"/>
      <c r="AI836" s="14"/>
      <c r="AJ836" s="14"/>
      <c r="AK836" s="14"/>
      <c r="AL836" s="14"/>
      <c r="AM836" s="14"/>
    </row>
    <row r="837" ht="14.25" customHeight="1">
      <c r="A837" s="1"/>
      <c r="B837" s="1"/>
      <c r="C837" s="1"/>
      <c r="D837" s="1"/>
      <c r="E837" s="1"/>
      <c r="F837" s="69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4"/>
      <c r="AI837" s="14"/>
      <c r="AJ837" s="14"/>
      <c r="AK837" s="14"/>
      <c r="AL837" s="14"/>
      <c r="AM837" s="14"/>
    </row>
    <row r="838" ht="14.25" customHeight="1">
      <c r="A838" s="1"/>
      <c r="B838" s="1"/>
      <c r="C838" s="1"/>
      <c r="D838" s="1"/>
      <c r="E838" s="1"/>
      <c r="F838" s="69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4"/>
      <c r="AI838" s="14"/>
      <c r="AJ838" s="14"/>
      <c r="AK838" s="14"/>
      <c r="AL838" s="14"/>
      <c r="AM838" s="14"/>
    </row>
    <row r="839" ht="14.25" customHeight="1">
      <c r="A839" s="1"/>
      <c r="B839" s="1"/>
      <c r="C839" s="1"/>
      <c r="D839" s="1"/>
      <c r="E839" s="1"/>
      <c r="F839" s="69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4"/>
      <c r="AI839" s="14"/>
      <c r="AJ839" s="14"/>
      <c r="AK839" s="14"/>
      <c r="AL839" s="14"/>
      <c r="AM839" s="14"/>
    </row>
    <row r="840" ht="14.25" customHeight="1">
      <c r="A840" s="1"/>
      <c r="B840" s="1"/>
      <c r="C840" s="1"/>
      <c r="D840" s="1"/>
      <c r="E840" s="1"/>
      <c r="F840" s="69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4"/>
      <c r="AI840" s="14"/>
      <c r="AJ840" s="14"/>
      <c r="AK840" s="14"/>
      <c r="AL840" s="14"/>
      <c r="AM840" s="14"/>
    </row>
    <row r="841" ht="14.25" customHeight="1">
      <c r="A841" s="1"/>
      <c r="B841" s="1"/>
      <c r="C841" s="1"/>
      <c r="D841" s="1"/>
      <c r="E841" s="1"/>
      <c r="F841" s="69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4"/>
      <c r="AI841" s="14"/>
      <c r="AJ841" s="14"/>
      <c r="AK841" s="14"/>
      <c r="AL841" s="14"/>
      <c r="AM841" s="14"/>
    </row>
    <row r="842" ht="14.25" customHeight="1">
      <c r="A842" s="1"/>
      <c r="B842" s="1"/>
      <c r="C842" s="1"/>
      <c r="D842" s="1"/>
      <c r="E842" s="1"/>
      <c r="F842" s="69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4"/>
      <c r="AI842" s="14"/>
      <c r="AJ842" s="14"/>
      <c r="AK842" s="14"/>
      <c r="AL842" s="14"/>
      <c r="AM842" s="14"/>
    </row>
    <row r="843" ht="14.25" customHeight="1">
      <c r="A843" s="1"/>
      <c r="B843" s="1"/>
      <c r="C843" s="1"/>
      <c r="D843" s="1"/>
      <c r="E843" s="1"/>
      <c r="F843" s="69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4"/>
      <c r="AI843" s="14"/>
      <c r="AJ843" s="14"/>
      <c r="AK843" s="14"/>
      <c r="AL843" s="14"/>
      <c r="AM843" s="14"/>
    </row>
    <row r="844" ht="14.25" customHeight="1">
      <c r="A844" s="1"/>
      <c r="B844" s="1"/>
      <c r="C844" s="1"/>
      <c r="D844" s="1"/>
      <c r="E844" s="1"/>
      <c r="F844" s="69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4"/>
      <c r="AI844" s="14"/>
      <c r="AJ844" s="14"/>
      <c r="AK844" s="14"/>
      <c r="AL844" s="14"/>
      <c r="AM844" s="14"/>
    </row>
    <row r="845" ht="14.25" customHeight="1">
      <c r="A845" s="1"/>
      <c r="B845" s="1"/>
      <c r="C845" s="1"/>
      <c r="D845" s="1"/>
      <c r="E845" s="1"/>
      <c r="F845" s="69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4"/>
      <c r="AI845" s="14"/>
      <c r="AJ845" s="14"/>
      <c r="AK845" s="14"/>
      <c r="AL845" s="14"/>
      <c r="AM845" s="14"/>
    </row>
    <row r="846" ht="14.25" customHeight="1">
      <c r="A846" s="1"/>
      <c r="B846" s="1"/>
      <c r="C846" s="1"/>
      <c r="D846" s="1"/>
      <c r="E846" s="1"/>
      <c r="F846" s="69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4"/>
      <c r="AI846" s="14"/>
      <c r="AJ846" s="14"/>
      <c r="AK846" s="14"/>
      <c r="AL846" s="14"/>
      <c r="AM846" s="14"/>
    </row>
    <row r="847" ht="14.25" customHeight="1">
      <c r="A847" s="1"/>
      <c r="B847" s="1"/>
      <c r="C847" s="1"/>
      <c r="D847" s="1"/>
      <c r="E847" s="1"/>
      <c r="F847" s="69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4"/>
      <c r="AI847" s="14"/>
      <c r="AJ847" s="14"/>
      <c r="AK847" s="14"/>
      <c r="AL847" s="14"/>
      <c r="AM847" s="14"/>
    </row>
    <row r="848" ht="14.25" customHeight="1">
      <c r="A848" s="1"/>
      <c r="B848" s="1"/>
      <c r="C848" s="1"/>
      <c r="D848" s="1"/>
      <c r="E848" s="1"/>
      <c r="F848" s="69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4"/>
      <c r="AI848" s="14"/>
      <c r="AJ848" s="14"/>
      <c r="AK848" s="14"/>
      <c r="AL848" s="14"/>
      <c r="AM848" s="14"/>
    </row>
    <row r="849" ht="14.25" customHeight="1">
      <c r="A849" s="1"/>
      <c r="B849" s="1"/>
      <c r="C849" s="1"/>
      <c r="D849" s="1"/>
      <c r="E849" s="1"/>
      <c r="F849" s="69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4"/>
      <c r="AI849" s="14"/>
      <c r="AJ849" s="14"/>
      <c r="AK849" s="14"/>
      <c r="AL849" s="14"/>
      <c r="AM849" s="14"/>
    </row>
    <row r="850" ht="14.25" customHeight="1">
      <c r="A850" s="1"/>
      <c r="B850" s="1"/>
      <c r="C850" s="1"/>
      <c r="D850" s="1"/>
      <c r="E850" s="1"/>
      <c r="F850" s="69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4"/>
      <c r="AI850" s="14"/>
      <c r="AJ850" s="14"/>
      <c r="AK850" s="14"/>
      <c r="AL850" s="14"/>
      <c r="AM850" s="14"/>
    </row>
    <row r="851" ht="14.25" customHeight="1">
      <c r="A851" s="1"/>
      <c r="B851" s="1"/>
      <c r="C851" s="1"/>
      <c r="D851" s="1"/>
      <c r="E851" s="1"/>
      <c r="F851" s="69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4"/>
      <c r="AI851" s="14"/>
      <c r="AJ851" s="14"/>
      <c r="AK851" s="14"/>
      <c r="AL851" s="14"/>
      <c r="AM851" s="14"/>
    </row>
    <row r="852" ht="14.25" customHeight="1">
      <c r="A852" s="1"/>
      <c r="B852" s="1"/>
      <c r="C852" s="1"/>
      <c r="D852" s="1"/>
      <c r="E852" s="1"/>
      <c r="F852" s="69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4"/>
      <c r="AI852" s="14"/>
      <c r="AJ852" s="14"/>
      <c r="AK852" s="14"/>
      <c r="AL852" s="14"/>
      <c r="AM852" s="14"/>
    </row>
    <row r="853" ht="14.25" customHeight="1">
      <c r="A853" s="1"/>
      <c r="B853" s="1"/>
      <c r="C853" s="1"/>
      <c r="D853" s="1"/>
      <c r="E853" s="1"/>
      <c r="F853" s="69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4"/>
      <c r="AI853" s="14"/>
      <c r="AJ853" s="14"/>
      <c r="AK853" s="14"/>
      <c r="AL853" s="14"/>
      <c r="AM853" s="14"/>
    </row>
    <row r="854" ht="14.25" customHeight="1">
      <c r="A854" s="1"/>
      <c r="B854" s="1"/>
      <c r="C854" s="1"/>
      <c r="D854" s="1"/>
      <c r="E854" s="1"/>
      <c r="F854" s="69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4"/>
      <c r="AI854" s="14"/>
      <c r="AJ854" s="14"/>
      <c r="AK854" s="14"/>
      <c r="AL854" s="14"/>
      <c r="AM854" s="14"/>
    </row>
    <row r="855" ht="14.25" customHeight="1">
      <c r="A855" s="1"/>
      <c r="B855" s="1"/>
      <c r="C855" s="1"/>
      <c r="D855" s="1"/>
      <c r="E855" s="1"/>
      <c r="F855" s="69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4"/>
      <c r="AI855" s="14"/>
      <c r="AJ855" s="14"/>
      <c r="AK855" s="14"/>
      <c r="AL855" s="14"/>
      <c r="AM855" s="14"/>
    </row>
    <row r="856" ht="14.25" customHeight="1">
      <c r="A856" s="1"/>
      <c r="B856" s="1"/>
      <c r="C856" s="1"/>
      <c r="D856" s="1"/>
      <c r="E856" s="1"/>
      <c r="F856" s="69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4"/>
      <c r="AI856" s="14"/>
      <c r="AJ856" s="14"/>
      <c r="AK856" s="14"/>
      <c r="AL856" s="14"/>
      <c r="AM856" s="14"/>
    </row>
    <row r="857" ht="14.25" customHeight="1">
      <c r="A857" s="1"/>
      <c r="B857" s="1"/>
      <c r="C857" s="1"/>
      <c r="D857" s="1"/>
      <c r="E857" s="1"/>
      <c r="F857" s="69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4"/>
      <c r="AI857" s="14"/>
      <c r="AJ857" s="14"/>
      <c r="AK857" s="14"/>
      <c r="AL857" s="14"/>
      <c r="AM857" s="14"/>
    </row>
    <row r="858" ht="14.25" customHeight="1">
      <c r="A858" s="1"/>
      <c r="B858" s="1"/>
      <c r="C858" s="1"/>
      <c r="D858" s="1"/>
      <c r="E858" s="1"/>
      <c r="F858" s="69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4"/>
      <c r="AI858" s="14"/>
      <c r="AJ858" s="14"/>
      <c r="AK858" s="14"/>
      <c r="AL858" s="14"/>
      <c r="AM858" s="14"/>
    </row>
    <row r="859" ht="14.25" customHeight="1">
      <c r="A859" s="1"/>
      <c r="B859" s="1"/>
      <c r="C859" s="1"/>
      <c r="D859" s="1"/>
      <c r="E859" s="1"/>
      <c r="F859" s="69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4"/>
      <c r="AI859" s="14"/>
      <c r="AJ859" s="14"/>
      <c r="AK859" s="14"/>
      <c r="AL859" s="14"/>
      <c r="AM859" s="14"/>
    </row>
    <row r="860" ht="14.25" customHeight="1">
      <c r="A860" s="1"/>
      <c r="B860" s="1"/>
      <c r="C860" s="1"/>
      <c r="D860" s="1"/>
      <c r="E860" s="1"/>
      <c r="F860" s="69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4"/>
      <c r="AI860" s="14"/>
      <c r="AJ860" s="14"/>
      <c r="AK860" s="14"/>
      <c r="AL860" s="14"/>
      <c r="AM860" s="14"/>
    </row>
    <row r="861" ht="14.25" customHeight="1">
      <c r="A861" s="1"/>
      <c r="B861" s="1"/>
      <c r="C861" s="1"/>
      <c r="D861" s="1"/>
      <c r="E861" s="1"/>
      <c r="F861" s="69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4"/>
      <c r="AI861" s="14"/>
      <c r="AJ861" s="14"/>
      <c r="AK861" s="14"/>
      <c r="AL861" s="14"/>
      <c r="AM861" s="14"/>
    </row>
    <row r="862" ht="14.25" customHeight="1">
      <c r="A862" s="1"/>
      <c r="B862" s="1"/>
      <c r="C862" s="1"/>
      <c r="D862" s="1"/>
      <c r="E862" s="1"/>
      <c r="F862" s="69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4"/>
      <c r="AI862" s="14"/>
      <c r="AJ862" s="14"/>
      <c r="AK862" s="14"/>
      <c r="AL862" s="14"/>
      <c r="AM862" s="14"/>
    </row>
    <row r="863" ht="14.25" customHeight="1">
      <c r="A863" s="1"/>
      <c r="B863" s="1"/>
      <c r="C863" s="1"/>
      <c r="D863" s="1"/>
      <c r="E863" s="1"/>
      <c r="F863" s="69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4"/>
      <c r="AI863" s="14"/>
      <c r="AJ863" s="14"/>
      <c r="AK863" s="14"/>
      <c r="AL863" s="14"/>
      <c r="AM863" s="14"/>
    </row>
    <row r="864" ht="14.25" customHeight="1">
      <c r="A864" s="1"/>
      <c r="B864" s="1"/>
      <c r="C864" s="1"/>
      <c r="D864" s="1"/>
      <c r="E864" s="1"/>
      <c r="F864" s="69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4"/>
      <c r="AI864" s="14"/>
      <c r="AJ864" s="14"/>
      <c r="AK864" s="14"/>
      <c r="AL864" s="14"/>
      <c r="AM864" s="14"/>
    </row>
    <row r="865" ht="14.25" customHeight="1">
      <c r="A865" s="1"/>
      <c r="B865" s="1"/>
      <c r="C865" s="1"/>
      <c r="D865" s="1"/>
      <c r="E865" s="1"/>
      <c r="F865" s="69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4"/>
      <c r="AI865" s="14"/>
      <c r="AJ865" s="14"/>
      <c r="AK865" s="14"/>
      <c r="AL865" s="14"/>
      <c r="AM865" s="14"/>
    </row>
    <row r="866" ht="14.25" customHeight="1">
      <c r="A866" s="1"/>
      <c r="B866" s="1"/>
      <c r="C866" s="1"/>
      <c r="D866" s="1"/>
      <c r="E866" s="1"/>
      <c r="F866" s="69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4"/>
      <c r="AI866" s="14"/>
      <c r="AJ866" s="14"/>
      <c r="AK866" s="14"/>
      <c r="AL866" s="14"/>
      <c r="AM866" s="14"/>
    </row>
    <row r="867" ht="14.25" customHeight="1">
      <c r="A867" s="1"/>
      <c r="B867" s="1"/>
      <c r="C867" s="1"/>
      <c r="D867" s="1"/>
      <c r="E867" s="1"/>
      <c r="F867" s="69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4"/>
      <c r="AI867" s="14"/>
      <c r="AJ867" s="14"/>
      <c r="AK867" s="14"/>
      <c r="AL867" s="14"/>
      <c r="AM867" s="14"/>
    </row>
    <row r="868" ht="14.25" customHeight="1">
      <c r="A868" s="1"/>
      <c r="B868" s="1"/>
      <c r="C868" s="1"/>
      <c r="D868" s="1"/>
      <c r="E868" s="1"/>
      <c r="F868" s="69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4"/>
      <c r="AI868" s="14"/>
      <c r="AJ868" s="14"/>
      <c r="AK868" s="14"/>
      <c r="AL868" s="14"/>
      <c r="AM868" s="14"/>
    </row>
    <row r="869" ht="14.25" customHeight="1">
      <c r="A869" s="1"/>
      <c r="B869" s="1"/>
      <c r="C869" s="1"/>
      <c r="D869" s="1"/>
      <c r="E869" s="1"/>
      <c r="F869" s="69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4"/>
      <c r="AI869" s="14"/>
      <c r="AJ869" s="14"/>
      <c r="AK869" s="14"/>
      <c r="AL869" s="14"/>
      <c r="AM869" s="14"/>
    </row>
    <row r="870" ht="14.25" customHeight="1">
      <c r="A870" s="1"/>
      <c r="B870" s="1"/>
      <c r="C870" s="1"/>
      <c r="D870" s="1"/>
      <c r="E870" s="1"/>
      <c r="F870" s="69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4"/>
      <c r="AI870" s="14"/>
      <c r="AJ870" s="14"/>
      <c r="AK870" s="14"/>
      <c r="AL870" s="14"/>
      <c r="AM870" s="14"/>
    </row>
    <row r="871" ht="14.25" customHeight="1">
      <c r="A871" s="1"/>
      <c r="B871" s="1"/>
      <c r="C871" s="1"/>
      <c r="D871" s="1"/>
      <c r="E871" s="1"/>
      <c r="F871" s="69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4"/>
      <c r="AI871" s="14"/>
      <c r="AJ871" s="14"/>
      <c r="AK871" s="14"/>
      <c r="AL871" s="14"/>
      <c r="AM871" s="14"/>
    </row>
    <row r="872" ht="14.25" customHeight="1">
      <c r="A872" s="1"/>
      <c r="B872" s="1"/>
      <c r="C872" s="1"/>
      <c r="D872" s="1"/>
      <c r="E872" s="1"/>
      <c r="F872" s="69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4"/>
      <c r="AI872" s="14"/>
      <c r="AJ872" s="14"/>
      <c r="AK872" s="14"/>
      <c r="AL872" s="14"/>
      <c r="AM872" s="14"/>
    </row>
    <row r="873" ht="14.25" customHeight="1">
      <c r="A873" s="1"/>
      <c r="B873" s="1"/>
      <c r="C873" s="1"/>
      <c r="D873" s="1"/>
      <c r="E873" s="1"/>
      <c r="F873" s="69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4"/>
      <c r="AI873" s="14"/>
      <c r="AJ873" s="14"/>
      <c r="AK873" s="14"/>
      <c r="AL873" s="14"/>
      <c r="AM873" s="14"/>
    </row>
    <row r="874" ht="14.25" customHeight="1">
      <c r="A874" s="1"/>
      <c r="B874" s="1"/>
      <c r="C874" s="1"/>
      <c r="D874" s="1"/>
      <c r="E874" s="1"/>
      <c r="F874" s="69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4"/>
      <c r="AI874" s="14"/>
      <c r="AJ874" s="14"/>
      <c r="AK874" s="14"/>
      <c r="AL874" s="14"/>
      <c r="AM874" s="14"/>
    </row>
    <row r="875" ht="14.25" customHeight="1">
      <c r="A875" s="1"/>
      <c r="B875" s="1"/>
      <c r="C875" s="1"/>
      <c r="D875" s="1"/>
      <c r="E875" s="1"/>
      <c r="F875" s="69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4"/>
      <c r="AI875" s="14"/>
      <c r="AJ875" s="14"/>
      <c r="AK875" s="14"/>
      <c r="AL875" s="14"/>
      <c r="AM875" s="14"/>
    </row>
    <row r="876" ht="14.25" customHeight="1">
      <c r="A876" s="1"/>
      <c r="B876" s="1"/>
      <c r="C876" s="1"/>
      <c r="D876" s="1"/>
      <c r="E876" s="1"/>
      <c r="F876" s="69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4"/>
      <c r="AI876" s="14"/>
      <c r="AJ876" s="14"/>
      <c r="AK876" s="14"/>
      <c r="AL876" s="14"/>
      <c r="AM876" s="14"/>
    </row>
    <row r="877" ht="14.25" customHeight="1">
      <c r="A877" s="1"/>
      <c r="B877" s="1"/>
      <c r="C877" s="1"/>
      <c r="D877" s="1"/>
      <c r="E877" s="1"/>
      <c r="F877" s="69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4"/>
      <c r="AI877" s="14"/>
      <c r="AJ877" s="14"/>
      <c r="AK877" s="14"/>
      <c r="AL877" s="14"/>
      <c r="AM877" s="14"/>
    </row>
    <row r="878" ht="14.25" customHeight="1">
      <c r="A878" s="1"/>
      <c r="B878" s="1"/>
      <c r="C878" s="1"/>
      <c r="D878" s="1"/>
      <c r="E878" s="1"/>
      <c r="F878" s="69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4"/>
      <c r="AI878" s="14"/>
      <c r="AJ878" s="14"/>
      <c r="AK878" s="14"/>
      <c r="AL878" s="14"/>
      <c r="AM878" s="14"/>
    </row>
    <row r="879" ht="14.25" customHeight="1">
      <c r="A879" s="1"/>
      <c r="B879" s="1"/>
      <c r="C879" s="1"/>
      <c r="D879" s="1"/>
      <c r="E879" s="1"/>
      <c r="F879" s="69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4"/>
      <c r="AI879" s="14"/>
      <c r="AJ879" s="14"/>
      <c r="AK879" s="14"/>
      <c r="AL879" s="14"/>
      <c r="AM879" s="14"/>
    </row>
    <row r="880" ht="14.25" customHeight="1">
      <c r="A880" s="1"/>
      <c r="B880" s="1"/>
      <c r="C880" s="1"/>
      <c r="D880" s="1"/>
      <c r="E880" s="1"/>
      <c r="F880" s="69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4"/>
      <c r="AI880" s="14"/>
      <c r="AJ880" s="14"/>
      <c r="AK880" s="14"/>
      <c r="AL880" s="14"/>
      <c r="AM880" s="14"/>
    </row>
    <row r="881" ht="14.25" customHeight="1">
      <c r="A881" s="1"/>
      <c r="B881" s="1"/>
      <c r="C881" s="1"/>
      <c r="D881" s="1"/>
      <c r="E881" s="1"/>
      <c r="F881" s="69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4"/>
      <c r="AI881" s="14"/>
      <c r="AJ881" s="14"/>
      <c r="AK881" s="14"/>
      <c r="AL881" s="14"/>
      <c r="AM881" s="14"/>
    </row>
    <row r="882" ht="14.25" customHeight="1">
      <c r="A882" s="1"/>
      <c r="B882" s="1"/>
      <c r="C882" s="1"/>
      <c r="D882" s="1"/>
      <c r="E882" s="1"/>
      <c r="F882" s="69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4"/>
      <c r="AI882" s="14"/>
      <c r="AJ882" s="14"/>
      <c r="AK882" s="14"/>
      <c r="AL882" s="14"/>
      <c r="AM882" s="14"/>
    </row>
    <row r="883" ht="14.25" customHeight="1">
      <c r="A883" s="1"/>
      <c r="B883" s="1"/>
      <c r="C883" s="1"/>
      <c r="D883" s="1"/>
      <c r="E883" s="1"/>
      <c r="F883" s="69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4"/>
      <c r="AI883" s="14"/>
      <c r="AJ883" s="14"/>
      <c r="AK883" s="14"/>
      <c r="AL883" s="14"/>
      <c r="AM883" s="14"/>
    </row>
    <row r="884" ht="14.25" customHeight="1">
      <c r="A884" s="1"/>
      <c r="B884" s="1"/>
      <c r="C884" s="1"/>
      <c r="D884" s="1"/>
      <c r="E884" s="1"/>
      <c r="F884" s="69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4"/>
      <c r="AI884" s="14"/>
      <c r="AJ884" s="14"/>
      <c r="AK884" s="14"/>
      <c r="AL884" s="14"/>
      <c r="AM884" s="14"/>
    </row>
    <row r="885" ht="14.25" customHeight="1">
      <c r="A885" s="1"/>
      <c r="B885" s="1"/>
      <c r="C885" s="1"/>
      <c r="D885" s="1"/>
      <c r="E885" s="1"/>
      <c r="F885" s="69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4"/>
      <c r="AI885" s="14"/>
      <c r="AJ885" s="14"/>
      <c r="AK885" s="14"/>
      <c r="AL885" s="14"/>
      <c r="AM885" s="14"/>
    </row>
    <row r="886" ht="14.25" customHeight="1">
      <c r="A886" s="1"/>
      <c r="B886" s="1"/>
      <c r="C886" s="1"/>
      <c r="D886" s="1"/>
      <c r="E886" s="1"/>
      <c r="F886" s="69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4"/>
      <c r="AI886" s="14"/>
      <c r="AJ886" s="14"/>
      <c r="AK886" s="14"/>
      <c r="AL886" s="14"/>
      <c r="AM886" s="14"/>
    </row>
    <row r="887" ht="14.25" customHeight="1">
      <c r="A887" s="1"/>
      <c r="B887" s="1"/>
      <c r="C887" s="1"/>
      <c r="D887" s="1"/>
      <c r="E887" s="1"/>
      <c r="F887" s="69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4"/>
      <c r="AI887" s="14"/>
      <c r="AJ887" s="14"/>
      <c r="AK887" s="14"/>
      <c r="AL887" s="14"/>
      <c r="AM887" s="14"/>
    </row>
    <row r="888" ht="14.25" customHeight="1">
      <c r="A888" s="1"/>
      <c r="B888" s="1"/>
      <c r="C888" s="1"/>
      <c r="D888" s="1"/>
      <c r="E888" s="1"/>
      <c r="F888" s="69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4"/>
      <c r="AI888" s="14"/>
      <c r="AJ888" s="14"/>
      <c r="AK888" s="14"/>
      <c r="AL888" s="14"/>
      <c r="AM888" s="14"/>
    </row>
    <row r="889" ht="14.25" customHeight="1">
      <c r="A889" s="1"/>
      <c r="B889" s="1"/>
      <c r="C889" s="1"/>
      <c r="D889" s="1"/>
      <c r="E889" s="1"/>
      <c r="F889" s="69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4"/>
      <c r="AI889" s="14"/>
      <c r="AJ889" s="14"/>
      <c r="AK889" s="14"/>
      <c r="AL889" s="14"/>
      <c r="AM889" s="14"/>
    </row>
    <row r="890" ht="14.25" customHeight="1">
      <c r="A890" s="1"/>
      <c r="B890" s="1"/>
      <c r="C890" s="1"/>
      <c r="D890" s="1"/>
      <c r="E890" s="1"/>
      <c r="F890" s="69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4"/>
      <c r="AI890" s="14"/>
      <c r="AJ890" s="14"/>
      <c r="AK890" s="14"/>
      <c r="AL890" s="14"/>
      <c r="AM890" s="14"/>
    </row>
    <row r="891" ht="14.25" customHeight="1">
      <c r="A891" s="1"/>
      <c r="B891" s="1"/>
      <c r="C891" s="1"/>
      <c r="D891" s="1"/>
      <c r="E891" s="1"/>
      <c r="F891" s="69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4"/>
      <c r="AI891" s="14"/>
      <c r="AJ891" s="14"/>
      <c r="AK891" s="14"/>
      <c r="AL891" s="14"/>
      <c r="AM891" s="14"/>
    </row>
    <row r="892" ht="14.25" customHeight="1">
      <c r="A892" s="1"/>
      <c r="B892" s="1"/>
      <c r="C892" s="1"/>
      <c r="D892" s="1"/>
      <c r="E892" s="1"/>
      <c r="F892" s="69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4"/>
      <c r="AI892" s="14"/>
      <c r="AJ892" s="14"/>
      <c r="AK892" s="14"/>
      <c r="AL892" s="14"/>
      <c r="AM892" s="14"/>
    </row>
    <row r="893" ht="14.25" customHeight="1">
      <c r="A893" s="1"/>
      <c r="B893" s="1"/>
      <c r="C893" s="1"/>
      <c r="D893" s="1"/>
      <c r="E893" s="1"/>
      <c r="F893" s="69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4"/>
      <c r="AI893" s="14"/>
      <c r="AJ893" s="14"/>
      <c r="AK893" s="14"/>
      <c r="AL893" s="14"/>
      <c r="AM893" s="14"/>
    </row>
    <row r="894" ht="14.25" customHeight="1">
      <c r="A894" s="1"/>
      <c r="B894" s="1"/>
      <c r="C894" s="1"/>
      <c r="D894" s="1"/>
      <c r="E894" s="1"/>
      <c r="F894" s="69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4"/>
      <c r="AI894" s="14"/>
      <c r="AJ894" s="14"/>
      <c r="AK894" s="14"/>
      <c r="AL894" s="14"/>
      <c r="AM894" s="14"/>
    </row>
    <row r="895" ht="14.25" customHeight="1">
      <c r="A895" s="1"/>
      <c r="B895" s="1"/>
      <c r="C895" s="1"/>
      <c r="D895" s="1"/>
      <c r="E895" s="1"/>
      <c r="F895" s="69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4"/>
      <c r="AI895" s="14"/>
      <c r="AJ895" s="14"/>
      <c r="AK895" s="14"/>
      <c r="AL895" s="14"/>
      <c r="AM895" s="14"/>
    </row>
    <row r="896" ht="14.25" customHeight="1">
      <c r="A896" s="1"/>
      <c r="B896" s="1"/>
      <c r="C896" s="1"/>
      <c r="D896" s="1"/>
      <c r="E896" s="1"/>
      <c r="F896" s="69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4"/>
      <c r="AI896" s="14"/>
      <c r="AJ896" s="14"/>
      <c r="AK896" s="14"/>
      <c r="AL896" s="14"/>
      <c r="AM896" s="14"/>
    </row>
    <row r="897" ht="14.25" customHeight="1">
      <c r="A897" s="1"/>
      <c r="B897" s="1"/>
      <c r="C897" s="1"/>
      <c r="D897" s="1"/>
      <c r="E897" s="1"/>
      <c r="F897" s="69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4"/>
      <c r="AI897" s="14"/>
      <c r="AJ897" s="14"/>
      <c r="AK897" s="14"/>
      <c r="AL897" s="14"/>
      <c r="AM897" s="14"/>
    </row>
    <row r="898" ht="14.25" customHeight="1">
      <c r="A898" s="1"/>
      <c r="B898" s="1"/>
      <c r="C898" s="1"/>
      <c r="D898" s="1"/>
      <c r="E898" s="1"/>
      <c r="F898" s="69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4"/>
      <c r="AI898" s="14"/>
      <c r="AJ898" s="14"/>
      <c r="AK898" s="14"/>
      <c r="AL898" s="14"/>
      <c r="AM898" s="14"/>
    </row>
    <row r="899" ht="14.25" customHeight="1">
      <c r="A899" s="1"/>
      <c r="B899" s="1"/>
      <c r="C899" s="1"/>
      <c r="D899" s="1"/>
      <c r="E899" s="1"/>
      <c r="F899" s="69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4"/>
      <c r="AI899" s="14"/>
      <c r="AJ899" s="14"/>
      <c r="AK899" s="14"/>
      <c r="AL899" s="14"/>
      <c r="AM899" s="14"/>
    </row>
    <row r="900" ht="14.25" customHeight="1">
      <c r="A900" s="1"/>
      <c r="B900" s="1"/>
      <c r="C900" s="1"/>
      <c r="D900" s="1"/>
      <c r="E900" s="1"/>
      <c r="F900" s="69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4"/>
      <c r="AI900" s="14"/>
      <c r="AJ900" s="14"/>
      <c r="AK900" s="14"/>
      <c r="AL900" s="14"/>
      <c r="AM900" s="14"/>
    </row>
    <row r="901" ht="14.25" customHeight="1">
      <c r="A901" s="1"/>
      <c r="B901" s="1"/>
      <c r="C901" s="1"/>
      <c r="D901" s="1"/>
      <c r="E901" s="1"/>
      <c r="F901" s="69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4"/>
      <c r="AI901" s="14"/>
      <c r="AJ901" s="14"/>
      <c r="AK901" s="14"/>
      <c r="AL901" s="14"/>
      <c r="AM901" s="14"/>
    </row>
    <row r="902" ht="14.25" customHeight="1">
      <c r="A902" s="1"/>
      <c r="B902" s="1"/>
      <c r="C902" s="1"/>
      <c r="D902" s="1"/>
      <c r="E902" s="1"/>
      <c r="F902" s="69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4"/>
      <c r="AI902" s="14"/>
      <c r="AJ902" s="14"/>
      <c r="AK902" s="14"/>
      <c r="AL902" s="14"/>
      <c r="AM902" s="14"/>
    </row>
    <row r="903" ht="14.25" customHeight="1">
      <c r="A903" s="1"/>
      <c r="B903" s="1"/>
      <c r="C903" s="1"/>
      <c r="D903" s="1"/>
      <c r="E903" s="1"/>
      <c r="F903" s="69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4"/>
      <c r="AI903" s="14"/>
      <c r="AJ903" s="14"/>
      <c r="AK903" s="14"/>
      <c r="AL903" s="14"/>
      <c r="AM903" s="14"/>
    </row>
    <row r="904" ht="14.25" customHeight="1">
      <c r="A904" s="1"/>
      <c r="B904" s="1"/>
      <c r="C904" s="1"/>
      <c r="D904" s="1"/>
      <c r="E904" s="1"/>
      <c r="F904" s="69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4"/>
      <c r="AI904" s="14"/>
      <c r="AJ904" s="14"/>
      <c r="AK904" s="14"/>
      <c r="AL904" s="14"/>
      <c r="AM904" s="14"/>
    </row>
    <row r="905" ht="14.25" customHeight="1">
      <c r="A905" s="1"/>
      <c r="B905" s="1"/>
      <c r="C905" s="1"/>
      <c r="D905" s="1"/>
      <c r="E905" s="1"/>
      <c r="F905" s="69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4"/>
      <c r="AI905" s="14"/>
      <c r="AJ905" s="14"/>
      <c r="AK905" s="14"/>
      <c r="AL905" s="14"/>
      <c r="AM905" s="14"/>
    </row>
    <row r="906" ht="14.25" customHeight="1">
      <c r="A906" s="1"/>
      <c r="B906" s="1"/>
      <c r="C906" s="1"/>
      <c r="D906" s="1"/>
      <c r="E906" s="1"/>
      <c r="F906" s="69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4"/>
      <c r="AI906" s="14"/>
      <c r="AJ906" s="14"/>
      <c r="AK906" s="14"/>
      <c r="AL906" s="14"/>
      <c r="AM906" s="14"/>
    </row>
    <row r="907" ht="14.25" customHeight="1">
      <c r="A907" s="1"/>
      <c r="B907" s="1"/>
      <c r="C907" s="1"/>
      <c r="D907" s="1"/>
      <c r="E907" s="1"/>
      <c r="F907" s="69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4"/>
      <c r="AI907" s="14"/>
      <c r="AJ907" s="14"/>
      <c r="AK907" s="14"/>
      <c r="AL907" s="14"/>
      <c r="AM907" s="14"/>
    </row>
    <row r="908" ht="14.25" customHeight="1">
      <c r="A908" s="1"/>
      <c r="B908" s="1"/>
      <c r="C908" s="1"/>
      <c r="D908" s="1"/>
      <c r="E908" s="1"/>
      <c r="F908" s="69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4"/>
      <c r="AI908" s="14"/>
      <c r="AJ908" s="14"/>
      <c r="AK908" s="14"/>
      <c r="AL908" s="14"/>
      <c r="AM908" s="14"/>
    </row>
    <row r="909" ht="14.25" customHeight="1">
      <c r="A909" s="1"/>
      <c r="B909" s="1"/>
      <c r="C909" s="1"/>
      <c r="D909" s="1"/>
      <c r="E909" s="1"/>
      <c r="F909" s="69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4"/>
      <c r="AI909" s="14"/>
      <c r="AJ909" s="14"/>
      <c r="AK909" s="14"/>
      <c r="AL909" s="14"/>
      <c r="AM909" s="14"/>
    </row>
    <row r="910" ht="14.25" customHeight="1">
      <c r="A910" s="1"/>
      <c r="B910" s="1"/>
      <c r="C910" s="1"/>
      <c r="D910" s="1"/>
      <c r="E910" s="1"/>
      <c r="F910" s="69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4"/>
      <c r="AI910" s="14"/>
      <c r="AJ910" s="14"/>
      <c r="AK910" s="14"/>
      <c r="AL910" s="14"/>
      <c r="AM910" s="14"/>
    </row>
    <row r="911" ht="14.25" customHeight="1">
      <c r="A911" s="1"/>
      <c r="B911" s="1"/>
      <c r="C911" s="1"/>
      <c r="D911" s="1"/>
      <c r="E911" s="1"/>
      <c r="F911" s="69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4"/>
      <c r="AI911" s="14"/>
      <c r="AJ911" s="14"/>
      <c r="AK911" s="14"/>
      <c r="AL911" s="14"/>
      <c r="AM911" s="14"/>
    </row>
    <row r="912" ht="14.25" customHeight="1">
      <c r="A912" s="1"/>
      <c r="B912" s="1"/>
      <c r="C912" s="1"/>
      <c r="D912" s="1"/>
      <c r="E912" s="1"/>
      <c r="F912" s="69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4"/>
      <c r="AI912" s="14"/>
      <c r="AJ912" s="14"/>
      <c r="AK912" s="14"/>
      <c r="AL912" s="14"/>
      <c r="AM912" s="14"/>
    </row>
    <row r="913" ht="14.25" customHeight="1">
      <c r="A913" s="1"/>
      <c r="B913" s="1"/>
      <c r="C913" s="1"/>
      <c r="D913" s="1"/>
      <c r="E913" s="1"/>
      <c r="F913" s="69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4"/>
      <c r="AI913" s="14"/>
      <c r="AJ913" s="14"/>
      <c r="AK913" s="14"/>
      <c r="AL913" s="14"/>
      <c r="AM913" s="14"/>
    </row>
    <row r="914" ht="14.25" customHeight="1">
      <c r="A914" s="1"/>
      <c r="B914" s="1"/>
      <c r="C914" s="1"/>
      <c r="D914" s="1"/>
      <c r="E914" s="1"/>
      <c r="F914" s="69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4"/>
      <c r="AI914" s="14"/>
      <c r="AJ914" s="14"/>
      <c r="AK914" s="14"/>
      <c r="AL914" s="14"/>
      <c r="AM914" s="14"/>
    </row>
    <row r="915" ht="14.25" customHeight="1">
      <c r="A915" s="1"/>
      <c r="B915" s="1"/>
      <c r="C915" s="1"/>
      <c r="D915" s="1"/>
      <c r="E915" s="1"/>
      <c r="F915" s="69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4"/>
      <c r="AI915" s="14"/>
      <c r="AJ915" s="14"/>
      <c r="AK915" s="14"/>
      <c r="AL915" s="14"/>
      <c r="AM915" s="14"/>
    </row>
    <row r="916" ht="14.25" customHeight="1">
      <c r="A916" s="1"/>
      <c r="B916" s="1"/>
      <c r="C916" s="1"/>
      <c r="D916" s="1"/>
      <c r="E916" s="1"/>
      <c r="F916" s="69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4"/>
      <c r="AI916" s="14"/>
      <c r="AJ916" s="14"/>
      <c r="AK916" s="14"/>
      <c r="AL916" s="14"/>
      <c r="AM916" s="14"/>
    </row>
    <row r="917" ht="14.25" customHeight="1">
      <c r="A917" s="1"/>
      <c r="B917" s="1"/>
      <c r="C917" s="1"/>
      <c r="D917" s="1"/>
      <c r="E917" s="1"/>
      <c r="F917" s="69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4"/>
      <c r="AI917" s="14"/>
      <c r="AJ917" s="14"/>
      <c r="AK917" s="14"/>
      <c r="AL917" s="14"/>
      <c r="AM917" s="14"/>
    </row>
    <row r="918" ht="14.25" customHeight="1">
      <c r="A918" s="1"/>
      <c r="B918" s="1"/>
      <c r="C918" s="1"/>
      <c r="D918" s="1"/>
      <c r="E918" s="1"/>
      <c r="F918" s="69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4"/>
      <c r="AI918" s="14"/>
      <c r="AJ918" s="14"/>
      <c r="AK918" s="14"/>
      <c r="AL918" s="14"/>
      <c r="AM918" s="14"/>
    </row>
    <row r="919" ht="14.25" customHeight="1">
      <c r="A919" s="1"/>
      <c r="B919" s="1"/>
      <c r="C919" s="1"/>
      <c r="D919" s="1"/>
      <c r="E919" s="1"/>
      <c r="F919" s="69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4"/>
      <c r="AI919" s="14"/>
      <c r="AJ919" s="14"/>
      <c r="AK919" s="14"/>
      <c r="AL919" s="14"/>
      <c r="AM919" s="14"/>
    </row>
    <row r="920" ht="14.25" customHeight="1">
      <c r="A920" s="1"/>
      <c r="B920" s="1"/>
      <c r="C920" s="1"/>
      <c r="D920" s="1"/>
      <c r="E920" s="1"/>
      <c r="F920" s="69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4"/>
      <c r="AI920" s="14"/>
      <c r="AJ920" s="14"/>
      <c r="AK920" s="14"/>
      <c r="AL920" s="14"/>
      <c r="AM920" s="14"/>
    </row>
    <row r="921" ht="14.25" customHeight="1">
      <c r="A921" s="1"/>
      <c r="B921" s="1"/>
      <c r="C921" s="1"/>
      <c r="D921" s="1"/>
      <c r="E921" s="1"/>
      <c r="F921" s="69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4"/>
      <c r="AI921" s="14"/>
      <c r="AJ921" s="14"/>
      <c r="AK921" s="14"/>
      <c r="AL921" s="14"/>
      <c r="AM921" s="14"/>
    </row>
    <row r="922" ht="14.25" customHeight="1">
      <c r="A922" s="1"/>
      <c r="B922" s="1"/>
      <c r="C922" s="1"/>
      <c r="D922" s="1"/>
      <c r="E922" s="1"/>
      <c r="F922" s="69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4"/>
      <c r="AI922" s="14"/>
      <c r="AJ922" s="14"/>
      <c r="AK922" s="14"/>
      <c r="AL922" s="14"/>
      <c r="AM922" s="14"/>
    </row>
    <row r="923" ht="14.25" customHeight="1">
      <c r="A923" s="1"/>
      <c r="B923" s="1"/>
      <c r="C923" s="1"/>
      <c r="D923" s="1"/>
      <c r="E923" s="1"/>
      <c r="F923" s="69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4"/>
      <c r="AI923" s="14"/>
      <c r="AJ923" s="14"/>
      <c r="AK923" s="14"/>
      <c r="AL923" s="14"/>
      <c r="AM923" s="14"/>
    </row>
    <row r="924" ht="14.25" customHeight="1">
      <c r="A924" s="1"/>
      <c r="B924" s="1"/>
      <c r="C924" s="1"/>
      <c r="D924" s="1"/>
      <c r="E924" s="1"/>
      <c r="F924" s="69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4"/>
      <c r="AI924" s="14"/>
      <c r="AJ924" s="14"/>
      <c r="AK924" s="14"/>
      <c r="AL924" s="14"/>
      <c r="AM924" s="14"/>
    </row>
    <row r="925" ht="14.25" customHeight="1">
      <c r="A925" s="1"/>
      <c r="B925" s="1"/>
      <c r="C925" s="1"/>
      <c r="D925" s="1"/>
      <c r="E925" s="1"/>
      <c r="F925" s="69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4"/>
      <c r="AI925" s="14"/>
      <c r="AJ925" s="14"/>
      <c r="AK925" s="14"/>
      <c r="AL925" s="14"/>
      <c r="AM925" s="14"/>
    </row>
    <row r="926" ht="14.25" customHeight="1">
      <c r="A926" s="1"/>
      <c r="B926" s="1"/>
      <c r="C926" s="1"/>
      <c r="D926" s="1"/>
      <c r="E926" s="1"/>
      <c r="F926" s="69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4"/>
      <c r="AI926" s="14"/>
      <c r="AJ926" s="14"/>
      <c r="AK926" s="14"/>
      <c r="AL926" s="14"/>
      <c r="AM926" s="14"/>
    </row>
    <row r="927" ht="14.25" customHeight="1">
      <c r="A927" s="1"/>
      <c r="B927" s="1"/>
      <c r="C927" s="1"/>
      <c r="D927" s="1"/>
      <c r="E927" s="1"/>
      <c r="F927" s="69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4"/>
      <c r="AI927" s="14"/>
      <c r="AJ927" s="14"/>
      <c r="AK927" s="14"/>
      <c r="AL927" s="14"/>
      <c r="AM927" s="14"/>
    </row>
    <row r="928" ht="14.25" customHeight="1">
      <c r="A928" s="1"/>
      <c r="B928" s="1"/>
      <c r="C928" s="1"/>
      <c r="D928" s="1"/>
      <c r="E928" s="1"/>
      <c r="F928" s="69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4"/>
      <c r="AI928" s="14"/>
      <c r="AJ928" s="14"/>
      <c r="AK928" s="14"/>
      <c r="AL928" s="14"/>
      <c r="AM928" s="14"/>
    </row>
    <row r="929" ht="14.25" customHeight="1">
      <c r="A929" s="1"/>
      <c r="B929" s="1"/>
      <c r="C929" s="1"/>
      <c r="D929" s="1"/>
      <c r="E929" s="1"/>
      <c r="F929" s="69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4"/>
      <c r="AI929" s="14"/>
      <c r="AJ929" s="14"/>
      <c r="AK929" s="14"/>
      <c r="AL929" s="14"/>
      <c r="AM929" s="14"/>
    </row>
    <row r="930" ht="14.25" customHeight="1">
      <c r="A930" s="1"/>
      <c r="B930" s="1"/>
      <c r="C930" s="1"/>
      <c r="D930" s="1"/>
      <c r="E930" s="1"/>
      <c r="F930" s="69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4"/>
      <c r="AI930" s="14"/>
      <c r="AJ930" s="14"/>
      <c r="AK930" s="14"/>
      <c r="AL930" s="14"/>
      <c r="AM930" s="14"/>
    </row>
    <row r="931" ht="14.25" customHeight="1">
      <c r="A931" s="1"/>
      <c r="B931" s="1"/>
      <c r="C931" s="1"/>
      <c r="D931" s="1"/>
      <c r="E931" s="1"/>
      <c r="F931" s="69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4"/>
      <c r="AI931" s="14"/>
      <c r="AJ931" s="14"/>
      <c r="AK931" s="14"/>
      <c r="AL931" s="14"/>
      <c r="AM931" s="14"/>
    </row>
    <row r="932" ht="14.25" customHeight="1">
      <c r="A932" s="1"/>
      <c r="B932" s="1"/>
      <c r="C932" s="1"/>
      <c r="D932" s="1"/>
      <c r="E932" s="1"/>
      <c r="F932" s="69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4"/>
      <c r="AI932" s="14"/>
      <c r="AJ932" s="14"/>
      <c r="AK932" s="14"/>
      <c r="AL932" s="14"/>
      <c r="AM932" s="14"/>
    </row>
    <row r="933" ht="14.25" customHeight="1">
      <c r="A933" s="1"/>
      <c r="B933" s="1"/>
      <c r="C933" s="1"/>
      <c r="D933" s="1"/>
      <c r="E933" s="1"/>
      <c r="F933" s="69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4"/>
      <c r="AI933" s="14"/>
      <c r="AJ933" s="14"/>
      <c r="AK933" s="14"/>
      <c r="AL933" s="14"/>
      <c r="AM933" s="14"/>
    </row>
    <row r="934" ht="14.25" customHeight="1">
      <c r="A934" s="1"/>
      <c r="B934" s="1"/>
      <c r="C934" s="1"/>
      <c r="D934" s="1"/>
      <c r="E934" s="1"/>
      <c r="F934" s="69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4"/>
      <c r="AI934" s="14"/>
      <c r="AJ934" s="14"/>
      <c r="AK934" s="14"/>
      <c r="AL934" s="14"/>
      <c r="AM934" s="14"/>
    </row>
    <row r="935" ht="14.25" customHeight="1">
      <c r="A935" s="1"/>
      <c r="B935" s="1"/>
      <c r="C935" s="1"/>
      <c r="D935" s="1"/>
      <c r="E935" s="1"/>
      <c r="F935" s="69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4"/>
      <c r="AI935" s="14"/>
      <c r="AJ935" s="14"/>
      <c r="AK935" s="14"/>
      <c r="AL935" s="14"/>
      <c r="AM935" s="14"/>
    </row>
    <row r="936" ht="14.25" customHeight="1">
      <c r="A936" s="1"/>
      <c r="B936" s="1"/>
      <c r="C936" s="1"/>
      <c r="D936" s="1"/>
      <c r="E936" s="1"/>
      <c r="F936" s="69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4"/>
      <c r="AI936" s="14"/>
      <c r="AJ936" s="14"/>
      <c r="AK936" s="14"/>
      <c r="AL936" s="14"/>
      <c r="AM936" s="14"/>
    </row>
    <row r="937" ht="14.25" customHeight="1">
      <c r="A937" s="1"/>
      <c r="B937" s="1"/>
      <c r="C937" s="1"/>
      <c r="D937" s="1"/>
      <c r="E937" s="1"/>
      <c r="F937" s="69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4"/>
      <c r="AI937" s="14"/>
      <c r="AJ937" s="14"/>
      <c r="AK937" s="14"/>
      <c r="AL937" s="14"/>
      <c r="AM937" s="14"/>
    </row>
    <row r="938" ht="14.25" customHeight="1">
      <c r="A938" s="1"/>
      <c r="B938" s="1"/>
      <c r="C938" s="1"/>
      <c r="D938" s="1"/>
      <c r="E938" s="1"/>
      <c r="F938" s="69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4"/>
      <c r="AI938" s="14"/>
      <c r="AJ938" s="14"/>
      <c r="AK938" s="14"/>
      <c r="AL938" s="14"/>
      <c r="AM938" s="14"/>
    </row>
    <row r="939" ht="14.25" customHeight="1">
      <c r="A939" s="1"/>
      <c r="B939" s="1"/>
      <c r="C939" s="1"/>
      <c r="D939" s="1"/>
      <c r="E939" s="1"/>
      <c r="F939" s="69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4"/>
      <c r="AI939" s="14"/>
      <c r="AJ939" s="14"/>
      <c r="AK939" s="14"/>
      <c r="AL939" s="14"/>
      <c r="AM939" s="14"/>
    </row>
    <row r="940" ht="14.25" customHeight="1">
      <c r="A940" s="1"/>
      <c r="B940" s="1"/>
      <c r="C940" s="1"/>
      <c r="D940" s="1"/>
      <c r="E940" s="1"/>
      <c r="F940" s="69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4"/>
      <c r="AI940" s="14"/>
      <c r="AJ940" s="14"/>
      <c r="AK940" s="14"/>
      <c r="AL940" s="14"/>
      <c r="AM940" s="14"/>
    </row>
    <row r="941" ht="14.25" customHeight="1">
      <c r="A941" s="1"/>
      <c r="B941" s="1"/>
      <c r="C941" s="1"/>
      <c r="D941" s="1"/>
      <c r="E941" s="1"/>
      <c r="F941" s="69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4"/>
      <c r="AI941" s="14"/>
      <c r="AJ941" s="14"/>
      <c r="AK941" s="14"/>
      <c r="AL941" s="14"/>
      <c r="AM941" s="14"/>
    </row>
    <row r="942" ht="14.25" customHeight="1">
      <c r="A942" s="1"/>
      <c r="B942" s="1"/>
      <c r="C942" s="1"/>
      <c r="D942" s="1"/>
      <c r="E942" s="1"/>
      <c r="F942" s="69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4"/>
      <c r="AI942" s="14"/>
      <c r="AJ942" s="14"/>
      <c r="AK942" s="14"/>
      <c r="AL942" s="14"/>
      <c r="AM942" s="14"/>
    </row>
    <row r="943" ht="14.25" customHeight="1">
      <c r="A943" s="1"/>
      <c r="B943" s="1"/>
      <c r="C943" s="1"/>
      <c r="D943" s="1"/>
      <c r="E943" s="1"/>
      <c r="F943" s="69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4"/>
      <c r="AI943" s="14"/>
      <c r="AJ943" s="14"/>
      <c r="AK943" s="14"/>
      <c r="AL943" s="14"/>
      <c r="AM943" s="14"/>
    </row>
    <row r="944" ht="14.25" customHeight="1">
      <c r="A944" s="1"/>
      <c r="B944" s="1"/>
      <c r="C944" s="1"/>
      <c r="D944" s="1"/>
      <c r="E944" s="1"/>
      <c r="F944" s="69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4"/>
      <c r="AI944" s="14"/>
      <c r="AJ944" s="14"/>
      <c r="AK944" s="14"/>
      <c r="AL944" s="14"/>
      <c r="AM944" s="14"/>
    </row>
    <row r="945" ht="14.25" customHeight="1">
      <c r="A945" s="1"/>
      <c r="B945" s="1"/>
      <c r="C945" s="1"/>
      <c r="D945" s="1"/>
      <c r="E945" s="1"/>
      <c r="F945" s="69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4"/>
      <c r="AI945" s="14"/>
      <c r="AJ945" s="14"/>
      <c r="AK945" s="14"/>
      <c r="AL945" s="14"/>
      <c r="AM945" s="14"/>
    </row>
    <row r="946" ht="14.25" customHeight="1">
      <c r="A946" s="1"/>
      <c r="B946" s="1"/>
      <c r="C946" s="1"/>
      <c r="D946" s="1"/>
      <c r="E946" s="1"/>
      <c r="F946" s="69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4"/>
      <c r="AI946" s="14"/>
      <c r="AJ946" s="14"/>
      <c r="AK946" s="14"/>
      <c r="AL946" s="14"/>
      <c r="AM946" s="14"/>
    </row>
    <row r="947" ht="14.25" customHeight="1">
      <c r="A947" s="1"/>
      <c r="B947" s="1"/>
      <c r="C947" s="1"/>
      <c r="D947" s="1"/>
      <c r="E947" s="1"/>
      <c r="F947" s="69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4"/>
      <c r="AI947" s="14"/>
      <c r="AJ947" s="14"/>
      <c r="AK947" s="14"/>
      <c r="AL947" s="14"/>
      <c r="AM947" s="14"/>
    </row>
    <row r="948" ht="14.25" customHeight="1">
      <c r="A948" s="1"/>
      <c r="B948" s="1"/>
      <c r="C948" s="1"/>
      <c r="D948" s="1"/>
      <c r="E948" s="1"/>
      <c r="F948" s="69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4"/>
      <c r="AI948" s="14"/>
      <c r="AJ948" s="14"/>
      <c r="AK948" s="14"/>
      <c r="AL948" s="14"/>
      <c r="AM948" s="14"/>
    </row>
    <row r="949" ht="14.25" customHeight="1">
      <c r="A949" s="1"/>
      <c r="B949" s="1"/>
      <c r="C949" s="1"/>
      <c r="D949" s="1"/>
      <c r="E949" s="1"/>
      <c r="F949" s="69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4"/>
      <c r="AI949" s="14"/>
      <c r="AJ949" s="14"/>
      <c r="AK949" s="14"/>
      <c r="AL949" s="14"/>
      <c r="AM949" s="14"/>
    </row>
    <row r="950" ht="14.25" customHeight="1">
      <c r="A950" s="1"/>
      <c r="B950" s="1"/>
      <c r="C950" s="1"/>
      <c r="D950" s="1"/>
      <c r="E950" s="1"/>
      <c r="F950" s="69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4"/>
      <c r="AI950" s="14"/>
      <c r="AJ950" s="14"/>
      <c r="AK950" s="14"/>
      <c r="AL950" s="14"/>
      <c r="AM950" s="14"/>
    </row>
    <row r="951" ht="14.25" customHeight="1">
      <c r="A951" s="1"/>
      <c r="B951" s="1"/>
      <c r="C951" s="1"/>
      <c r="D951" s="1"/>
      <c r="E951" s="1"/>
      <c r="F951" s="69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4"/>
      <c r="AI951" s="14"/>
      <c r="AJ951" s="14"/>
      <c r="AK951" s="14"/>
      <c r="AL951" s="14"/>
      <c r="AM951" s="14"/>
    </row>
    <row r="952" ht="14.25" customHeight="1">
      <c r="A952" s="1"/>
      <c r="B952" s="1"/>
      <c r="C952" s="1"/>
      <c r="D952" s="1"/>
      <c r="E952" s="1"/>
      <c r="F952" s="69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4"/>
      <c r="AI952" s="14"/>
      <c r="AJ952" s="14"/>
      <c r="AK952" s="14"/>
      <c r="AL952" s="14"/>
      <c r="AM952" s="14"/>
    </row>
    <row r="953" ht="14.25" customHeight="1">
      <c r="A953" s="1"/>
      <c r="B953" s="1"/>
      <c r="C953" s="1"/>
      <c r="D953" s="1"/>
      <c r="E953" s="1"/>
      <c r="F953" s="69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4"/>
      <c r="AI953" s="14"/>
      <c r="AJ953" s="14"/>
      <c r="AK953" s="14"/>
      <c r="AL953" s="14"/>
      <c r="AM953" s="14"/>
    </row>
    <row r="954" ht="14.25" customHeight="1">
      <c r="A954" s="1"/>
      <c r="B954" s="1"/>
      <c r="C954" s="1"/>
      <c r="D954" s="1"/>
      <c r="E954" s="1"/>
      <c r="F954" s="69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4"/>
      <c r="AI954" s="14"/>
      <c r="AJ954" s="14"/>
      <c r="AK954" s="14"/>
      <c r="AL954" s="14"/>
      <c r="AM954" s="14"/>
    </row>
    <row r="955" ht="14.25" customHeight="1">
      <c r="A955" s="1"/>
      <c r="B955" s="1"/>
      <c r="C955" s="1"/>
      <c r="D955" s="1"/>
      <c r="E955" s="1"/>
      <c r="F955" s="69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4"/>
      <c r="AI955" s="14"/>
      <c r="AJ955" s="14"/>
      <c r="AK955" s="14"/>
      <c r="AL955" s="14"/>
      <c r="AM955" s="14"/>
    </row>
    <row r="956" ht="14.25" customHeight="1">
      <c r="A956" s="1"/>
      <c r="B956" s="1"/>
      <c r="C956" s="1"/>
      <c r="D956" s="1"/>
      <c r="E956" s="1"/>
      <c r="F956" s="69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4"/>
      <c r="AI956" s="14"/>
      <c r="AJ956" s="14"/>
      <c r="AK956" s="14"/>
      <c r="AL956" s="14"/>
      <c r="AM956" s="14"/>
    </row>
    <row r="957" ht="14.25" customHeight="1">
      <c r="A957" s="1"/>
      <c r="B957" s="1"/>
      <c r="C957" s="1"/>
      <c r="D957" s="1"/>
      <c r="E957" s="1"/>
      <c r="F957" s="69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4"/>
      <c r="AI957" s="14"/>
      <c r="AJ957" s="14"/>
      <c r="AK957" s="14"/>
      <c r="AL957" s="14"/>
      <c r="AM957" s="14"/>
    </row>
    <row r="958" ht="14.25" customHeight="1">
      <c r="A958" s="1"/>
      <c r="B958" s="1"/>
      <c r="C958" s="1"/>
      <c r="D958" s="1"/>
      <c r="E958" s="1"/>
      <c r="F958" s="69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4"/>
      <c r="AI958" s="14"/>
      <c r="AJ958" s="14"/>
      <c r="AK958" s="14"/>
      <c r="AL958" s="14"/>
      <c r="AM958" s="14"/>
    </row>
    <row r="959" ht="14.25" customHeight="1">
      <c r="A959" s="1"/>
      <c r="B959" s="1"/>
      <c r="C959" s="1"/>
      <c r="D959" s="1"/>
      <c r="E959" s="1"/>
      <c r="F959" s="69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4"/>
      <c r="AI959" s="14"/>
      <c r="AJ959" s="14"/>
      <c r="AK959" s="14"/>
      <c r="AL959" s="14"/>
      <c r="AM959" s="14"/>
    </row>
    <row r="960" ht="14.25" customHeight="1">
      <c r="A960" s="1"/>
      <c r="B960" s="1"/>
      <c r="C960" s="1"/>
      <c r="D960" s="1"/>
      <c r="E960" s="1"/>
      <c r="F960" s="69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4"/>
      <c r="AI960" s="14"/>
      <c r="AJ960" s="14"/>
      <c r="AK960" s="14"/>
      <c r="AL960" s="14"/>
      <c r="AM960" s="14"/>
    </row>
    <row r="961" ht="14.25" customHeight="1">
      <c r="A961" s="1"/>
      <c r="B961" s="1"/>
      <c r="C961" s="1"/>
      <c r="D961" s="1"/>
      <c r="E961" s="1"/>
      <c r="F961" s="69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4"/>
      <c r="AI961" s="14"/>
      <c r="AJ961" s="14"/>
      <c r="AK961" s="14"/>
      <c r="AL961" s="14"/>
      <c r="AM961" s="14"/>
    </row>
    <row r="962" ht="14.25" customHeight="1">
      <c r="A962" s="1"/>
      <c r="B962" s="1"/>
      <c r="C962" s="1"/>
      <c r="D962" s="1"/>
      <c r="E962" s="1"/>
      <c r="F962" s="69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4"/>
      <c r="AI962" s="14"/>
      <c r="AJ962" s="14"/>
      <c r="AK962" s="14"/>
      <c r="AL962" s="14"/>
      <c r="AM962" s="14"/>
    </row>
    <row r="963" ht="14.25" customHeight="1">
      <c r="A963" s="1"/>
      <c r="B963" s="1"/>
      <c r="C963" s="1"/>
      <c r="D963" s="1"/>
      <c r="E963" s="1"/>
      <c r="F963" s="69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4"/>
      <c r="AI963" s="14"/>
      <c r="AJ963" s="14"/>
      <c r="AK963" s="14"/>
      <c r="AL963" s="14"/>
      <c r="AM963" s="14"/>
    </row>
    <row r="964" ht="14.25" customHeight="1">
      <c r="A964" s="1"/>
      <c r="B964" s="1"/>
      <c r="C964" s="1"/>
      <c r="D964" s="1"/>
      <c r="E964" s="1"/>
      <c r="F964" s="69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4"/>
      <c r="AI964" s="14"/>
      <c r="AJ964" s="14"/>
      <c r="AK964" s="14"/>
      <c r="AL964" s="14"/>
      <c r="AM964" s="14"/>
    </row>
    <row r="965" ht="14.25" customHeight="1">
      <c r="A965" s="1"/>
      <c r="B965" s="1"/>
      <c r="C965" s="1"/>
      <c r="D965" s="1"/>
      <c r="E965" s="1"/>
      <c r="F965" s="69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4"/>
      <c r="AI965" s="14"/>
      <c r="AJ965" s="14"/>
      <c r="AK965" s="14"/>
      <c r="AL965" s="14"/>
      <c r="AM965" s="14"/>
    </row>
    <row r="966" ht="14.25" customHeight="1">
      <c r="A966" s="1"/>
      <c r="B966" s="1"/>
      <c r="C966" s="1"/>
      <c r="D966" s="1"/>
      <c r="E966" s="1"/>
      <c r="F966" s="69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4"/>
      <c r="AI966" s="14"/>
      <c r="AJ966" s="14"/>
      <c r="AK966" s="14"/>
      <c r="AL966" s="14"/>
      <c r="AM966" s="14"/>
    </row>
    <row r="967" ht="14.25" customHeight="1">
      <c r="A967" s="1"/>
      <c r="B967" s="1"/>
      <c r="C967" s="1"/>
      <c r="D967" s="1"/>
      <c r="E967" s="1"/>
      <c r="F967" s="69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4"/>
      <c r="AI967" s="14"/>
      <c r="AJ967" s="14"/>
      <c r="AK967" s="14"/>
      <c r="AL967" s="14"/>
      <c r="AM967" s="14"/>
    </row>
    <row r="968" ht="14.25" customHeight="1">
      <c r="A968" s="1"/>
      <c r="B968" s="1"/>
      <c r="C968" s="1"/>
      <c r="D968" s="1"/>
      <c r="E968" s="1"/>
      <c r="F968" s="69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4"/>
      <c r="AI968" s="14"/>
      <c r="AJ968" s="14"/>
      <c r="AK968" s="14"/>
      <c r="AL968" s="14"/>
      <c r="AM968" s="14"/>
    </row>
    <row r="969" ht="14.25" customHeight="1">
      <c r="A969" s="1"/>
      <c r="B969" s="1"/>
      <c r="C969" s="1"/>
      <c r="D969" s="1"/>
      <c r="E969" s="1"/>
      <c r="F969" s="69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4"/>
      <c r="AI969" s="14"/>
      <c r="AJ969" s="14"/>
      <c r="AK969" s="14"/>
      <c r="AL969" s="14"/>
      <c r="AM969" s="14"/>
    </row>
    <row r="970" ht="14.25" customHeight="1">
      <c r="A970" s="1"/>
      <c r="B970" s="1"/>
      <c r="C970" s="1"/>
      <c r="D970" s="1"/>
      <c r="E970" s="1"/>
      <c r="F970" s="69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4"/>
      <c r="AI970" s="14"/>
      <c r="AJ970" s="14"/>
      <c r="AK970" s="14"/>
      <c r="AL970" s="14"/>
      <c r="AM970" s="14"/>
    </row>
    <row r="971" ht="14.25" customHeight="1">
      <c r="A971" s="1"/>
      <c r="B971" s="1"/>
      <c r="C971" s="1"/>
      <c r="D971" s="1"/>
      <c r="E971" s="1"/>
      <c r="F971" s="69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4"/>
      <c r="AI971" s="14"/>
      <c r="AJ971" s="14"/>
      <c r="AK971" s="14"/>
      <c r="AL971" s="14"/>
      <c r="AM971" s="14"/>
    </row>
    <row r="972" ht="14.25" customHeight="1">
      <c r="A972" s="1"/>
      <c r="B972" s="1"/>
      <c r="C972" s="1"/>
      <c r="D972" s="1"/>
      <c r="E972" s="1"/>
      <c r="F972" s="69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4"/>
      <c r="AI972" s="14"/>
      <c r="AJ972" s="14"/>
      <c r="AK972" s="14"/>
      <c r="AL972" s="14"/>
      <c r="AM972" s="14"/>
    </row>
    <row r="973" ht="14.25" customHeight="1">
      <c r="A973" s="1"/>
      <c r="B973" s="1"/>
      <c r="C973" s="1"/>
      <c r="D973" s="1"/>
      <c r="E973" s="1"/>
      <c r="F973" s="69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4"/>
      <c r="AI973" s="14"/>
      <c r="AJ973" s="14"/>
      <c r="AK973" s="14"/>
      <c r="AL973" s="14"/>
      <c r="AM973" s="14"/>
    </row>
    <row r="974" ht="14.25" customHeight="1">
      <c r="A974" s="1"/>
      <c r="B974" s="1"/>
      <c r="C974" s="1"/>
      <c r="D974" s="1"/>
      <c r="E974" s="1"/>
      <c r="F974" s="69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4"/>
      <c r="AI974" s="14"/>
      <c r="AJ974" s="14"/>
      <c r="AK974" s="14"/>
      <c r="AL974" s="14"/>
      <c r="AM974" s="14"/>
    </row>
    <row r="975" ht="14.25" customHeight="1">
      <c r="A975" s="1"/>
      <c r="B975" s="1"/>
      <c r="C975" s="1"/>
      <c r="D975" s="1"/>
      <c r="E975" s="1"/>
      <c r="F975" s="69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4"/>
      <c r="AI975" s="14"/>
      <c r="AJ975" s="14"/>
      <c r="AK975" s="14"/>
      <c r="AL975" s="14"/>
      <c r="AM975" s="14"/>
    </row>
    <row r="976" ht="14.25" customHeight="1">
      <c r="A976" s="1"/>
      <c r="B976" s="1"/>
      <c r="C976" s="1"/>
      <c r="D976" s="1"/>
      <c r="E976" s="1"/>
      <c r="F976" s="69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4"/>
      <c r="AI976" s="14"/>
      <c r="AJ976" s="14"/>
      <c r="AK976" s="14"/>
      <c r="AL976" s="14"/>
      <c r="AM976" s="14"/>
    </row>
    <row r="977" ht="14.25" customHeight="1">
      <c r="A977" s="1"/>
      <c r="B977" s="1"/>
      <c r="C977" s="1"/>
      <c r="D977" s="1"/>
      <c r="E977" s="1"/>
      <c r="F977" s="69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4"/>
      <c r="AI977" s="14"/>
      <c r="AJ977" s="14"/>
      <c r="AK977" s="14"/>
      <c r="AL977" s="14"/>
      <c r="AM977" s="14"/>
    </row>
    <row r="978" ht="14.25" customHeight="1">
      <c r="A978" s="1"/>
      <c r="B978" s="1"/>
      <c r="C978" s="1"/>
      <c r="D978" s="1"/>
      <c r="E978" s="1"/>
      <c r="F978" s="69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4"/>
      <c r="AI978" s="14"/>
      <c r="AJ978" s="14"/>
      <c r="AK978" s="14"/>
      <c r="AL978" s="14"/>
      <c r="AM978" s="14"/>
    </row>
    <row r="979" ht="14.25" customHeight="1">
      <c r="A979" s="1"/>
      <c r="B979" s="1"/>
      <c r="C979" s="1"/>
      <c r="D979" s="1"/>
      <c r="E979" s="1"/>
      <c r="F979" s="69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4"/>
      <c r="AI979" s="14"/>
      <c r="AJ979" s="14"/>
      <c r="AK979" s="14"/>
      <c r="AL979" s="14"/>
      <c r="AM979" s="14"/>
    </row>
    <row r="980" ht="14.25" customHeight="1">
      <c r="A980" s="1"/>
      <c r="B980" s="1"/>
      <c r="C980" s="1"/>
      <c r="D980" s="1"/>
      <c r="E980" s="1"/>
      <c r="F980" s="69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4"/>
      <c r="AI980" s="14"/>
      <c r="AJ980" s="14"/>
      <c r="AK980" s="14"/>
      <c r="AL980" s="14"/>
      <c r="AM980" s="14"/>
    </row>
    <row r="981" ht="14.25" customHeight="1">
      <c r="A981" s="1"/>
      <c r="B981" s="1"/>
      <c r="C981" s="1"/>
      <c r="D981" s="1"/>
      <c r="E981" s="1"/>
      <c r="F981" s="69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4"/>
      <c r="AI981" s="14"/>
      <c r="AJ981" s="14"/>
      <c r="AK981" s="14"/>
      <c r="AL981" s="14"/>
      <c r="AM981" s="14"/>
    </row>
    <row r="982" ht="14.25" customHeight="1">
      <c r="A982" s="1"/>
      <c r="B982" s="1"/>
      <c r="C982" s="1"/>
      <c r="D982" s="1"/>
      <c r="E982" s="1"/>
      <c r="F982" s="69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4"/>
      <c r="AI982" s="14"/>
      <c r="AJ982" s="14"/>
      <c r="AK982" s="14"/>
      <c r="AL982" s="14"/>
      <c r="AM982" s="14"/>
    </row>
    <row r="983" ht="14.25" customHeight="1">
      <c r="A983" s="1"/>
      <c r="B983" s="1"/>
      <c r="C983" s="1"/>
      <c r="D983" s="1"/>
      <c r="E983" s="1"/>
      <c r="F983" s="69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4"/>
      <c r="AI983" s="14"/>
      <c r="AJ983" s="14"/>
      <c r="AK983" s="14"/>
      <c r="AL983" s="14"/>
      <c r="AM983" s="14"/>
    </row>
  </sheetData>
  <autoFilter ref="$A$1:$S$38"/>
  <conditionalFormatting sqref="D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8:D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:G1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:F1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G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D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2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4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5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6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7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8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9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9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9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9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9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0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0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0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0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0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1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1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1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1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1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2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2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2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2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3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3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3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3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3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3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4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4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4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4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5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5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5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5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5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5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6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6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6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6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6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6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7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7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7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7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8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8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8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8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8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8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9:G39"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9:D39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9:F39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9:D39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9:F39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9:G39"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4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4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:G7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F7"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6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6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6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983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39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39"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9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73" t="s">
        <v>21</v>
      </c>
      <c r="D2" s="74">
        <v>41916.0</v>
      </c>
      <c r="E2" s="75">
        <v>0.0875</v>
      </c>
      <c r="G2" s="71" t="s">
        <v>142</v>
      </c>
      <c r="H2" s="76">
        <f>+E17*100+E11</f>
        <v>72.1875</v>
      </c>
      <c r="M2" s="77"/>
      <c r="N2" s="78"/>
    </row>
    <row r="3" ht="14.25" customHeight="1">
      <c r="C3" s="71" t="s">
        <v>143</v>
      </c>
      <c r="D3" s="71"/>
      <c r="E3" s="79">
        <v>41733.0</v>
      </c>
      <c r="F3" s="80"/>
      <c r="G3" s="71" t="s">
        <v>144</v>
      </c>
      <c r="H3" s="81">
        <f>IF(E1&gt;D2,E2*E17*E6/E12,"")</f>
        <v>0.08966148216</v>
      </c>
      <c r="I3" s="82"/>
      <c r="L3" s="83"/>
      <c r="M3" s="84"/>
      <c r="N3" s="85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97.66233766</v>
      </c>
      <c r="L4" s="83"/>
      <c r="M4" s="84"/>
      <c r="N4" s="85"/>
    </row>
    <row r="5" ht="14.25" customHeight="1">
      <c r="C5" s="71" t="s">
        <v>147</v>
      </c>
      <c r="D5" s="88"/>
      <c r="E5" s="79">
        <v>41916.0</v>
      </c>
      <c r="G5" s="71" t="s">
        <v>148</v>
      </c>
      <c r="H5" s="89">
        <f>MIN(O22:O31)</f>
        <v>45020</v>
      </c>
      <c r="L5" s="83"/>
      <c r="M5" s="84"/>
      <c r="N5" s="85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MAX(C22:C31)</f>
        <v>45386</v>
      </c>
      <c r="L6" s="83"/>
      <c r="M6" s="84"/>
      <c r="N6" s="85"/>
    </row>
    <row r="7" ht="14.25" customHeight="1">
      <c r="C7" s="91" t="s">
        <v>151</v>
      </c>
      <c r="D7" s="91"/>
      <c r="G7" s="71" t="s">
        <v>152</v>
      </c>
      <c r="H7" s="92">
        <f>+H6-E1</f>
        <v>456</v>
      </c>
      <c r="L7" s="83"/>
      <c r="M7" s="84"/>
      <c r="N7" s="85"/>
    </row>
    <row r="8" ht="14.25" customHeight="1">
      <c r="L8" s="83"/>
      <c r="M8" s="84"/>
      <c r="N8" s="85"/>
    </row>
    <row r="9" ht="14.25" customHeight="1">
      <c r="C9" s="71" t="s">
        <v>153</v>
      </c>
      <c r="D9" s="71"/>
      <c r="E9" s="93">
        <f>Curva!C2</f>
        <v>70.5</v>
      </c>
      <c r="G9" s="94"/>
      <c r="H9" s="95" t="s">
        <v>154</v>
      </c>
      <c r="I9" s="95" t="s">
        <v>155</v>
      </c>
      <c r="J9" s="96" t="s">
        <v>156</v>
      </c>
      <c r="L9" s="83"/>
      <c r="M9" s="84"/>
      <c r="N9" s="85"/>
    </row>
    <row r="10" ht="14.25" customHeight="1">
      <c r="C10" s="71" t="s">
        <v>157</v>
      </c>
      <c r="D10" s="71"/>
      <c r="E10" s="97">
        <f t="array" ref="E10">DAYS360(MAX(IF(C23:C31&lt;=E1,C23:C31)),E1,1)</f>
        <v>90</v>
      </c>
      <c r="G10" s="98" t="s">
        <v>158</v>
      </c>
      <c r="H10" s="99">
        <f>+((XIRR(P22:P31,C22:C31)+1)^(1/2)-1)*2</f>
        <v>0.106896374</v>
      </c>
      <c r="I10" s="99">
        <f>+((XIRR(P22:P31,A22:A31)+1)^(1/2)-1)*2</f>
        <v>0.1065121879</v>
      </c>
      <c r="J10" s="99">
        <f>+((XIRR(P22:P31,B22:B31)+1)^(1/2)-1)*2</f>
        <v>0.1061307961</v>
      </c>
      <c r="L10" s="83"/>
      <c r="M10" s="84"/>
      <c r="N10" s="85"/>
    </row>
    <row r="11" ht="14.25" customHeight="1">
      <c r="C11" s="71" t="s">
        <v>159</v>
      </c>
      <c r="D11" s="71"/>
      <c r="E11" s="100">
        <f>IF(E1&gt;D2,E2/360*E10*E6,"")</f>
        <v>2.1875</v>
      </c>
      <c r="L11" s="83"/>
      <c r="M11" s="84"/>
      <c r="N11" s="85"/>
    </row>
    <row r="12" ht="14.25" customHeight="1">
      <c r="C12" s="71" t="s">
        <v>160</v>
      </c>
      <c r="D12" s="71"/>
      <c r="E12" s="93">
        <f>+E9-E11</f>
        <v>68.3125</v>
      </c>
      <c r="L12" s="83"/>
      <c r="M12" s="84"/>
      <c r="N12" s="85"/>
    </row>
    <row r="13" ht="14.25" customHeight="1">
      <c r="C13" s="101"/>
      <c r="D13" s="101"/>
      <c r="L13" s="83"/>
      <c r="M13" s="84"/>
      <c r="N13" s="85"/>
    </row>
    <row r="14" ht="14.25" customHeight="1">
      <c r="C14" s="71" t="s">
        <v>161</v>
      </c>
      <c r="D14" s="71"/>
      <c r="E14" s="100">
        <f>(L32*100)/SUM(J23:J31)</f>
        <v>0.7794672165</v>
      </c>
      <c r="L14" s="83"/>
      <c r="M14" s="84"/>
      <c r="N14" s="85"/>
    </row>
    <row r="15" ht="14.25" customHeight="1">
      <c r="C15" s="71" t="s">
        <v>162</v>
      </c>
      <c r="D15" s="71"/>
      <c r="E15" s="100">
        <f>E14/(1+I32/2)</f>
        <v>0.7399198424</v>
      </c>
      <c r="M15" s="84"/>
      <c r="N15" s="85"/>
    </row>
    <row r="16" ht="14.25" customHeight="1">
      <c r="C16" s="71" t="s">
        <v>163</v>
      </c>
      <c r="D16" s="71"/>
      <c r="E16" s="100">
        <f>M32</f>
        <v>0.8048353369</v>
      </c>
      <c r="M16" s="84"/>
      <c r="N16" s="85"/>
    </row>
    <row r="17" ht="14.25" customHeight="1">
      <c r="C17" s="71" t="s">
        <v>164</v>
      </c>
      <c r="D17" s="71"/>
      <c r="E17" s="100">
        <f>K32</f>
        <v>0.7</v>
      </c>
      <c r="M17" s="84"/>
      <c r="N17" s="85"/>
    </row>
    <row r="18" ht="14.25" customHeight="1">
      <c r="J18" s="102"/>
    </row>
    <row r="19" ht="14.25" customHeight="1"/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</row>
    <row r="21" ht="14.25" customHeight="1">
      <c r="A21" s="107" t="s">
        <v>155</v>
      </c>
      <c r="B21" s="107" t="s">
        <v>156</v>
      </c>
      <c r="C21" s="107" t="s">
        <v>154</v>
      </c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-70.5</v>
      </c>
      <c r="I22" s="111">
        <f t="shared" ref="I22:I31" si="1">+C22-$E$1</f>
        <v>0</v>
      </c>
      <c r="J22" s="111">
        <f>H22</f>
        <v>-70.5</v>
      </c>
      <c r="K22" s="112" t="str">
        <f>IF(OR(N22="falso",N22=0),"",E21)</f>
        <v/>
      </c>
      <c r="L22" s="112"/>
      <c r="M22" s="112"/>
      <c r="N22" s="113"/>
      <c r="O22" s="114"/>
      <c r="P22" s="115">
        <f t="shared" ref="P22:P31" si="2">+H22</f>
        <v>-70.5</v>
      </c>
    </row>
    <row r="23" ht="14.25" customHeight="1">
      <c r="A23" s="116">
        <v>43925.0</v>
      </c>
      <c r="B23" s="116">
        <v>43925.0</v>
      </c>
      <c r="C23" s="116">
        <v>43925.0</v>
      </c>
      <c r="D23" s="109">
        <v>0.0</v>
      </c>
      <c r="E23" s="109">
        <f t="shared" ref="E23:E31" si="3">+E22-D23</f>
        <v>100</v>
      </c>
      <c r="F23" s="110">
        <f t="shared" ref="F23:F31" si="4">IF(C23&gt;$D$2,$E$2,"")</f>
        <v>0.0875</v>
      </c>
      <c r="G23" s="109"/>
      <c r="H23" s="109">
        <f t="shared" ref="H23:H31" si="5">+IF(C23&gt;$C$22,D23+G23,0)</f>
        <v>0</v>
      </c>
      <c r="I23" s="111">
        <f t="shared" si="1"/>
        <v>-1005</v>
      </c>
      <c r="J23" s="111">
        <f t="shared" ref="J23:J31" si="6">IF(I23&lt;=0,0,H23/(((1+$I$32/2)^2)^(I23/365)))</f>
        <v>0</v>
      </c>
      <c r="K23" s="112" t="str">
        <f t="shared" ref="K23:K24" si="7">IF(OR(N23="falso",N23=0),"",E21)</f>
        <v/>
      </c>
      <c r="L23" s="112">
        <f t="shared" ref="L23:L31" si="8">J23*(I23/365)/100</f>
        <v>0</v>
      </c>
      <c r="M23" s="112">
        <f t="shared" ref="M23:M31" si="9">IF(I23&lt;0,0,(H23/$H$32)*I23/365)</f>
        <v>0</v>
      </c>
      <c r="N23" s="113" t="str">
        <f>IF(I23&gt;=0,IF(I21&gt;0,0,-I21),"FALSO")</f>
        <v>FALSO</v>
      </c>
      <c r="O23" s="114" t="str">
        <f t="shared" ref="O23:O31" si="10">+IF(C23&gt;$C$22,C23,"")</f>
        <v/>
      </c>
      <c r="P23" s="115">
        <f t="shared" si="2"/>
        <v>0</v>
      </c>
    </row>
    <row r="24" ht="14.25" customHeight="1">
      <c r="A24" s="116">
        <v>44108.0</v>
      </c>
      <c r="B24" s="116">
        <v>44108.0</v>
      </c>
      <c r="C24" s="116">
        <v>44108.0</v>
      </c>
      <c r="D24" s="109">
        <v>0.0</v>
      </c>
      <c r="E24" s="109">
        <f t="shared" si="3"/>
        <v>100</v>
      </c>
      <c r="F24" s="110">
        <f t="shared" si="4"/>
        <v>0.0875</v>
      </c>
      <c r="G24" s="109">
        <f t="shared" ref="G24:G31" si="11">IF(F24="","",IF($E$4=365,E23*F24/365*(C24-C23),E23*F24/360*DAYS360(C23,C24)))</f>
        <v>4.375</v>
      </c>
      <c r="H24" s="109">
        <f t="shared" si="5"/>
        <v>0</v>
      </c>
      <c r="I24" s="111">
        <f t="shared" si="1"/>
        <v>-822</v>
      </c>
      <c r="J24" s="111">
        <f t="shared" si="6"/>
        <v>0</v>
      </c>
      <c r="K24" s="112" t="str">
        <f t="shared" si="7"/>
        <v/>
      </c>
      <c r="L24" s="112">
        <f t="shared" si="8"/>
        <v>0</v>
      </c>
      <c r="M24" s="112">
        <f t="shared" si="9"/>
        <v>0</v>
      </c>
      <c r="N24" s="113" t="str">
        <f t="shared" ref="N24:N31" si="12">IF(I24&gt;=0,IF(I23&gt;0,0,-I23),"FALSO")</f>
        <v>FALSO</v>
      </c>
      <c r="O24" s="114" t="str">
        <f t="shared" si="10"/>
        <v/>
      </c>
      <c r="P24" s="115">
        <f t="shared" si="2"/>
        <v>0</v>
      </c>
    </row>
    <row r="25" ht="14.25" customHeight="1">
      <c r="A25" s="116">
        <v>44290.0</v>
      </c>
      <c r="B25" s="116">
        <v>44290.0</v>
      </c>
      <c r="C25" s="116">
        <v>44290.0</v>
      </c>
      <c r="D25" s="109">
        <v>0.0</v>
      </c>
      <c r="E25" s="109">
        <f t="shared" si="3"/>
        <v>100</v>
      </c>
      <c r="F25" s="110">
        <f t="shared" si="4"/>
        <v>0.0875</v>
      </c>
      <c r="G25" s="109">
        <f t="shared" si="11"/>
        <v>4.375</v>
      </c>
      <c r="H25" s="109">
        <f t="shared" si="5"/>
        <v>0</v>
      </c>
      <c r="I25" s="111">
        <f t="shared" si="1"/>
        <v>-640</v>
      </c>
      <c r="J25" s="111">
        <f t="shared" si="6"/>
        <v>0</v>
      </c>
      <c r="K25" s="112" t="str">
        <f t="shared" ref="K25:K31" si="13">IF(OR(N25="falso",N25=0),"",E24)</f>
        <v/>
      </c>
      <c r="L25" s="112">
        <f t="shared" si="8"/>
        <v>0</v>
      </c>
      <c r="M25" s="112">
        <f t="shared" si="9"/>
        <v>0</v>
      </c>
      <c r="N25" s="113" t="str">
        <f t="shared" si="12"/>
        <v>FALSO</v>
      </c>
      <c r="O25" s="114" t="str">
        <f t="shared" si="10"/>
        <v/>
      </c>
      <c r="P25" s="115">
        <f t="shared" si="2"/>
        <v>0</v>
      </c>
    </row>
    <row r="26" ht="14.25" customHeight="1">
      <c r="A26" s="116">
        <v>44473.0</v>
      </c>
      <c r="B26" s="116">
        <v>44473.0</v>
      </c>
      <c r="C26" s="116">
        <v>44473.0</v>
      </c>
      <c r="D26" s="109">
        <v>0.0</v>
      </c>
      <c r="E26" s="109">
        <f t="shared" si="3"/>
        <v>100</v>
      </c>
      <c r="F26" s="110">
        <f t="shared" si="4"/>
        <v>0.0875</v>
      </c>
      <c r="G26" s="109">
        <f t="shared" si="11"/>
        <v>4.375</v>
      </c>
      <c r="H26" s="109">
        <f t="shared" si="5"/>
        <v>0</v>
      </c>
      <c r="I26" s="111">
        <f t="shared" si="1"/>
        <v>-457</v>
      </c>
      <c r="J26" s="111">
        <f t="shared" si="6"/>
        <v>0</v>
      </c>
      <c r="K26" s="117" t="str">
        <f t="shared" si="13"/>
        <v/>
      </c>
      <c r="L26" s="112">
        <f t="shared" si="8"/>
        <v>0</v>
      </c>
      <c r="M26" s="112">
        <f t="shared" si="9"/>
        <v>0</v>
      </c>
      <c r="N26" s="113" t="str">
        <f t="shared" si="12"/>
        <v>FALSO</v>
      </c>
      <c r="O26" s="114" t="str">
        <f t="shared" si="10"/>
        <v/>
      </c>
      <c r="P26" s="115">
        <f t="shared" si="2"/>
        <v>0</v>
      </c>
      <c r="R26" s="82"/>
    </row>
    <row r="27" ht="14.25" customHeight="1">
      <c r="A27" s="116">
        <v>44655.0</v>
      </c>
      <c r="B27" s="116">
        <v>44655.0</v>
      </c>
      <c r="C27" s="116">
        <v>44655.0</v>
      </c>
      <c r="D27" s="109">
        <v>30.0</v>
      </c>
      <c r="E27" s="109">
        <f t="shared" si="3"/>
        <v>70</v>
      </c>
      <c r="F27" s="110">
        <f t="shared" si="4"/>
        <v>0.0875</v>
      </c>
      <c r="G27" s="109">
        <f t="shared" si="11"/>
        <v>4.375</v>
      </c>
      <c r="H27" s="109">
        <f t="shared" si="5"/>
        <v>0</v>
      </c>
      <c r="I27" s="111">
        <f t="shared" si="1"/>
        <v>-275</v>
      </c>
      <c r="J27" s="111">
        <f t="shared" si="6"/>
        <v>0</v>
      </c>
      <c r="K27" s="117" t="str">
        <f t="shared" si="13"/>
        <v/>
      </c>
      <c r="L27" s="112">
        <f t="shared" si="8"/>
        <v>0</v>
      </c>
      <c r="M27" s="112">
        <f t="shared" si="9"/>
        <v>0</v>
      </c>
      <c r="N27" s="113" t="str">
        <f t="shared" si="12"/>
        <v>FALSO</v>
      </c>
      <c r="O27" s="114" t="str">
        <f t="shared" si="10"/>
        <v/>
      </c>
      <c r="P27" s="115">
        <f t="shared" si="2"/>
        <v>0</v>
      </c>
      <c r="R27" s="82"/>
    </row>
    <row r="28" ht="14.25" customHeight="1">
      <c r="A28" s="116">
        <v>44838.0</v>
      </c>
      <c r="B28" s="116">
        <v>44838.0</v>
      </c>
      <c r="C28" s="116">
        <v>44838.0</v>
      </c>
      <c r="D28" s="109">
        <v>0.0</v>
      </c>
      <c r="E28" s="109">
        <f t="shared" si="3"/>
        <v>70</v>
      </c>
      <c r="F28" s="110">
        <f t="shared" si="4"/>
        <v>0.0875</v>
      </c>
      <c r="G28" s="109">
        <f t="shared" si="11"/>
        <v>3.0625</v>
      </c>
      <c r="H28" s="109">
        <f t="shared" si="5"/>
        <v>0</v>
      </c>
      <c r="I28" s="111">
        <f t="shared" si="1"/>
        <v>-92</v>
      </c>
      <c r="J28" s="111">
        <f t="shared" si="6"/>
        <v>0</v>
      </c>
      <c r="K28" s="117" t="str">
        <f t="shared" si="13"/>
        <v/>
      </c>
      <c r="L28" s="112">
        <f t="shared" si="8"/>
        <v>0</v>
      </c>
      <c r="M28" s="112">
        <f t="shared" si="9"/>
        <v>0</v>
      </c>
      <c r="N28" s="113" t="str">
        <f t="shared" si="12"/>
        <v>FALSO</v>
      </c>
      <c r="O28" s="114" t="str">
        <f t="shared" si="10"/>
        <v/>
      </c>
      <c r="P28" s="115">
        <f t="shared" si="2"/>
        <v>0</v>
      </c>
      <c r="R28" s="82"/>
    </row>
    <row r="29" ht="14.25" customHeight="1">
      <c r="A29" s="116">
        <v>45020.0</v>
      </c>
      <c r="B29" s="116">
        <v>45020.0</v>
      </c>
      <c r="C29" s="116">
        <v>45020.0</v>
      </c>
      <c r="D29" s="109">
        <v>30.0</v>
      </c>
      <c r="E29" s="109">
        <f t="shared" si="3"/>
        <v>40</v>
      </c>
      <c r="F29" s="110">
        <f t="shared" si="4"/>
        <v>0.0875</v>
      </c>
      <c r="G29" s="109">
        <f t="shared" si="11"/>
        <v>3.0625</v>
      </c>
      <c r="H29" s="109">
        <f t="shared" si="5"/>
        <v>33.0625</v>
      </c>
      <c r="I29" s="111">
        <f t="shared" si="1"/>
        <v>90</v>
      </c>
      <c r="J29" s="111">
        <f t="shared" si="6"/>
        <v>32.22433651</v>
      </c>
      <c r="K29" s="117">
        <f t="shared" si="13"/>
        <v>70</v>
      </c>
      <c r="L29" s="112">
        <f t="shared" si="8"/>
        <v>0.07945726811</v>
      </c>
      <c r="M29" s="112">
        <f t="shared" si="9"/>
        <v>0.1064802907</v>
      </c>
      <c r="N29" s="111">
        <f t="shared" si="12"/>
        <v>92</v>
      </c>
      <c r="O29" s="114">
        <f t="shared" si="10"/>
        <v>45020</v>
      </c>
      <c r="P29" s="115">
        <f t="shared" si="2"/>
        <v>33.0625</v>
      </c>
      <c r="R29" s="82"/>
    </row>
    <row r="30" ht="14.25" customHeight="1">
      <c r="A30" s="116">
        <v>45203.0</v>
      </c>
      <c r="B30" s="116">
        <v>45203.0</v>
      </c>
      <c r="C30" s="116">
        <v>45203.0</v>
      </c>
      <c r="D30" s="109">
        <v>0.0</v>
      </c>
      <c r="E30" s="109">
        <f t="shared" si="3"/>
        <v>40</v>
      </c>
      <c r="F30" s="110">
        <f t="shared" si="4"/>
        <v>0.0875</v>
      </c>
      <c r="G30" s="109">
        <f t="shared" si="11"/>
        <v>1.75</v>
      </c>
      <c r="H30" s="109">
        <f t="shared" si="5"/>
        <v>1.75</v>
      </c>
      <c r="I30" s="111">
        <f t="shared" si="1"/>
        <v>273</v>
      </c>
      <c r="J30" s="111">
        <f t="shared" si="6"/>
        <v>1.618867146</v>
      </c>
      <c r="K30" s="117" t="str">
        <f t="shared" si="13"/>
        <v/>
      </c>
      <c r="L30" s="112">
        <f t="shared" si="8"/>
        <v>0.0121082392</v>
      </c>
      <c r="M30" s="112">
        <f t="shared" si="9"/>
        <v>0.01709589041</v>
      </c>
      <c r="N30" s="113">
        <f t="shared" si="12"/>
        <v>0</v>
      </c>
      <c r="O30" s="114">
        <f t="shared" si="10"/>
        <v>45203</v>
      </c>
      <c r="P30" s="115">
        <f t="shared" si="2"/>
        <v>1.75</v>
      </c>
      <c r="R30" s="82"/>
    </row>
    <row r="31" ht="14.25" customHeight="1">
      <c r="A31" s="116">
        <v>45386.0</v>
      </c>
      <c r="B31" s="116">
        <v>45386.0</v>
      </c>
      <c r="C31" s="116">
        <v>45386.0</v>
      </c>
      <c r="D31" s="109">
        <v>40.0</v>
      </c>
      <c r="E31" s="109">
        <f t="shared" si="3"/>
        <v>0</v>
      </c>
      <c r="F31" s="110">
        <f t="shared" si="4"/>
        <v>0.0875</v>
      </c>
      <c r="G31" s="109">
        <f t="shared" si="11"/>
        <v>1.75</v>
      </c>
      <c r="H31" s="109">
        <f t="shared" si="5"/>
        <v>41.75</v>
      </c>
      <c r="I31" s="111">
        <f t="shared" si="1"/>
        <v>456</v>
      </c>
      <c r="J31" s="111">
        <f t="shared" si="6"/>
        <v>36.65679634</v>
      </c>
      <c r="K31" s="117" t="str">
        <f t="shared" si="13"/>
        <v/>
      </c>
      <c r="L31" s="112">
        <f t="shared" si="8"/>
        <v>0.4579588803</v>
      </c>
      <c r="M31" s="112">
        <f t="shared" si="9"/>
        <v>0.6812591557</v>
      </c>
      <c r="N31" s="113">
        <f t="shared" si="12"/>
        <v>0</v>
      </c>
      <c r="O31" s="114">
        <f t="shared" si="10"/>
        <v>45386</v>
      </c>
      <c r="P31" s="115">
        <f t="shared" si="2"/>
        <v>41.75</v>
      </c>
      <c r="R31" s="82"/>
    </row>
    <row r="32" ht="14.25" customHeight="1">
      <c r="H32" s="118">
        <f>SUMIF(I22:I31,"&gt;0",H22:H31)</f>
        <v>76.5625</v>
      </c>
      <c r="I32" s="119">
        <f>+H10</f>
        <v>0.106896374</v>
      </c>
      <c r="J32" s="119">
        <f>SUM(J22:J31)</f>
        <v>0</v>
      </c>
      <c r="K32" s="120">
        <f>SUM(K22:K31)/$E$22</f>
        <v>0.7</v>
      </c>
      <c r="L32" s="121">
        <f t="shared" ref="L32:M32" si="14">SUM(L22:L31)</f>
        <v>0.5495243876</v>
      </c>
      <c r="M32" s="119">
        <f t="shared" si="14"/>
        <v>0.8048353369</v>
      </c>
      <c r="N32" s="122">
        <f>SUM(N24:N31)</f>
        <v>92</v>
      </c>
      <c r="O32" s="123">
        <f>MIN(O22:O31)</f>
        <v>45020</v>
      </c>
    </row>
    <row r="33" ht="14.25" customHeight="1"/>
    <row r="34" ht="14.25" customHeight="1">
      <c r="D34" s="102"/>
    </row>
    <row r="35" ht="14.25" customHeight="1"/>
    <row r="36" ht="14.25" customHeight="1">
      <c r="A36" s="124"/>
      <c r="B36" s="124"/>
      <c r="C36" s="124"/>
      <c r="D36" s="124"/>
      <c r="E36" s="124"/>
      <c r="F36" s="124"/>
      <c r="G36" s="124"/>
      <c r="H36" s="124"/>
      <c r="I36" s="124"/>
      <c r="J36" s="124"/>
    </row>
    <row r="37" ht="14.25" customHeight="1">
      <c r="A37" s="124"/>
      <c r="B37" s="124" t="s">
        <v>178</v>
      </c>
      <c r="C37" s="124" t="s">
        <v>179</v>
      </c>
      <c r="D37" s="124" t="s">
        <v>180</v>
      </c>
      <c r="E37" s="124" t="s">
        <v>181</v>
      </c>
      <c r="F37" s="124" t="s">
        <v>182</v>
      </c>
      <c r="G37" s="124" t="s">
        <v>183</v>
      </c>
      <c r="H37" s="124" t="s">
        <v>184</v>
      </c>
      <c r="I37" s="124"/>
      <c r="J37" s="124"/>
    </row>
    <row r="38" ht="14.25" customHeight="1">
      <c r="A38" s="124"/>
      <c r="B38" s="125">
        <v>44108.0</v>
      </c>
      <c r="C38" s="124" t="s">
        <v>185</v>
      </c>
      <c r="D38" s="124" t="s">
        <v>33</v>
      </c>
      <c r="E38" s="124">
        <v>43.75</v>
      </c>
      <c r="F38" s="124">
        <v>0.0</v>
      </c>
      <c r="G38" s="124">
        <v>43.75</v>
      </c>
      <c r="H38" s="124" t="s">
        <v>186</v>
      </c>
      <c r="I38" s="124"/>
      <c r="J38" s="124"/>
    </row>
    <row r="39" ht="14.25" customHeight="1">
      <c r="A39" s="124"/>
      <c r="B39" s="125">
        <v>44290.0</v>
      </c>
      <c r="C39" s="124" t="s">
        <v>185</v>
      </c>
      <c r="D39" s="124" t="s">
        <v>33</v>
      </c>
      <c r="E39" s="124">
        <v>43.75</v>
      </c>
      <c r="F39" s="124">
        <v>0.0</v>
      </c>
      <c r="G39" s="124">
        <v>43.75</v>
      </c>
      <c r="H39" s="124" t="s">
        <v>186</v>
      </c>
      <c r="I39" s="124"/>
      <c r="J39" s="124"/>
    </row>
    <row r="40" ht="14.25" customHeight="1">
      <c r="A40" s="124"/>
      <c r="B40" s="125">
        <v>44473.0</v>
      </c>
      <c r="C40" s="124" t="s">
        <v>185</v>
      </c>
      <c r="D40" s="124" t="s">
        <v>33</v>
      </c>
      <c r="E40" s="124">
        <v>43.75</v>
      </c>
      <c r="F40" s="124">
        <v>0.0</v>
      </c>
      <c r="G40" s="124">
        <v>43.75</v>
      </c>
      <c r="H40" s="124" t="s">
        <v>186</v>
      </c>
      <c r="I40" s="124"/>
      <c r="J40" s="124"/>
    </row>
    <row r="41" ht="14.25" customHeight="1">
      <c r="A41" s="124"/>
      <c r="B41" s="125">
        <v>44655.0</v>
      </c>
      <c r="C41" s="124" t="s">
        <v>185</v>
      </c>
      <c r="D41" s="124" t="s">
        <v>33</v>
      </c>
      <c r="E41" s="124">
        <v>43.75</v>
      </c>
      <c r="F41" s="124">
        <v>300.0</v>
      </c>
      <c r="G41" s="124">
        <v>343.75</v>
      </c>
      <c r="H41" s="124" t="s">
        <v>186</v>
      </c>
      <c r="I41" s="124"/>
      <c r="J41" s="124"/>
    </row>
    <row r="42" ht="14.25" customHeight="1">
      <c r="A42" s="124"/>
      <c r="B42" s="125">
        <v>44838.0</v>
      </c>
      <c r="C42" s="124" t="s">
        <v>185</v>
      </c>
      <c r="D42" s="124" t="s">
        <v>33</v>
      </c>
      <c r="E42" s="124">
        <v>30.62</v>
      </c>
      <c r="F42" s="124">
        <v>0.0</v>
      </c>
      <c r="G42" s="124">
        <v>30.62</v>
      </c>
      <c r="H42" s="124" t="s">
        <v>186</v>
      </c>
      <c r="I42" s="124"/>
      <c r="J42" s="124"/>
    </row>
    <row r="43" ht="14.25" customHeight="1">
      <c r="A43" s="124"/>
      <c r="B43" s="125">
        <v>45020.0</v>
      </c>
      <c r="C43" s="124" t="s">
        <v>185</v>
      </c>
      <c r="D43" s="124" t="s">
        <v>33</v>
      </c>
      <c r="E43" s="124">
        <v>30.62</v>
      </c>
      <c r="F43" s="124">
        <v>300.0</v>
      </c>
      <c r="G43" s="124">
        <v>330.62</v>
      </c>
      <c r="H43" s="124" t="s">
        <v>186</v>
      </c>
      <c r="I43" s="124"/>
      <c r="J43" s="124"/>
    </row>
    <row r="44" ht="14.25" customHeight="1">
      <c r="A44" s="124"/>
      <c r="B44" s="125">
        <v>45203.0</v>
      </c>
      <c r="C44" s="124" t="s">
        <v>185</v>
      </c>
      <c r="D44" s="124" t="s">
        <v>33</v>
      </c>
      <c r="E44" s="124">
        <v>17.5</v>
      </c>
      <c r="F44" s="124">
        <v>0.0</v>
      </c>
      <c r="G44" s="124">
        <v>17.5</v>
      </c>
      <c r="H44" s="124" t="s">
        <v>186</v>
      </c>
      <c r="I44" s="124"/>
      <c r="J44" s="124"/>
    </row>
    <row r="45" ht="14.25" customHeight="1">
      <c r="A45" s="124"/>
      <c r="B45" s="125">
        <v>45386.0</v>
      </c>
      <c r="C45" s="124" t="s">
        <v>185</v>
      </c>
      <c r="D45" s="124" t="s">
        <v>33</v>
      </c>
      <c r="E45" s="124">
        <v>17.5</v>
      </c>
      <c r="F45" s="124">
        <v>400.0</v>
      </c>
      <c r="G45" s="124">
        <v>417.5</v>
      </c>
      <c r="H45" s="124" t="s">
        <v>186</v>
      </c>
      <c r="I45" s="124"/>
      <c r="J45" s="124"/>
    </row>
    <row r="46" ht="14.25" customHeight="1">
      <c r="A46" s="124"/>
      <c r="B46" s="124"/>
      <c r="C46" s="124"/>
      <c r="D46" s="124"/>
      <c r="E46" s="124"/>
      <c r="F46" s="124"/>
      <c r="G46" s="124"/>
      <c r="H46" s="124"/>
      <c r="I46" s="124"/>
      <c r="J46" s="124"/>
    </row>
    <row r="47" ht="14.25" customHeight="1">
      <c r="A47" s="124"/>
      <c r="B47" s="124"/>
      <c r="C47" s="124"/>
      <c r="D47" s="124"/>
      <c r="E47" s="124"/>
      <c r="F47" s="124"/>
      <c r="G47" s="124"/>
      <c r="H47" s="124"/>
      <c r="I47" s="124"/>
      <c r="J47" s="124"/>
    </row>
    <row r="48" ht="14.25" customHeight="1">
      <c r="A48" s="124"/>
      <c r="B48" s="124"/>
      <c r="C48" s="124"/>
      <c r="D48" s="124"/>
      <c r="E48" s="124"/>
      <c r="F48" s="124"/>
      <c r="G48" s="124"/>
      <c r="H48" s="124"/>
      <c r="I48" s="124"/>
      <c r="J48" s="124"/>
    </row>
    <row r="49" ht="14.25" customHeight="1">
      <c r="A49" s="124"/>
      <c r="B49" s="124"/>
      <c r="C49" s="124"/>
      <c r="D49" s="124"/>
      <c r="E49" s="124"/>
      <c r="F49" s="124"/>
      <c r="G49" s="124"/>
      <c r="H49" s="124"/>
      <c r="I49" s="124"/>
      <c r="J49" s="124"/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73" t="s">
        <v>21</v>
      </c>
      <c r="D2" s="74">
        <v>43894.0</v>
      </c>
      <c r="E2" s="75">
        <v>0.1</v>
      </c>
      <c r="G2" s="71" t="s">
        <v>142</v>
      </c>
      <c r="H2" s="76">
        <f>+E17*100+E11</f>
        <v>64.83333333</v>
      </c>
      <c r="M2" s="77"/>
      <c r="N2" s="78"/>
    </row>
    <row r="3" ht="14.25" customHeight="1">
      <c r="C3" s="71" t="s">
        <v>143</v>
      </c>
      <c r="D3" s="71"/>
      <c r="E3" s="79">
        <v>43803.0</v>
      </c>
      <c r="F3" s="80"/>
      <c r="G3" s="71" t="s">
        <v>144</v>
      </c>
      <c r="H3" s="81">
        <f>IF(E1&gt;D2,E2*E17*E6/E12,"")</f>
        <v>0.09843629839</v>
      </c>
      <c r="I3" s="82"/>
      <c r="L3" s="83"/>
      <c r="M3" s="84"/>
      <c r="N3" s="85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101.5681234</v>
      </c>
      <c r="L4" s="83"/>
      <c r="M4" s="84"/>
      <c r="N4" s="85"/>
    </row>
    <row r="5" ht="14.25" customHeight="1">
      <c r="C5" s="71" t="s">
        <v>147</v>
      </c>
      <c r="D5" s="88"/>
      <c r="E5" s="79">
        <v>43894.0</v>
      </c>
      <c r="G5" s="71" t="s">
        <v>148</v>
      </c>
      <c r="H5" s="89">
        <f>MIN(O22:O42)</f>
        <v>44989</v>
      </c>
      <c r="L5" s="83"/>
      <c r="M5" s="84"/>
      <c r="N5" s="85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MAX(C22:C42)</f>
        <v>45812</v>
      </c>
      <c r="L6" s="83"/>
      <c r="M6" s="84"/>
      <c r="N6" s="85"/>
    </row>
    <row r="7" ht="14.25" customHeight="1">
      <c r="C7" s="91" t="s">
        <v>151</v>
      </c>
      <c r="D7" s="91"/>
      <c r="G7" s="71" t="s">
        <v>152</v>
      </c>
      <c r="H7" s="92">
        <f>+H6-E1</f>
        <v>882</v>
      </c>
      <c r="L7" s="83"/>
      <c r="M7" s="84"/>
      <c r="N7" s="85"/>
    </row>
    <row r="8" ht="14.25" customHeight="1">
      <c r="L8" s="83"/>
      <c r="M8" s="84"/>
      <c r="N8" s="85"/>
    </row>
    <row r="9" ht="14.25" customHeight="1">
      <c r="C9" s="71" t="s">
        <v>153</v>
      </c>
      <c r="D9" s="71"/>
      <c r="E9" s="93">
        <f>Curva!C3</f>
        <v>65.85</v>
      </c>
      <c r="G9" s="94"/>
      <c r="H9" s="95" t="s">
        <v>154</v>
      </c>
      <c r="I9" s="95" t="s">
        <v>155</v>
      </c>
      <c r="J9" s="96" t="s">
        <v>156</v>
      </c>
      <c r="L9" s="83"/>
      <c r="M9" s="84"/>
      <c r="N9" s="85"/>
    </row>
    <row r="10" ht="14.25" customHeight="1">
      <c r="C10" s="71" t="s">
        <v>157</v>
      </c>
      <c r="D10" s="71"/>
      <c r="E10" s="97">
        <f t="array" ref="E10">DAYS360(MAX(IF(C23:C42&lt;=E1,C23:C42)),E1,1)</f>
        <v>30</v>
      </c>
      <c r="G10" s="98" t="s">
        <v>158</v>
      </c>
      <c r="H10" s="99">
        <f>+((XIRR(P22:P42,C22:C42)+1)^(1/2)-1)*2</f>
        <v>0.08522083266</v>
      </c>
      <c r="I10" s="99">
        <f>+((XIRR(P22:P42,A22:A42)+1)^(1/2)-1)*2</f>
        <v>0.0850405667</v>
      </c>
      <c r="J10" s="99">
        <f>+((XIRR(P22:P42,B22:B42)+1)^(1/2)-1)*2</f>
        <v>0.08486107388</v>
      </c>
      <c r="L10" s="83"/>
      <c r="M10" s="84"/>
      <c r="N10" s="85"/>
    </row>
    <row r="11" ht="14.25" customHeight="1">
      <c r="C11" s="71" t="s">
        <v>159</v>
      </c>
      <c r="D11" s="71"/>
      <c r="E11" s="100">
        <f>IF(E1&gt;D2,E2/360*E10*E6,"")</f>
        <v>0.8333333333</v>
      </c>
      <c r="L11" s="83"/>
      <c r="M11" s="84"/>
      <c r="N11" s="85"/>
    </row>
    <row r="12" ht="14.25" customHeight="1">
      <c r="C12" s="71" t="s">
        <v>160</v>
      </c>
      <c r="D12" s="71"/>
      <c r="E12" s="93">
        <f>+E9-E11</f>
        <v>65.01666667</v>
      </c>
      <c r="L12" s="83"/>
      <c r="M12" s="84"/>
      <c r="N12" s="85"/>
    </row>
    <row r="13" ht="14.25" customHeight="1">
      <c r="C13" s="101"/>
      <c r="D13" s="101"/>
      <c r="L13" s="83"/>
      <c r="M13" s="84"/>
      <c r="N13" s="85"/>
    </row>
    <row r="14" ht="14.25" customHeight="1">
      <c r="C14" s="71" t="s">
        <v>161</v>
      </c>
      <c r="D14" s="71"/>
      <c r="E14" s="100">
        <f>(L43*100)/SUM(J24:J42)</f>
        <v>1.319575691</v>
      </c>
      <c r="L14" s="83"/>
      <c r="M14" s="84"/>
      <c r="N14" s="85"/>
    </row>
    <row r="15" ht="14.25" customHeight="1">
      <c r="C15" s="71" t="s">
        <v>162</v>
      </c>
      <c r="D15" s="71"/>
      <c r="E15" s="100">
        <f>E14/(1+I43/2)</f>
        <v>1.265645988</v>
      </c>
      <c r="M15" s="84"/>
      <c r="N15" s="85"/>
    </row>
    <row r="16" ht="14.25" customHeight="1">
      <c r="C16" s="71" t="s">
        <v>163</v>
      </c>
      <c r="D16" s="71"/>
      <c r="E16" s="100">
        <f>M43</f>
        <v>1.363122971</v>
      </c>
      <c r="M16" s="84"/>
      <c r="N16" s="85"/>
    </row>
    <row r="17" ht="14.25" customHeight="1">
      <c r="C17" s="71" t="s">
        <v>164</v>
      </c>
      <c r="D17" s="71"/>
      <c r="E17" s="100">
        <f>K43</f>
        <v>0.64</v>
      </c>
      <c r="M17" s="84"/>
      <c r="N17" s="85"/>
    </row>
    <row r="18" ht="14.25" customHeight="1">
      <c r="J18" s="102"/>
    </row>
    <row r="19" ht="14.25" customHeight="1"/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</row>
    <row r="21" ht="14.25" customHeight="1">
      <c r="A21" s="107" t="s">
        <v>155</v>
      </c>
      <c r="B21" s="107" t="s">
        <v>156</v>
      </c>
      <c r="C21" s="107" t="s">
        <v>154</v>
      </c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-65.85</v>
      </c>
      <c r="I22" s="111">
        <f t="shared" ref="I22:I42" si="1">+C22-$E$1</f>
        <v>0</v>
      </c>
      <c r="J22" s="111">
        <f>H22</f>
        <v>-65.85</v>
      </c>
      <c r="K22" s="117"/>
      <c r="L22" s="112"/>
      <c r="M22" s="112"/>
      <c r="N22" s="113"/>
      <c r="O22" s="114"/>
      <c r="P22" s="115">
        <f t="shared" ref="P22:P42" si="2">+H22</f>
        <v>-65.85</v>
      </c>
    </row>
    <row r="23" ht="14.25" customHeight="1">
      <c r="A23" s="116">
        <v>44078.0</v>
      </c>
      <c r="B23" s="116">
        <v>44078.0</v>
      </c>
      <c r="C23" s="116">
        <v>44078.0</v>
      </c>
      <c r="D23" s="109">
        <v>2.5</v>
      </c>
      <c r="E23" s="109">
        <f t="shared" ref="E23:E42" si="3">+E22-D23</f>
        <v>97.5</v>
      </c>
      <c r="F23" s="110">
        <f t="shared" ref="F23:F42" si="4">IF(C23&gt;$D$2,$E$2,"")</f>
        <v>0.1</v>
      </c>
      <c r="G23" s="109"/>
      <c r="H23" s="109">
        <f t="shared" ref="H23:H42" si="5">+IF(C23&gt;$C$22,D23+G23,0)</f>
        <v>0</v>
      </c>
      <c r="I23" s="111">
        <f t="shared" si="1"/>
        <v>-852</v>
      </c>
      <c r="J23" s="111">
        <f t="shared" ref="J23:J42" si="6">IF(I23&lt;=0,0,H23/(((1+$I$43/2)^2)^(I23/365)))</f>
        <v>0</v>
      </c>
      <c r="K23" s="117"/>
      <c r="L23" s="112">
        <f t="shared" ref="L23:L42" si="7">J23*(I23/365)/100</f>
        <v>0</v>
      </c>
      <c r="M23" s="112">
        <f t="shared" ref="M23:M42" si="8">IF(I23&lt;0,0,(H23/$H$43)*I23/365)</f>
        <v>0</v>
      </c>
      <c r="N23" s="113" t="str">
        <f>IF(I23&gt;=0,IF(I21&gt;0,0,-I21),"FALSO")</f>
        <v>FALSO</v>
      </c>
      <c r="O23" s="114" t="str">
        <f t="shared" ref="O23:O42" si="9">+IF(C23&gt;$C$22,C23,"")</f>
        <v/>
      </c>
      <c r="P23" s="115">
        <f t="shared" si="2"/>
        <v>0</v>
      </c>
    </row>
    <row r="24" ht="14.25" customHeight="1">
      <c r="A24" s="116">
        <v>44169.0</v>
      </c>
      <c r="B24" s="116">
        <v>44169.0</v>
      </c>
      <c r="C24" s="116">
        <v>44169.0</v>
      </c>
      <c r="D24" s="109">
        <v>2.5</v>
      </c>
      <c r="E24" s="109">
        <f t="shared" si="3"/>
        <v>95</v>
      </c>
      <c r="F24" s="110">
        <f t="shared" si="4"/>
        <v>0.1</v>
      </c>
      <c r="G24" s="109">
        <f t="shared" ref="G24:G42" si="10">IF(F24="","",IF($E$4=365,E23*F24/365*(C24-C23),E23*F24/360*DAYS360(C23,C24)))</f>
        <v>2.4375</v>
      </c>
      <c r="H24" s="109">
        <f t="shared" si="5"/>
        <v>0</v>
      </c>
      <c r="I24" s="111">
        <f t="shared" si="1"/>
        <v>-761</v>
      </c>
      <c r="J24" s="111">
        <f t="shared" si="6"/>
        <v>0</v>
      </c>
      <c r="K24" s="112" t="str">
        <f t="shared" ref="K24:K42" si="11">IF(OR(N24="falso",N24=0),"",E23)</f>
        <v/>
      </c>
      <c r="L24" s="112">
        <f t="shared" si="7"/>
        <v>0</v>
      </c>
      <c r="M24" s="112">
        <f t="shared" si="8"/>
        <v>0</v>
      </c>
      <c r="N24" s="113" t="str">
        <f t="shared" ref="N24:N42" si="12">IF(I24&gt;=0,IF(I23&gt;0,0,-I23),"FALSO")</f>
        <v>FALSO</v>
      </c>
      <c r="O24" s="114" t="str">
        <f t="shared" si="9"/>
        <v/>
      </c>
      <c r="P24" s="115">
        <f t="shared" si="2"/>
        <v>0</v>
      </c>
    </row>
    <row r="25" ht="14.25" customHeight="1">
      <c r="A25" s="116">
        <v>44259.0</v>
      </c>
      <c r="B25" s="116">
        <v>44259.0</v>
      </c>
      <c r="C25" s="116">
        <v>44259.0</v>
      </c>
      <c r="D25" s="109">
        <v>2.5</v>
      </c>
      <c r="E25" s="109">
        <f t="shared" si="3"/>
        <v>92.5</v>
      </c>
      <c r="F25" s="110">
        <f t="shared" si="4"/>
        <v>0.1</v>
      </c>
      <c r="G25" s="109">
        <f t="shared" si="10"/>
        <v>2.375</v>
      </c>
      <c r="H25" s="109">
        <f t="shared" si="5"/>
        <v>0</v>
      </c>
      <c r="I25" s="111">
        <f t="shared" si="1"/>
        <v>-671</v>
      </c>
      <c r="J25" s="111">
        <f t="shared" si="6"/>
        <v>0</v>
      </c>
      <c r="K25" s="117" t="str">
        <f t="shared" si="11"/>
        <v/>
      </c>
      <c r="L25" s="112">
        <f t="shared" si="7"/>
        <v>0</v>
      </c>
      <c r="M25" s="112">
        <f t="shared" si="8"/>
        <v>0</v>
      </c>
      <c r="N25" s="113" t="str">
        <f t="shared" si="12"/>
        <v>FALSO</v>
      </c>
      <c r="O25" s="114" t="str">
        <f t="shared" si="9"/>
        <v/>
      </c>
      <c r="P25" s="115">
        <f t="shared" si="2"/>
        <v>0</v>
      </c>
      <c r="R25" s="82"/>
    </row>
    <row r="26" ht="14.25" customHeight="1">
      <c r="A26" s="116">
        <v>44351.0</v>
      </c>
      <c r="B26" s="116">
        <v>44351.0</v>
      </c>
      <c r="C26" s="116">
        <v>44351.0</v>
      </c>
      <c r="D26" s="109">
        <v>2.5</v>
      </c>
      <c r="E26" s="109">
        <f t="shared" si="3"/>
        <v>90</v>
      </c>
      <c r="F26" s="110">
        <f t="shared" si="4"/>
        <v>0.1</v>
      </c>
      <c r="G26" s="109">
        <f t="shared" si="10"/>
        <v>2.3125</v>
      </c>
      <c r="H26" s="109">
        <f t="shared" si="5"/>
        <v>0</v>
      </c>
      <c r="I26" s="111">
        <f t="shared" si="1"/>
        <v>-579</v>
      </c>
      <c r="J26" s="111">
        <f t="shared" si="6"/>
        <v>0</v>
      </c>
      <c r="K26" s="117" t="str">
        <f t="shared" si="11"/>
        <v/>
      </c>
      <c r="L26" s="112">
        <f t="shared" si="7"/>
        <v>0</v>
      </c>
      <c r="M26" s="112">
        <f t="shared" si="8"/>
        <v>0</v>
      </c>
      <c r="N26" s="113" t="str">
        <f t="shared" si="12"/>
        <v>FALSO</v>
      </c>
      <c r="O26" s="114" t="str">
        <f t="shared" si="9"/>
        <v/>
      </c>
      <c r="P26" s="115">
        <f t="shared" si="2"/>
        <v>0</v>
      </c>
      <c r="R26" s="82"/>
    </row>
    <row r="27" ht="14.25" customHeight="1">
      <c r="A27" s="116">
        <v>44443.0</v>
      </c>
      <c r="B27" s="116">
        <v>44443.0</v>
      </c>
      <c r="C27" s="116">
        <v>44443.0</v>
      </c>
      <c r="D27" s="109">
        <v>4.0</v>
      </c>
      <c r="E27" s="109">
        <f t="shared" si="3"/>
        <v>86</v>
      </c>
      <c r="F27" s="110">
        <f t="shared" si="4"/>
        <v>0.1</v>
      </c>
      <c r="G27" s="109">
        <f t="shared" si="10"/>
        <v>2.25</v>
      </c>
      <c r="H27" s="109">
        <f t="shared" si="5"/>
        <v>0</v>
      </c>
      <c r="I27" s="111">
        <f t="shared" si="1"/>
        <v>-487</v>
      </c>
      <c r="J27" s="111">
        <f t="shared" si="6"/>
        <v>0</v>
      </c>
      <c r="K27" s="117" t="str">
        <f t="shared" si="11"/>
        <v/>
      </c>
      <c r="L27" s="112">
        <f t="shared" si="7"/>
        <v>0</v>
      </c>
      <c r="M27" s="112">
        <f t="shared" si="8"/>
        <v>0</v>
      </c>
      <c r="N27" s="113" t="str">
        <f t="shared" si="12"/>
        <v>FALSO</v>
      </c>
      <c r="O27" s="114" t="str">
        <f t="shared" si="9"/>
        <v/>
      </c>
      <c r="P27" s="115">
        <f t="shared" si="2"/>
        <v>0</v>
      </c>
      <c r="R27" s="82"/>
    </row>
    <row r="28" ht="14.25" customHeight="1">
      <c r="A28" s="116">
        <v>44534.0</v>
      </c>
      <c r="B28" s="116">
        <v>44534.0</v>
      </c>
      <c r="C28" s="116">
        <v>44534.0</v>
      </c>
      <c r="D28" s="109">
        <v>4.0</v>
      </c>
      <c r="E28" s="109">
        <f t="shared" si="3"/>
        <v>82</v>
      </c>
      <c r="F28" s="110">
        <f t="shared" si="4"/>
        <v>0.1</v>
      </c>
      <c r="G28" s="109">
        <f t="shared" si="10"/>
        <v>2.15</v>
      </c>
      <c r="H28" s="109">
        <f t="shared" si="5"/>
        <v>0</v>
      </c>
      <c r="I28" s="111">
        <f t="shared" si="1"/>
        <v>-396</v>
      </c>
      <c r="J28" s="111">
        <f t="shared" si="6"/>
        <v>0</v>
      </c>
      <c r="K28" s="117" t="str">
        <f t="shared" si="11"/>
        <v/>
      </c>
      <c r="L28" s="112">
        <f t="shared" si="7"/>
        <v>0</v>
      </c>
      <c r="M28" s="112">
        <f t="shared" si="8"/>
        <v>0</v>
      </c>
      <c r="N28" s="113" t="str">
        <f t="shared" si="12"/>
        <v>FALSO</v>
      </c>
      <c r="O28" s="114" t="str">
        <f t="shared" si="9"/>
        <v/>
      </c>
      <c r="P28" s="115">
        <f t="shared" si="2"/>
        <v>0</v>
      </c>
      <c r="R28" s="82"/>
    </row>
    <row r="29" ht="14.25" customHeight="1">
      <c r="A29" s="116">
        <v>44624.0</v>
      </c>
      <c r="B29" s="116">
        <v>44624.0</v>
      </c>
      <c r="C29" s="116">
        <v>44624.0</v>
      </c>
      <c r="D29" s="109">
        <v>4.0</v>
      </c>
      <c r="E29" s="109">
        <f t="shared" si="3"/>
        <v>78</v>
      </c>
      <c r="F29" s="110">
        <f t="shared" si="4"/>
        <v>0.1</v>
      </c>
      <c r="G29" s="109">
        <f t="shared" si="10"/>
        <v>2.05</v>
      </c>
      <c r="H29" s="109">
        <f t="shared" si="5"/>
        <v>0</v>
      </c>
      <c r="I29" s="111">
        <f t="shared" si="1"/>
        <v>-306</v>
      </c>
      <c r="J29" s="111">
        <f t="shared" si="6"/>
        <v>0</v>
      </c>
      <c r="K29" s="117" t="str">
        <f t="shared" si="11"/>
        <v/>
      </c>
      <c r="L29" s="112">
        <f t="shared" si="7"/>
        <v>0</v>
      </c>
      <c r="M29" s="112">
        <f t="shared" si="8"/>
        <v>0</v>
      </c>
      <c r="N29" s="113" t="str">
        <f t="shared" si="12"/>
        <v>FALSO</v>
      </c>
      <c r="O29" s="114" t="str">
        <f t="shared" si="9"/>
        <v/>
      </c>
      <c r="P29" s="115">
        <f t="shared" si="2"/>
        <v>0</v>
      </c>
      <c r="R29" s="82"/>
    </row>
    <row r="30" ht="14.25" customHeight="1">
      <c r="A30" s="116">
        <v>44716.0</v>
      </c>
      <c r="B30" s="116">
        <v>44716.0</v>
      </c>
      <c r="C30" s="116">
        <v>44716.0</v>
      </c>
      <c r="D30" s="109">
        <v>4.0</v>
      </c>
      <c r="E30" s="109">
        <f t="shared" si="3"/>
        <v>74</v>
      </c>
      <c r="F30" s="110">
        <f t="shared" si="4"/>
        <v>0.1</v>
      </c>
      <c r="G30" s="109">
        <f t="shared" si="10"/>
        <v>1.95</v>
      </c>
      <c r="H30" s="109">
        <f t="shared" si="5"/>
        <v>0</v>
      </c>
      <c r="I30" s="111">
        <f t="shared" si="1"/>
        <v>-214</v>
      </c>
      <c r="J30" s="111">
        <f t="shared" si="6"/>
        <v>0</v>
      </c>
      <c r="K30" s="117" t="str">
        <f t="shared" si="11"/>
        <v/>
      </c>
      <c r="L30" s="112">
        <f t="shared" si="7"/>
        <v>0</v>
      </c>
      <c r="M30" s="112">
        <f t="shared" si="8"/>
        <v>0</v>
      </c>
      <c r="N30" s="113" t="str">
        <f t="shared" si="12"/>
        <v>FALSO</v>
      </c>
      <c r="O30" s="114" t="str">
        <f t="shared" si="9"/>
        <v/>
      </c>
      <c r="P30" s="115">
        <f t="shared" si="2"/>
        <v>0</v>
      </c>
      <c r="R30" s="82"/>
    </row>
    <row r="31" ht="14.25" customHeight="1">
      <c r="A31" s="116">
        <v>44808.0</v>
      </c>
      <c r="B31" s="116">
        <v>44808.0</v>
      </c>
      <c r="C31" s="116">
        <v>44808.0</v>
      </c>
      <c r="D31" s="109">
        <v>5.0</v>
      </c>
      <c r="E31" s="109">
        <f t="shared" si="3"/>
        <v>69</v>
      </c>
      <c r="F31" s="110">
        <f t="shared" si="4"/>
        <v>0.1</v>
      </c>
      <c r="G31" s="109">
        <f t="shared" si="10"/>
        <v>1.85</v>
      </c>
      <c r="H31" s="109">
        <f t="shared" si="5"/>
        <v>0</v>
      </c>
      <c r="I31" s="111">
        <f t="shared" si="1"/>
        <v>-122</v>
      </c>
      <c r="J31" s="111">
        <f t="shared" si="6"/>
        <v>0</v>
      </c>
      <c r="K31" s="117" t="str">
        <f t="shared" si="11"/>
        <v/>
      </c>
      <c r="L31" s="112">
        <f t="shared" si="7"/>
        <v>0</v>
      </c>
      <c r="M31" s="112">
        <f t="shared" si="8"/>
        <v>0</v>
      </c>
      <c r="N31" s="113" t="str">
        <f t="shared" si="12"/>
        <v>FALSO</v>
      </c>
      <c r="O31" s="114" t="str">
        <f t="shared" si="9"/>
        <v/>
      </c>
      <c r="P31" s="115">
        <f t="shared" si="2"/>
        <v>0</v>
      </c>
      <c r="R31" s="82"/>
    </row>
    <row r="32" ht="14.25" customHeight="1">
      <c r="A32" s="116">
        <v>44899.0</v>
      </c>
      <c r="B32" s="116">
        <v>44899.0</v>
      </c>
      <c r="C32" s="116">
        <v>44899.0</v>
      </c>
      <c r="D32" s="109">
        <v>5.0</v>
      </c>
      <c r="E32" s="109">
        <f t="shared" si="3"/>
        <v>64</v>
      </c>
      <c r="F32" s="110">
        <f t="shared" si="4"/>
        <v>0.1</v>
      </c>
      <c r="G32" s="109">
        <f t="shared" si="10"/>
        <v>1.725</v>
      </c>
      <c r="H32" s="109">
        <f t="shared" si="5"/>
        <v>0</v>
      </c>
      <c r="I32" s="111">
        <f t="shared" si="1"/>
        <v>-31</v>
      </c>
      <c r="J32" s="111">
        <f t="shared" si="6"/>
        <v>0</v>
      </c>
      <c r="K32" s="117" t="str">
        <f t="shared" si="11"/>
        <v/>
      </c>
      <c r="L32" s="112">
        <f t="shared" si="7"/>
        <v>0</v>
      </c>
      <c r="M32" s="112">
        <f t="shared" si="8"/>
        <v>0</v>
      </c>
      <c r="N32" s="113" t="str">
        <f t="shared" si="12"/>
        <v>FALSO</v>
      </c>
      <c r="O32" s="114" t="str">
        <f t="shared" si="9"/>
        <v/>
      </c>
      <c r="P32" s="115">
        <f t="shared" si="2"/>
        <v>0</v>
      </c>
      <c r="R32" s="82"/>
    </row>
    <row r="33" ht="14.25" customHeight="1">
      <c r="A33" s="116">
        <v>44989.0</v>
      </c>
      <c r="B33" s="116">
        <v>44989.0</v>
      </c>
      <c r="C33" s="116">
        <v>44989.0</v>
      </c>
      <c r="D33" s="109">
        <v>5.0</v>
      </c>
      <c r="E33" s="109">
        <f t="shared" si="3"/>
        <v>59</v>
      </c>
      <c r="F33" s="110">
        <f t="shared" si="4"/>
        <v>0.1</v>
      </c>
      <c r="G33" s="109">
        <f t="shared" si="10"/>
        <v>1.6</v>
      </c>
      <c r="H33" s="109">
        <f t="shared" si="5"/>
        <v>6.6</v>
      </c>
      <c r="I33" s="111">
        <f t="shared" si="1"/>
        <v>59</v>
      </c>
      <c r="J33" s="111">
        <f t="shared" si="6"/>
        <v>6.511563755</v>
      </c>
      <c r="K33" s="117">
        <f t="shared" si="11"/>
        <v>64</v>
      </c>
      <c r="L33" s="112">
        <f t="shared" si="7"/>
        <v>0.01052554141</v>
      </c>
      <c r="M33" s="112">
        <f t="shared" si="8"/>
        <v>0.01448539464</v>
      </c>
      <c r="N33" s="111">
        <f t="shared" si="12"/>
        <v>31</v>
      </c>
      <c r="O33" s="114">
        <f t="shared" si="9"/>
        <v>44989</v>
      </c>
      <c r="P33" s="115">
        <f t="shared" si="2"/>
        <v>6.6</v>
      </c>
      <c r="R33" s="82"/>
    </row>
    <row r="34" ht="14.25" customHeight="1">
      <c r="A34" s="116">
        <v>45081.0</v>
      </c>
      <c r="B34" s="116">
        <v>45081.0</v>
      </c>
      <c r="C34" s="116">
        <v>45081.0</v>
      </c>
      <c r="D34" s="109">
        <v>5.0</v>
      </c>
      <c r="E34" s="109">
        <f t="shared" si="3"/>
        <v>54</v>
      </c>
      <c r="F34" s="110">
        <f t="shared" si="4"/>
        <v>0.1</v>
      </c>
      <c r="G34" s="109">
        <f t="shared" si="10"/>
        <v>1.475</v>
      </c>
      <c r="H34" s="109">
        <f t="shared" si="5"/>
        <v>6.475</v>
      </c>
      <c r="I34" s="111">
        <f t="shared" si="1"/>
        <v>151</v>
      </c>
      <c r="J34" s="111">
        <f t="shared" si="6"/>
        <v>6.25526381</v>
      </c>
      <c r="K34" s="117" t="str">
        <f t="shared" si="11"/>
        <v/>
      </c>
      <c r="L34" s="112">
        <f t="shared" si="7"/>
        <v>0.02587794069</v>
      </c>
      <c r="M34" s="112">
        <f t="shared" si="8"/>
        <v>0.0363706535</v>
      </c>
      <c r="N34" s="113">
        <f t="shared" si="12"/>
        <v>0</v>
      </c>
      <c r="O34" s="114">
        <f t="shared" si="9"/>
        <v>45081</v>
      </c>
      <c r="P34" s="115">
        <f t="shared" si="2"/>
        <v>6.475</v>
      </c>
      <c r="R34" s="82"/>
    </row>
    <row r="35" ht="14.25" customHeight="1">
      <c r="A35" s="116">
        <v>45173.0</v>
      </c>
      <c r="B35" s="116">
        <v>45173.0</v>
      </c>
      <c r="C35" s="116">
        <v>45173.0</v>
      </c>
      <c r="D35" s="109">
        <v>5.5</v>
      </c>
      <c r="E35" s="109">
        <f t="shared" si="3"/>
        <v>48.5</v>
      </c>
      <c r="F35" s="110">
        <f t="shared" si="4"/>
        <v>0.1</v>
      </c>
      <c r="G35" s="109">
        <f t="shared" si="10"/>
        <v>1.35</v>
      </c>
      <c r="H35" s="109">
        <f t="shared" si="5"/>
        <v>6.85</v>
      </c>
      <c r="I35" s="111">
        <f t="shared" si="1"/>
        <v>243</v>
      </c>
      <c r="J35" s="111">
        <f t="shared" si="6"/>
        <v>6.479789909</v>
      </c>
      <c r="K35" s="117" t="str">
        <f t="shared" si="11"/>
        <v/>
      </c>
      <c r="L35" s="112">
        <f t="shared" si="7"/>
        <v>0.04313942323</v>
      </c>
      <c r="M35" s="112">
        <f t="shared" si="8"/>
        <v>0.06192004018</v>
      </c>
      <c r="N35" s="113">
        <f t="shared" si="12"/>
        <v>0</v>
      </c>
      <c r="O35" s="114">
        <f t="shared" si="9"/>
        <v>45173</v>
      </c>
      <c r="P35" s="115">
        <f t="shared" si="2"/>
        <v>6.85</v>
      </c>
      <c r="R35" s="82"/>
    </row>
    <row r="36" ht="14.25" customHeight="1">
      <c r="A36" s="116">
        <v>45264.0</v>
      </c>
      <c r="B36" s="116">
        <v>45264.0</v>
      </c>
      <c r="C36" s="116">
        <v>45264.0</v>
      </c>
      <c r="D36" s="109">
        <v>5.5</v>
      </c>
      <c r="E36" s="109">
        <f t="shared" si="3"/>
        <v>43</v>
      </c>
      <c r="F36" s="110">
        <f t="shared" si="4"/>
        <v>0.1</v>
      </c>
      <c r="G36" s="109">
        <f t="shared" si="10"/>
        <v>1.2125</v>
      </c>
      <c r="H36" s="109">
        <f t="shared" si="5"/>
        <v>6.7125</v>
      </c>
      <c r="I36" s="111">
        <f t="shared" si="1"/>
        <v>334</v>
      </c>
      <c r="J36" s="111">
        <f t="shared" si="6"/>
        <v>6.218969793</v>
      </c>
      <c r="K36" s="117" t="str">
        <f t="shared" si="11"/>
        <v/>
      </c>
      <c r="L36" s="112">
        <f t="shared" si="7"/>
        <v>0.05690783318</v>
      </c>
      <c r="M36" s="112">
        <f t="shared" si="8"/>
        <v>0.08339982702</v>
      </c>
      <c r="N36" s="113">
        <f t="shared" si="12"/>
        <v>0</v>
      </c>
      <c r="O36" s="114">
        <f t="shared" si="9"/>
        <v>45264</v>
      </c>
      <c r="P36" s="115">
        <f t="shared" si="2"/>
        <v>6.7125</v>
      </c>
      <c r="R36" s="82"/>
    </row>
    <row r="37" ht="14.25" customHeight="1">
      <c r="A37" s="116">
        <v>45355.0</v>
      </c>
      <c r="B37" s="116">
        <v>45355.0</v>
      </c>
      <c r="C37" s="116">
        <v>45355.0</v>
      </c>
      <c r="D37" s="109">
        <v>5.5</v>
      </c>
      <c r="E37" s="109">
        <f t="shared" si="3"/>
        <v>37.5</v>
      </c>
      <c r="F37" s="110">
        <f t="shared" si="4"/>
        <v>0.1</v>
      </c>
      <c r="G37" s="109">
        <f t="shared" si="10"/>
        <v>1.075</v>
      </c>
      <c r="H37" s="109">
        <f t="shared" si="5"/>
        <v>6.575</v>
      </c>
      <c r="I37" s="111">
        <f t="shared" si="1"/>
        <v>425</v>
      </c>
      <c r="J37" s="111">
        <f t="shared" si="6"/>
        <v>5.96614358</v>
      </c>
      <c r="K37" s="117" t="str">
        <f t="shared" si="11"/>
        <v/>
      </c>
      <c r="L37" s="112">
        <f t="shared" si="7"/>
        <v>0.06946879511</v>
      </c>
      <c r="M37" s="112">
        <f t="shared" si="8"/>
        <v>0.1039487022</v>
      </c>
      <c r="N37" s="113">
        <f t="shared" si="12"/>
        <v>0</v>
      </c>
      <c r="O37" s="114">
        <f t="shared" si="9"/>
        <v>45355</v>
      </c>
      <c r="P37" s="115">
        <f t="shared" si="2"/>
        <v>6.575</v>
      </c>
      <c r="R37" s="82"/>
    </row>
    <row r="38" ht="14.25" customHeight="1">
      <c r="A38" s="116">
        <v>45447.0</v>
      </c>
      <c r="B38" s="116">
        <v>45447.0</v>
      </c>
      <c r="C38" s="116">
        <v>45447.0</v>
      </c>
      <c r="D38" s="109">
        <v>5.5</v>
      </c>
      <c r="E38" s="109">
        <f t="shared" si="3"/>
        <v>32</v>
      </c>
      <c r="F38" s="110">
        <f t="shared" si="4"/>
        <v>0.1</v>
      </c>
      <c r="G38" s="109">
        <f t="shared" si="10"/>
        <v>0.9375</v>
      </c>
      <c r="H38" s="109">
        <f t="shared" si="5"/>
        <v>6.4375</v>
      </c>
      <c r="I38" s="111">
        <f t="shared" si="1"/>
        <v>517</v>
      </c>
      <c r="J38" s="111">
        <f t="shared" si="6"/>
        <v>5.719784701</v>
      </c>
      <c r="K38" s="117" t="str">
        <f t="shared" si="11"/>
        <v/>
      </c>
      <c r="L38" s="112">
        <f t="shared" si="7"/>
        <v>0.08101722439</v>
      </c>
      <c r="M38" s="112">
        <f t="shared" si="8"/>
        <v>0.123806136</v>
      </c>
      <c r="N38" s="113">
        <f t="shared" si="12"/>
        <v>0</v>
      </c>
      <c r="O38" s="114">
        <f t="shared" si="9"/>
        <v>45447</v>
      </c>
      <c r="P38" s="115">
        <f t="shared" si="2"/>
        <v>6.4375</v>
      </c>
      <c r="R38" s="82"/>
    </row>
    <row r="39" ht="14.25" customHeight="1">
      <c r="A39" s="116">
        <v>45539.0</v>
      </c>
      <c r="B39" s="116">
        <v>45539.0</v>
      </c>
      <c r="C39" s="116">
        <v>45539.0</v>
      </c>
      <c r="D39" s="109">
        <v>8.0</v>
      </c>
      <c r="E39" s="109">
        <f t="shared" si="3"/>
        <v>24</v>
      </c>
      <c r="F39" s="110">
        <f t="shared" si="4"/>
        <v>0.1</v>
      </c>
      <c r="G39" s="109">
        <f t="shared" si="10"/>
        <v>0.8</v>
      </c>
      <c r="H39" s="109">
        <f t="shared" si="5"/>
        <v>8.8</v>
      </c>
      <c r="I39" s="111">
        <f t="shared" si="1"/>
        <v>609</v>
      </c>
      <c r="J39" s="111">
        <f t="shared" si="6"/>
        <v>7.656135444</v>
      </c>
      <c r="K39" s="117" t="str">
        <f t="shared" si="11"/>
        <v/>
      </c>
      <c r="L39" s="112">
        <f t="shared" si="7"/>
        <v>0.1277420955</v>
      </c>
      <c r="M39" s="112">
        <f t="shared" si="8"/>
        <v>0.1993583126</v>
      </c>
      <c r="N39" s="113">
        <f t="shared" si="12"/>
        <v>0</v>
      </c>
      <c r="O39" s="114">
        <f t="shared" si="9"/>
        <v>45539</v>
      </c>
      <c r="P39" s="115">
        <f t="shared" si="2"/>
        <v>8.8</v>
      </c>
      <c r="R39" s="82"/>
    </row>
    <row r="40" ht="14.25" customHeight="1">
      <c r="A40" s="116">
        <v>45630.0</v>
      </c>
      <c r="B40" s="116">
        <v>45630.0</v>
      </c>
      <c r="C40" s="116">
        <v>45630.0</v>
      </c>
      <c r="D40" s="109">
        <v>8.0</v>
      </c>
      <c r="E40" s="109">
        <f t="shared" si="3"/>
        <v>16</v>
      </c>
      <c r="F40" s="110">
        <f t="shared" si="4"/>
        <v>0.1</v>
      </c>
      <c r="G40" s="109">
        <f t="shared" si="10"/>
        <v>0.6</v>
      </c>
      <c r="H40" s="109">
        <f t="shared" si="5"/>
        <v>8.6</v>
      </c>
      <c r="I40" s="111">
        <f t="shared" si="1"/>
        <v>700</v>
      </c>
      <c r="J40" s="111">
        <f t="shared" si="6"/>
        <v>7.328062791</v>
      </c>
      <c r="K40" s="117" t="str">
        <f t="shared" si="11"/>
        <v/>
      </c>
      <c r="L40" s="112">
        <f t="shared" si="7"/>
        <v>0.1405381905</v>
      </c>
      <c r="M40" s="112">
        <f t="shared" si="8"/>
        <v>0.2239395884</v>
      </c>
      <c r="N40" s="113">
        <f t="shared" si="12"/>
        <v>0</v>
      </c>
      <c r="O40" s="114">
        <f t="shared" si="9"/>
        <v>45630</v>
      </c>
      <c r="P40" s="115">
        <f t="shared" si="2"/>
        <v>8.6</v>
      </c>
      <c r="R40" s="82"/>
    </row>
    <row r="41" ht="14.25" customHeight="1">
      <c r="A41" s="116">
        <v>45720.0</v>
      </c>
      <c r="B41" s="116">
        <v>45720.0</v>
      </c>
      <c r="C41" s="116">
        <v>45720.0</v>
      </c>
      <c r="D41" s="109">
        <v>8.0</v>
      </c>
      <c r="E41" s="109">
        <f t="shared" si="3"/>
        <v>8</v>
      </c>
      <c r="F41" s="110">
        <f t="shared" si="4"/>
        <v>0.1</v>
      </c>
      <c r="G41" s="109">
        <f t="shared" si="10"/>
        <v>0.4</v>
      </c>
      <c r="H41" s="109">
        <f t="shared" si="5"/>
        <v>8.4</v>
      </c>
      <c r="I41" s="111">
        <f t="shared" si="1"/>
        <v>790</v>
      </c>
      <c r="J41" s="111">
        <f t="shared" si="6"/>
        <v>7.011857973</v>
      </c>
      <c r="K41" s="117" t="str">
        <f t="shared" si="11"/>
        <v/>
      </c>
      <c r="L41" s="112">
        <f t="shared" si="7"/>
        <v>0.1517635013</v>
      </c>
      <c r="M41" s="112">
        <f t="shared" si="8"/>
        <v>0.246854337</v>
      </c>
      <c r="N41" s="113">
        <f t="shared" si="12"/>
        <v>0</v>
      </c>
      <c r="O41" s="114">
        <f t="shared" si="9"/>
        <v>45720</v>
      </c>
      <c r="P41" s="115">
        <f t="shared" si="2"/>
        <v>8.4</v>
      </c>
      <c r="R41" s="82"/>
    </row>
    <row r="42" ht="14.25" customHeight="1">
      <c r="A42" s="116">
        <v>45812.0</v>
      </c>
      <c r="B42" s="116">
        <v>45812.0</v>
      </c>
      <c r="C42" s="116">
        <v>45812.0</v>
      </c>
      <c r="D42" s="109">
        <v>8.0</v>
      </c>
      <c r="E42" s="109">
        <f t="shared" si="3"/>
        <v>0</v>
      </c>
      <c r="F42" s="110">
        <f t="shared" si="4"/>
        <v>0.1</v>
      </c>
      <c r="G42" s="109">
        <f t="shared" si="10"/>
        <v>0.2</v>
      </c>
      <c r="H42" s="109">
        <f t="shared" si="5"/>
        <v>8.2</v>
      </c>
      <c r="I42" s="111">
        <f t="shared" si="1"/>
        <v>882</v>
      </c>
      <c r="J42" s="111">
        <f t="shared" si="6"/>
        <v>6.702428244</v>
      </c>
      <c r="K42" s="117" t="str">
        <f t="shared" si="11"/>
        <v/>
      </c>
      <c r="L42" s="112">
        <f t="shared" si="7"/>
        <v>0.1619600469</v>
      </c>
      <c r="M42" s="112">
        <f t="shared" si="8"/>
        <v>0.2690399799</v>
      </c>
      <c r="N42" s="113">
        <f t="shared" si="12"/>
        <v>0</v>
      </c>
      <c r="O42" s="114">
        <f t="shared" si="9"/>
        <v>45812</v>
      </c>
      <c r="P42" s="115">
        <f t="shared" si="2"/>
        <v>8.2</v>
      </c>
    </row>
    <row r="43" ht="14.25" customHeight="1">
      <c r="H43" s="118">
        <f>SUMIF(I22:I42,"&gt;0",H22:H42)</f>
        <v>73.65</v>
      </c>
      <c r="I43" s="119">
        <f>+H10</f>
        <v>0.08522083266</v>
      </c>
      <c r="J43" s="119">
        <f>SUM(J22:J42)</f>
        <v>0</v>
      </c>
      <c r="K43" s="120">
        <f>SUM(K22:K42)/$E$22</f>
        <v>0.64</v>
      </c>
      <c r="L43" s="121">
        <f t="shared" ref="L43:M43" si="13">SUM(L22:L42)</f>
        <v>0.8689405922</v>
      </c>
      <c r="M43" s="119">
        <f t="shared" si="13"/>
        <v>1.363122971</v>
      </c>
      <c r="N43" s="122">
        <f>SUM(N24:N42)</f>
        <v>31</v>
      </c>
      <c r="O43" s="123">
        <f>MIN(O24:O42)</f>
        <v>44989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73" t="s">
        <v>21</v>
      </c>
      <c r="D2" s="74">
        <v>42397.0</v>
      </c>
      <c r="E2" s="75">
        <v>0.085</v>
      </c>
      <c r="G2" s="71" t="s">
        <v>142</v>
      </c>
      <c r="H2" s="76">
        <f>+E17*100+E11</f>
        <v>103.6833333</v>
      </c>
      <c r="M2" s="77"/>
      <c r="N2" s="78"/>
    </row>
    <row r="3" ht="14.25" customHeight="1">
      <c r="C3" s="71" t="s">
        <v>143</v>
      </c>
      <c r="D3" s="71"/>
      <c r="E3" s="79">
        <v>42122.0</v>
      </c>
      <c r="F3" s="80"/>
      <c r="G3" s="71" t="s">
        <v>144</v>
      </c>
      <c r="H3" s="81">
        <f>IF(E1&gt;D2,E2*E17*E6/E12,"")</f>
        <v>0.09734682191</v>
      </c>
      <c r="I3" s="82"/>
      <c r="L3" s="83"/>
      <c r="M3" s="84"/>
      <c r="N3" s="85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87.76723999</v>
      </c>
      <c r="L4" s="83"/>
      <c r="M4" s="84"/>
      <c r="N4" s="85"/>
    </row>
    <row r="5" ht="14.25" customHeight="1">
      <c r="C5" s="71" t="s">
        <v>147</v>
      </c>
      <c r="D5" s="88"/>
      <c r="E5" s="79">
        <v>42397.0</v>
      </c>
      <c r="G5" s="71" t="s">
        <v>148</v>
      </c>
      <c r="H5" s="89">
        <f>MIN(O22:O34)</f>
        <v>44954</v>
      </c>
      <c r="L5" s="83"/>
      <c r="M5" s="84"/>
      <c r="N5" s="85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MAX(C22:C34)</f>
        <v>45866</v>
      </c>
      <c r="L6" s="83"/>
      <c r="M6" s="84"/>
      <c r="N6" s="85"/>
    </row>
    <row r="7" ht="14.25" customHeight="1">
      <c r="C7" s="91" t="s">
        <v>151</v>
      </c>
      <c r="D7" s="91"/>
      <c r="G7" s="71" t="s">
        <v>152</v>
      </c>
      <c r="H7" s="92">
        <f>+H6-E1</f>
        <v>936</v>
      </c>
      <c r="L7" s="83"/>
      <c r="M7" s="84"/>
      <c r="N7" s="85"/>
    </row>
    <row r="8" ht="14.25" customHeight="1">
      <c r="L8" s="83"/>
      <c r="M8" s="84"/>
      <c r="N8" s="85"/>
    </row>
    <row r="9" ht="14.25" customHeight="1">
      <c r="C9" s="71" t="s">
        <v>153</v>
      </c>
      <c r="D9" s="71"/>
      <c r="E9" s="93">
        <f>+Curva!C4</f>
        <v>91</v>
      </c>
      <c r="G9" s="94"/>
      <c r="H9" s="95" t="s">
        <v>154</v>
      </c>
      <c r="I9" s="95" t="s">
        <v>155</v>
      </c>
      <c r="J9" s="96" t="s">
        <v>156</v>
      </c>
      <c r="L9" s="83"/>
      <c r="M9" s="84"/>
      <c r="N9" s="85"/>
    </row>
    <row r="10" ht="14.25" customHeight="1">
      <c r="C10" s="71" t="s">
        <v>157</v>
      </c>
      <c r="D10" s="71"/>
      <c r="E10" s="97">
        <f t="array" ref="E10">DAYS360(MAX(IF(C23:C34&lt;=E1,C23:C34)),E1,1)</f>
        <v>156</v>
      </c>
      <c r="G10" s="98" t="s">
        <v>158</v>
      </c>
      <c r="H10" s="99">
        <f>+((XIRR(P22:P34,C22:C34)+1)^(1/2)-1)*2</f>
        <v>0.1460674646</v>
      </c>
      <c r="I10" s="99">
        <f>+((XIRR(P22:P34,A22:A34)+1)^(1/2)-1)*2</f>
        <v>0.1458832823</v>
      </c>
      <c r="J10" s="99">
        <f>+((XIRR(P22:P34,B22:B34)+1)^(1/2)-1)*2</f>
        <v>0.1456995706</v>
      </c>
      <c r="L10" s="83"/>
      <c r="M10" s="84"/>
      <c r="N10" s="85"/>
    </row>
    <row r="11" ht="14.25" customHeight="1">
      <c r="C11" s="71" t="s">
        <v>159</v>
      </c>
      <c r="D11" s="71"/>
      <c r="E11" s="100">
        <f>IF(E1&gt;D2,E2/360*E10*E6,"")</f>
        <v>3.683333333</v>
      </c>
      <c r="L11" s="83"/>
      <c r="M11" s="84"/>
      <c r="N11" s="85"/>
    </row>
    <row r="12" ht="14.25" customHeight="1">
      <c r="C12" s="71" t="s">
        <v>160</v>
      </c>
      <c r="D12" s="71"/>
      <c r="E12" s="93">
        <f>+E9-E11</f>
        <v>87.31666667</v>
      </c>
      <c r="L12" s="83"/>
      <c r="M12" s="84"/>
      <c r="N12" s="85"/>
    </row>
    <row r="13" ht="14.25" customHeight="1">
      <c r="C13" s="101"/>
      <c r="D13" s="101"/>
      <c r="L13" s="83"/>
      <c r="M13" s="84"/>
      <c r="N13" s="85"/>
    </row>
    <row r="14" ht="14.25" customHeight="1">
      <c r="C14" s="71" t="s">
        <v>161</v>
      </c>
      <c r="D14" s="71"/>
      <c r="E14" s="100">
        <f>(L35*100)/SUM(J24:J34)</f>
        <v>2.247363846</v>
      </c>
      <c r="L14" s="83"/>
      <c r="M14" s="84"/>
      <c r="N14" s="85"/>
    </row>
    <row r="15" ht="14.25" customHeight="1">
      <c r="C15" s="71" t="s">
        <v>162</v>
      </c>
      <c r="D15" s="71"/>
      <c r="E15" s="100">
        <f>E14/(1+I35/2)</f>
        <v>2.094401861</v>
      </c>
      <c r="M15" s="84"/>
      <c r="N15" s="85"/>
    </row>
    <row r="16" ht="14.25" customHeight="1">
      <c r="C16" s="71" t="s">
        <v>163</v>
      </c>
      <c r="D16" s="71"/>
      <c r="E16" s="100">
        <f>M35</f>
        <v>2.310538667</v>
      </c>
      <c r="M16" s="84"/>
      <c r="N16" s="85"/>
    </row>
    <row r="17" ht="14.25" customHeight="1">
      <c r="C17" s="71" t="s">
        <v>164</v>
      </c>
      <c r="D17" s="71"/>
      <c r="E17" s="100">
        <f>K35</f>
        <v>1</v>
      </c>
      <c r="M17" s="84"/>
      <c r="N17" s="85"/>
    </row>
    <row r="18" ht="14.25" customHeight="1">
      <c r="J18" s="102"/>
    </row>
    <row r="19" ht="14.25" customHeight="1"/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</row>
    <row r="21" ht="14.25" customHeight="1">
      <c r="A21" s="107" t="s">
        <v>155</v>
      </c>
      <c r="B21" s="107" t="s">
        <v>156</v>
      </c>
      <c r="C21" s="107" t="s">
        <v>154</v>
      </c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-91</v>
      </c>
      <c r="I22" s="111">
        <f t="shared" ref="I22:I34" si="1">+C22-$E$1</f>
        <v>0</v>
      </c>
      <c r="J22" s="111">
        <f>H22</f>
        <v>-91</v>
      </c>
      <c r="K22" s="117"/>
      <c r="L22" s="112"/>
      <c r="M22" s="112"/>
      <c r="N22" s="113"/>
      <c r="O22" s="114"/>
      <c r="P22" s="115">
        <f t="shared" ref="P22:P34" si="2">+H22</f>
        <v>-91</v>
      </c>
    </row>
    <row r="23" ht="14.25" customHeight="1">
      <c r="A23" s="116">
        <v>43858.0</v>
      </c>
      <c r="B23" s="116">
        <v>43858.0</v>
      </c>
      <c r="C23" s="116">
        <v>43858.0</v>
      </c>
      <c r="D23" s="109">
        <v>0.0</v>
      </c>
      <c r="E23" s="109">
        <f t="shared" ref="E23:E34" si="3">+E22-D23</f>
        <v>100</v>
      </c>
      <c r="F23" s="110">
        <f t="shared" ref="F23:F34" si="4">IF(C23&gt;$D$2,$E$2,"")</f>
        <v>0.085</v>
      </c>
      <c r="G23" s="109"/>
      <c r="H23" s="109">
        <f t="shared" ref="H23:H34" si="5">+IF(C23&gt;$C$22,D23+G23,0)</f>
        <v>0</v>
      </c>
      <c r="I23" s="111">
        <f t="shared" si="1"/>
        <v>-1072</v>
      </c>
      <c r="J23" s="111">
        <f t="shared" ref="J23:J34" si="6">IF(I23&lt;=0,0,H23/(((1+$I$35/2)^2)^(I23/365)))</f>
        <v>0</v>
      </c>
      <c r="K23" s="117"/>
      <c r="L23" s="112">
        <f t="shared" ref="L23:L34" si="7">J23*(I23/365)/100</f>
        <v>0</v>
      </c>
      <c r="M23" s="112">
        <f t="shared" ref="M23:M34" si="8">IF(I23&lt;0,0,(H23/$H$35)*I23/365)</f>
        <v>0</v>
      </c>
      <c r="N23" s="113" t="str">
        <f>IF(I23&gt;=0,IF(I21&gt;0,0,-I21),"FALSO")</f>
        <v>FALSO</v>
      </c>
      <c r="O23" s="114" t="str">
        <f t="shared" ref="O23:O34" si="9">+IF(C23&gt;$C$22,C23,"")</f>
        <v/>
      </c>
      <c r="P23" s="115">
        <f t="shared" si="2"/>
        <v>0</v>
      </c>
    </row>
    <row r="24" ht="14.25" customHeight="1">
      <c r="A24" s="116">
        <v>44040.0</v>
      </c>
      <c r="B24" s="116">
        <v>44040.0</v>
      </c>
      <c r="C24" s="116">
        <v>44040.0</v>
      </c>
      <c r="D24" s="109">
        <v>0.0</v>
      </c>
      <c r="E24" s="109">
        <f t="shared" si="3"/>
        <v>100</v>
      </c>
      <c r="F24" s="110">
        <f t="shared" si="4"/>
        <v>0.085</v>
      </c>
      <c r="G24" s="109">
        <f t="shared" ref="G24:G34" si="10">IF(F24="","",IF($E$4=365,E23*F24/365*(C24-C23),E23*F24/360*DAYS360(C23,C24)))</f>
        <v>4.25</v>
      </c>
      <c r="H24" s="109">
        <f t="shared" si="5"/>
        <v>0</v>
      </c>
      <c r="I24" s="111">
        <f t="shared" si="1"/>
        <v>-890</v>
      </c>
      <c r="J24" s="111">
        <f t="shared" si="6"/>
        <v>0</v>
      </c>
      <c r="K24" s="112" t="str">
        <f t="shared" ref="K24:K34" si="11">IF(OR(N24="falso",N24=0),"",E23)</f>
        <v/>
      </c>
      <c r="L24" s="112">
        <f t="shared" si="7"/>
        <v>0</v>
      </c>
      <c r="M24" s="112">
        <f t="shared" si="8"/>
        <v>0</v>
      </c>
      <c r="N24" s="113" t="str">
        <f t="shared" ref="N24:N34" si="12">IF(I24&gt;=0,IF(I23&gt;0,0,-I23),"FALSO")</f>
        <v>FALSO</v>
      </c>
      <c r="O24" s="114" t="str">
        <f t="shared" si="9"/>
        <v/>
      </c>
      <c r="P24" s="115">
        <f t="shared" si="2"/>
        <v>0</v>
      </c>
    </row>
    <row r="25" ht="14.25" customHeight="1">
      <c r="A25" s="116">
        <v>44224.0</v>
      </c>
      <c r="B25" s="116">
        <v>44224.0</v>
      </c>
      <c r="C25" s="116">
        <v>44224.0</v>
      </c>
      <c r="D25" s="109">
        <v>0.0</v>
      </c>
      <c r="E25" s="109">
        <f t="shared" si="3"/>
        <v>100</v>
      </c>
      <c r="F25" s="110">
        <f t="shared" si="4"/>
        <v>0.085</v>
      </c>
      <c r="G25" s="109">
        <f t="shared" si="10"/>
        <v>4.25</v>
      </c>
      <c r="H25" s="109">
        <f t="shared" si="5"/>
        <v>0</v>
      </c>
      <c r="I25" s="111">
        <f t="shared" si="1"/>
        <v>-706</v>
      </c>
      <c r="J25" s="111">
        <f t="shared" si="6"/>
        <v>0</v>
      </c>
      <c r="K25" s="117" t="str">
        <f t="shared" si="11"/>
        <v/>
      </c>
      <c r="L25" s="112">
        <f t="shared" si="7"/>
        <v>0</v>
      </c>
      <c r="M25" s="112">
        <f t="shared" si="8"/>
        <v>0</v>
      </c>
      <c r="N25" s="113" t="str">
        <f t="shared" si="12"/>
        <v>FALSO</v>
      </c>
      <c r="O25" s="114" t="str">
        <f t="shared" si="9"/>
        <v/>
      </c>
      <c r="P25" s="115">
        <f t="shared" si="2"/>
        <v>0</v>
      </c>
      <c r="R25" s="82"/>
    </row>
    <row r="26" ht="14.25" customHeight="1">
      <c r="A26" s="116">
        <v>44405.0</v>
      </c>
      <c r="B26" s="116">
        <v>44405.0</v>
      </c>
      <c r="C26" s="116">
        <v>44405.0</v>
      </c>
      <c r="D26" s="109">
        <v>0.0</v>
      </c>
      <c r="E26" s="109">
        <f t="shared" si="3"/>
        <v>100</v>
      </c>
      <c r="F26" s="110">
        <f t="shared" si="4"/>
        <v>0.085</v>
      </c>
      <c r="G26" s="109">
        <f t="shared" si="10"/>
        <v>4.25</v>
      </c>
      <c r="H26" s="109">
        <f t="shared" si="5"/>
        <v>0</v>
      </c>
      <c r="I26" s="111">
        <f t="shared" si="1"/>
        <v>-525</v>
      </c>
      <c r="J26" s="111">
        <f t="shared" si="6"/>
        <v>0</v>
      </c>
      <c r="K26" s="117" t="str">
        <f t="shared" si="11"/>
        <v/>
      </c>
      <c r="L26" s="112">
        <f t="shared" si="7"/>
        <v>0</v>
      </c>
      <c r="M26" s="112">
        <f t="shared" si="8"/>
        <v>0</v>
      </c>
      <c r="N26" s="113" t="str">
        <f t="shared" si="12"/>
        <v>FALSO</v>
      </c>
      <c r="O26" s="114" t="str">
        <f t="shared" si="9"/>
        <v/>
      </c>
      <c r="P26" s="115">
        <f t="shared" si="2"/>
        <v>0</v>
      </c>
      <c r="R26" s="82"/>
    </row>
    <row r="27" ht="14.25" customHeight="1">
      <c r="A27" s="116">
        <v>44589.0</v>
      </c>
      <c r="B27" s="116">
        <v>44589.0</v>
      </c>
      <c r="C27" s="116">
        <v>44589.0</v>
      </c>
      <c r="D27" s="109">
        <v>0.0</v>
      </c>
      <c r="E27" s="109">
        <f t="shared" si="3"/>
        <v>100</v>
      </c>
      <c r="F27" s="110">
        <f t="shared" si="4"/>
        <v>0.085</v>
      </c>
      <c r="G27" s="109">
        <f t="shared" si="10"/>
        <v>4.25</v>
      </c>
      <c r="H27" s="109">
        <f t="shared" si="5"/>
        <v>0</v>
      </c>
      <c r="I27" s="111">
        <f t="shared" si="1"/>
        <v>-341</v>
      </c>
      <c r="J27" s="111">
        <f t="shared" si="6"/>
        <v>0</v>
      </c>
      <c r="K27" s="117" t="str">
        <f t="shared" si="11"/>
        <v/>
      </c>
      <c r="L27" s="112">
        <f t="shared" si="7"/>
        <v>0</v>
      </c>
      <c r="M27" s="112">
        <f t="shared" si="8"/>
        <v>0</v>
      </c>
      <c r="N27" s="113" t="str">
        <f t="shared" si="12"/>
        <v>FALSO</v>
      </c>
      <c r="O27" s="114" t="str">
        <f t="shared" si="9"/>
        <v/>
      </c>
      <c r="P27" s="115">
        <f t="shared" si="2"/>
        <v>0</v>
      </c>
      <c r="R27" s="82"/>
    </row>
    <row r="28" ht="14.25" customHeight="1">
      <c r="A28" s="116">
        <v>44770.0</v>
      </c>
      <c r="B28" s="116">
        <v>44770.0</v>
      </c>
      <c r="C28" s="116">
        <v>44770.0</v>
      </c>
      <c r="D28" s="109">
        <v>0.0</v>
      </c>
      <c r="E28" s="109">
        <f t="shared" si="3"/>
        <v>100</v>
      </c>
      <c r="F28" s="110">
        <f t="shared" si="4"/>
        <v>0.085</v>
      </c>
      <c r="G28" s="109">
        <f t="shared" si="10"/>
        <v>4.25</v>
      </c>
      <c r="H28" s="109">
        <f t="shared" si="5"/>
        <v>0</v>
      </c>
      <c r="I28" s="111">
        <f t="shared" si="1"/>
        <v>-160</v>
      </c>
      <c r="J28" s="111">
        <f t="shared" si="6"/>
        <v>0</v>
      </c>
      <c r="K28" s="117" t="str">
        <f t="shared" si="11"/>
        <v/>
      </c>
      <c r="L28" s="112">
        <f t="shared" si="7"/>
        <v>0</v>
      </c>
      <c r="M28" s="112">
        <f t="shared" si="8"/>
        <v>0</v>
      </c>
      <c r="N28" s="113" t="str">
        <f t="shared" si="12"/>
        <v>FALSO</v>
      </c>
      <c r="O28" s="114" t="str">
        <f t="shared" si="9"/>
        <v/>
      </c>
      <c r="P28" s="115">
        <f t="shared" si="2"/>
        <v>0</v>
      </c>
      <c r="R28" s="82"/>
    </row>
    <row r="29" ht="14.25" customHeight="1">
      <c r="A29" s="116">
        <v>44954.0</v>
      </c>
      <c r="B29" s="116">
        <v>44954.0</v>
      </c>
      <c r="C29" s="116">
        <v>44954.0</v>
      </c>
      <c r="D29" s="109">
        <v>0.0</v>
      </c>
      <c r="E29" s="109">
        <f t="shared" si="3"/>
        <v>100</v>
      </c>
      <c r="F29" s="110">
        <f t="shared" si="4"/>
        <v>0.085</v>
      </c>
      <c r="G29" s="109">
        <f t="shared" si="10"/>
        <v>4.25</v>
      </c>
      <c r="H29" s="109">
        <f t="shared" si="5"/>
        <v>4.25</v>
      </c>
      <c r="I29" s="111">
        <f t="shared" si="1"/>
        <v>24</v>
      </c>
      <c r="J29" s="111">
        <f t="shared" si="6"/>
        <v>4.210784946</v>
      </c>
      <c r="K29" s="117">
        <f t="shared" si="11"/>
        <v>100</v>
      </c>
      <c r="L29" s="112">
        <f t="shared" si="7"/>
        <v>0.002768735307</v>
      </c>
      <c r="M29" s="112">
        <f t="shared" si="8"/>
        <v>0.0022267096</v>
      </c>
      <c r="N29" s="111">
        <f t="shared" si="12"/>
        <v>160</v>
      </c>
      <c r="O29" s="114">
        <f t="shared" si="9"/>
        <v>44954</v>
      </c>
      <c r="P29" s="115">
        <f t="shared" si="2"/>
        <v>4.25</v>
      </c>
      <c r="R29" s="82"/>
    </row>
    <row r="30" ht="14.25" customHeight="1">
      <c r="A30" s="116">
        <v>45135.0</v>
      </c>
      <c r="B30" s="116">
        <v>45135.0</v>
      </c>
      <c r="C30" s="116">
        <v>45135.0</v>
      </c>
      <c r="D30" s="109">
        <v>0.0</v>
      </c>
      <c r="E30" s="109">
        <f t="shared" si="3"/>
        <v>100</v>
      </c>
      <c r="F30" s="110">
        <f t="shared" si="4"/>
        <v>0.085</v>
      </c>
      <c r="G30" s="109">
        <f t="shared" si="10"/>
        <v>4.25</v>
      </c>
      <c r="H30" s="109">
        <f t="shared" si="5"/>
        <v>4.25</v>
      </c>
      <c r="I30" s="111">
        <f t="shared" si="1"/>
        <v>205</v>
      </c>
      <c r="J30" s="111">
        <f t="shared" si="6"/>
        <v>3.926461139</v>
      </c>
      <c r="K30" s="117" t="str">
        <f t="shared" si="11"/>
        <v/>
      </c>
      <c r="L30" s="112">
        <f t="shared" si="7"/>
        <v>0.02205272695</v>
      </c>
      <c r="M30" s="112">
        <f t="shared" si="8"/>
        <v>0.01901981117</v>
      </c>
      <c r="N30" s="113">
        <f t="shared" si="12"/>
        <v>0</v>
      </c>
      <c r="O30" s="114">
        <f t="shared" si="9"/>
        <v>45135</v>
      </c>
      <c r="P30" s="115">
        <f t="shared" si="2"/>
        <v>4.25</v>
      </c>
      <c r="R30" s="82"/>
    </row>
    <row r="31" ht="14.25" customHeight="1">
      <c r="A31" s="116">
        <v>45319.0</v>
      </c>
      <c r="B31" s="116">
        <v>45319.0</v>
      </c>
      <c r="C31" s="116">
        <v>45319.0</v>
      </c>
      <c r="D31" s="109">
        <v>0.0</v>
      </c>
      <c r="E31" s="109">
        <f t="shared" si="3"/>
        <v>100</v>
      </c>
      <c r="F31" s="110">
        <f t="shared" si="4"/>
        <v>0.085</v>
      </c>
      <c r="G31" s="109">
        <f t="shared" si="10"/>
        <v>4.25</v>
      </c>
      <c r="H31" s="109">
        <f t="shared" si="5"/>
        <v>4.25</v>
      </c>
      <c r="I31" s="111">
        <f t="shared" si="1"/>
        <v>389</v>
      </c>
      <c r="J31" s="111">
        <f t="shared" si="6"/>
        <v>3.657095588</v>
      </c>
      <c r="K31" s="117" t="str">
        <f t="shared" si="11"/>
        <v/>
      </c>
      <c r="L31" s="112">
        <f t="shared" si="7"/>
        <v>0.03897562147</v>
      </c>
      <c r="M31" s="112">
        <f t="shared" si="8"/>
        <v>0.03609125143</v>
      </c>
      <c r="N31" s="113">
        <f t="shared" si="12"/>
        <v>0</v>
      </c>
      <c r="O31" s="114">
        <f t="shared" si="9"/>
        <v>45319</v>
      </c>
      <c r="P31" s="115">
        <f t="shared" si="2"/>
        <v>4.25</v>
      </c>
      <c r="R31" s="82"/>
    </row>
    <row r="32" ht="14.25" customHeight="1">
      <c r="A32" s="116">
        <v>45501.0</v>
      </c>
      <c r="B32" s="116">
        <v>45501.0</v>
      </c>
      <c r="C32" s="116">
        <v>45501.0</v>
      </c>
      <c r="D32" s="109">
        <v>0.0</v>
      </c>
      <c r="E32" s="109">
        <f t="shared" si="3"/>
        <v>100</v>
      </c>
      <c r="F32" s="110">
        <f t="shared" si="4"/>
        <v>0.085</v>
      </c>
      <c r="G32" s="109">
        <f t="shared" si="10"/>
        <v>4.25</v>
      </c>
      <c r="H32" s="109">
        <f t="shared" si="5"/>
        <v>4.25</v>
      </c>
      <c r="I32" s="111">
        <f t="shared" si="1"/>
        <v>571</v>
      </c>
      <c r="J32" s="111">
        <f t="shared" si="6"/>
        <v>3.408841507</v>
      </c>
      <c r="K32" s="117" t="str">
        <f t="shared" si="11"/>
        <v/>
      </c>
      <c r="L32" s="112">
        <f t="shared" si="7"/>
        <v>0.05332735618</v>
      </c>
      <c r="M32" s="112">
        <f t="shared" si="8"/>
        <v>0.05297713257</v>
      </c>
      <c r="N32" s="113">
        <f t="shared" si="12"/>
        <v>0</v>
      </c>
      <c r="O32" s="114">
        <f t="shared" si="9"/>
        <v>45501</v>
      </c>
      <c r="P32" s="115">
        <f t="shared" si="2"/>
        <v>4.25</v>
      </c>
      <c r="R32" s="82"/>
    </row>
    <row r="33" ht="14.25" customHeight="1">
      <c r="A33" s="116">
        <v>45685.0</v>
      </c>
      <c r="B33" s="116">
        <v>45685.0</v>
      </c>
      <c r="C33" s="116">
        <v>45685.0</v>
      </c>
      <c r="D33" s="109">
        <v>0.0</v>
      </c>
      <c r="E33" s="109">
        <f t="shared" si="3"/>
        <v>100</v>
      </c>
      <c r="F33" s="110">
        <f t="shared" si="4"/>
        <v>0.085</v>
      </c>
      <c r="G33" s="109">
        <f t="shared" si="10"/>
        <v>4.25</v>
      </c>
      <c r="H33" s="109">
        <f t="shared" si="5"/>
        <v>4.25</v>
      </c>
      <c r="I33" s="111">
        <f t="shared" si="1"/>
        <v>755</v>
      </c>
      <c r="J33" s="111">
        <f t="shared" si="6"/>
        <v>3.174986023</v>
      </c>
      <c r="K33" s="117" t="str">
        <f t="shared" si="11"/>
        <v/>
      </c>
      <c r="L33" s="112">
        <f t="shared" si="7"/>
        <v>0.06567436842</v>
      </c>
      <c r="M33" s="112">
        <f t="shared" si="8"/>
        <v>0.07004857283</v>
      </c>
      <c r="N33" s="113">
        <f t="shared" si="12"/>
        <v>0</v>
      </c>
      <c r="O33" s="114">
        <f t="shared" si="9"/>
        <v>45685</v>
      </c>
      <c r="P33" s="115">
        <f t="shared" si="2"/>
        <v>4.25</v>
      </c>
      <c r="R33" s="82"/>
    </row>
    <row r="34" ht="14.25" customHeight="1">
      <c r="A34" s="116">
        <v>45866.0</v>
      </c>
      <c r="B34" s="116">
        <v>45866.0</v>
      </c>
      <c r="C34" s="116">
        <v>45866.0</v>
      </c>
      <c r="D34" s="109">
        <v>100.0</v>
      </c>
      <c r="E34" s="109">
        <f t="shared" si="3"/>
        <v>0</v>
      </c>
      <c r="F34" s="110">
        <f t="shared" si="4"/>
        <v>0.085</v>
      </c>
      <c r="G34" s="109">
        <f t="shared" si="10"/>
        <v>4.25</v>
      </c>
      <c r="H34" s="109">
        <f t="shared" si="5"/>
        <v>104.25</v>
      </c>
      <c r="I34" s="111">
        <f t="shared" si="1"/>
        <v>936</v>
      </c>
      <c r="J34" s="111">
        <f t="shared" si="6"/>
        <v>72.6218308</v>
      </c>
      <c r="K34" s="117" t="str">
        <f t="shared" si="11"/>
        <v/>
      </c>
      <c r="L34" s="112">
        <f t="shared" si="7"/>
        <v>1.862302291</v>
      </c>
      <c r="M34" s="112">
        <f t="shared" si="8"/>
        <v>2.13017519</v>
      </c>
      <c r="N34" s="113">
        <f t="shared" si="12"/>
        <v>0</v>
      </c>
      <c r="O34" s="114">
        <f t="shared" si="9"/>
        <v>45866</v>
      </c>
      <c r="P34" s="115">
        <f t="shared" si="2"/>
        <v>104.25</v>
      </c>
      <c r="R34" s="82"/>
    </row>
    <row r="35" ht="14.25" customHeight="1">
      <c r="H35" s="118">
        <f>SUMIF(I22:I34,"&gt;0",H22:H34)</f>
        <v>125.5</v>
      </c>
      <c r="I35" s="119">
        <f>+H10</f>
        <v>0.1460674646</v>
      </c>
      <c r="J35" s="119">
        <f>SUM(J22:J34)</f>
        <v>0.0000000001527951099</v>
      </c>
      <c r="K35" s="120">
        <f>SUM(K22:K34)/$E$22</f>
        <v>1</v>
      </c>
      <c r="L35" s="121">
        <f t="shared" ref="L35:M35" si="13">SUM(L22:L34)</f>
        <v>2.045101099</v>
      </c>
      <c r="M35" s="119">
        <f t="shared" si="13"/>
        <v>2.310538667</v>
      </c>
      <c r="N35" s="122">
        <f>SUM(N24:N34)</f>
        <v>160</v>
      </c>
      <c r="O35" s="123">
        <f>MIN(O24:O34)</f>
        <v>44954</v>
      </c>
    </row>
    <row r="36" ht="14.25" customHeight="1"/>
    <row r="37" ht="14.25" customHeight="1">
      <c r="C37" s="116"/>
    </row>
    <row r="38" ht="14.25" customHeight="1">
      <c r="C38" s="116"/>
    </row>
    <row r="39" ht="14.25" customHeight="1">
      <c r="C39" s="116"/>
    </row>
    <row r="40" ht="14.25" customHeight="1">
      <c r="C40" s="116"/>
    </row>
    <row r="41" ht="14.25" customHeight="1">
      <c r="C41" s="116"/>
    </row>
    <row r="42" ht="14.25" customHeight="1">
      <c r="C42" s="116"/>
    </row>
    <row r="43" ht="14.25" customHeight="1">
      <c r="C43" s="116"/>
    </row>
    <row r="44" ht="14.25" customHeight="1">
      <c r="C44" s="116"/>
    </row>
    <row r="45" ht="14.25" customHeight="1">
      <c r="C45" s="116"/>
    </row>
    <row r="46" ht="14.25" customHeight="1">
      <c r="C46" s="116"/>
    </row>
    <row r="47" ht="14.25" customHeight="1">
      <c r="C47" s="116"/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7" width="16.86"/>
    <col customWidth="1" min="8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73" t="s">
        <v>21</v>
      </c>
      <c r="D2" s="74">
        <v>44239.0</v>
      </c>
      <c r="E2" s="75">
        <v>0.1</v>
      </c>
      <c r="G2" s="71" t="s">
        <v>142</v>
      </c>
      <c r="H2" s="76">
        <f>+E17*100+E11</f>
        <v>101.4444444</v>
      </c>
      <c r="M2" s="77"/>
      <c r="N2" s="78"/>
    </row>
    <row r="3" ht="14.25" customHeight="1">
      <c r="C3" s="71" t="s">
        <v>143</v>
      </c>
      <c r="D3" s="71"/>
      <c r="E3" s="79">
        <v>44147.0</v>
      </c>
      <c r="F3" s="80"/>
      <c r="G3" s="71" t="s">
        <v>144</v>
      </c>
      <c r="H3" s="81">
        <f>IF(E1&gt;D2,E2*E17*E6/E12,"")</f>
        <v>0.09433467848</v>
      </c>
      <c r="I3" s="82"/>
      <c r="L3" s="83"/>
      <c r="M3" s="84"/>
      <c r="N3" s="85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105.9200438</v>
      </c>
      <c r="L4" s="83"/>
      <c r="M4" s="84"/>
      <c r="N4" s="85"/>
    </row>
    <row r="5" ht="14.25" customHeight="1">
      <c r="C5" s="71" t="s">
        <v>147</v>
      </c>
      <c r="D5" s="88"/>
      <c r="E5" s="79">
        <v>44239.0</v>
      </c>
      <c r="G5" s="71" t="s">
        <v>148</v>
      </c>
      <c r="H5" s="89">
        <f>MIN(O22:O32)</f>
        <v>44969</v>
      </c>
      <c r="L5" s="83"/>
      <c r="M5" s="84"/>
      <c r="N5" s="85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MAX(C22:C32)</f>
        <v>44969</v>
      </c>
      <c r="L6" s="83"/>
      <c r="M6" s="84"/>
      <c r="N6" s="85"/>
    </row>
    <row r="7" ht="14.25" customHeight="1">
      <c r="C7" s="91" t="s">
        <v>151</v>
      </c>
      <c r="D7" s="91"/>
      <c r="G7" s="71" t="s">
        <v>152</v>
      </c>
      <c r="H7" s="92">
        <f>+H6-E1</f>
        <v>39</v>
      </c>
      <c r="L7" s="83"/>
      <c r="M7" s="84"/>
      <c r="N7" s="85"/>
    </row>
    <row r="8" ht="14.25" customHeight="1">
      <c r="L8" s="83"/>
      <c r="M8" s="84"/>
      <c r="N8" s="85"/>
    </row>
    <row r="9" ht="14.25" customHeight="1">
      <c r="C9" s="71" t="s">
        <v>153</v>
      </c>
      <c r="D9" s="71"/>
      <c r="E9" s="93">
        <f>+Curva!C5</f>
        <v>107.45</v>
      </c>
      <c r="G9" s="94"/>
      <c r="H9" s="95" t="s">
        <v>154</v>
      </c>
      <c r="I9" s="95" t="s">
        <v>155</v>
      </c>
      <c r="J9" s="96" t="s">
        <v>156</v>
      </c>
      <c r="L9" s="83"/>
      <c r="M9" s="84"/>
      <c r="N9" s="85"/>
    </row>
    <row r="10" ht="14.25" customHeight="1">
      <c r="C10" s="71" t="s">
        <v>157</v>
      </c>
      <c r="D10" s="71"/>
      <c r="E10" s="97">
        <f t="array" ref="E10">DAYS360(MAX(IF(C23:C32&lt;=E1,C23:C32)),E1,1)</f>
        <v>52</v>
      </c>
      <c r="G10" s="98" t="s">
        <v>158</v>
      </c>
      <c r="H10" s="99" t="str">
        <f>+((XIRR(P22:P32,C22:C32)+1)^(1/2)-1)*2</f>
        <v>#NUM!</v>
      </c>
      <c r="I10" s="99" t="str">
        <f>+((XIRR(P22:P32,A22:A32)+1)^(1/2)-1)*2</f>
        <v>#NUM!</v>
      </c>
      <c r="J10" s="99" t="str">
        <f>+((XIRR(P22:P32,B22:B32)+1)^(1/2)-1)*2</f>
        <v>#NUM!</v>
      </c>
      <c r="L10" s="83"/>
      <c r="M10" s="84"/>
      <c r="N10" s="85"/>
    </row>
    <row r="11" ht="14.25" customHeight="1">
      <c r="C11" s="71" t="s">
        <v>159</v>
      </c>
      <c r="D11" s="71"/>
      <c r="E11" s="76">
        <f>+($E$2*$E$6/4)*$H$12/$H$13</f>
        <v>1.444444444</v>
      </c>
      <c r="L11" s="83"/>
      <c r="M11" s="84"/>
      <c r="N11" s="85"/>
    </row>
    <row r="12" ht="14.25" customHeight="1">
      <c r="C12" s="71" t="s">
        <v>160</v>
      </c>
      <c r="D12" s="71"/>
      <c r="E12" s="93">
        <f>+E9-E11</f>
        <v>106.0055556</v>
      </c>
      <c r="G12" s="126" t="s">
        <v>187</v>
      </c>
      <c r="H12" s="127">
        <f>COUPDAYBS(C22,C32,4,0)</f>
        <v>52</v>
      </c>
      <c r="L12" s="83"/>
      <c r="M12" s="84"/>
      <c r="N12" s="85"/>
    </row>
    <row r="13" ht="14.25" customHeight="1">
      <c r="C13" s="101"/>
      <c r="D13" s="101"/>
      <c r="G13" s="126" t="s">
        <v>188</v>
      </c>
      <c r="H13" s="128">
        <f>COUPDAYS(C22,C32,4)</f>
        <v>90</v>
      </c>
      <c r="L13" s="83"/>
      <c r="M13" s="84"/>
      <c r="N13" s="85"/>
    </row>
    <row r="14" ht="14.25" customHeight="1">
      <c r="C14" s="71" t="s">
        <v>161</v>
      </c>
      <c r="D14" s="71"/>
      <c r="E14" s="100" t="str">
        <f>(L33*100)/SUM(J24:J32)</f>
        <v>#NUM!</v>
      </c>
      <c r="G14" s="126" t="s">
        <v>189</v>
      </c>
      <c r="H14" s="129">
        <f>+($E$2*$E$6/4)*$H$12/$H$13</f>
        <v>1.444444444</v>
      </c>
      <c r="L14" s="83"/>
      <c r="M14" s="84"/>
      <c r="N14" s="85"/>
    </row>
    <row r="15" ht="14.25" customHeight="1">
      <c r="C15" s="71" t="s">
        <v>162</v>
      </c>
      <c r="D15" s="71"/>
      <c r="E15" s="100" t="str">
        <f>E14/(1+I33/2)</f>
        <v>#NUM!</v>
      </c>
      <c r="M15" s="84"/>
      <c r="N15" s="85"/>
    </row>
    <row r="16" ht="14.25" customHeight="1">
      <c r="C16" s="71" t="s">
        <v>163</v>
      </c>
      <c r="D16" s="71"/>
      <c r="E16" s="100">
        <f>M33</f>
        <v>0.1068493151</v>
      </c>
      <c r="M16" s="84"/>
      <c r="N16" s="85"/>
      <c r="O16" s="116"/>
    </row>
    <row r="17" ht="14.25" customHeight="1">
      <c r="C17" s="71" t="s">
        <v>164</v>
      </c>
      <c r="D17" s="71"/>
      <c r="E17" s="100">
        <f>K33</f>
        <v>1</v>
      </c>
      <c r="M17" s="84"/>
      <c r="N17" s="85"/>
    </row>
    <row r="18" ht="14.25" customHeight="1">
      <c r="J18" s="102"/>
    </row>
    <row r="19" ht="14.25" customHeight="1"/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</row>
    <row r="21" ht="14.25" customHeight="1">
      <c r="A21" s="107" t="s">
        <v>155</v>
      </c>
      <c r="B21" s="107" t="s">
        <v>156</v>
      </c>
      <c r="C21" s="107" t="s">
        <v>154</v>
      </c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-107.45</v>
      </c>
      <c r="I22" s="111">
        <f t="shared" ref="I22:I32" si="1">+C22-$E$1</f>
        <v>0</v>
      </c>
      <c r="J22" s="111">
        <f>H22</f>
        <v>-107.45</v>
      </c>
      <c r="K22" s="117"/>
      <c r="L22" s="112"/>
      <c r="M22" s="112"/>
      <c r="N22" s="113"/>
      <c r="O22" s="114"/>
      <c r="P22" s="115">
        <f t="shared" ref="P22:P32" si="2">+H22</f>
        <v>-107.45</v>
      </c>
    </row>
    <row r="23" ht="14.25" customHeight="1">
      <c r="A23" s="116">
        <v>44147.0</v>
      </c>
      <c r="B23" s="116">
        <v>44147.0</v>
      </c>
      <c r="C23" s="116">
        <v>44147.0</v>
      </c>
      <c r="D23" s="109">
        <v>0.0</v>
      </c>
      <c r="E23" s="109">
        <f t="shared" ref="E23:E32" si="3">+E22-D23</f>
        <v>100</v>
      </c>
      <c r="F23" s="110" t="str">
        <f>IF(C23&gt;$D$2,$E$2,"")</f>
        <v/>
      </c>
      <c r="G23" s="109"/>
      <c r="H23" s="109">
        <f t="shared" ref="H23:H32" si="4">+IF(C23&gt;$C$22,D23+G23,0)</f>
        <v>0</v>
      </c>
      <c r="I23" s="111">
        <f t="shared" si="1"/>
        <v>-783</v>
      </c>
      <c r="J23" s="111">
        <f t="shared" ref="J23:J32" si="5">IF(I23&lt;=0,0,H23/(((1+$I$33/2)^2)^(I23/365)))</f>
        <v>0</v>
      </c>
      <c r="K23" s="117"/>
      <c r="L23" s="112">
        <f t="shared" ref="L23:L32" si="6">J23*(I23/365)/100</f>
        <v>0</v>
      </c>
      <c r="M23" s="112">
        <f t="shared" ref="M23:M32" si="7">IF(I23&lt;0,0,(H23/$H$33)*I23/365)</f>
        <v>0</v>
      </c>
      <c r="N23" s="113" t="str">
        <f>IF(I23&gt;=0,IF(I21&gt;0,0,-I21),"FALSO")</f>
        <v>FALSO</v>
      </c>
      <c r="O23" s="114" t="str">
        <f t="shared" ref="O23:O32" si="8">+IF(C23&gt;$C$22,C23,"")</f>
        <v/>
      </c>
      <c r="P23" s="115">
        <f t="shared" si="2"/>
        <v>0</v>
      </c>
    </row>
    <row r="24" ht="14.25" customHeight="1">
      <c r="A24" s="116">
        <v>44239.0</v>
      </c>
      <c r="B24" s="116">
        <v>44239.0</v>
      </c>
      <c r="C24" s="116">
        <v>44239.0</v>
      </c>
      <c r="D24" s="109">
        <v>0.0</v>
      </c>
      <c r="E24" s="109">
        <f t="shared" si="3"/>
        <v>100</v>
      </c>
      <c r="F24" s="110">
        <f>IF(C24&gt;=$D$2,$E$2,"")</f>
        <v>0.1</v>
      </c>
      <c r="G24" s="109">
        <f t="shared" ref="G24:G32" si="9">IF(F24="","",IF($E$4=365,E23*F24/365*(C24-C23),E23*F24/360*DAYS360(C23,C24)))</f>
        <v>2.5</v>
      </c>
      <c r="H24" s="109">
        <f t="shared" si="4"/>
        <v>0</v>
      </c>
      <c r="I24" s="111">
        <f t="shared" si="1"/>
        <v>-691</v>
      </c>
      <c r="J24" s="111">
        <f t="shared" si="5"/>
        <v>0</v>
      </c>
      <c r="K24" s="112" t="str">
        <f t="shared" ref="K24:K32" si="10">IF(OR(N24="falso",N24=0),"",E23)</f>
        <v/>
      </c>
      <c r="L24" s="112">
        <f t="shared" si="6"/>
        <v>0</v>
      </c>
      <c r="M24" s="112">
        <f t="shared" si="7"/>
        <v>0</v>
      </c>
      <c r="N24" s="113" t="str">
        <f t="shared" ref="N24:N32" si="11">IF(I24&gt;=0,IF(I23&gt;0,0,-I23),"FALSO")</f>
        <v>FALSO</v>
      </c>
      <c r="O24" s="114" t="str">
        <f t="shared" si="8"/>
        <v/>
      </c>
      <c r="P24" s="115">
        <f t="shared" si="2"/>
        <v>0</v>
      </c>
    </row>
    <row r="25" ht="14.25" customHeight="1">
      <c r="A25" s="116">
        <v>44328.0</v>
      </c>
      <c r="B25" s="116">
        <v>44328.0</v>
      </c>
      <c r="C25" s="116">
        <v>44328.0</v>
      </c>
      <c r="D25" s="109">
        <v>0.0</v>
      </c>
      <c r="E25" s="109">
        <f t="shared" si="3"/>
        <v>100</v>
      </c>
      <c r="F25" s="110">
        <f t="shared" ref="F25:F32" si="12">IF(C25&gt;$D$2,$E$2,"")</f>
        <v>0.1</v>
      </c>
      <c r="G25" s="109">
        <f t="shared" si="9"/>
        <v>2.5</v>
      </c>
      <c r="H25" s="109">
        <f t="shared" si="4"/>
        <v>0</v>
      </c>
      <c r="I25" s="111">
        <f t="shared" si="1"/>
        <v>-602</v>
      </c>
      <c r="J25" s="111">
        <f t="shared" si="5"/>
        <v>0</v>
      </c>
      <c r="K25" s="117" t="str">
        <f t="shared" si="10"/>
        <v/>
      </c>
      <c r="L25" s="112">
        <f t="shared" si="6"/>
        <v>0</v>
      </c>
      <c r="M25" s="112">
        <f t="shared" si="7"/>
        <v>0</v>
      </c>
      <c r="N25" s="113" t="str">
        <f t="shared" si="11"/>
        <v>FALSO</v>
      </c>
      <c r="O25" s="114" t="str">
        <f t="shared" si="8"/>
        <v/>
      </c>
      <c r="P25" s="115">
        <f t="shared" si="2"/>
        <v>0</v>
      </c>
      <c r="R25" s="82"/>
    </row>
    <row r="26" ht="14.25" customHeight="1">
      <c r="A26" s="116">
        <v>44420.0</v>
      </c>
      <c r="B26" s="116">
        <v>44420.0</v>
      </c>
      <c r="C26" s="116">
        <v>44420.0</v>
      </c>
      <c r="D26" s="109">
        <v>0.0</v>
      </c>
      <c r="E26" s="109">
        <f t="shared" si="3"/>
        <v>100</v>
      </c>
      <c r="F26" s="110">
        <f t="shared" si="12"/>
        <v>0.1</v>
      </c>
      <c r="G26" s="109">
        <f t="shared" si="9"/>
        <v>2.5</v>
      </c>
      <c r="H26" s="109">
        <f t="shared" si="4"/>
        <v>0</v>
      </c>
      <c r="I26" s="111">
        <f t="shared" si="1"/>
        <v>-510</v>
      </c>
      <c r="J26" s="111">
        <f t="shared" si="5"/>
        <v>0</v>
      </c>
      <c r="K26" s="117" t="str">
        <f t="shared" si="10"/>
        <v/>
      </c>
      <c r="L26" s="112">
        <f t="shared" si="6"/>
        <v>0</v>
      </c>
      <c r="M26" s="112">
        <f t="shared" si="7"/>
        <v>0</v>
      </c>
      <c r="N26" s="113" t="str">
        <f t="shared" si="11"/>
        <v>FALSO</v>
      </c>
      <c r="O26" s="114" t="str">
        <f t="shared" si="8"/>
        <v/>
      </c>
      <c r="P26" s="115">
        <f t="shared" si="2"/>
        <v>0</v>
      </c>
      <c r="R26" s="82"/>
    </row>
    <row r="27" ht="14.25" customHeight="1">
      <c r="A27" s="116">
        <v>44512.0</v>
      </c>
      <c r="B27" s="116">
        <v>44512.0</v>
      </c>
      <c r="C27" s="116">
        <v>44512.0</v>
      </c>
      <c r="D27" s="109">
        <v>0.0</v>
      </c>
      <c r="E27" s="109">
        <f t="shared" si="3"/>
        <v>100</v>
      </c>
      <c r="F27" s="110">
        <f t="shared" si="12"/>
        <v>0.1</v>
      </c>
      <c r="G27" s="109">
        <f t="shared" si="9"/>
        <v>2.5</v>
      </c>
      <c r="H27" s="109">
        <f t="shared" si="4"/>
        <v>0</v>
      </c>
      <c r="I27" s="111">
        <f t="shared" si="1"/>
        <v>-418</v>
      </c>
      <c r="J27" s="111">
        <f t="shared" si="5"/>
        <v>0</v>
      </c>
      <c r="K27" s="117" t="str">
        <f t="shared" si="10"/>
        <v/>
      </c>
      <c r="L27" s="112">
        <f t="shared" si="6"/>
        <v>0</v>
      </c>
      <c r="M27" s="112">
        <f t="shared" si="7"/>
        <v>0</v>
      </c>
      <c r="N27" s="113" t="str">
        <f t="shared" si="11"/>
        <v>FALSO</v>
      </c>
      <c r="O27" s="114" t="str">
        <f t="shared" si="8"/>
        <v/>
      </c>
      <c r="P27" s="115">
        <f t="shared" si="2"/>
        <v>0</v>
      </c>
      <c r="R27" s="82"/>
    </row>
    <row r="28" ht="14.25" customHeight="1">
      <c r="A28" s="116">
        <v>44604.0</v>
      </c>
      <c r="B28" s="116">
        <v>44604.0</v>
      </c>
      <c r="C28" s="116">
        <v>44604.0</v>
      </c>
      <c r="D28" s="109">
        <v>0.0</v>
      </c>
      <c r="E28" s="109">
        <f t="shared" si="3"/>
        <v>100</v>
      </c>
      <c r="F28" s="110">
        <f t="shared" si="12"/>
        <v>0.1</v>
      </c>
      <c r="G28" s="109">
        <f t="shared" si="9"/>
        <v>2.5</v>
      </c>
      <c r="H28" s="109">
        <f t="shared" si="4"/>
        <v>0</v>
      </c>
      <c r="I28" s="111">
        <f t="shared" si="1"/>
        <v>-326</v>
      </c>
      <c r="J28" s="111">
        <f t="shared" si="5"/>
        <v>0</v>
      </c>
      <c r="K28" s="117" t="str">
        <f t="shared" si="10"/>
        <v/>
      </c>
      <c r="L28" s="112">
        <f t="shared" si="6"/>
        <v>0</v>
      </c>
      <c r="M28" s="112">
        <f t="shared" si="7"/>
        <v>0</v>
      </c>
      <c r="N28" s="113" t="str">
        <f t="shared" si="11"/>
        <v>FALSO</v>
      </c>
      <c r="O28" s="114" t="str">
        <f t="shared" si="8"/>
        <v/>
      </c>
      <c r="P28" s="115">
        <f t="shared" si="2"/>
        <v>0</v>
      </c>
      <c r="R28" s="82"/>
    </row>
    <row r="29" ht="14.25" customHeight="1">
      <c r="A29" s="116">
        <v>44693.0</v>
      </c>
      <c r="B29" s="116">
        <v>44693.0</v>
      </c>
      <c r="C29" s="116">
        <v>44693.0</v>
      </c>
      <c r="D29" s="109">
        <v>0.0</v>
      </c>
      <c r="E29" s="109">
        <f t="shared" si="3"/>
        <v>100</v>
      </c>
      <c r="F29" s="110">
        <f t="shared" si="12"/>
        <v>0.1</v>
      </c>
      <c r="G29" s="109">
        <f t="shared" si="9"/>
        <v>2.5</v>
      </c>
      <c r="H29" s="109">
        <f t="shared" si="4"/>
        <v>0</v>
      </c>
      <c r="I29" s="111">
        <f t="shared" si="1"/>
        <v>-237</v>
      </c>
      <c r="J29" s="111">
        <f t="shared" si="5"/>
        <v>0</v>
      </c>
      <c r="K29" s="117" t="str">
        <f t="shared" si="10"/>
        <v/>
      </c>
      <c r="L29" s="112">
        <f t="shared" si="6"/>
        <v>0</v>
      </c>
      <c r="M29" s="112">
        <f t="shared" si="7"/>
        <v>0</v>
      </c>
      <c r="N29" s="113" t="str">
        <f t="shared" si="11"/>
        <v>FALSO</v>
      </c>
      <c r="O29" s="114" t="str">
        <f t="shared" si="8"/>
        <v/>
      </c>
      <c r="P29" s="115">
        <f t="shared" si="2"/>
        <v>0</v>
      </c>
      <c r="R29" s="82"/>
    </row>
    <row r="30" ht="14.25" customHeight="1">
      <c r="A30" s="116">
        <v>44785.0</v>
      </c>
      <c r="B30" s="116">
        <v>44785.0</v>
      </c>
      <c r="C30" s="116">
        <v>44785.0</v>
      </c>
      <c r="D30" s="109">
        <v>0.0</v>
      </c>
      <c r="E30" s="109">
        <f t="shared" si="3"/>
        <v>100</v>
      </c>
      <c r="F30" s="110">
        <f t="shared" si="12"/>
        <v>0.1</v>
      </c>
      <c r="G30" s="109">
        <f t="shared" si="9"/>
        <v>2.5</v>
      </c>
      <c r="H30" s="109">
        <f t="shared" si="4"/>
        <v>0</v>
      </c>
      <c r="I30" s="111">
        <f t="shared" si="1"/>
        <v>-145</v>
      </c>
      <c r="J30" s="111">
        <f t="shared" si="5"/>
        <v>0</v>
      </c>
      <c r="K30" s="117" t="str">
        <f t="shared" si="10"/>
        <v/>
      </c>
      <c r="L30" s="112">
        <f t="shared" si="6"/>
        <v>0</v>
      </c>
      <c r="M30" s="112">
        <f t="shared" si="7"/>
        <v>0</v>
      </c>
      <c r="N30" s="113" t="str">
        <f t="shared" si="11"/>
        <v>FALSO</v>
      </c>
      <c r="O30" s="114" t="str">
        <f t="shared" si="8"/>
        <v/>
      </c>
      <c r="P30" s="115">
        <f t="shared" si="2"/>
        <v>0</v>
      </c>
      <c r="R30" s="82"/>
    </row>
    <row r="31" ht="14.25" customHeight="1">
      <c r="A31" s="116">
        <v>44877.0</v>
      </c>
      <c r="B31" s="116">
        <v>44877.0</v>
      </c>
      <c r="C31" s="116">
        <v>44877.0</v>
      </c>
      <c r="D31" s="109">
        <v>0.0</v>
      </c>
      <c r="E31" s="109">
        <f t="shared" si="3"/>
        <v>100</v>
      </c>
      <c r="F31" s="110">
        <f t="shared" si="12"/>
        <v>0.1</v>
      </c>
      <c r="G31" s="109">
        <f t="shared" si="9"/>
        <v>2.5</v>
      </c>
      <c r="H31" s="109">
        <f t="shared" si="4"/>
        <v>0</v>
      </c>
      <c r="I31" s="111">
        <f t="shared" si="1"/>
        <v>-53</v>
      </c>
      <c r="J31" s="111">
        <f t="shared" si="5"/>
        <v>0</v>
      </c>
      <c r="K31" s="117" t="str">
        <f t="shared" si="10"/>
        <v/>
      </c>
      <c r="L31" s="112">
        <f t="shared" si="6"/>
        <v>0</v>
      </c>
      <c r="M31" s="112">
        <f t="shared" si="7"/>
        <v>0</v>
      </c>
      <c r="N31" s="113" t="str">
        <f t="shared" si="11"/>
        <v>FALSO</v>
      </c>
      <c r="O31" s="114" t="str">
        <f t="shared" si="8"/>
        <v/>
      </c>
      <c r="P31" s="115">
        <f t="shared" si="2"/>
        <v>0</v>
      </c>
      <c r="R31" s="82"/>
    </row>
    <row r="32" ht="14.25" customHeight="1">
      <c r="A32" s="116">
        <v>44969.0</v>
      </c>
      <c r="B32" s="116">
        <v>44969.0</v>
      </c>
      <c r="C32" s="116">
        <v>44969.0</v>
      </c>
      <c r="D32" s="109">
        <v>100.0</v>
      </c>
      <c r="E32" s="109">
        <f t="shared" si="3"/>
        <v>0</v>
      </c>
      <c r="F32" s="110">
        <f t="shared" si="12"/>
        <v>0.1</v>
      </c>
      <c r="G32" s="109">
        <f t="shared" si="9"/>
        <v>2.5</v>
      </c>
      <c r="H32" s="109">
        <f t="shared" si="4"/>
        <v>102.5</v>
      </c>
      <c r="I32" s="111">
        <f t="shared" si="1"/>
        <v>39</v>
      </c>
      <c r="J32" s="111" t="str">
        <f t="shared" si="5"/>
        <v>#NUM!</v>
      </c>
      <c r="K32" s="117">
        <f t="shared" si="10"/>
        <v>100</v>
      </c>
      <c r="L32" s="112" t="str">
        <f t="shared" si="6"/>
        <v>#NUM!</v>
      </c>
      <c r="M32" s="112">
        <f t="shared" si="7"/>
        <v>0.1068493151</v>
      </c>
      <c r="N32" s="111">
        <f t="shared" si="11"/>
        <v>53</v>
      </c>
      <c r="O32" s="114">
        <f t="shared" si="8"/>
        <v>44969</v>
      </c>
      <c r="P32" s="115">
        <f t="shared" si="2"/>
        <v>102.5</v>
      </c>
      <c r="R32" s="82"/>
    </row>
    <row r="33" ht="14.25" customHeight="1">
      <c r="H33" s="118">
        <f>SUMIF(I22:I32,"&gt;0",H22:H32)</f>
        <v>102.5</v>
      </c>
      <c r="I33" s="119" t="str">
        <f>+H10</f>
        <v>#NUM!</v>
      </c>
      <c r="J33" s="119" t="str">
        <f>SUM(J22:J32)</f>
        <v>#NUM!</v>
      </c>
      <c r="K33" s="120">
        <f>SUM(K22:K32)/$E$22</f>
        <v>1</v>
      </c>
      <c r="L33" s="121" t="str">
        <f t="shared" ref="L33:M33" si="13">SUM(L22:L32)</f>
        <v>#NUM!</v>
      </c>
      <c r="M33" s="119">
        <f t="shared" si="13"/>
        <v>0.1068493151</v>
      </c>
      <c r="N33" s="122">
        <f>SUM(N24:N32)</f>
        <v>53</v>
      </c>
      <c r="O33" s="123">
        <f>MIN(O24:O32)</f>
        <v>44969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7" width="16.86"/>
    <col customWidth="1" min="8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73" t="s">
        <v>21</v>
      </c>
      <c r="D2" s="74">
        <v>44239.0</v>
      </c>
      <c r="E2" s="75">
        <v>0.1</v>
      </c>
      <c r="G2" s="71" t="s">
        <v>142</v>
      </c>
      <c r="H2" s="76">
        <f>+E17*100+E11</f>
        <v>35.44444444</v>
      </c>
      <c r="M2" s="77"/>
      <c r="N2" s="78"/>
    </row>
    <row r="3" ht="14.25" customHeight="1">
      <c r="C3" s="71" t="s">
        <v>143</v>
      </c>
      <c r="D3" s="71"/>
      <c r="E3" s="79">
        <v>44147.0</v>
      </c>
      <c r="F3" s="80"/>
      <c r="G3" s="71" t="s">
        <v>144</v>
      </c>
      <c r="H3" s="81">
        <f>IF(E1&gt;D2,E2*E17*E6/E12,"")</f>
        <v>0.09300911854</v>
      </c>
      <c r="I3" s="82"/>
      <c r="L3" s="83"/>
      <c r="M3" s="84"/>
      <c r="N3" s="85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107.2100313</v>
      </c>
      <c r="L4" s="83"/>
      <c r="M4" s="84"/>
      <c r="N4" s="85"/>
    </row>
    <row r="5" ht="14.25" customHeight="1">
      <c r="C5" s="71" t="s">
        <v>147</v>
      </c>
      <c r="D5" s="88"/>
      <c r="E5" s="79">
        <v>44239.0</v>
      </c>
      <c r="G5" s="71" t="s">
        <v>148</v>
      </c>
      <c r="H5" s="89">
        <f>MIN(O22:O35)</f>
        <v>44969</v>
      </c>
      <c r="L5" s="83"/>
      <c r="M5" s="84"/>
      <c r="N5" s="85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MAX(C22:C35)</f>
        <v>45242</v>
      </c>
      <c r="L6" s="83"/>
      <c r="M6" s="84"/>
      <c r="N6" s="85"/>
    </row>
    <row r="7" ht="14.25" customHeight="1">
      <c r="C7" s="91" t="s">
        <v>151</v>
      </c>
      <c r="D7" s="91"/>
      <c r="G7" s="71" t="s">
        <v>152</v>
      </c>
      <c r="H7" s="92">
        <f>+H6-E1</f>
        <v>312</v>
      </c>
      <c r="L7" s="83"/>
      <c r="M7" s="84"/>
      <c r="N7" s="85"/>
    </row>
    <row r="8" ht="14.25" customHeight="1">
      <c r="L8" s="83"/>
      <c r="M8" s="84"/>
      <c r="N8" s="85"/>
    </row>
    <row r="9" ht="14.25" customHeight="1">
      <c r="C9" s="71" t="s">
        <v>153</v>
      </c>
      <c r="D9" s="71"/>
      <c r="E9" s="93">
        <f>+Curva!C6</f>
        <v>38</v>
      </c>
      <c r="G9" s="94"/>
      <c r="H9" s="95" t="s">
        <v>154</v>
      </c>
      <c r="I9" s="95" t="s">
        <v>155</v>
      </c>
      <c r="J9" s="96" t="s">
        <v>156</v>
      </c>
      <c r="L9" s="83"/>
      <c r="M9" s="84"/>
      <c r="N9" s="85"/>
    </row>
    <row r="10" ht="14.25" customHeight="1">
      <c r="C10" s="71" t="s">
        <v>157</v>
      </c>
      <c r="D10" s="71"/>
      <c r="E10" s="97">
        <f t="array" ref="E10">DAYS360(MAX(IF(C23:C35&lt;=E1,C23:C35)),E1,1)</f>
        <v>52</v>
      </c>
      <c r="G10" s="98" t="s">
        <v>158</v>
      </c>
      <c r="H10" s="99">
        <f>+((XIRR(P22:P35,C22:C35)+1)^(1/2)-1)*2</f>
        <v>-0.01929668255</v>
      </c>
      <c r="I10" s="99">
        <f>+((XIRR(P22:P35,A22:A35)+1)^(1/2)-1)*2</f>
        <v>-0.01923280992</v>
      </c>
      <c r="J10" s="99">
        <f>+((XIRR(P22:P35,B22:B35)+1)^(1/2)-1)*2</f>
        <v>-0.01916935863</v>
      </c>
      <c r="L10" s="83"/>
      <c r="M10" s="84"/>
      <c r="N10" s="85"/>
    </row>
    <row r="11" ht="14.25" customHeight="1">
      <c r="C11" s="71" t="s">
        <v>159</v>
      </c>
      <c r="D11" s="71"/>
      <c r="E11" s="76">
        <f>+($E$2*$E$6/4)*$H$12/$H$13</f>
        <v>1.444444444</v>
      </c>
      <c r="L11" s="83"/>
      <c r="M11" s="84"/>
      <c r="N11" s="85"/>
    </row>
    <row r="12" ht="14.25" customHeight="1">
      <c r="C12" s="71" t="s">
        <v>160</v>
      </c>
      <c r="D12" s="71"/>
      <c r="E12" s="93">
        <f>+E9-E11</f>
        <v>36.55555556</v>
      </c>
      <c r="G12" s="126" t="s">
        <v>187</v>
      </c>
      <c r="H12" s="127">
        <f>COUPDAYBS(C22,C35,4,0)</f>
        <v>52</v>
      </c>
      <c r="L12" s="83"/>
      <c r="M12" s="84"/>
      <c r="N12" s="85"/>
    </row>
    <row r="13" ht="14.25" customHeight="1">
      <c r="C13" s="101"/>
      <c r="D13" s="101"/>
      <c r="G13" s="126" t="s">
        <v>188</v>
      </c>
      <c r="H13" s="128">
        <f>COUPDAYS(C22,C35,4)</f>
        <v>90</v>
      </c>
      <c r="L13" s="83"/>
      <c r="M13" s="84"/>
      <c r="N13" s="85"/>
    </row>
    <row r="14" ht="14.25" customHeight="1">
      <c r="C14" s="71" t="s">
        <v>161</v>
      </c>
      <c r="D14" s="71"/>
      <c r="E14" s="100">
        <f>(L36*100)/SUM(J24:J35)</f>
        <v>0.8209720466</v>
      </c>
      <c r="G14" s="126" t="s">
        <v>189</v>
      </c>
      <c r="H14" s="129">
        <f>+($E$2*$E$6/4)*$H$12/$H$13</f>
        <v>1.444444444</v>
      </c>
      <c r="L14" s="83"/>
      <c r="M14" s="84"/>
      <c r="N14" s="85"/>
    </row>
    <row r="15" ht="14.25" customHeight="1">
      <c r="C15" s="71" t="s">
        <v>162</v>
      </c>
      <c r="D15" s="71"/>
      <c r="E15" s="100">
        <f>E14/(1+I36/2)</f>
        <v>0.8289702343</v>
      </c>
      <c r="M15" s="84"/>
      <c r="N15" s="85"/>
    </row>
    <row r="16" ht="14.25" customHeight="1">
      <c r="C16" s="71" t="s">
        <v>163</v>
      </c>
      <c r="D16" s="71"/>
      <c r="E16" s="100">
        <f>M36</f>
        <v>0.8206102117</v>
      </c>
      <c r="M16" s="84"/>
      <c r="N16" s="85"/>
      <c r="O16" s="116"/>
    </row>
    <row r="17" ht="14.25" customHeight="1">
      <c r="C17" s="71" t="s">
        <v>164</v>
      </c>
      <c r="D17" s="71"/>
      <c r="E17" s="100">
        <f>K36</f>
        <v>0.34</v>
      </c>
      <c r="M17" s="84"/>
      <c r="N17" s="85"/>
    </row>
    <row r="18" ht="14.25" customHeight="1">
      <c r="J18" s="102"/>
    </row>
    <row r="19" ht="14.25" customHeight="1"/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</row>
    <row r="21" ht="14.25" customHeight="1">
      <c r="A21" s="107" t="s">
        <v>155</v>
      </c>
      <c r="B21" s="107" t="s">
        <v>156</v>
      </c>
      <c r="C21" s="107" t="s">
        <v>154</v>
      </c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-38</v>
      </c>
      <c r="I22" s="111">
        <f t="shared" ref="I22:I35" si="1">+C22-$E$1</f>
        <v>0</v>
      </c>
      <c r="J22" s="111">
        <f>H22</f>
        <v>-38</v>
      </c>
      <c r="K22" s="117"/>
      <c r="L22" s="112"/>
      <c r="M22" s="112"/>
      <c r="N22" s="113"/>
      <c r="O22" s="114"/>
      <c r="P22" s="115">
        <f t="shared" ref="P22:P35" si="2">+H22</f>
        <v>-38</v>
      </c>
    </row>
    <row r="23" ht="14.25" customHeight="1">
      <c r="A23" s="116">
        <v>44147.0</v>
      </c>
      <c r="B23" s="116">
        <v>44147.0</v>
      </c>
      <c r="C23" s="116">
        <v>44147.0</v>
      </c>
      <c r="D23" s="109">
        <v>0.0</v>
      </c>
      <c r="E23" s="109">
        <f t="shared" ref="E23:E35" si="3">+E22-D23</f>
        <v>100</v>
      </c>
      <c r="F23" s="110" t="str">
        <f>IF(C23&gt;$D$2,$E$2,"")</f>
        <v/>
      </c>
      <c r="G23" s="109"/>
      <c r="H23" s="109">
        <f t="shared" ref="H23:H35" si="4">+IF(C23&gt;$C$22,D23+G23,0)</f>
        <v>0</v>
      </c>
      <c r="I23" s="111">
        <f t="shared" si="1"/>
        <v>-783</v>
      </c>
      <c r="J23" s="111">
        <f t="shared" ref="J23:J35" si="5">IF(I23&lt;=0,0,H23/(((1+$I$36/2)^2)^(I23/365)))</f>
        <v>0</v>
      </c>
      <c r="K23" s="117"/>
      <c r="L23" s="112">
        <f t="shared" ref="L23:L35" si="6">J23*(I23/365)/100</f>
        <v>0</v>
      </c>
      <c r="M23" s="112">
        <f t="shared" ref="M23:M35" si="7">IF(I23&lt;0,0,(H23/$H$36)*I23/365)</f>
        <v>0</v>
      </c>
      <c r="N23" s="113" t="str">
        <f>IF(I23&gt;=0,IF(I21&gt;0,0,-I21),"FALSO")</f>
        <v>FALSO</v>
      </c>
      <c r="O23" s="114" t="str">
        <f t="shared" ref="O23:O35" si="8">+IF(C23&gt;$C$22,C23,"")</f>
        <v/>
      </c>
      <c r="P23" s="115">
        <f t="shared" si="2"/>
        <v>0</v>
      </c>
    </row>
    <row r="24" ht="14.25" customHeight="1">
      <c r="A24" s="116">
        <v>44239.0</v>
      </c>
      <c r="B24" s="116">
        <v>44239.0</v>
      </c>
      <c r="C24" s="116">
        <v>44239.0</v>
      </c>
      <c r="D24" s="109">
        <v>0.0</v>
      </c>
      <c r="E24" s="109">
        <f t="shared" si="3"/>
        <v>100</v>
      </c>
      <c r="F24" s="110">
        <f>IF(C24&gt;=$D$2,$E$2,"")</f>
        <v>0.1</v>
      </c>
      <c r="G24" s="109">
        <f t="shared" ref="G24:G35" si="9">IF(F24="","",IF($E$4=365,E23*F24/365*(C24-C23),E23*F24/360*DAYS360(C23,C24)))</f>
        <v>2.5</v>
      </c>
      <c r="H24" s="109">
        <f t="shared" si="4"/>
        <v>0</v>
      </c>
      <c r="I24" s="111">
        <f t="shared" si="1"/>
        <v>-691</v>
      </c>
      <c r="J24" s="111">
        <f t="shared" si="5"/>
        <v>0</v>
      </c>
      <c r="K24" s="112" t="str">
        <f t="shared" ref="K24:K35" si="10">IF(OR(N24="falso",N24=0),"",E23)</f>
        <v/>
      </c>
      <c r="L24" s="112">
        <f t="shared" si="6"/>
        <v>0</v>
      </c>
      <c r="M24" s="112">
        <f t="shared" si="7"/>
        <v>0</v>
      </c>
      <c r="N24" s="113" t="str">
        <f t="shared" ref="N24:N35" si="11">IF(I24&gt;=0,IF(I23&gt;0,0,-I23),"FALSO")</f>
        <v>FALSO</v>
      </c>
      <c r="O24" s="114" t="str">
        <f t="shared" si="8"/>
        <v/>
      </c>
      <c r="P24" s="115">
        <f t="shared" si="2"/>
        <v>0</v>
      </c>
    </row>
    <row r="25" ht="14.25" customHeight="1">
      <c r="A25" s="116">
        <v>44328.0</v>
      </c>
      <c r="B25" s="116">
        <v>44328.0</v>
      </c>
      <c r="C25" s="116">
        <v>44328.0</v>
      </c>
      <c r="D25" s="109">
        <v>0.0</v>
      </c>
      <c r="E25" s="109">
        <f t="shared" si="3"/>
        <v>100</v>
      </c>
      <c r="F25" s="110">
        <f t="shared" ref="F25:F35" si="12">IF(C25&gt;$D$2,$E$2,"")</f>
        <v>0.1</v>
      </c>
      <c r="G25" s="109">
        <f t="shared" si="9"/>
        <v>2.5</v>
      </c>
      <c r="H25" s="109">
        <f t="shared" si="4"/>
        <v>0</v>
      </c>
      <c r="I25" s="111">
        <f t="shared" si="1"/>
        <v>-602</v>
      </c>
      <c r="J25" s="111">
        <f t="shared" si="5"/>
        <v>0</v>
      </c>
      <c r="K25" s="117" t="str">
        <f t="shared" si="10"/>
        <v/>
      </c>
      <c r="L25" s="112">
        <f t="shared" si="6"/>
        <v>0</v>
      </c>
      <c r="M25" s="112">
        <f t="shared" si="7"/>
        <v>0</v>
      </c>
      <c r="N25" s="113" t="str">
        <f t="shared" si="11"/>
        <v>FALSO</v>
      </c>
      <c r="O25" s="114" t="str">
        <f t="shared" si="8"/>
        <v/>
      </c>
      <c r="P25" s="115">
        <f t="shared" si="2"/>
        <v>0</v>
      </c>
      <c r="R25" s="82"/>
    </row>
    <row r="26" ht="14.25" customHeight="1">
      <c r="A26" s="116">
        <v>44420.0</v>
      </c>
      <c r="B26" s="116">
        <v>44420.0</v>
      </c>
      <c r="C26" s="116">
        <v>44420.0</v>
      </c>
      <c r="D26" s="109">
        <v>0.0</v>
      </c>
      <c r="E26" s="109">
        <f t="shared" si="3"/>
        <v>100</v>
      </c>
      <c r="F26" s="110">
        <f t="shared" si="12"/>
        <v>0.1</v>
      </c>
      <c r="G26" s="109">
        <f t="shared" si="9"/>
        <v>2.5</v>
      </c>
      <c r="H26" s="109">
        <f t="shared" si="4"/>
        <v>0</v>
      </c>
      <c r="I26" s="111">
        <f t="shared" si="1"/>
        <v>-510</v>
      </c>
      <c r="J26" s="111">
        <f t="shared" si="5"/>
        <v>0</v>
      </c>
      <c r="K26" s="117" t="str">
        <f t="shared" si="10"/>
        <v/>
      </c>
      <c r="L26" s="112">
        <f t="shared" si="6"/>
        <v>0</v>
      </c>
      <c r="M26" s="112">
        <f t="shared" si="7"/>
        <v>0</v>
      </c>
      <c r="N26" s="113" t="str">
        <f t="shared" si="11"/>
        <v>FALSO</v>
      </c>
      <c r="O26" s="114" t="str">
        <f t="shared" si="8"/>
        <v/>
      </c>
      <c r="P26" s="115">
        <f t="shared" si="2"/>
        <v>0</v>
      </c>
      <c r="R26" s="82"/>
    </row>
    <row r="27" ht="14.25" customHeight="1">
      <c r="A27" s="116">
        <v>44512.0</v>
      </c>
      <c r="B27" s="116">
        <v>44512.0</v>
      </c>
      <c r="C27" s="116">
        <v>44512.0</v>
      </c>
      <c r="D27" s="109">
        <v>33.0</v>
      </c>
      <c r="E27" s="109">
        <f t="shared" si="3"/>
        <v>67</v>
      </c>
      <c r="F27" s="110">
        <f t="shared" si="12"/>
        <v>0.1</v>
      </c>
      <c r="G27" s="109">
        <f t="shared" si="9"/>
        <v>2.5</v>
      </c>
      <c r="H27" s="109">
        <f t="shared" si="4"/>
        <v>0</v>
      </c>
      <c r="I27" s="111">
        <f t="shared" si="1"/>
        <v>-418</v>
      </c>
      <c r="J27" s="111">
        <f t="shared" si="5"/>
        <v>0</v>
      </c>
      <c r="K27" s="117" t="str">
        <f t="shared" si="10"/>
        <v/>
      </c>
      <c r="L27" s="112">
        <f t="shared" si="6"/>
        <v>0</v>
      </c>
      <c r="M27" s="112">
        <f t="shared" si="7"/>
        <v>0</v>
      </c>
      <c r="N27" s="113" t="str">
        <f t="shared" si="11"/>
        <v>FALSO</v>
      </c>
      <c r="O27" s="114" t="str">
        <f t="shared" si="8"/>
        <v/>
      </c>
      <c r="P27" s="115">
        <f t="shared" si="2"/>
        <v>0</v>
      </c>
      <c r="R27" s="82"/>
    </row>
    <row r="28" ht="14.25" customHeight="1">
      <c r="A28" s="116">
        <v>44604.0</v>
      </c>
      <c r="B28" s="116">
        <v>44604.0</v>
      </c>
      <c r="C28" s="116">
        <v>44604.0</v>
      </c>
      <c r="D28" s="109">
        <v>0.0</v>
      </c>
      <c r="E28" s="109">
        <f t="shared" si="3"/>
        <v>67</v>
      </c>
      <c r="F28" s="110">
        <f t="shared" si="12"/>
        <v>0.1</v>
      </c>
      <c r="G28" s="109">
        <f t="shared" si="9"/>
        <v>1.675</v>
      </c>
      <c r="H28" s="109">
        <f t="shared" si="4"/>
        <v>0</v>
      </c>
      <c r="I28" s="111">
        <f t="shared" si="1"/>
        <v>-326</v>
      </c>
      <c r="J28" s="111">
        <f t="shared" si="5"/>
        <v>0</v>
      </c>
      <c r="K28" s="117" t="str">
        <f t="shared" si="10"/>
        <v/>
      </c>
      <c r="L28" s="112">
        <f t="shared" si="6"/>
        <v>0</v>
      </c>
      <c r="M28" s="112">
        <f t="shared" si="7"/>
        <v>0</v>
      </c>
      <c r="N28" s="113" t="str">
        <f t="shared" si="11"/>
        <v>FALSO</v>
      </c>
      <c r="O28" s="114" t="str">
        <f t="shared" si="8"/>
        <v/>
      </c>
      <c r="P28" s="115">
        <f t="shared" si="2"/>
        <v>0</v>
      </c>
      <c r="R28" s="82"/>
    </row>
    <row r="29" ht="14.25" customHeight="1">
      <c r="A29" s="116">
        <v>44693.0</v>
      </c>
      <c r="B29" s="116">
        <v>44693.0</v>
      </c>
      <c r="C29" s="116">
        <v>44693.0</v>
      </c>
      <c r="D29" s="109">
        <v>0.0</v>
      </c>
      <c r="E29" s="109">
        <f t="shared" si="3"/>
        <v>67</v>
      </c>
      <c r="F29" s="110">
        <f t="shared" si="12"/>
        <v>0.1</v>
      </c>
      <c r="G29" s="109">
        <f t="shared" si="9"/>
        <v>1.675</v>
      </c>
      <c r="H29" s="109">
        <f t="shared" si="4"/>
        <v>0</v>
      </c>
      <c r="I29" s="111">
        <f t="shared" si="1"/>
        <v>-237</v>
      </c>
      <c r="J29" s="111">
        <f t="shared" si="5"/>
        <v>0</v>
      </c>
      <c r="K29" s="117" t="str">
        <f t="shared" si="10"/>
        <v/>
      </c>
      <c r="L29" s="112">
        <f t="shared" si="6"/>
        <v>0</v>
      </c>
      <c r="M29" s="112">
        <f t="shared" si="7"/>
        <v>0</v>
      </c>
      <c r="N29" s="113" t="str">
        <f t="shared" si="11"/>
        <v>FALSO</v>
      </c>
      <c r="O29" s="114" t="str">
        <f t="shared" si="8"/>
        <v/>
      </c>
      <c r="P29" s="115">
        <f t="shared" si="2"/>
        <v>0</v>
      </c>
      <c r="R29" s="82"/>
    </row>
    <row r="30" ht="14.25" customHeight="1">
      <c r="A30" s="116">
        <v>44785.0</v>
      </c>
      <c r="B30" s="116">
        <v>44785.0</v>
      </c>
      <c r="C30" s="116">
        <v>44785.0</v>
      </c>
      <c r="D30" s="109">
        <v>0.0</v>
      </c>
      <c r="E30" s="109">
        <f t="shared" si="3"/>
        <v>67</v>
      </c>
      <c r="F30" s="110">
        <f t="shared" si="12"/>
        <v>0.1</v>
      </c>
      <c r="G30" s="109">
        <f t="shared" si="9"/>
        <v>1.675</v>
      </c>
      <c r="H30" s="109">
        <f t="shared" si="4"/>
        <v>0</v>
      </c>
      <c r="I30" s="111">
        <f t="shared" si="1"/>
        <v>-145</v>
      </c>
      <c r="J30" s="111">
        <f t="shared" si="5"/>
        <v>0</v>
      </c>
      <c r="K30" s="117" t="str">
        <f t="shared" si="10"/>
        <v/>
      </c>
      <c r="L30" s="112">
        <f t="shared" si="6"/>
        <v>0</v>
      </c>
      <c r="M30" s="112">
        <f t="shared" si="7"/>
        <v>0</v>
      </c>
      <c r="N30" s="113" t="str">
        <f t="shared" si="11"/>
        <v>FALSO</v>
      </c>
      <c r="O30" s="114" t="str">
        <f t="shared" si="8"/>
        <v/>
      </c>
      <c r="P30" s="115">
        <f t="shared" si="2"/>
        <v>0</v>
      </c>
      <c r="R30" s="82"/>
    </row>
    <row r="31" ht="14.25" customHeight="1">
      <c r="A31" s="116">
        <v>44877.0</v>
      </c>
      <c r="B31" s="116">
        <v>44877.0</v>
      </c>
      <c r="C31" s="116">
        <v>44877.0</v>
      </c>
      <c r="D31" s="109">
        <v>33.0</v>
      </c>
      <c r="E31" s="109">
        <f t="shared" si="3"/>
        <v>34</v>
      </c>
      <c r="F31" s="110">
        <f t="shared" si="12"/>
        <v>0.1</v>
      </c>
      <c r="G31" s="109">
        <f t="shared" si="9"/>
        <v>1.675</v>
      </c>
      <c r="H31" s="109">
        <f t="shared" si="4"/>
        <v>0</v>
      </c>
      <c r="I31" s="111">
        <f t="shared" si="1"/>
        <v>-53</v>
      </c>
      <c r="J31" s="111">
        <f t="shared" si="5"/>
        <v>0</v>
      </c>
      <c r="K31" s="117" t="str">
        <f t="shared" si="10"/>
        <v/>
      </c>
      <c r="L31" s="112">
        <f t="shared" si="6"/>
        <v>0</v>
      </c>
      <c r="M31" s="112">
        <f t="shared" si="7"/>
        <v>0</v>
      </c>
      <c r="N31" s="113" t="str">
        <f t="shared" si="11"/>
        <v>FALSO</v>
      </c>
      <c r="O31" s="114" t="str">
        <f t="shared" si="8"/>
        <v/>
      </c>
      <c r="P31" s="115">
        <f t="shared" si="2"/>
        <v>0</v>
      </c>
      <c r="R31" s="82"/>
    </row>
    <row r="32" ht="14.25" customHeight="1">
      <c r="A32" s="116">
        <v>44969.0</v>
      </c>
      <c r="B32" s="116">
        <v>44969.0</v>
      </c>
      <c r="C32" s="116">
        <v>44969.0</v>
      </c>
      <c r="D32" s="109">
        <v>0.0</v>
      </c>
      <c r="E32" s="109">
        <f t="shared" si="3"/>
        <v>34</v>
      </c>
      <c r="F32" s="110">
        <f t="shared" si="12"/>
        <v>0.1</v>
      </c>
      <c r="G32" s="109">
        <f t="shared" si="9"/>
        <v>0.85</v>
      </c>
      <c r="H32" s="109">
        <f t="shared" si="4"/>
        <v>0.85</v>
      </c>
      <c r="I32" s="111">
        <f t="shared" si="1"/>
        <v>39</v>
      </c>
      <c r="J32" s="111">
        <f t="shared" si="5"/>
        <v>0.8517628967</v>
      </c>
      <c r="K32" s="117">
        <f t="shared" si="10"/>
        <v>34</v>
      </c>
      <c r="L32" s="112">
        <f t="shared" si="6"/>
        <v>0.0009101028212</v>
      </c>
      <c r="M32" s="112">
        <f t="shared" si="7"/>
        <v>0.002428393524</v>
      </c>
      <c r="N32" s="111">
        <f t="shared" si="11"/>
        <v>53</v>
      </c>
      <c r="O32" s="114">
        <f t="shared" si="8"/>
        <v>44969</v>
      </c>
      <c r="P32" s="115">
        <f t="shared" si="2"/>
        <v>0.85</v>
      </c>
      <c r="R32" s="82"/>
    </row>
    <row r="33" ht="14.25" customHeight="1">
      <c r="A33" s="116">
        <v>45058.0</v>
      </c>
      <c r="B33" s="116">
        <v>45058.0</v>
      </c>
      <c r="C33" s="116">
        <v>45058.0</v>
      </c>
      <c r="D33" s="109">
        <v>0.0</v>
      </c>
      <c r="E33" s="109">
        <f t="shared" si="3"/>
        <v>34</v>
      </c>
      <c r="F33" s="110">
        <f t="shared" si="12"/>
        <v>0.1</v>
      </c>
      <c r="G33" s="109">
        <f t="shared" si="9"/>
        <v>0.85</v>
      </c>
      <c r="H33" s="109">
        <f t="shared" si="4"/>
        <v>0.85</v>
      </c>
      <c r="I33" s="111">
        <f t="shared" si="1"/>
        <v>128</v>
      </c>
      <c r="J33" s="111">
        <f t="shared" si="5"/>
        <v>0.8557996219</v>
      </c>
      <c r="K33" s="117" t="str">
        <f t="shared" si="10"/>
        <v/>
      </c>
      <c r="L33" s="112">
        <f t="shared" si="6"/>
        <v>0.003001160318</v>
      </c>
      <c r="M33" s="112">
        <f t="shared" si="7"/>
        <v>0.00797011208</v>
      </c>
      <c r="N33" s="113">
        <f t="shared" si="11"/>
        <v>0</v>
      </c>
      <c r="O33" s="114">
        <f t="shared" si="8"/>
        <v>45058</v>
      </c>
      <c r="P33" s="115">
        <f t="shared" si="2"/>
        <v>0.85</v>
      </c>
      <c r="R33" s="82"/>
    </row>
    <row r="34" ht="14.25" customHeight="1">
      <c r="A34" s="116">
        <v>45150.0</v>
      </c>
      <c r="B34" s="116">
        <v>45150.0</v>
      </c>
      <c r="C34" s="116">
        <v>45150.0</v>
      </c>
      <c r="D34" s="109">
        <v>0.0</v>
      </c>
      <c r="E34" s="109">
        <f t="shared" si="3"/>
        <v>34</v>
      </c>
      <c r="F34" s="110">
        <f t="shared" si="12"/>
        <v>0.1</v>
      </c>
      <c r="G34" s="109">
        <f t="shared" si="9"/>
        <v>0.85</v>
      </c>
      <c r="H34" s="109">
        <f t="shared" si="4"/>
        <v>0.85</v>
      </c>
      <c r="I34" s="111">
        <f t="shared" si="1"/>
        <v>220</v>
      </c>
      <c r="J34" s="111">
        <f t="shared" si="5"/>
        <v>0.8599925269</v>
      </c>
      <c r="K34" s="117" t="str">
        <f t="shared" si="10"/>
        <v/>
      </c>
      <c r="L34" s="112">
        <f t="shared" si="6"/>
        <v>0.0051835166</v>
      </c>
      <c r="M34" s="112">
        <f t="shared" si="7"/>
        <v>0.01369863014</v>
      </c>
      <c r="N34" s="113">
        <f t="shared" si="11"/>
        <v>0</v>
      </c>
      <c r="O34" s="114">
        <f t="shared" si="8"/>
        <v>45150</v>
      </c>
      <c r="P34" s="115">
        <f t="shared" si="2"/>
        <v>0.85</v>
      </c>
      <c r="R34" s="82"/>
    </row>
    <row r="35" ht="14.25" customHeight="1">
      <c r="A35" s="116">
        <v>45242.0</v>
      </c>
      <c r="B35" s="116">
        <v>45242.0</v>
      </c>
      <c r="C35" s="116">
        <v>45242.0</v>
      </c>
      <c r="D35" s="109">
        <v>34.0</v>
      </c>
      <c r="E35" s="109">
        <f t="shared" si="3"/>
        <v>0</v>
      </c>
      <c r="F35" s="110">
        <f t="shared" si="12"/>
        <v>0.1</v>
      </c>
      <c r="G35" s="109">
        <f t="shared" si="9"/>
        <v>0.85</v>
      </c>
      <c r="H35" s="109">
        <f t="shared" si="4"/>
        <v>34.85</v>
      </c>
      <c r="I35" s="111">
        <f t="shared" si="1"/>
        <v>312</v>
      </c>
      <c r="J35" s="111">
        <f t="shared" si="5"/>
        <v>35.43244495</v>
      </c>
      <c r="K35" s="117" t="str">
        <f t="shared" si="10"/>
        <v/>
      </c>
      <c r="L35" s="112">
        <f t="shared" si="6"/>
        <v>0.302874598</v>
      </c>
      <c r="M35" s="112">
        <f t="shared" si="7"/>
        <v>0.796513076</v>
      </c>
      <c r="N35" s="113">
        <f t="shared" si="11"/>
        <v>0</v>
      </c>
      <c r="O35" s="114">
        <f t="shared" si="8"/>
        <v>45242</v>
      </c>
      <c r="P35" s="115">
        <f t="shared" si="2"/>
        <v>34.85</v>
      </c>
      <c r="R35" s="82"/>
    </row>
    <row r="36" ht="14.25" customHeight="1">
      <c r="H36" s="118">
        <f>SUMIF(I22:I35,"&gt;0",H22:H35)</f>
        <v>37.4</v>
      </c>
      <c r="I36" s="119">
        <f>+H10</f>
        <v>-0.01929668255</v>
      </c>
      <c r="J36" s="119">
        <f>SUM(J22:J35)</f>
        <v>0</v>
      </c>
      <c r="K36" s="120">
        <f>SUM(K22:K35)/$E$22</f>
        <v>0.34</v>
      </c>
      <c r="L36" s="121">
        <f t="shared" ref="L36:M36" si="13">SUM(L22:L35)</f>
        <v>0.3119693777</v>
      </c>
      <c r="M36" s="119">
        <f t="shared" si="13"/>
        <v>0.8206102117</v>
      </c>
      <c r="N36" s="122">
        <f>SUM(N24:N35)</f>
        <v>53</v>
      </c>
      <c r="O36" s="123">
        <f>MIN(O24:O35)</f>
        <v>44969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7" width="16.86"/>
    <col customWidth="1" min="8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73" t="s">
        <v>21</v>
      </c>
      <c r="D2" s="74">
        <v>44315.0</v>
      </c>
      <c r="E2" s="75">
        <v>0.09</v>
      </c>
      <c r="G2" s="71" t="s">
        <v>142</v>
      </c>
      <c r="H2" s="76">
        <f>+E17*100+E11</f>
        <v>101.625</v>
      </c>
      <c r="L2" s="85"/>
      <c r="M2" s="77"/>
      <c r="N2" s="78"/>
    </row>
    <row r="3" ht="14.25" customHeight="1">
      <c r="C3" s="71" t="s">
        <v>143</v>
      </c>
      <c r="D3" s="71"/>
      <c r="E3" s="79">
        <v>44225.0</v>
      </c>
      <c r="F3" s="80"/>
      <c r="G3" s="71" t="s">
        <v>144</v>
      </c>
      <c r="H3" s="81">
        <f>IF(E1&gt;D2,E2*E17*E6/E12,"")</f>
        <v>0.08877928483</v>
      </c>
      <c r="I3" s="82"/>
      <c r="L3" s="85"/>
      <c r="M3" s="84"/>
      <c r="N3" s="85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101.3530135</v>
      </c>
      <c r="L4" s="116"/>
      <c r="M4" s="84"/>
      <c r="N4" s="85"/>
    </row>
    <row r="5" ht="14.25" customHeight="1">
      <c r="C5" s="71" t="s">
        <v>147</v>
      </c>
      <c r="D5" s="88"/>
      <c r="E5" s="79">
        <v>44315.0</v>
      </c>
      <c r="G5" s="71" t="s">
        <v>148</v>
      </c>
      <c r="H5" s="89">
        <f>MIN(O22:O31)</f>
        <v>44955</v>
      </c>
      <c r="L5" s="116"/>
      <c r="M5" s="84"/>
      <c r="N5" s="85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MAX(C22:C31)</f>
        <v>44955</v>
      </c>
      <c r="L6" s="116"/>
      <c r="M6" s="84"/>
      <c r="N6" s="85"/>
    </row>
    <row r="7" ht="14.25" customHeight="1">
      <c r="C7" s="91" t="s">
        <v>151</v>
      </c>
      <c r="D7" s="91"/>
      <c r="G7" s="71" t="s">
        <v>152</v>
      </c>
      <c r="H7" s="92">
        <f>+H6-E1</f>
        <v>25</v>
      </c>
      <c r="L7" s="116"/>
      <c r="M7" s="84"/>
      <c r="N7" s="85"/>
    </row>
    <row r="8" ht="14.25" customHeight="1">
      <c r="L8" s="116"/>
      <c r="M8" s="84"/>
      <c r="N8" s="85"/>
    </row>
    <row r="9" ht="14.25" customHeight="1">
      <c r="C9" s="71" t="s">
        <v>153</v>
      </c>
      <c r="D9" s="71"/>
      <c r="E9" s="93">
        <f>+Curva!C7</f>
        <v>103</v>
      </c>
      <c r="G9" s="94"/>
      <c r="H9" s="95" t="s">
        <v>154</v>
      </c>
      <c r="I9" s="95" t="s">
        <v>155</v>
      </c>
      <c r="J9" s="96" t="s">
        <v>156</v>
      </c>
      <c r="L9" s="116"/>
      <c r="M9" s="84"/>
      <c r="N9" s="85"/>
    </row>
    <row r="10" ht="14.25" customHeight="1">
      <c r="C10" s="71" t="s">
        <v>157</v>
      </c>
      <c r="D10" s="71"/>
      <c r="E10" s="97">
        <f t="array" ref="E10">DAYS360(MAX(IF(C23:C31&lt;=E1,C23:C31)),E1,1)</f>
        <v>65</v>
      </c>
      <c r="G10" s="98" t="s">
        <v>158</v>
      </c>
      <c r="H10" s="99">
        <f>+((XIRR(P22:P31,C22:C31)+1)^(1/2)-1)*2</f>
        <v>-0.1039033668</v>
      </c>
      <c r="I10" s="99">
        <f>+((XIRR(P22:P31,A22:A31)+1)^(1/2)-1)*2</f>
        <v>-0.1000087418</v>
      </c>
      <c r="J10" s="99">
        <f>+((XIRR(P22:P31,B22:B31)+1)^(1/2)-1)*2</f>
        <v>-0.0963954751</v>
      </c>
      <c r="L10" s="116"/>
      <c r="M10" s="84"/>
      <c r="N10" s="85"/>
    </row>
    <row r="11" ht="14.25" customHeight="1">
      <c r="C11" s="71" t="s">
        <v>159</v>
      </c>
      <c r="D11" s="71"/>
      <c r="E11" s="76">
        <f>+($E$2*$E$6/4)*$H$12/$H$13</f>
        <v>1.625</v>
      </c>
      <c r="L11" s="116"/>
      <c r="M11" s="84"/>
      <c r="N11" s="85"/>
    </row>
    <row r="12" ht="14.25" customHeight="1">
      <c r="C12" s="71" t="s">
        <v>160</v>
      </c>
      <c r="D12" s="71"/>
      <c r="E12" s="93">
        <f>+E9-E11</f>
        <v>101.375</v>
      </c>
      <c r="G12" s="126" t="s">
        <v>187</v>
      </c>
      <c r="H12" s="127">
        <f>COUPDAYBS(C22,C31,4,0)</f>
        <v>65</v>
      </c>
      <c r="L12" s="85"/>
      <c r="M12" s="84"/>
      <c r="N12" s="85"/>
    </row>
    <row r="13" ht="14.25" customHeight="1">
      <c r="C13" s="101"/>
      <c r="D13" s="101"/>
      <c r="G13" s="126" t="s">
        <v>188</v>
      </c>
      <c r="H13" s="128">
        <f>COUPDAYS(C22,C31,4)</f>
        <v>90</v>
      </c>
      <c r="L13" s="85"/>
      <c r="M13" s="84"/>
      <c r="N13" s="85"/>
    </row>
    <row r="14" ht="14.25" customHeight="1">
      <c r="C14" s="71" t="s">
        <v>161</v>
      </c>
      <c r="D14" s="71"/>
      <c r="E14" s="100">
        <f>(L32*100)/SUM(J24:J31)</f>
        <v>0.06849315068</v>
      </c>
      <c r="G14" s="126" t="s">
        <v>189</v>
      </c>
      <c r="H14" s="129">
        <f>+($E$2*$E$6/4)*$H$12/$H$13</f>
        <v>1.625</v>
      </c>
      <c r="L14" s="85"/>
      <c r="M14" s="84"/>
      <c r="N14" s="85"/>
    </row>
    <row r="15" ht="14.25" customHeight="1">
      <c r="C15" s="71" t="s">
        <v>162</v>
      </c>
      <c r="D15" s="71"/>
      <c r="E15" s="100">
        <f>E14/(1+I32/2)</f>
        <v>0.07224647677</v>
      </c>
      <c r="L15" s="85"/>
      <c r="M15" s="84"/>
      <c r="N15" s="85"/>
    </row>
    <row r="16" ht="14.25" customHeight="1">
      <c r="C16" s="71" t="s">
        <v>163</v>
      </c>
      <c r="D16" s="71"/>
      <c r="E16" s="100">
        <f>M32</f>
        <v>0.06849315068</v>
      </c>
      <c r="M16" s="84"/>
      <c r="N16" s="85"/>
      <c r="O16" s="116"/>
    </row>
    <row r="17" ht="14.25" customHeight="1">
      <c r="C17" s="71" t="s">
        <v>164</v>
      </c>
      <c r="D17" s="71"/>
      <c r="E17" s="100">
        <f>K32</f>
        <v>1</v>
      </c>
      <c r="M17" s="84"/>
      <c r="N17" s="85"/>
    </row>
    <row r="18" ht="14.25" customHeight="1">
      <c r="J18" s="102"/>
    </row>
    <row r="19" ht="14.25" customHeight="1"/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</row>
    <row r="21" ht="14.25" customHeight="1">
      <c r="A21" s="107" t="s">
        <v>155</v>
      </c>
      <c r="B21" s="107" t="s">
        <v>156</v>
      </c>
      <c r="C21" s="107" t="s">
        <v>154</v>
      </c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-103</v>
      </c>
      <c r="I22" s="111">
        <f t="shared" ref="I22:I31" si="1">+C22-$E$1</f>
        <v>0</v>
      </c>
      <c r="J22" s="111">
        <f>H22</f>
        <v>-103</v>
      </c>
      <c r="K22" s="117"/>
      <c r="L22" s="112"/>
      <c r="M22" s="112"/>
      <c r="N22" s="113"/>
      <c r="O22" s="114"/>
      <c r="P22" s="115">
        <f t="shared" ref="P22:P31" si="2">+H22</f>
        <v>-103</v>
      </c>
    </row>
    <row r="23" ht="14.25" customHeight="1">
      <c r="A23" s="116">
        <v>44225.0</v>
      </c>
      <c r="B23" s="116">
        <v>44225.0</v>
      </c>
      <c r="C23" s="116">
        <v>44225.0</v>
      </c>
      <c r="D23" s="109">
        <v>0.0</v>
      </c>
      <c r="E23" s="109">
        <f t="shared" ref="E23:E31" si="3">+E22-D23</f>
        <v>100</v>
      </c>
      <c r="F23" s="110" t="str">
        <f>IF(C23&gt;$D$2,$E$2,"")</f>
        <v/>
      </c>
      <c r="G23" s="109"/>
      <c r="H23" s="109">
        <f t="shared" ref="H23:H31" si="4">+IF(C23&gt;$C$22,D23+G23,0)</f>
        <v>0</v>
      </c>
      <c r="I23" s="111">
        <f t="shared" si="1"/>
        <v>-705</v>
      </c>
      <c r="J23" s="111">
        <f t="shared" ref="J23:J31" si="5">IF(I23&lt;=0,0,H23/(((1+$I$32/2)^2)^(I23/365)))</f>
        <v>0</v>
      </c>
      <c r="K23" s="117"/>
      <c r="L23" s="112">
        <f t="shared" ref="L23:L31" si="6">J23*(I23/365)/100</f>
        <v>0</v>
      </c>
      <c r="M23" s="112">
        <f t="shared" ref="M23:M31" si="7">IF(I23&lt;0,0,(H23/$H$32)*I23/365)</f>
        <v>0</v>
      </c>
      <c r="N23" s="113" t="str">
        <f>IF(I23&gt;=0,IF(I21&gt;0,0,-I21),"FALSO")</f>
        <v>FALSO</v>
      </c>
      <c r="O23" s="114" t="str">
        <f t="shared" ref="O23:O31" si="8">+IF(C23&gt;$C$22,C23,"")</f>
        <v/>
      </c>
      <c r="P23" s="115">
        <f t="shared" si="2"/>
        <v>0</v>
      </c>
    </row>
    <row r="24" ht="14.25" customHeight="1">
      <c r="A24" s="116">
        <v>44315.0</v>
      </c>
      <c r="B24" s="116">
        <v>44315.0</v>
      </c>
      <c r="C24" s="116">
        <v>44315.0</v>
      </c>
      <c r="D24" s="109">
        <v>0.0</v>
      </c>
      <c r="E24" s="109">
        <f t="shared" si="3"/>
        <v>100</v>
      </c>
      <c r="F24" s="110">
        <f>IF(C24&gt;=$D$2,$E$2,"")</f>
        <v>0.09</v>
      </c>
      <c r="G24" s="109">
        <f t="shared" ref="G24:G31" si="9">IF(F24="","",IF($E$4=365,E23*F24/365*(C24-C23),E23*F24/360*DAYS360(C23,C24)))</f>
        <v>2.25</v>
      </c>
      <c r="H24" s="109">
        <f t="shared" si="4"/>
        <v>0</v>
      </c>
      <c r="I24" s="111">
        <f t="shared" si="1"/>
        <v>-615</v>
      </c>
      <c r="J24" s="111">
        <f t="shared" si="5"/>
        <v>0</v>
      </c>
      <c r="K24" s="112" t="str">
        <f t="shared" ref="K24:K31" si="10">IF(OR(N24="falso",N24=0),"",E23)</f>
        <v/>
      </c>
      <c r="L24" s="112">
        <f t="shared" si="6"/>
        <v>0</v>
      </c>
      <c r="M24" s="112">
        <f t="shared" si="7"/>
        <v>0</v>
      </c>
      <c r="N24" s="113" t="str">
        <f t="shared" ref="N24:N31" si="11">IF(I24&gt;=0,IF(I23&gt;0,0,-I23),"FALSO")</f>
        <v>FALSO</v>
      </c>
      <c r="O24" s="114" t="str">
        <f t="shared" si="8"/>
        <v/>
      </c>
      <c r="P24" s="115">
        <f t="shared" si="2"/>
        <v>0</v>
      </c>
    </row>
    <row r="25" ht="14.25" customHeight="1">
      <c r="A25" s="116">
        <v>44406.0</v>
      </c>
      <c r="B25" s="116">
        <v>44406.0</v>
      </c>
      <c r="C25" s="116">
        <v>44406.0</v>
      </c>
      <c r="D25" s="109">
        <v>0.0</v>
      </c>
      <c r="E25" s="109">
        <f t="shared" si="3"/>
        <v>100</v>
      </c>
      <c r="F25" s="110">
        <f t="shared" ref="F25:F31" si="12">IF(C25&gt;$D$2,$E$2,"")</f>
        <v>0.09</v>
      </c>
      <c r="G25" s="109">
        <f t="shared" si="9"/>
        <v>2.25</v>
      </c>
      <c r="H25" s="109">
        <f t="shared" si="4"/>
        <v>0</v>
      </c>
      <c r="I25" s="111">
        <f t="shared" si="1"/>
        <v>-524</v>
      </c>
      <c r="J25" s="111">
        <f t="shared" si="5"/>
        <v>0</v>
      </c>
      <c r="K25" s="117" t="str">
        <f t="shared" si="10"/>
        <v/>
      </c>
      <c r="L25" s="112">
        <f t="shared" si="6"/>
        <v>0</v>
      </c>
      <c r="M25" s="112">
        <f t="shared" si="7"/>
        <v>0</v>
      </c>
      <c r="N25" s="113" t="str">
        <f t="shared" si="11"/>
        <v>FALSO</v>
      </c>
      <c r="O25" s="114" t="str">
        <f t="shared" si="8"/>
        <v/>
      </c>
      <c r="P25" s="115">
        <f t="shared" si="2"/>
        <v>0</v>
      </c>
      <c r="R25" s="82"/>
    </row>
    <row r="26" ht="14.25" customHeight="1">
      <c r="A26" s="116">
        <v>44498.0</v>
      </c>
      <c r="B26" s="116">
        <v>44498.0</v>
      </c>
      <c r="C26" s="116">
        <v>44498.0</v>
      </c>
      <c r="D26" s="109">
        <v>0.0</v>
      </c>
      <c r="E26" s="109">
        <f t="shared" si="3"/>
        <v>100</v>
      </c>
      <c r="F26" s="110">
        <f t="shared" si="12"/>
        <v>0.09</v>
      </c>
      <c r="G26" s="109">
        <f t="shared" si="9"/>
        <v>2.25</v>
      </c>
      <c r="H26" s="109">
        <f t="shared" si="4"/>
        <v>0</v>
      </c>
      <c r="I26" s="111">
        <f t="shared" si="1"/>
        <v>-432</v>
      </c>
      <c r="J26" s="111">
        <f t="shared" si="5"/>
        <v>0</v>
      </c>
      <c r="K26" s="117" t="str">
        <f t="shared" si="10"/>
        <v/>
      </c>
      <c r="L26" s="112">
        <f t="shared" si="6"/>
        <v>0</v>
      </c>
      <c r="M26" s="112">
        <f t="shared" si="7"/>
        <v>0</v>
      </c>
      <c r="N26" s="113" t="str">
        <f t="shared" si="11"/>
        <v>FALSO</v>
      </c>
      <c r="O26" s="114" t="str">
        <f t="shared" si="8"/>
        <v/>
      </c>
      <c r="P26" s="115">
        <f t="shared" si="2"/>
        <v>0</v>
      </c>
      <c r="R26" s="82"/>
    </row>
    <row r="27" ht="14.25" customHeight="1">
      <c r="A27" s="116">
        <v>44590.0</v>
      </c>
      <c r="B27" s="116">
        <v>44590.0</v>
      </c>
      <c r="C27" s="116">
        <v>44590.0</v>
      </c>
      <c r="D27" s="109">
        <v>0.0</v>
      </c>
      <c r="E27" s="109">
        <f t="shared" si="3"/>
        <v>100</v>
      </c>
      <c r="F27" s="110">
        <f t="shared" si="12"/>
        <v>0.09</v>
      </c>
      <c r="G27" s="109">
        <f t="shared" si="9"/>
        <v>2.25</v>
      </c>
      <c r="H27" s="109">
        <f t="shared" si="4"/>
        <v>0</v>
      </c>
      <c r="I27" s="111">
        <f t="shared" si="1"/>
        <v>-340</v>
      </c>
      <c r="J27" s="111">
        <f t="shared" si="5"/>
        <v>0</v>
      </c>
      <c r="K27" s="117" t="str">
        <f t="shared" si="10"/>
        <v/>
      </c>
      <c r="L27" s="112">
        <f t="shared" si="6"/>
        <v>0</v>
      </c>
      <c r="M27" s="112">
        <f t="shared" si="7"/>
        <v>0</v>
      </c>
      <c r="N27" s="113" t="str">
        <f t="shared" si="11"/>
        <v>FALSO</v>
      </c>
      <c r="O27" s="114" t="str">
        <f t="shared" si="8"/>
        <v/>
      </c>
      <c r="P27" s="115">
        <f t="shared" si="2"/>
        <v>0</v>
      </c>
      <c r="R27" s="82"/>
    </row>
    <row r="28" ht="14.25" customHeight="1">
      <c r="A28" s="116">
        <v>44680.0</v>
      </c>
      <c r="B28" s="116">
        <v>44680.0</v>
      </c>
      <c r="C28" s="116">
        <v>44680.0</v>
      </c>
      <c r="D28" s="109">
        <v>0.0</v>
      </c>
      <c r="E28" s="109">
        <f t="shared" si="3"/>
        <v>100</v>
      </c>
      <c r="F28" s="110">
        <f t="shared" si="12"/>
        <v>0.09</v>
      </c>
      <c r="G28" s="109">
        <f t="shared" si="9"/>
        <v>2.25</v>
      </c>
      <c r="H28" s="109">
        <f t="shared" si="4"/>
        <v>0</v>
      </c>
      <c r="I28" s="111">
        <f t="shared" si="1"/>
        <v>-250</v>
      </c>
      <c r="J28" s="111">
        <f t="shared" si="5"/>
        <v>0</v>
      </c>
      <c r="K28" s="117" t="str">
        <f t="shared" si="10"/>
        <v/>
      </c>
      <c r="L28" s="112">
        <f t="shared" si="6"/>
        <v>0</v>
      </c>
      <c r="M28" s="112">
        <f t="shared" si="7"/>
        <v>0</v>
      </c>
      <c r="N28" s="113" t="str">
        <f t="shared" si="11"/>
        <v>FALSO</v>
      </c>
      <c r="O28" s="114" t="str">
        <f t="shared" si="8"/>
        <v/>
      </c>
      <c r="P28" s="115">
        <f t="shared" si="2"/>
        <v>0</v>
      </c>
      <c r="R28" s="82"/>
    </row>
    <row r="29" ht="14.25" customHeight="1">
      <c r="A29" s="116">
        <v>44771.0</v>
      </c>
      <c r="B29" s="116">
        <v>44771.0</v>
      </c>
      <c r="C29" s="116">
        <v>44771.0</v>
      </c>
      <c r="D29" s="109">
        <v>0.0</v>
      </c>
      <c r="E29" s="109">
        <f t="shared" si="3"/>
        <v>100</v>
      </c>
      <c r="F29" s="110">
        <f t="shared" si="12"/>
        <v>0.09</v>
      </c>
      <c r="G29" s="109">
        <f t="shared" si="9"/>
        <v>2.25</v>
      </c>
      <c r="H29" s="109">
        <f t="shared" si="4"/>
        <v>0</v>
      </c>
      <c r="I29" s="111">
        <f t="shared" si="1"/>
        <v>-159</v>
      </c>
      <c r="J29" s="111">
        <f t="shared" si="5"/>
        <v>0</v>
      </c>
      <c r="K29" s="117" t="str">
        <f t="shared" si="10"/>
        <v/>
      </c>
      <c r="L29" s="112">
        <f t="shared" si="6"/>
        <v>0</v>
      </c>
      <c r="M29" s="112">
        <f t="shared" si="7"/>
        <v>0</v>
      </c>
      <c r="N29" s="113" t="str">
        <f t="shared" si="11"/>
        <v>FALSO</v>
      </c>
      <c r="O29" s="114" t="str">
        <f t="shared" si="8"/>
        <v/>
      </c>
      <c r="P29" s="115">
        <f t="shared" si="2"/>
        <v>0</v>
      </c>
      <c r="R29" s="82"/>
    </row>
    <row r="30" ht="14.25" customHeight="1">
      <c r="A30" s="116">
        <v>44863.0</v>
      </c>
      <c r="B30" s="116">
        <v>44863.0</v>
      </c>
      <c r="C30" s="116">
        <v>44863.0</v>
      </c>
      <c r="D30" s="109">
        <v>0.0</v>
      </c>
      <c r="E30" s="109">
        <f t="shared" si="3"/>
        <v>100</v>
      </c>
      <c r="F30" s="110">
        <f t="shared" si="12"/>
        <v>0.09</v>
      </c>
      <c r="G30" s="109">
        <f t="shared" si="9"/>
        <v>2.25</v>
      </c>
      <c r="H30" s="109">
        <f t="shared" si="4"/>
        <v>0</v>
      </c>
      <c r="I30" s="111">
        <f t="shared" si="1"/>
        <v>-67</v>
      </c>
      <c r="J30" s="111">
        <f t="shared" si="5"/>
        <v>0</v>
      </c>
      <c r="K30" s="117" t="str">
        <f t="shared" si="10"/>
        <v/>
      </c>
      <c r="L30" s="112">
        <f t="shared" si="6"/>
        <v>0</v>
      </c>
      <c r="M30" s="112">
        <f t="shared" si="7"/>
        <v>0</v>
      </c>
      <c r="N30" s="113" t="str">
        <f t="shared" si="11"/>
        <v>FALSO</v>
      </c>
      <c r="O30" s="114" t="str">
        <f t="shared" si="8"/>
        <v/>
      </c>
      <c r="P30" s="115">
        <f t="shared" si="2"/>
        <v>0</v>
      </c>
      <c r="R30" s="82"/>
    </row>
    <row r="31" ht="14.25" customHeight="1">
      <c r="A31" s="116">
        <v>44955.0</v>
      </c>
      <c r="B31" s="116">
        <v>44955.0</v>
      </c>
      <c r="C31" s="116">
        <v>44955.0</v>
      </c>
      <c r="D31" s="109">
        <v>100.0</v>
      </c>
      <c r="E31" s="109">
        <f t="shared" si="3"/>
        <v>0</v>
      </c>
      <c r="F31" s="110">
        <f t="shared" si="12"/>
        <v>0.09</v>
      </c>
      <c r="G31" s="109">
        <f t="shared" si="9"/>
        <v>2.25</v>
      </c>
      <c r="H31" s="109">
        <f t="shared" si="4"/>
        <v>102.25</v>
      </c>
      <c r="I31" s="111">
        <f t="shared" si="1"/>
        <v>25</v>
      </c>
      <c r="J31" s="111">
        <f t="shared" si="5"/>
        <v>103</v>
      </c>
      <c r="K31" s="117">
        <f t="shared" si="10"/>
        <v>100</v>
      </c>
      <c r="L31" s="112">
        <f t="shared" si="6"/>
        <v>0.07054794521</v>
      </c>
      <c r="M31" s="112">
        <f t="shared" si="7"/>
        <v>0.06849315068</v>
      </c>
      <c r="N31" s="111">
        <f t="shared" si="11"/>
        <v>67</v>
      </c>
      <c r="O31" s="114">
        <f t="shared" si="8"/>
        <v>44955</v>
      </c>
      <c r="P31" s="115">
        <f t="shared" si="2"/>
        <v>102.25</v>
      </c>
      <c r="R31" s="82"/>
    </row>
    <row r="32" ht="14.25" customHeight="1">
      <c r="H32" s="118">
        <f>SUMIF(I22:I31,"&gt;0",H22:H31)</f>
        <v>102.25</v>
      </c>
      <c r="I32" s="119">
        <f>+H10</f>
        <v>-0.1039033668</v>
      </c>
      <c r="J32" s="119">
        <f>SUM(J22:J31)</f>
        <v>0</v>
      </c>
      <c r="K32" s="120">
        <f>SUM(K22:K31)/$E$22</f>
        <v>1</v>
      </c>
      <c r="L32" s="121">
        <f t="shared" ref="L32:M32" si="13">SUM(L22:L31)</f>
        <v>0.07054794521</v>
      </c>
      <c r="M32" s="119">
        <f t="shared" si="13"/>
        <v>0.06849315068</v>
      </c>
      <c r="N32" s="122">
        <f>SUM(N24:N31)</f>
        <v>67</v>
      </c>
      <c r="O32" s="123">
        <f>MIN(O24:O31)</f>
        <v>44955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43"/>
    <col customWidth="1" min="4" max="5" width="10.71"/>
    <col customWidth="1" min="6" max="6" width="13.0"/>
    <col customWidth="1" min="7" max="8" width="14.43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130" t="s">
        <v>190</v>
      </c>
      <c r="D2" s="74">
        <v>44239.0</v>
      </c>
      <c r="E2" s="75">
        <v>0.04</v>
      </c>
      <c r="G2" s="71" t="s">
        <v>142</v>
      </c>
      <c r="H2" s="76">
        <f>+E18*100+E12</f>
        <v>101.3</v>
      </c>
      <c r="M2" s="77"/>
      <c r="N2" s="78"/>
      <c r="P2" s="77"/>
      <c r="Q2" s="131"/>
      <c r="R2" s="116"/>
    </row>
    <row r="3" ht="14.25" customHeight="1">
      <c r="C3" s="132"/>
      <c r="D3" s="74">
        <v>44926.0</v>
      </c>
      <c r="E3" s="75">
        <v>0.09</v>
      </c>
      <c r="G3" s="71" t="s">
        <v>144</v>
      </c>
      <c r="H3" s="81">
        <f>IF(E1&gt;D3,E3*E18*E7/E13,IF(E1&gt;D2,E2*E18*E7/E13,""))</f>
        <v>0.09211873081</v>
      </c>
      <c r="I3" s="82"/>
      <c r="M3" s="84"/>
      <c r="N3" s="133"/>
      <c r="P3" s="78"/>
      <c r="Q3" s="77"/>
      <c r="R3" s="116"/>
    </row>
    <row r="4" ht="14.25" customHeight="1">
      <c r="C4" s="71" t="s">
        <v>143</v>
      </c>
      <c r="D4" s="71"/>
      <c r="E4" s="79">
        <v>44239.0</v>
      </c>
      <c r="G4" s="71" t="s">
        <v>146</v>
      </c>
      <c r="H4" s="76">
        <f>+E10/H2*100</f>
        <v>97.72951629</v>
      </c>
      <c r="M4" s="84"/>
      <c r="N4" s="133"/>
      <c r="P4" s="78"/>
      <c r="Q4" s="77"/>
      <c r="R4" s="116"/>
    </row>
    <row r="5" ht="14.25" customHeight="1">
      <c r="C5" s="86" t="s">
        <v>145</v>
      </c>
      <c r="D5" s="86"/>
      <c r="E5" s="87">
        <v>360.0</v>
      </c>
      <c r="G5" s="71" t="s">
        <v>148</v>
      </c>
      <c r="H5" s="89">
        <f>MIN(O23:O43)</f>
        <v>44969</v>
      </c>
      <c r="M5" s="84"/>
      <c r="N5" s="133"/>
      <c r="P5" s="78"/>
      <c r="Q5" s="77"/>
      <c r="R5" s="116"/>
    </row>
    <row r="6" ht="14.25" customHeight="1">
      <c r="C6" s="71" t="s">
        <v>147</v>
      </c>
      <c r="D6" s="88"/>
      <c r="E6" s="79">
        <v>44328.0</v>
      </c>
      <c r="G6" s="71" t="s">
        <v>150</v>
      </c>
      <c r="H6" s="89">
        <f>MAX(C23:C43)</f>
        <v>46065</v>
      </c>
      <c r="M6" s="84"/>
      <c r="N6" s="133"/>
      <c r="P6" s="78"/>
      <c r="Q6" s="77"/>
      <c r="R6" s="116"/>
    </row>
    <row r="7" ht="14.25" customHeight="1">
      <c r="C7" s="71" t="s">
        <v>149</v>
      </c>
      <c r="D7" s="71"/>
      <c r="E7" s="90">
        <v>100.0</v>
      </c>
      <c r="G7" s="71" t="s">
        <v>152</v>
      </c>
      <c r="H7" s="92">
        <f>+H6-E1</f>
        <v>1135</v>
      </c>
      <c r="M7" s="84"/>
      <c r="N7" s="133"/>
      <c r="P7" s="78"/>
      <c r="Q7" s="77"/>
      <c r="R7" s="116"/>
    </row>
    <row r="8" ht="14.25" customHeight="1">
      <c r="C8" s="134" t="s">
        <v>151</v>
      </c>
      <c r="D8" s="135"/>
      <c r="M8" s="84"/>
      <c r="N8" s="133"/>
      <c r="P8" s="78"/>
      <c r="Q8" s="77"/>
      <c r="R8" s="116"/>
    </row>
    <row r="9" ht="14.25" customHeight="1">
      <c r="G9" s="94"/>
      <c r="H9" s="95" t="s">
        <v>154</v>
      </c>
      <c r="I9" s="95" t="s">
        <v>155</v>
      </c>
      <c r="J9" s="96" t="s">
        <v>156</v>
      </c>
      <c r="M9" s="84"/>
      <c r="N9" s="133"/>
      <c r="P9" s="78"/>
      <c r="Q9" s="77"/>
      <c r="R9" s="116"/>
    </row>
    <row r="10" ht="14.25" customHeight="1">
      <c r="C10" s="71" t="s">
        <v>153</v>
      </c>
      <c r="D10" s="71"/>
      <c r="E10" s="93">
        <f>+Curva!C8</f>
        <v>99</v>
      </c>
      <c r="G10" s="98" t="s">
        <v>158</v>
      </c>
      <c r="H10" s="99">
        <f>+((XIRR(P23:P43,C23:C43)+1)^(1/2)-1)*2</f>
        <v>0.1073958242</v>
      </c>
      <c r="I10" s="99">
        <f>+((XIRR(P23:P43,A23:A43)+1)^(1/2)-1)*2</f>
        <v>0.1071875085</v>
      </c>
      <c r="J10" s="99">
        <f>+((XIRR(P23:P43,B23:B43)+1)^(1/2)-1)*2</f>
        <v>0.1069800234</v>
      </c>
      <c r="L10" s="84"/>
      <c r="M10" s="84"/>
      <c r="N10" s="133"/>
      <c r="P10" s="78"/>
      <c r="Q10" s="77"/>
      <c r="R10" s="116"/>
    </row>
    <row r="11" ht="14.25" customHeight="1">
      <c r="C11" s="71" t="s">
        <v>157</v>
      </c>
      <c r="D11" s="71"/>
      <c r="E11" s="97">
        <f t="array" ref="E11">DAYS360(MAX(IF(C24:C43&lt;=E1,C24:C43)),E1,1)</f>
        <v>52</v>
      </c>
      <c r="L11" s="84"/>
      <c r="M11" s="84"/>
      <c r="N11" s="133"/>
      <c r="P11" s="78"/>
      <c r="Q11" s="77"/>
      <c r="R11" s="116"/>
    </row>
    <row r="12" ht="14.25" customHeight="1">
      <c r="C12" s="71" t="s">
        <v>159</v>
      </c>
      <c r="D12" s="71"/>
      <c r="E12" s="100">
        <f>IF(E1&gt;D3,E3/360*E11*E7,IF(E1&gt;D2,E2/360*E11*E7,""))</f>
        <v>1.3</v>
      </c>
      <c r="L12" s="84"/>
      <c r="M12" s="84"/>
      <c r="N12" s="133"/>
      <c r="P12" s="78"/>
      <c r="R12" s="116"/>
    </row>
    <row r="13" ht="14.25" customHeight="1">
      <c r="C13" s="71" t="s">
        <v>160</v>
      </c>
      <c r="D13" s="71"/>
      <c r="E13" s="93">
        <f>+E10-E12</f>
        <v>97.7</v>
      </c>
      <c r="L13" s="84"/>
      <c r="M13" s="84"/>
      <c r="N13" s="133"/>
      <c r="P13" s="78"/>
      <c r="R13" s="116"/>
    </row>
    <row r="14" ht="14.25" customHeight="1">
      <c r="C14" s="101"/>
      <c r="D14" s="101"/>
      <c r="L14" s="84"/>
      <c r="M14" s="84"/>
      <c r="N14" s="133"/>
      <c r="P14" s="78"/>
      <c r="R14" s="116"/>
    </row>
    <row r="15" ht="14.25" customHeight="1">
      <c r="C15" s="71" t="s">
        <v>161</v>
      </c>
      <c r="D15" s="71"/>
      <c r="E15" s="100">
        <f>(L45*100)/SUM(J25:J43)</f>
        <v>1.44681334</v>
      </c>
      <c r="L15" s="84"/>
      <c r="M15" s="84"/>
      <c r="N15" s="133"/>
      <c r="P15" s="78"/>
      <c r="R15" s="116"/>
    </row>
    <row r="16" ht="14.25" customHeight="1">
      <c r="C16" s="71" t="s">
        <v>162</v>
      </c>
      <c r="D16" s="71"/>
      <c r="E16" s="100">
        <f>E15/(1+I45/2)</f>
        <v>1.373081719</v>
      </c>
      <c r="R16" s="116"/>
    </row>
    <row r="17" ht="14.25" customHeight="1">
      <c r="C17" s="71" t="s">
        <v>163</v>
      </c>
      <c r="D17" s="71"/>
      <c r="E17" s="100">
        <f>M45</f>
        <v>1.537560442</v>
      </c>
      <c r="R17" s="116"/>
    </row>
    <row r="18" ht="14.25" customHeight="1">
      <c r="C18" s="71" t="s">
        <v>164</v>
      </c>
      <c r="D18" s="71"/>
      <c r="E18" s="100">
        <f>K45</f>
        <v>1</v>
      </c>
      <c r="R18" s="116"/>
    </row>
    <row r="19" ht="14.25" customHeight="1">
      <c r="R19" s="116"/>
    </row>
    <row r="20" ht="14.25" customHeight="1">
      <c r="R20" s="116"/>
    </row>
    <row r="21" ht="14.25" customHeight="1">
      <c r="C21" s="103" t="s">
        <v>165</v>
      </c>
      <c r="D21" s="104" t="s">
        <v>191</v>
      </c>
      <c r="E21" s="104" t="s">
        <v>167</v>
      </c>
      <c r="F21" s="104" t="s">
        <v>168</v>
      </c>
      <c r="G21" s="104" t="s">
        <v>169</v>
      </c>
      <c r="H21" s="105" t="s">
        <v>170</v>
      </c>
      <c r="I21" s="104" t="s">
        <v>171</v>
      </c>
      <c r="J21" s="104" t="s">
        <v>172</v>
      </c>
      <c r="K21" s="104" t="s">
        <v>173</v>
      </c>
      <c r="L21" s="104" t="s">
        <v>174</v>
      </c>
      <c r="M21" s="104" t="s">
        <v>175</v>
      </c>
      <c r="N21" s="106" t="s">
        <v>176</v>
      </c>
      <c r="O21" s="104" t="s">
        <v>177</v>
      </c>
      <c r="R21" s="116"/>
    </row>
    <row r="22" ht="14.25" customHeight="1">
      <c r="A22" s="107" t="s">
        <v>155</v>
      </c>
      <c r="B22" s="107" t="s">
        <v>156</v>
      </c>
      <c r="C22" s="107" t="s">
        <v>154</v>
      </c>
    </row>
    <row r="23" ht="14.25" customHeight="1">
      <c r="A23" s="108">
        <f>+TODAY()+1</f>
        <v>44929</v>
      </c>
      <c r="B23" s="108">
        <f>+TODAY()</f>
        <v>44928</v>
      </c>
      <c r="C23" s="108">
        <f>E1</f>
        <v>44930</v>
      </c>
      <c r="D23" s="109"/>
      <c r="E23" s="109">
        <f>+E7</f>
        <v>100</v>
      </c>
      <c r="F23" s="110"/>
      <c r="G23" s="109"/>
      <c r="H23" s="109">
        <f>-E10</f>
        <v>-99</v>
      </c>
      <c r="I23" s="111"/>
      <c r="J23" s="111">
        <f>H23</f>
        <v>-99</v>
      </c>
      <c r="K23" s="117"/>
      <c r="L23" s="112"/>
      <c r="M23" s="112"/>
      <c r="N23" s="113"/>
      <c r="O23" s="114"/>
      <c r="P23" s="115">
        <f t="shared" ref="P23:P43" si="1">+H23</f>
        <v>-99</v>
      </c>
    </row>
    <row r="24" ht="14.25" customHeight="1">
      <c r="A24" s="116">
        <v>44239.0</v>
      </c>
      <c r="B24" s="116">
        <v>44239.0</v>
      </c>
      <c r="C24" s="116">
        <v>44239.0</v>
      </c>
      <c r="D24" s="109"/>
      <c r="E24" s="109">
        <f t="shared" ref="E24:E43" si="2">+E23-D24</f>
        <v>100</v>
      </c>
      <c r="F24" s="110" t="str">
        <f t="shared" ref="F24:F43" si="3">IF(C24&gt;$D$3,$E$3,IF(C24&gt;$D$2,$E$2,""))</f>
        <v/>
      </c>
      <c r="G24" s="109"/>
      <c r="H24" s="109">
        <f t="shared" ref="H24:H43" si="4">+IF(C24&gt;$C$23,D24+G24,0)</f>
        <v>0</v>
      </c>
      <c r="I24" s="111">
        <f t="shared" ref="I24:I43" si="5">+C24-$E$1</f>
        <v>-691</v>
      </c>
      <c r="J24" s="111">
        <f t="shared" ref="J24:J43" si="6">IF(I24&lt;=0,0,H24/(((1+$I$45/2)^2)^(I24/365)))</f>
        <v>0</v>
      </c>
      <c r="K24" s="117"/>
      <c r="L24" s="112">
        <f t="shared" ref="L24:L43" si="7">J24*(I24/365)/100</f>
        <v>0</v>
      </c>
      <c r="M24" s="112">
        <f t="shared" ref="M24:M43" si="8">IF(I24&lt;0,0,(H24/$H$45)*I24/365)</f>
        <v>0</v>
      </c>
      <c r="N24" s="113" t="str">
        <f t="shared" ref="N24:N43" si="9">IF(I24&gt;=0,IF(I23&gt;0,0,-I23),"FALSO")</f>
        <v>FALSO</v>
      </c>
      <c r="O24" s="114" t="str">
        <f t="shared" ref="O24:O43" si="10">+IF(C24&gt;$C$23,C24,"")</f>
        <v/>
      </c>
      <c r="P24" s="115">
        <f t="shared" si="1"/>
        <v>0</v>
      </c>
    </row>
    <row r="25" ht="14.25" customHeight="1">
      <c r="A25" s="116">
        <v>44420.0</v>
      </c>
      <c r="B25" s="116">
        <v>44420.0</v>
      </c>
      <c r="C25" s="116">
        <v>44420.0</v>
      </c>
      <c r="D25" s="109"/>
      <c r="E25" s="109">
        <f t="shared" si="2"/>
        <v>100</v>
      </c>
      <c r="F25" s="110">
        <f t="shared" si="3"/>
        <v>0.04</v>
      </c>
      <c r="G25" s="109">
        <f t="shared" ref="G25:G43" si="11">IF(F25="","",IF($E$5=365,E24*F25/365*(C25-C24),E24*F25/360*DAYS360(C24,C25)))</f>
        <v>2</v>
      </c>
      <c r="H25" s="109">
        <f t="shared" si="4"/>
        <v>0</v>
      </c>
      <c r="I25" s="111">
        <f t="shared" si="5"/>
        <v>-510</v>
      </c>
      <c r="J25" s="111">
        <f t="shared" si="6"/>
        <v>0</v>
      </c>
      <c r="K25" s="117" t="str">
        <f t="shared" ref="K25:K43" si="12">IF(OR(N25="falso",N25=0),"",E24)</f>
        <v/>
      </c>
      <c r="L25" s="112">
        <f t="shared" si="7"/>
        <v>0</v>
      </c>
      <c r="M25" s="112">
        <f t="shared" si="8"/>
        <v>0</v>
      </c>
      <c r="N25" s="113" t="str">
        <f t="shared" si="9"/>
        <v>FALSO</v>
      </c>
      <c r="O25" s="114" t="str">
        <f t="shared" si="10"/>
        <v/>
      </c>
      <c r="P25" s="115">
        <f t="shared" si="1"/>
        <v>0</v>
      </c>
      <c r="S25" s="116"/>
    </row>
    <row r="26" ht="14.25" customHeight="1">
      <c r="A26" s="116">
        <v>44512.0</v>
      </c>
      <c r="B26" s="116">
        <v>44512.0</v>
      </c>
      <c r="C26" s="116">
        <v>44512.0</v>
      </c>
      <c r="D26" s="109"/>
      <c r="E26" s="109">
        <f t="shared" si="2"/>
        <v>100</v>
      </c>
      <c r="F26" s="110">
        <f t="shared" si="3"/>
        <v>0.04</v>
      </c>
      <c r="G26" s="109">
        <f t="shared" si="11"/>
        <v>1</v>
      </c>
      <c r="H26" s="109">
        <f t="shared" si="4"/>
        <v>0</v>
      </c>
      <c r="I26" s="111">
        <f t="shared" si="5"/>
        <v>-418</v>
      </c>
      <c r="J26" s="111">
        <f t="shared" si="6"/>
        <v>0</v>
      </c>
      <c r="K26" s="117" t="str">
        <f t="shared" si="12"/>
        <v/>
      </c>
      <c r="L26" s="112">
        <f t="shared" si="7"/>
        <v>0</v>
      </c>
      <c r="M26" s="112">
        <f t="shared" si="8"/>
        <v>0</v>
      </c>
      <c r="N26" s="113" t="str">
        <f t="shared" si="9"/>
        <v>FALSO</v>
      </c>
      <c r="O26" s="114" t="str">
        <f t="shared" si="10"/>
        <v/>
      </c>
      <c r="P26" s="115">
        <f t="shared" si="1"/>
        <v>0</v>
      </c>
      <c r="S26" s="116"/>
    </row>
    <row r="27" ht="14.25" customHeight="1">
      <c r="A27" s="116">
        <v>44604.0</v>
      </c>
      <c r="B27" s="116">
        <v>44604.0</v>
      </c>
      <c r="C27" s="116">
        <v>44604.0</v>
      </c>
      <c r="D27" s="109"/>
      <c r="E27" s="109">
        <f t="shared" si="2"/>
        <v>100</v>
      </c>
      <c r="F27" s="110">
        <f t="shared" si="3"/>
        <v>0.04</v>
      </c>
      <c r="G27" s="109">
        <f t="shared" si="11"/>
        <v>1</v>
      </c>
      <c r="H27" s="109">
        <f t="shared" si="4"/>
        <v>0</v>
      </c>
      <c r="I27" s="111">
        <f t="shared" si="5"/>
        <v>-326</v>
      </c>
      <c r="J27" s="111">
        <f t="shared" si="6"/>
        <v>0</v>
      </c>
      <c r="K27" s="117" t="str">
        <f t="shared" si="12"/>
        <v/>
      </c>
      <c r="L27" s="112">
        <f t="shared" si="7"/>
        <v>0</v>
      </c>
      <c r="M27" s="112">
        <f t="shared" si="8"/>
        <v>0</v>
      </c>
      <c r="N27" s="113" t="str">
        <f t="shared" si="9"/>
        <v>FALSO</v>
      </c>
      <c r="O27" s="114" t="str">
        <f t="shared" si="10"/>
        <v/>
      </c>
      <c r="P27" s="115">
        <f t="shared" si="1"/>
        <v>0</v>
      </c>
      <c r="R27" s="82"/>
      <c r="S27" s="116"/>
    </row>
    <row r="28" ht="14.25" customHeight="1">
      <c r="A28" s="116">
        <v>44693.0</v>
      </c>
      <c r="B28" s="116">
        <v>44693.0</v>
      </c>
      <c r="C28" s="116">
        <v>44693.0</v>
      </c>
      <c r="D28" s="109"/>
      <c r="E28" s="109">
        <f t="shared" si="2"/>
        <v>100</v>
      </c>
      <c r="F28" s="110">
        <f t="shared" si="3"/>
        <v>0.04</v>
      </c>
      <c r="G28" s="109">
        <f t="shared" si="11"/>
        <v>1</v>
      </c>
      <c r="H28" s="109">
        <f t="shared" si="4"/>
        <v>0</v>
      </c>
      <c r="I28" s="111">
        <f t="shared" si="5"/>
        <v>-237</v>
      </c>
      <c r="J28" s="111">
        <f t="shared" si="6"/>
        <v>0</v>
      </c>
      <c r="K28" s="117" t="str">
        <f t="shared" si="12"/>
        <v/>
      </c>
      <c r="L28" s="112">
        <f t="shared" si="7"/>
        <v>0</v>
      </c>
      <c r="M28" s="112">
        <f t="shared" si="8"/>
        <v>0</v>
      </c>
      <c r="N28" s="113" t="str">
        <f t="shared" si="9"/>
        <v>FALSO</v>
      </c>
      <c r="O28" s="114" t="str">
        <f t="shared" si="10"/>
        <v/>
      </c>
      <c r="P28" s="115">
        <f t="shared" si="1"/>
        <v>0</v>
      </c>
      <c r="R28" s="82"/>
      <c r="S28" s="116"/>
    </row>
    <row r="29" ht="14.25" customHeight="1">
      <c r="A29" s="116">
        <v>44785.0</v>
      </c>
      <c r="B29" s="116">
        <v>44785.0</v>
      </c>
      <c r="C29" s="116">
        <v>44785.0</v>
      </c>
      <c r="D29" s="109"/>
      <c r="E29" s="109">
        <f t="shared" si="2"/>
        <v>100</v>
      </c>
      <c r="F29" s="110">
        <f t="shared" si="3"/>
        <v>0.04</v>
      </c>
      <c r="G29" s="109">
        <f t="shared" si="11"/>
        <v>1</v>
      </c>
      <c r="H29" s="109">
        <f t="shared" si="4"/>
        <v>0</v>
      </c>
      <c r="I29" s="111">
        <f t="shared" si="5"/>
        <v>-145</v>
      </c>
      <c r="J29" s="111">
        <f t="shared" si="6"/>
        <v>0</v>
      </c>
      <c r="K29" s="117" t="str">
        <f t="shared" si="12"/>
        <v/>
      </c>
      <c r="L29" s="112">
        <f t="shared" si="7"/>
        <v>0</v>
      </c>
      <c r="M29" s="112">
        <f t="shared" si="8"/>
        <v>0</v>
      </c>
      <c r="N29" s="113" t="str">
        <f t="shared" si="9"/>
        <v>FALSO</v>
      </c>
      <c r="O29" s="114" t="str">
        <f t="shared" si="10"/>
        <v/>
      </c>
      <c r="P29" s="115">
        <f t="shared" si="1"/>
        <v>0</v>
      </c>
      <c r="R29" s="82"/>
      <c r="S29" s="116"/>
    </row>
    <row r="30" ht="14.25" customHeight="1">
      <c r="A30" s="116">
        <v>44877.0</v>
      </c>
      <c r="B30" s="116">
        <v>44877.0</v>
      </c>
      <c r="C30" s="116">
        <v>44877.0</v>
      </c>
      <c r="D30" s="109"/>
      <c r="E30" s="109">
        <f t="shared" si="2"/>
        <v>100</v>
      </c>
      <c r="F30" s="110">
        <f t="shared" si="3"/>
        <v>0.04</v>
      </c>
      <c r="G30" s="109">
        <f t="shared" si="11"/>
        <v>1</v>
      </c>
      <c r="H30" s="109">
        <f t="shared" si="4"/>
        <v>0</v>
      </c>
      <c r="I30" s="111">
        <f t="shared" si="5"/>
        <v>-53</v>
      </c>
      <c r="J30" s="111">
        <f t="shared" si="6"/>
        <v>0</v>
      </c>
      <c r="K30" s="117" t="str">
        <f t="shared" si="12"/>
        <v/>
      </c>
      <c r="L30" s="112">
        <f t="shared" si="7"/>
        <v>0</v>
      </c>
      <c r="M30" s="112">
        <f t="shared" si="8"/>
        <v>0</v>
      </c>
      <c r="N30" s="113" t="str">
        <f t="shared" si="9"/>
        <v>FALSO</v>
      </c>
      <c r="O30" s="114" t="str">
        <f t="shared" si="10"/>
        <v/>
      </c>
      <c r="P30" s="115">
        <f t="shared" si="1"/>
        <v>0</v>
      </c>
      <c r="R30" s="82"/>
      <c r="S30" s="116"/>
    </row>
    <row r="31" ht="14.25" customHeight="1">
      <c r="A31" s="116">
        <v>44969.0</v>
      </c>
      <c r="B31" s="116">
        <v>44969.0</v>
      </c>
      <c r="C31" s="116">
        <v>44969.0</v>
      </c>
      <c r="D31" s="109">
        <v>7.69</v>
      </c>
      <c r="E31" s="109">
        <f t="shared" si="2"/>
        <v>92.31</v>
      </c>
      <c r="F31" s="110">
        <f t="shared" si="3"/>
        <v>0.09</v>
      </c>
      <c r="G31" s="109">
        <f t="shared" si="11"/>
        <v>2.25</v>
      </c>
      <c r="H31" s="109">
        <f t="shared" si="4"/>
        <v>9.94</v>
      </c>
      <c r="I31" s="111">
        <f t="shared" si="5"/>
        <v>39</v>
      </c>
      <c r="J31" s="111">
        <f t="shared" si="6"/>
        <v>9.829512534</v>
      </c>
      <c r="K31" s="117">
        <f t="shared" si="12"/>
        <v>100</v>
      </c>
      <c r="L31" s="112">
        <f t="shared" si="7"/>
        <v>0.01050276682</v>
      </c>
      <c r="M31" s="112">
        <f t="shared" si="8"/>
        <v>0.009177713637</v>
      </c>
      <c r="N31" s="111">
        <f t="shared" si="9"/>
        <v>53</v>
      </c>
      <c r="O31" s="114">
        <f t="shared" si="10"/>
        <v>44969</v>
      </c>
      <c r="P31" s="115">
        <f t="shared" si="1"/>
        <v>9.94</v>
      </c>
      <c r="R31" s="82"/>
      <c r="S31" s="116"/>
    </row>
    <row r="32" ht="14.25" customHeight="1">
      <c r="A32" s="116">
        <v>45058.0</v>
      </c>
      <c r="B32" s="116">
        <v>45058.0</v>
      </c>
      <c r="C32" s="116">
        <v>45058.0</v>
      </c>
      <c r="D32" s="109">
        <v>7.69</v>
      </c>
      <c r="E32" s="109">
        <f t="shared" si="2"/>
        <v>84.62</v>
      </c>
      <c r="F32" s="110">
        <f t="shared" si="3"/>
        <v>0.09</v>
      </c>
      <c r="G32" s="109">
        <f t="shared" si="11"/>
        <v>2.076975</v>
      </c>
      <c r="H32" s="109">
        <f t="shared" si="4"/>
        <v>9.766975</v>
      </c>
      <c r="I32" s="111">
        <f t="shared" si="5"/>
        <v>128</v>
      </c>
      <c r="J32" s="111">
        <f t="shared" si="6"/>
        <v>9.415159343</v>
      </c>
      <c r="K32" s="117" t="str">
        <f t="shared" si="12"/>
        <v/>
      </c>
      <c r="L32" s="112">
        <f t="shared" si="7"/>
        <v>0.03301754509</v>
      </c>
      <c r="M32" s="112">
        <f t="shared" si="8"/>
        <v>0.02959739967</v>
      </c>
      <c r="N32" s="113">
        <f t="shared" si="9"/>
        <v>0</v>
      </c>
      <c r="O32" s="114">
        <f t="shared" si="10"/>
        <v>45058</v>
      </c>
      <c r="P32" s="115">
        <f t="shared" si="1"/>
        <v>9.766975</v>
      </c>
      <c r="R32" s="82"/>
      <c r="S32" s="116"/>
    </row>
    <row r="33" ht="14.25" customHeight="1">
      <c r="A33" s="116">
        <v>45150.0</v>
      </c>
      <c r="B33" s="116">
        <v>45150.0</v>
      </c>
      <c r="C33" s="116">
        <v>45150.0</v>
      </c>
      <c r="D33" s="109">
        <v>7.69</v>
      </c>
      <c r="E33" s="109">
        <f t="shared" si="2"/>
        <v>76.93</v>
      </c>
      <c r="F33" s="110">
        <f t="shared" si="3"/>
        <v>0.09</v>
      </c>
      <c r="G33" s="109">
        <f t="shared" si="11"/>
        <v>1.90395</v>
      </c>
      <c r="H33" s="109">
        <f t="shared" si="4"/>
        <v>9.59395</v>
      </c>
      <c r="I33" s="111">
        <f t="shared" si="5"/>
        <v>220</v>
      </c>
      <c r="J33" s="111">
        <f t="shared" si="6"/>
        <v>9.007694231</v>
      </c>
      <c r="K33" s="117" t="str">
        <f t="shared" si="12"/>
        <v/>
      </c>
      <c r="L33" s="112">
        <f t="shared" si="7"/>
        <v>0.05429295153</v>
      </c>
      <c r="M33" s="112">
        <f t="shared" si="8"/>
        <v>0.0499693434</v>
      </c>
      <c r="N33" s="113">
        <f t="shared" si="9"/>
        <v>0</v>
      </c>
      <c r="O33" s="114">
        <f t="shared" si="10"/>
        <v>45150</v>
      </c>
      <c r="P33" s="115">
        <f t="shared" si="1"/>
        <v>9.59395</v>
      </c>
      <c r="R33" s="82"/>
      <c r="S33" s="116"/>
    </row>
    <row r="34" ht="14.25" customHeight="1">
      <c r="A34" s="116">
        <v>45242.0</v>
      </c>
      <c r="B34" s="116">
        <v>45242.0</v>
      </c>
      <c r="C34" s="116">
        <v>45242.0</v>
      </c>
      <c r="D34" s="109">
        <v>7.69</v>
      </c>
      <c r="E34" s="109">
        <f t="shared" si="2"/>
        <v>69.24</v>
      </c>
      <c r="F34" s="110">
        <f t="shared" si="3"/>
        <v>0.09</v>
      </c>
      <c r="G34" s="109">
        <f t="shared" si="11"/>
        <v>1.730925</v>
      </c>
      <c r="H34" s="109">
        <f t="shared" si="4"/>
        <v>9.420925</v>
      </c>
      <c r="I34" s="111">
        <f t="shared" si="5"/>
        <v>312</v>
      </c>
      <c r="J34" s="111">
        <f t="shared" si="6"/>
        <v>8.615060218</v>
      </c>
      <c r="K34" s="117" t="str">
        <f t="shared" si="12"/>
        <v/>
      </c>
      <c r="L34" s="112">
        <f t="shared" si="7"/>
        <v>0.07364106269</v>
      </c>
      <c r="M34" s="112">
        <f t="shared" si="8"/>
        <v>0.06958756688</v>
      </c>
      <c r="N34" s="113">
        <f t="shared" si="9"/>
        <v>0</v>
      </c>
      <c r="O34" s="114">
        <f t="shared" si="10"/>
        <v>45242</v>
      </c>
      <c r="P34" s="115">
        <f t="shared" si="1"/>
        <v>9.420925</v>
      </c>
      <c r="R34" s="82"/>
      <c r="S34" s="116"/>
    </row>
    <row r="35" ht="14.25" customHeight="1">
      <c r="A35" s="116">
        <v>45334.0</v>
      </c>
      <c r="B35" s="116">
        <v>45334.0</v>
      </c>
      <c r="C35" s="116">
        <v>45334.0</v>
      </c>
      <c r="D35" s="109">
        <v>7.69</v>
      </c>
      <c r="E35" s="109">
        <f t="shared" si="2"/>
        <v>61.55</v>
      </c>
      <c r="F35" s="110">
        <f t="shared" si="3"/>
        <v>0.09</v>
      </c>
      <c r="G35" s="109">
        <f t="shared" si="11"/>
        <v>1.5579</v>
      </c>
      <c r="H35" s="109">
        <f t="shared" si="4"/>
        <v>9.2479</v>
      </c>
      <c r="I35" s="111">
        <f t="shared" si="5"/>
        <v>404</v>
      </c>
      <c r="J35" s="111">
        <f t="shared" si="6"/>
        <v>8.236761338</v>
      </c>
      <c r="K35" s="117" t="str">
        <f t="shared" si="12"/>
        <v/>
      </c>
      <c r="L35" s="112">
        <f t="shared" si="7"/>
        <v>0.09116853645</v>
      </c>
      <c r="M35" s="112">
        <f t="shared" si="8"/>
        <v>0.08845207008</v>
      </c>
      <c r="N35" s="113">
        <f t="shared" si="9"/>
        <v>0</v>
      </c>
      <c r="O35" s="114">
        <f t="shared" si="10"/>
        <v>45334</v>
      </c>
      <c r="P35" s="115">
        <f t="shared" si="1"/>
        <v>9.2479</v>
      </c>
      <c r="R35" s="82"/>
      <c r="S35" s="116"/>
    </row>
    <row r="36" ht="14.25" customHeight="1">
      <c r="A36" s="116">
        <v>45424.0</v>
      </c>
      <c r="B36" s="116">
        <v>45424.0</v>
      </c>
      <c r="C36" s="116">
        <v>45424.0</v>
      </c>
      <c r="D36" s="109">
        <v>7.69</v>
      </c>
      <c r="E36" s="109">
        <f t="shared" si="2"/>
        <v>53.86</v>
      </c>
      <c r="F36" s="110">
        <f t="shared" si="3"/>
        <v>0.09</v>
      </c>
      <c r="G36" s="109">
        <f t="shared" si="11"/>
        <v>1.384875</v>
      </c>
      <c r="H36" s="109">
        <f t="shared" si="4"/>
        <v>9.074875</v>
      </c>
      <c r="I36" s="111">
        <f t="shared" si="5"/>
        <v>494</v>
      </c>
      <c r="J36" s="111">
        <f t="shared" si="6"/>
        <v>7.876831209</v>
      </c>
      <c r="K36" s="117" t="str">
        <f t="shared" si="12"/>
        <v/>
      </c>
      <c r="L36" s="112">
        <f t="shared" si="7"/>
        <v>0.1066069758</v>
      </c>
      <c r="M36" s="112">
        <f t="shared" si="8"/>
        <v>0.1061331641</v>
      </c>
      <c r="N36" s="113">
        <f t="shared" si="9"/>
        <v>0</v>
      </c>
      <c r="O36" s="114">
        <f t="shared" si="10"/>
        <v>45424</v>
      </c>
      <c r="P36" s="115">
        <f t="shared" si="1"/>
        <v>9.074875</v>
      </c>
      <c r="R36" s="82"/>
      <c r="S36" s="116"/>
    </row>
    <row r="37" ht="14.25" customHeight="1">
      <c r="A37" s="116">
        <v>45516.0</v>
      </c>
      <c r="B37" s="116">
        <v>45516.0</v>
      </c>
      <c r="C37" s="116">
        <v>45516.0</v>
      </c>
      <c r="D37" s="109">
        <v>7.69</v>
      </c>
      <c r="E37" s="109">
        <f t="shared" si="2"/>
        <v>46.17</v>
      </c>
      <c r="F37" s="110">
        <f t="shared" si="3"/>
        <v>0.09</v>
      </c>
      <c r="G37" s="109">
        <f t="shared" si="11"/>
        <v>1.21185</v>
      </c>
      <c r="H37" s="109">
        <f t="shared" si="4"/>
        <v>8.90185</v>
      </c>
      <c r="I37" s="111">
        <f t="shared" si="5"/>
        <v>586</v>
      </c>
      <c r="J37" s="111">
        <f t="shared" si="6"/>
        <v>7.525575997</v>
      </c>
      <c r="K37" s="117" t="str">
        <f t="shared" si="12"/>
        <v/>
      </c>
      <c r="L37" s="112">
        <f t="shared" si="7"/>
        <v>0.1208215763</v>
      </c>
      <c r="M37" s="112">
        <f t="shared" si="8"/>
        <v>0.1234984194</v>
      </c>
      <c r="N37" s="113">
        <f t="shared" si="9"/>
        <v>0</v>
      </c>
      <c r="O37" s="114">
        <f t="shared" si="10"/>
        <v>45516</v>
      </c>
      <c r="P37" s="115">
        <f t="shared" si="1"/>
        <v>8.90185</v>
      </c>
      <c r="R37" s="82"/>
      <c r="S37" s="116"/>
    </row>
    <row r="38" ht="14.25" customHeight="1">
      <c r="A38" s="116">
        <v>45608.0</v>
      </c>
      <c r="B38" s="116">
        <v>45608.0</v>
      </c>
      <c r="C38" s="116">
        <v>45608.0</v>
      </c>
      <c r="D38" s="109">
        <v>7.69</v>
      </c>
      <c r="E38" s="109">
        <f t="shared" si="2"/>
        <v>38.48</v>
      </c>
      <c r="F38" s="110">
        <f t="shared" si="3"/>
        <v>0.09</v>
      </c>
      <c r="G38" s="109">
        <f t="shared" si="11"/>
        <v>1.038825</v>
      </c>
      <c r="H38" s="109">
        <f t="shared" si="4"/>
        <v>8.728825</v>
      </c>
      <c r="I38" s="111">
        <f t="shared" si="5"/>
        <v>678</v>
      </c>
      <c r="J38" s="111">
        <f t="shared" si="6"/>
        <v>7.187268126</v>
      </c>
      <c r="K38" s="117" t="str">
        <f t="shared" si="12"/>
        <v/>
      </c>
      <c r="L38" s="112">
        <f t="shared" si="7"/>
        <v>0.1335059668</v>
      </c>
      <c r="M38" s="112">
        <f t="shared" si="8"/>
        <v>0.1401099544</v>
      </c>
      <c r="N38" s="113">
        <f t="shared" si="9"/>
        <v>0</v>
      </c>
      <c r="O38" s="114">
        <f t="shared" si="10"/>
        <v>45608</v>
      </c>
      <c r="P38" s="115">
        <f t="shared" si="1"/>
        <v>8.728825</v>
      </c>
      <c r="R38" s="82"/>
      <c r="S38" s="116"/>
    </row>
    <row r="39" ht="14.25" customHeight="1">
      <c r="A39" s="116">
        <v>45700.0</v>
      </c>
      <c r="B39" s="116">
        <v>45700.0</v>
      </c>
      <c r="C39" s="116">
        <v>45700.0</v>
      </c>
      <c r="D39" s="109">
        <v>7.69</v>
      </c>
      <c r="E39" s="109">
        <f t="shared" si="2"/>
        <v>30.79</v>
      </c>
      <c r="F39" s="110">
        <f t="shared" si="3"/>
        <v>0.09</v>
      </c>
      <c r="G39" s="109">
        <f t="shared" si="11"/>
        <v>0.8658</v>
      </c>
      <c r="H39" s="109">
        <f t="shared" si="4"/>
        <v>8.5558</v>
      </c>
      <c r="I39" s="111">
        <f t="shared" si="5"/>
        <v>770</v>
      </c>
      <c r="J39" s="111">
        <f t="shared" si="6"/>
        <v>6.861471606</v>
      </c>
      <c r="K39" s="117" t="str">
        <f t="shared" si="12"/>
        <v/>
      </c>
      <c r="L39" s="112">
        <f t="shared" si="7"/>
        <v>0.1447488531</v>
      </c>
      <c r="M39" s="112">
        <f t="shared" si="8"/>
        <v>0.1559677692</v>
      </c>
      <c r="N39" s="113">
        <f t="shared" si="9"/>
        <v>0</v>
      </c>
      <c r="O39" s="114">
        <f t="shared" si="10"/>
        <v>45700</v>
      </c>
      <c r="P39" s="115">
        <f t="shared" si="1"/>
        <v>8.5558</v>
      </c>
      <c r="R39" s="82"/>
      <c r="S39" s="116"/>
    </row>
    <row r="40" ht="14.25" customHeight="1">
      <c r="A40" s="116">
        <v>45789.0</v>
      </c>
      <c r="B40" s="116">
        <v>45789.0</v>
      </c>
      <c r="C40" s="116">
        <v>45789.0</v>
      </c>
      <c r="D40" s="109">
        <v>7.69</v>
      </c>
      <c r="E40" s="109">
        <f t="shared" si="2"/>
        <v>23.1</v>
      </c>
      <c r="F40" s="110">
        <f t="shared" si="3"/>
        <v>0.09</v>
      </c>
      <c r="G40" s="109">
        <f t="shared" si="11"/>
        <v>0.692775</v>
      </c>
      <c r="H40" s="109">
        <f t="shared" si="4"/>
        <v>8.382775</v>
      </c>
      <c r="I40" s="111">
        <f t="shared" si="5"/>
        <v>859</v>
      </c>
      <c r="J40" s="111">
        <f t="shared" si="6"/>
        <v>6.553396699</v>
      </c>
      <c r="K40" s="117" t="str">
        <f t="shared" si="12"/>
        <v/>
      </c>
      <c r="L40" s="112">
        <f t="shared" si="7"/>
        <v>0.1542292538</v>
      </c>
      <c r="M40" s="112">
        <f t="shared" si="8"/>
        <v>0.1704764859</v>
      </c>
      <c r="N40" s="113">
        <f t="shared" si="9"/>
        <v>0</v>
      </c>
      <c r="O40" s="114">
        <f t="shared" si="10"/>
        <v>45789</v>
      </c>
      <c r="P40" s="115">
        <f t="shared" si="1"/>
        <v>8.382775</v>
      </c>
      <c r="R40" s="82"/>
      <c r="S40" s="116"/>
    </row>
    <row r="41" ht="14.25" customHeight="1">
      <c r="A41" s="116">
        <v>45881.0</v>
      </c>
      <c r="B41" s="116">
        <v>45881.0</v>
      </c>
      <c r="C41" s="116">
        <v>45881.0</v>
      </c>
      <c r="D41" s="109">
        <v>7.69</v>
      </c>
      <c r="E41" s="109">
        <f t="shared" si="2"/>
        <v>15.41</v>
      </c>
      <c r="F41" s="110">
        <f t="shared" si="3"/>
        <v>0.09</v>
      </c>
      <c r="G41" s="109">
        <f t="shared" si="11"/>
        <v>0.51975</v>
      </c>
      <c r="H41" s="109">
        <f t="shared" si="4"/>
        <v>8.20975</v>
      </c>
      <c r="I41" s="111">
        <f t="shared" si="5"/>
        <v>951</v>
      </c>
      <c r="J41" s="111">
        <f t="shared" si="6"/>
        <v>6.251110375</v>
      </c>
      <c r="K41" s="117" t="str">
        <f t="shared" si="12"/>
        <v/>
      </c>
      <c r="L41" s="112">
        <f t="shared" si="7"/>
        <v>0.1628713963</v>
      </c>
      <c r="M41" s="112">
        <f t="shared" si="8"/>
        <v>0.1848391491</v>
      </c>
      <c r="N41" s="113">
        <f t="shared" si="9"/>
        <v>0</v>
      </c>
      <c r="O41" s="114">
        <f t="shared" si="10"/>
        <v>45881</v>
      </c>
      <c r="P41" s="115">
        <f t="shared" si="1"/>
        <v>8.20975</v>
      </c>
      <c r="R41" s="82"/>
      <c r="S41" s="116"/>
    </row>
    <row r="42" ht="14.25" customHeight="1">
      <c r="A42" s="116">
        <v>45973.0</v>
      </c>
      <c r="B42" s="116">
        <v>45973.0</v>
      </c>
      <c r="C42" s="116">
        <v>45973.0</v>
      </c>
      <c r="D42" s="109">
        <v>7.69</v>
      </c>
      <c r="E42" s="109">
        <f t="shared" si="2"/>
        <v>7.72</v>
      </c>
      <c r="F42" s="110">
        <f t="shared" si="3"/>
        <v>0.09</v>
      </c>
      <c r="G42" s="109">
        <f t="shared" si="11"/>
        <v>0.346725</v>
      </c>
      <c r="H42" s="109">
        <f t="shared" si="4"/>
        <v>8.036725</v>
      </c>
      <c r="I42" s="111">
        <f t="shared" si="5"/>
        <v>1043</v>
      </c>
      <c r="J42" s="111">
        <f t="shared" si="6"/>
        <v>5.960118975</v>
      </c>
      <c r="K42" s="117" t="str">
        <f t="shared" si="12"/>
        <v/>
      </c>
      <c r="L42" s="112">
        <f t="shared" si="7"/>
        <v>0.1703124408</v>
      </c>
      <c r="M42" s="112">
        <f t="shared" si="8"/>
        <v>0.198448092</v>
      </c>
      <c r="N42" s="113">
        <f t="shared" si="9"/>
        <v>0</v>
      </c>
      <c r="O42" s="114">
        <f t="shared" si="10"/>
        <v>45973</v>
      </c>
      <c r="P42" s="115">
        <f t="shared" si="1"/>
        <v>8.036725</v>
      </c>
      <c r="R42" s="82"/>
      <c r="S42" s="116"/>
    </row>
    <row r="43" ht="14.25" customHeight="1">
      <c r="A43" s="116">
        <v>46065.0</v>
      </c>
      <c r="B43" s="116">
        <v>46065.0</v>
      </c>
      <c r="C43" s="116">
        <v>46065.0</v>
      </c>
      <c r="D43" s="109">
        <v>7.69</v>
      </c>
      <c r="E43" s="109">
        <f t="shared" si="2"/>
        <v>0.03</v>
      </c>
      <c r="F43" s="110">
        <f t="shared" si="3"/>
        <v>0.09</v>
      </c>
      <c r="G43" s="109">
        <f t="shared" si="11"/>
        <v>0.1737</v>
      </c>
      <c r="H43" s="109">
        <f t="shared" si="4"/>
        <v>7.8637</v>
      </c>
      <c r="I43" s="111">
        <f t="shared" si="5"/>
        <v>1135</v>
      </c>
      <c r="J43" s="111">
        <f t="shared" si="6"/>
        <v>5.680039349</v>
      </c>
      <c r="K43" s="117" t="str">
        <f t="shared" si="12"/>
        <v/>
      </c>
      <c r="L43" s="112">
        <f t="shared" si="7"/>
        <v>0.1766258811</v>
      </c>
      <c r="M43" s="112">
        <f t="shared" si="8"/>
        <v>0.2113033146</v>
      </c>
      <c r="N43" s="113">
        <f t="shared" si="9"/>
        <v>0</v>
      </c>
      <c r="O43" s="114">
        <f t="shared" si="10"/>
        <v>46065</v>
      </c>
      <c r="P43" s="115">
        <f t="shared" si="1"/>
        <v>7.8637</v>
      </c>
      <c r="R43" s="82"/>
      <c r="S43" s="116"/>
    </row>
    <row r="44" ht="14.25" customHeight="1">
      <c r="R44" s="82"/>
    </row>
    <row r="45" ht="14.25" customHeight="1">
      <c r="H45" s="118">
        <f>SUMIF(I23:I43,"&gt;0",H23:H43)</f>
        <v>115.72405</v>
      </c>
      <c r="I45" s="119">
        <f>+H10</f>
        <v>0.1073958242</v>
      </c>
      <c r="J45" s="119">
        <f>SUM(J23:J43)</f>
        <v>0</v>
      </c>
      <c r="K45" s="119">
        <f>SUM(K23:K43)/$E$23</f>
        <v>1</v>
      </c>
      <c r="L45" s="121">
        <f t="shared" ref="L45:M45" si="13">SUM(L23:L43)</f>
        <v>1.432345207</v>
      </c>
      <c r="M45" s="119">
        <f t="shared" si="13"/>
        <v>1.537560442</v>
      </c>
      <c r="N45" s="122">
        <f>SUM(N25:N43)</f>
        <v>53</v>
      </c>
      <c r="O45" s="123">
        <f>MIN(O25:O43)</f>
        <v>44969</v>
      </c>
      <c r="R45" s="82"/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C2:C3"/>
    <mergeCell ref="C8:D8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43"/>
    <col customWidth="1" min="4" max="5" width="10.71"/>
    <col customWidth="1" min="6" max="6" width="13.0"/>
    <col customWidth="1" min="7" max="8" width="14.43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130" t="s">
        <v>190</v>
      </c>
      <c r="D2" s="74">
        <v>44239.0</v>
      </c>
      <c r="E2" s="75">
        <v>0.025</v>
      </c>
      <c r="G2" s="71" t="s">
        <v>142</v>
      </c>
      <c r="H2" s="76">
        <f>+E18*100+E12</f>
        <v>100.1</v>
      </c>
      <c r="M2" s="77"/>
      <c r="N2" s="78"/>
      <c r="P2" s="77"/>
      <c r="Q2" s="116"/>
    </row>
    <row r="3" ht="14.25" customHeight="1">
      <c r="C3" s="132"/>
      <c r="D3" s="74">
        <v>44925.0</v>
      </c>
      <c r="E3" s="75">
        <v>0.09</v>
      </c>
      <c r="G3" s="71" t="s">
        <v>144</v>
      </c>
      <c r="H3" s="81">
        <f>IF(E1&gt;D3,E3*E18*E7/E13,IF(E1&gt;D2,E2*E18*E7/E13,""))</f>
        <v>0.1046511628</v>
      </c>
      <c r="I3" s="82"/>
      <c r="M3" s="84"/>
      <c r="N3" s="133"/>
      <c r="P3" s="78"/>
      <c r="Q3" s="116"/>
    </row>
    <row r="4" ht="14.25" customHeight="1">
      <c r="C4" s="71" t="s">
        <v>143</v>
      </c>
      <c r="D4" s="71"/>
      <c r="E4" s="79">
        <v>44239.0</v>
      </c>
      <c r="G4" s="71" t="s">
        <v>146</v>
      </c>
      <c r="H4" s="76">
        <f>+E10/H2*100</f>
        <v>86.01398601</v>
      </c>
      <c r="M4" s="84"/>
      <c r="N4" s="133"/>
      <c r="P4" s="78"/>
      <c r="Q4" s="116"/>
    </row>
    <row r="5" ht="14.25" customHeight="1">
      <c r="C5" s="86" t="s">
        <v>145</v>
      </c>
      <c r="D5" s="86"/>
      <c r="E5" s="87">
        <v>360.0</v>
      </c>
      <c r="G5" s="71" t="s">
        <v>148</v>
      </c>
      <c r="H5" s="89">
        <f>MIN(O23:O41)</f>
        <v>45107</v>
      </c>
      <c r="M5" s="84"/>
      <c r="N5" s="133"/>
      <c r="P5" s="78"/>
      <c r="Q5" s="116"/>
    </row>
    <row r="6" ht="14.25" customHeight="1">
      <c r="C6" s="71" t="s">
        <v>147</v>
      </c>
      <c r="D6" s="88"/>
      <c r="E6" s="79">
        <v>44377.0</v>
      </c>
      <c r="G6" s="71" t="s">
        <v>150</v>
      </c>
      <c r="H6" s="89">
        <f>MAX(C23:C41)</f>
        <v>47299</v>
      </c>
      <c r="M6" s="84"/>
      <c r="N6" s="133"/>
      <c r="P6" s="78"/>
      <c r="Q6" s="116"/>
    </row>
    <row r="7" ht="14.25" customHeight="1">
      <c r="C7" s="71" t="s">
        <v>149</v>
      </c>
      <c r="D7" s="71"/>
      <c r="E7" s="90">
        <v>100.0</v>
      </c>
      <c r="G7" s="71" t="s">
        <v>152</v>
      </c>
      <c r="H7" s="92">
        <f>+H6-E1</f>
        <v>2369</v>
      </c>
      <c r="M7" s="84"/>
      <c r="N7" s="133"/>
      <c r="P7" s="78"/>
      <c r="Q7" s="116"/>
    </row>
    <row r="8" ht="14.25" customHeight="1">
      <c r="C8" s="134" t="s">
        <v>151</v>
      </c>
      <c r="D8" s="135"/>
      <c r="M8" s="84"/>
      <c r="N8" s="133"/>
      <c r="P8" s="78"/>
      <c r="Q8" s="116"/>
    </row>
    <row r="9" ht="14.25" customHeight="1">
      <c r="G9" s="94"/>
      <c r="H9" s="95" t="s">
        <v>154</v>
      </c>
      <c r="I9" s="95" t="s">
        <v>155</v>
      </c>
      <c r="J9" s="96" t="s">
        <v>156</v>
      </c>
      <c r="M9" s="84"/>
      <c r="N9" s="133"/>
      <c r="P9" s="78"/>
      <c r="Q9" s="116"/>
    </row>
    <row r="10" ht="14.25" customHeight="1">
      <c r="C10" s="71" t="s">
        <v>153</v>
      </c>
      <c r="D10" s="71"/>
      <c r="E10" s="93">
        <f>+Curva!C9</f>
        <v>86.1</v>
      </c>
      <c r="G10" s="98" t="s">
        <v>158</v>
      </c>
      <c r="H10" s="99">
        <f>+((XIRR(P23:P41,C23:C41)+1)^(1/2)-1)*2</f>
        <v>0.1292420699</v>
      </c>
      <c r="I10" s="99">
        <f>+((XIRR(P23:P41,A23:A41)+1)^(1/2)-1)*2</f>
        <v>0.1291506295</v>
      </c>
      <c r="J10" s="99">
        <f>+((XIRR(P23:P41,B23:B41)+1)^(1/2)-1)*2</f>
        <v>0.1290593238</v>
      </c>
      <c r="M10" s="84"/>
      <c r="N10" s="133"/>
      <c r="P10" s="78"/>
      <c r="Q10" s="116"/>
    </row>
    <row r="11" ht="14.25" customHeight="1">
      <c r="C11" s="71" t="s">
        <v>157</v>
      </c>
      <c r="D11" s="71"/>
      <c r="E11" s="97">
        <f t="array" ref="E11">DAYS360(MAX(IF(C24:C41&lt;=E1,C24:C41)),E1,1)</f>
        <v>4</v>
      </c>
      <c r="M11" s="84"/>
      <c r="N11" s="133"/>
      <c r="P11" s="78"/>
      <c r="Q11" s="116"/>
    </row>
    <row r="12" ht="14.25" customHeight="1">
      <c r="C12" s="71" t="s">
        <v>159</v>
      </c>
      <c r="D12" s="71"/>
      <c r="E12" s="100">
        <f>IF(E1&gt;D3,E3/360*E11*E7,IF(E1&gt;D2,E2/360*E11*E7,""))</f>
        <v>0.1</v>
      </c>
      <c r="M12" s="84"/>
      <c r="N12" s="133"/>
      <c r="P12" s="78"/>
      <c r="Q12" s="116"/>
    </row>
    <row r="13" ht="14.25" customHeight="1">
      <c r="C13" s="71" t="s">
        <v>160</v>
      </c>
      <c r="D13" s="71"/>
      <c r="E13" s="93">
        <f>+E10-E12</f>
        <v>86</v>
      </c>
      <c r="M13" s="84"/>
      <c r="N13" s="133"/>
      <c r="P13" s="78"/>
      <c r="Q13" s="116"/>
    </row>
    <row r="14" ht="14.25" customHeight="1">
      <c r="C14" s="101"/>
      <c r="D14" s="101"/>
      <c r="M14" s="84"/>
      <c r="N14" s="133"/>
      <c r="P14" s="78"/>
      <c r="Q14" s="116"/>
    </row>
    <row r="15" ht="14.25" customHeight="1">
      <c r="C15" s="71" t="s">
        <v>161</v>
      </c>
      <c r="D15" s="71"/>
      <c r="E15" s="100">
        <f>(L42*100)/SUM(J25:J41)</f>
        <v>3.991896083</v>
      </c>
      <c r="M15" s="84"/>
      <c r="N15" s="133"/>
      <c r="P15" s="78"/>
      <c r="Q15" s="116"/>
    </row>
    <row r="16" ht="14.25" customHeight="1">
      <c r="C16" s="71" t="s">
        <v>162</v>
      </c>
      <c r="D16" s="71"/>
      <c r="E16" s="100">
        <f>E15/(1+I42/2)</f>
        <v>3.749593473</v>
      </c>
      <c r="Q16" s="116"/>
    </row>
    <row r="17" ht="14.25" customHeight="1">
      <c r="C17" s="71" t="s">
        <v>163</v>
      </c>
      <c r="D17" s="71"/>
      <c r="E17" s="100">
        <f>M42</f>
        <v>4.321613258</v>
      </c>
      <c r="Q17" s="116"/>
    </row>
    <row r="18" ht="14.25" customHeight="1">
      <c r="C18" s="71" t="s">
        <v>164</v>
      </c>
      <c r="D18" s="71"/>
      <c r="E18" s="100">
        <f>K42</f>
        <v>1</v>
      </c>
      <c r="Q18" s="116"/>
    </row>
    <row r="19" ht="14.25" customHeight="1"/>
    <row r="20" ht="14.25" customHeight="1"/>
    <row r="21" ht="14.25" customHeight="1">
      <c r="C21" s="103" t="s">
        <v>165</v>
      </c>
      <c r="D21" s="104" t="s">
        <v>191</v>
      </c>
      <c r="E21" s="104" t="s">
        <v>167</v>
      </c>
      <c r="F21" s="104" t="s">
        <v>168</v>
      </c>
      <c r="G21" s="104" t="s">
        <v>169</v>
      </c>
      <c r="H21" s="105" t="s">
        <v>170</v>
      </c>
      <c r="I21" s="104" t="s">
        <v>171</v>
      </c>
      <c r="J21" s="104" t="s">
        <v>172</v>
      </c>
      <c r="K21" s="104" t="s">
        <v>173</v>
      </c>
      <c r="L21" s="104" t="s">
        <v>174</v>
      </c>
      <c r="M21" s="104" t="s">
        <v>175</v>
      </c>
      <c r="N21" s="106" t="s">
        <v>176</v>
      </c>
      <c r="O21" s="104" t="s">
        <v>177</v>
      </c>
    </row>
    <row r="22" ht="14.25" customHeight="1">
      <c r="A22" s="107" t="s">
        <v>155</v>
      </c>
      <c r="B22" s="107" t="s">
        <v>156</v>
      </c>
      <c r="C22" s="107" t="s">
        <v>154</v>
      </c>
    </row>
    <row r="23" ht="14.25" customHeight="1">
      <c r="A23" s="108">
        <f>+TODAY()+1</f>
        <v>44929</v>
      </c>
      <c r="B23" s="108">
        <f>+TODAY()</f>
        <v>44928</v>
      </c>
      <c r="C23" s="108">
        <f>E1</f>
        <v>44930</v>
      </c>
      <c r="D23" s="109"/>
      <c r="E23" s="109">
        <f>+E7</f>
        <v>100</v>
      </c>
      <c r="F23" s="110"/>
      <c r="G23" s="109"/>
      <c r="H23" s="109">
        <f>-E10</f>
        <v>-86.1</v>
      </c>
      <c r="I23" s="111"/>
      <c r="J23" s="111">
        <f>H23</f>
        <v>-86.1</v>
      </c>
      <c r="K23" s="117"/>
      <c r="L23" s="112"/>
      <c r="M23" s="112"/>
      <c r="N23" s="113"/>
      <c r="O23" s="114"/>
      <c r="P23" s="115">
        <f t="shared" ref="P23:P41" si="1">+H23</f>
        <v>-86.1</v>
      </c>
    </row>
    <row r="24" ht="14.25" customHeight="1">
      <c r="A24" s="116">
        <v>44239.0</v>
      </c>
      <c r="B24" s="116">
        <v>44239.0</v>
      </c>
      <c r="C24" s="116">
        <v>44239.0</v>
      </c>
      <c r="D24" s="109"/>
      <c r="E24" s="109">
        <f t="shared" ref="E24:E41" si="2">+E23-D24</f>
        <v>100</v>
      </c>
      <c r="F24" s="110" t="str">
        <f t="shared" ref="F24:F41" si="3">IF(C24&gt;$D$3,$E$3,IF(C24&gt;$D$2,$E$2,""))</f>
        <v/>
      </c>
      <c r="G24" s="109"/>
      <c r="H24" s="109">
        <f t="shared" ref="H24:H41" si="4">+IF(C24&gt;$C$23,D24+G24,0)</f>
        <v>0</v>
      </c>
      <c r="I24" s="111">
        <f t="shared" ref="I24:I41" si="5">+C24-$E$1</f>
        <v>-691</v>
      </c>
      <c r="J24" s="111">
        <f t="shared" ref="J24:J41" si="6">IF(I24&lt;=0,0,H24/(((1+$I$42/2)^2)^(I24/365)))</f>
        <v>0</v>
      </c>
      <c r="K24" s="117"/>
      <c r="L24" s="112">
        <f t="shared" ref="L24:L41" si="7">J24*(I24/365)/100</f>
        <v>0</v>
      </c>
      <c r="M24" s="112">
        <f t="shared" ref="M24:M41" si="8">IF(I24&lt;0,0,(H24/$H$42)*I24/365)</f>
        <v>0</v>
      </c>
      <c r="N24" s="113" t="str">
        <f t="shared" ref="N24:N41" si="9">IF(I24&gt;=0,IF(I23&gt;0,0,-I23),"FALSO")</f>
        <v>FALSO</v>
      </c>
      <c r="O24" s="114" t="str">
        <f t="shared" ref="O24:O41" si="10">+IF(C24&gt;$C$23,C24,"")</f>
        <v/>
      </c>
      <c r="P24" s="115">
        <f t="shared" si="1"/>
        <v>0</v>
      </c>
    </row>
    <row r="25" ht="14.25" customHeight="1">
      <c r="A25" s="116">
        <v>44377.0</v>
      </c>
      <c r="B25" s="116">
        <v>44377.0</v>
      </c>
      <c r="C25" s="116">
        <v>44377.0</v>
      </c>
      <c r="D25" s="109"/>
      <c r="E25" s="109">
        <f t="shared" si="2"/>
        <v>100</v>
      </c>
      <c r="F25" s="110">
        <f t="shared" si="3"/>
        <v>0.025</v>
      </c>
      <c r="G25" s="109">
        <f t="shared" ref="G25:G41" si="11">IF(F25="","",IF($E$5=365,E24*F25/365*(C25-C24),E24*F25/360*DAYS360(C24,C25)))</f>
        <v>0.9583333333</v>
      </c>
      <c r="H25" s="109">
        <f t="shared" si="4"/>
        <v>0</v>
      </c>
      <c r="I25" s="111">
        <f t="shared" si="5"/>
        <v>-553</v>
      </c>
      <c r="J25" s="111">
        <f t="shared" si="6"/>
        <v>0</v>
      </c>
      <c r="K25" s="117" t="str">
        <f t="shared" ref="K25:K41" si="12">IF(OR(N25="falso",N25=0),"",E24)</f>
        <v/>
      </c>
      <c r="L25" s="112">
        <f t="shared" si="7"/>
        <v>0</v>
      </c>
      <c r="M25" s="112">
        <f t="shared" si="8"/>
        <v>0</v>
      </c>
      <c r="N25" s="113" t="str">
        <f t="shared" si="9"/>
        <v>FALSO</v>
      </c>
      <c r="O25" s="114" t="str">
        <f t="shared" si="10"/>
        <v/>
      </c>
      <c r="P25" s="115">
        <f t="shared" si="1"/>
        <v>0</v>
      </c>
      <c r="S25" s="116"/>
    </row>
    <row r="26" ht="14.25" customHeight="1">
      <c r="A26" s="116">
        <v>44560.0</v>
      </c>
      <c r="B26" s="116">
        <v>44560.0</v>
      </c>
      <c r="C26" s="116">
        <v>44560.0</v>
      </c>
      <c r="D26" s="109"/>
      <c r="E26" s="109">
        <f t="shared" si="2"/>
        <v>100</v>
      </c>
      <c r="F26" s="110">
        <f t="shared" si="3"/>
        <v>0.025</v>
      </c>
      <c r="G26" s="109">
        <f t="shared" si="11"/>
        <v>1.25</v>
      </c>
      <c r="H26" s="109">
        <f t="shared" si="4"/>
        <v>0</v>
      </c>
      <c r="I26" s="111">
        <f t="shared" si="5"/>
        <v>-370</v>
      </c>
      <c r="J26" s="111">
        <f t="shared" si="6"/>
        <v>0</v>
      </c>
      <c r="K26" s="117" t="str">
        <f t="shared" si="12"/>
        <v/>
      </c>
      <c r="L26" s="112">
        <f t="shared" si="7"/>
        <v>0</v>
      </c>
      <c r="M26" s="112">
        <f t="shared" si="8"/>
        <v>0</v>
      </c>
      <c r="N26" s="113" t="str">
        <f t="shared" si="9"/>
        <v>FALSO</v>
      </c>
      <c r="O26" s="114" t="str">
        <f t="shared" si="10"/>
        <v/>
      </c>
      <c r="P26" s="115">
        <f t="shared" si="1"/>
        <v>0</v>
      </c>
      <c r="S26" s="116"/>
    </row>
    <row r="27" ht="14.25" customHeight="1">
      <c r="A27" s="116">
        <v>44742.0</v>
      </c>
      <c r="B27" s="116">
        <v>44742.0</v>
      </c>
      <c r="C27" s="116">
        <v>44742.0</v>
      </c>
      <c r="D27" s="109"/>
      <c r="E27" s="109">
        <f t="shared" si="2"/>
        <v>100</v>
      </c>
      <c r="F27" s="110">
        <f t="shared" si="3"/>
        <v>0.025</v>
      </c>
      <c r="G27" s="109">
        <f t="shared" si="11"/>
        <v>1.25</v>
      </c>
      <c r="H27" s="109">
        <f t="shared" si="4"/>
        <v>0</v>
      </c>
      <c r="I27" s="111">
        <f t="shared" si="5"/>
        <v>-188</v>
      </c>
      <c r="J27" s="111">
        <f t="shared" si="6"/>
        <v>0</v>
      </c>
      <c r="K27" s="117" t="str">
        <f t="shared" si="12"/>
        <v/>
      </c>
      <c r="L27" s="112">
        <f t="shared" si="7"/>
        <v>0</v>
      </c>
      <c r="M27" s="112">
        <f t="shared" si="8"/>
        <v>0</v>
      </c>
      <c r="N27" s="113" t="str">
        <f t="shared" si="9"/>
        <v>FALSO</v>
      </c>
      <c r="O27" s="114" t="str">
        <f t="shared" si="10"/>
        <v/>
      </c>
      <c r="P27" s="115">
        <f t="shared" si="1"/>
        <v>0</v>
      </c>
      <c r="R27" s="82"/>
      <c r="S27" s="116"/>
    </row>
    <row r="28" ht="14.25" customHeight="1">
      <c r="A28" s="116">
        <v>44925.0</v>
      </c>
      <c r="B28" s="116">
        <v>44925.0</v>
      </c>
      <c r="C28" s="116">
        <v>44925.0</v>
      </c>
      <c r="D28" s="109"/>
      <c r="E28" s="109">
        <f t="shared" si="2"/>
        <v>100</v>
      </c>
      <c r="F28" s="110">
        <f t="shared" si="3"/>
        <v>0.025</v>
      </c>
      <c r="G28" s="109">
        <f t="shared" si="11"/>
        <v>1.25</v>
      </c>
      <c r="H28" s="109">
        <f t="shared" si="4"/>
        <v>0</v>
      </c>
      <c r="I28" s="111">
        <f t="shared" si="5"/>
        <v>-5</v>
      </c>
      <c r="J28" s="111">
        <f t="shared" si="6"/>
        <v>0</v>
      </c>
      <c r="K28" s="117" t="str">
        <f t="shared" si="12"/>
        <v/>
      </c>
      <c r="L28" s="112">
        <f t="shared" si="7"/>
        <v>0</v>
      </c>
      <c r="M28" s="112">
        <f t="shared" si="8"/>
        <v>0</v>
      </c>
      <c r="N28" s="113" t="str">
        <f t="shared" si="9"/>
        <v>FALSO</v>
      </c>
      <c r="O28" s="114" t="str">
        <f t="shared" si="10"/>
        <v/>
      </c>
      <c r="P28" s="115">
        <f t="shared" si="1"/>
        <v>0</v>
      </c>
      <c r="R28" s="82"/>
      <c r="S28" s="116"/>
    </row>
    <row r="29" ht="14.25" customHeight="1">
      <c r="A29" s="116">
        <v>45107.0</v>
      </c>
      <c r="B29" s="116">
        <v>45107.0</v>
      </c>
      <c r="C29" s="116">
        <v>45107.0</v>
      </c>
      <c r="D29" s="109"/>
      <c r="E29" s="109">
        <f t="shared" si="2"/>
        <v>100</v>
      </c>
      <c r="F29" s="110">
        <f t="shared" si="3"/>
        <v>0.09</v>
      </c>
      <c r="G29" s="109">
        <f t="shared" si="11"/>
        <v>4.5</v>
      </c>
      <c r="H29" s="109">
        <f t="shared" si="4"/>
        <v>4.5</v>
      </c>
      <c r="I29" s="111">
        <f t="shared" si="5"/>
        <v>177</v>
      </c>
      <c r="J29" s="111">
        <f t="shared" si="6"/>
        <v>4.234840401</v>
      </c>
      <c r="K29" s="117">
        <f t="shared" si="12"/>
        <v>100</v>
      </c>
      <c r="L29" s="112">
        <f t="shared" si="7"/>
        <v>0.02053607537</v>
      </c>
      <c r="M29" s="112">
        <f t="shared" si="8"/>
        <v>0.01505319049</v>
      </c>
      <c r="N29" s="111">
        <f t="shared" si="9"/>
        <v>5</v>
      </c>
      <c r="O29" s="114">
        <f t="shared" si="10"/>
        <v>45107</v>
      </c>
      <c r="P29" s="115">
        <f t="shared" si="1"/>
        <v>4.5</v>
      </c>
      <c r="R29" s="82"/>
      <c r="S29" s="116"/>
    </row>
    <row r="30" ht="14.25" customHeight="1">
      <c r="A30" s="116">
        <v>45290.0</v>
      </c>
      <c r="B30" s="116">
        <v>45290.0</v>
      </c>
      <c r="C30" s="116">
        <v>45290.0</v>
      </c>
      <c r="D30" s="109"/>
      <c r="E30" s="109">
        <f t="shared" si="2"/>
        <v>100</v>
      </c>
      <c r="F30" s="110">
        <f t="shared" si="3"/>
        <v>0.09</v>
      </c>
      <c r="G30" s="109">
        <f t="shared" si="11"/>
        <v>4.5</v>
      </c>
      <c r="H30" s="109">
        <f t="shared" si="4"/>
        <v>4.5</v>
      </c>
      <c r="I30" s="111">
        <f t="shared" si="5"/>
        <v>360</v>
      </c>
      <c r="J30" s="111">
        <f t="shared" si="6"/>
        <v>3.977109038</v>
      </c>
      <c r="K30" s="117" t="str">
        <f t="shared" si="12"/>
        <v/>
      </c>
      <c r="L30" s="112">
        <f t="shared" si="7"/>
        <v>0.03922628092</v>
      </c>
      <c r="M30" s="112">
        <f t="shared" si="8"/>
        <v>0.03061665863</v>
      </c>
      <c r="N30" s="113">
        <f t="shared" si="9"/>
        <v>0</v>
      </c>
      <c r="O30" s="114">
        <f t="shared" si="10"/>
        <v>45290</v>
      </c>
      <c r="P30" s="115">
        <f t="shared" si="1"/>
        <v>4.5</v>
      </c>
      <c r="R30" s="82"/>
      <c r="S30" s="116"/>
    </row>
    <row r="31" ht="14.25" customHeight="1">
      <c r="A31" s="116">
        <v>45473.0</v>
      </c>
      <c r="B31" s="116">
        <v>45473.0</v>
      </c>
      <c r="C31" s="116">
        <v>45473.0</v>
      </c>
      <c r="D31" s="109"/>
      <c r="E31" s="109">
        <f t="shared" si="2"/>
        <v>100</v>
      </c>
      <c r="F31" s="110">
        <f t="shared" si="3"/>
        <v>0.09</v>
      </c>
      <c r="G31" s="109">
        <f t="shared" si="11"/>
        <v>4.5</v>
      </c>
      <c r="H31" s="109">
        <f t="shared" si="4"/>
        <v>4.5</v>
      </c>
      <c r="I31" s="111">
        <f t="shared" si="5"/>
        <v>543</v>
      </c>
      <c r="J31" s="111">
        <f t="shared" si="6"/>
        <v>3.735063143</v>
      </c>
      <c r="K31" s="117" t="str">
        <f t="shared" si="12"/>
        <v/>
      </c>
      <c r="L31" s="112">
        <f t="shared" si="7"/>
        <v>0.05556545991</v>
      </c>
      <c r="M31" s="112">
        <f t="shared" si="8"/>
        <v>0.04618012676</v>
      </c>
      <c r="N31" s="113">
        <f t="shared" si="9"/>
        <v>0</v>
      </c>
      <c r="O31" s="114">
        <f t="shared" si="10"/>
        <v>45473</v>
      </c>
      <c r="P31" s="115">
        <f t="shared" si="1"/>
        <v>4.5</v>
      </c>
      <c r="R31" s="82"/>
      <c r="S31" s="116"/>
    </row>
    <row r="32" ht="14.25" customHeight="1">
      <c r="A32" s="116">
        <v>45656.0</v>
      </c>
      <c r="B32" s="116">
        <v>45656.0</v>
      </c>
      <c r="C32" s="116">
        <v>45656.0</v>
      </c>
      <c r="D32" s="109"/>
      <c r="E32" s="109">
        <f t="shared" si="2"/>
        <v>100</v>
      </c>
      <c r="F32" s="110">
        <f t="shared" si="3"/>
        <v>0.09</v>
      </c>
      <c r="G32" s="109">
        <f t="shared" si="11"/>
        <v>4.5</v>
      </c>
      <c r="H32" s="109">
        <f t="shared" si="4"/>
        <v>4.5</v>
      </c>
      <c r="I32" s="111">
        <f t="shared" si="5"/>
        <v>726</v>
      </c>
      <c r="J32" s="111">
        <f t="shared" si="6"/>
        <v>3.507748103</v>
      </c>
      <c r="K32" s="117" t="str">
        <f t="shared" si="12"/>
        <v/>
      </c>
      <c r="L32" s="112">
        <f t="shared" si="7"/>
        <v>0.06977055131</v>
      </c>
      <c r="M32" s="112">
        <f t="shared" si="8"/>
        <v>0.0617435949</v>
      </c>
      <c r="N32" s="113">
        <f t="shared" si="9"/>
        <v>0</v>
      </c>
      <c r="O32" s="114">
        <f t="shared" si="10"/>
        <v>45656</v>
      </c>
      <c r="P32" s="115">
        <f t="shared" si="1"/>
        <v>4.5</v>
      </c>
      <c r="R32" s="82"/>
      <c r="S32" s="116"/>
    </row>
    <row r="33" ht="14.25" customHeight="1">
      <c r="A33" s="116">
        <v>45838.0</v>
      </c>
      <c r="B33" s="116">
        <v>45838.0</v>
      </c>
      <c r="C33" s="116">
        <v>45838.0</v>
      </c>
      <c r="D33" s="109"/>
      <c r="E33" s="109">
        <f t="shared" si="2"/>
        <v>100</v>
      </c>
      <c r="F33" s="110">
        <f t="shared" si="3"/>
        <v>0.09</v>
      </c>
      <c r="G33" s="109">
        <f t="shared" si="11"/>
        <v>4.5</v>
      </c>
      <c r="H33" s="109">
        <f t="shared" si="4"/>
        <v>4.5</v>
      </c>
      <c r="I33" s="111">
        <f t="shared" si="5"/>
        <v>908</v>
      </c>
      <c r="J33" s="111">
        <f t="shared" si="6"/>
        <v>3.295397915</v>
      </c>
      <c r="K33" s="117" t="str">
        <f t="shared" si="12"/>
        <v/>
      </c>
      <c r="L33" s="112">
        <f t="shared" si="7"/>
        <v>0.08197866594</v>
      </c>
      <c r="M33" s="112">
        <f t="shared" si="8"/>
        <v>0.07722201676</v>
      </c>
      <c r="N33" s="113">
        <f t="shared" si="9"/>
        <v>0</v>
      </c>
      <c r="O33" s="114">
        <f t="shared" si="10"/>
        <v>45838</v>
      </c>
      <c r="P33" s="115">
        <f t="shared" si="1"/>
        <v>4.5</v>
      </c>
      <c r="R33" s="82"/>
      <c r="S33" s="116"/>
    </row>
    <row r="34" ht="14.25" customHeight="1">
      <c r="A34" s="116">
        <v>46021.0</v>
      </c>
      <c r="B34" s="116">
        <v>46021.0</v>
      </c>
      <c r="C34" s="116">
        <v>46021.0</v>
      </c>
      <c r="D34" s="109"/>
      <c r="E34" s="109">
        <f t="shared" si="2"/>
        <v>100</v>
      </c>
      <c r="F34" s="110">
        <f t="shared" si="3"/>
        <v>0.09</v>
      </c>
      <c r="G34" s="109">
        <f t="shared" si="11"/>
        <v>4.5</v>
      </c>
      <c r="H34" s="109">
        <f t="shared" si="4"/>
        <v>4.5</v>
      </c>
      <c r="I34" s="111">
        <f t="shared" si="5"/>
        <v>1091</v>
      </c>
      <c r="J34" s="111">
        <f t="shared" si="6"/>
        <v>3.094840795</v>
      </c>
      <c r="K34" s="117" t="str">
        <f t="shared" si="12"/>
        <v/>
      </c>
      <c r="L34" s="112">
        <f t="shared" si="7"/>
        <v>0.0925060632</v>
      </c>
      <c r="M34" s="112">
        <f t="shared" si="8"/>
        <v>0.09278548489</v>
      </c>
      <c r="N34" s="113">
        <f t="shared" si="9"/>
        <v>0</v>
      </c>
      <c r="O34" s="114">
        <f t="shared" si="10"/>
        <v>46021</v>
      </c>
      <c r="P34" s="115">
        <f t="shared" si="1"/>
        <v>4.5</v>
      </c>
      <c r="R34" s="82"/>
      <c r="S34" s="116"/>
    </row>
    <row r="35" ht="14.25" customHeight="1">
      <c r="A35" s="116">
        <v>46203.0</v>
      </c>
      <c r="B35" s="116">
        <v>46203.0</v>
      </c>
      <c r="C35" s="116">
        <v>46203.0</v>
      </c>
      <c r="D35" s="109">
        <v>14.28</v>
      </c>
      <c r="E35" s="109">
        <f t="shared" si="2"/>
        <v>85.72</v>
      </c>
      <c r="F35" s="110">
        <f t="shared" si="3"/>
        <v>0.09</v>
      </c>
      <c r="G35" s="109">
        <f t="shared" si="11"/>
        <v>4.5</v>
      </c>
      <c r="H35" s="109">
        <f t="shared" si="4"/>
        <v>18.78</v>
      </c>
      <c r="I35" s="111">
        <f t="shared" si="5"/>
        <v>1273</v>
      </c>
      <c r="J35" s="111">
        <f t="shared" si="6"/>
        <v>12.13391229</v>
      </c>
      <c r="K35" s="117" t="str">
        <f t="shared" si="12"/>
        <v/>
      </c>
      <c r="L35" s="112">
        <f t="shared" si="7"/>
        <v>0.4231909683</v>
      </c>
      <c r="M35" s="112">
        <f t="shared" si="8"/>
        <v>0.4518213708</v>
      </c>
      <c r="N35" s="113">
        <f t="shared" si="9"/>
        <v>0</v>
      </c>
      <c r="O35" s="114">
        <f t="shared" si="10"/>
        <v>46203</v>
      </c>
      <c r="P35" s="115">
        <f t="shared" si="1"/>
        <v>18.78</v>
      </c>
      <c r="R35" s="82"/>
      <c r="S35" s="116"/>
    </row>
    <row r="36" ht="14.25" customHeight="1">
      <c r="A36" s="116">
        <v>46386.0</v>
      </c>
      <c r="B36" s="116">
        <v>46386.0</v>
      </c>
      <c r="C36" s="116">
        <v>46386.0</v>
      </c>
      <c r="D36" s="109">
        <v>14.28</v>
      </c>
      <c r="E36" s="109">
        <f t="shared" si="2"/>
        <v>71.44</v>
      </c>
      <c r="F36" s="110">
        <f t="shared" si="3"/>
        <v>0.09</v>
      </c>
      <c r="G36" s="109">
        <f t="shared" si="11"/>
        <v>3.8574</v>
      </c>
      <c r="H36" s="109">
        <f t="shared" si="4"/>
        <v>18.1374</v>
      </c>
      <c r="I36" s="111">
        <f t="shared" si="5"/>
        <v>1456</v>
      </c>
      <c r="J36" s="111">
        <f t="shared" si="6"/>
        <v>11.00552449</v>
      </c>
      <c r="K36" s="117" t="str">
        <f t="shared" si="12"/>
        <v/>
      </c>
      <c r="L36" s="112">
        <f t="shared" si="7"/>
        <v>0.4390148947</v>
      </c>
      <c r="M36" s="112">
        <f t="shared" si="8"/>
        <v>0.4990903621</v>
      </c>
      <c r="N36" s="113">
        <f t="shared" si="9"/>
        <v>0</v>
      </c>
      <c r="O36" s="114">
        <f t="shared" si="10"/>
        <v>46386</v>
      </c>
      <c r="P36" s="115">
        <f t="shared" si="1"/>
        <v>18.1374</v>
      </c>
      <c r="R36" s="82"/>
      <c r="S36" s="116"/>
    </row>
    <row r="37" ht="14.25" customHeight="1">
      <c r="A37" s="116">
        <v>46568.0</v>
      </c>
      <c r="B37" s="116">
        <v>46568.0</v>
      </c>
      <c r="C37" s="116">
        <v>46568.0</v>
      </c>
      <c r="D37" s="109">
        <v>14.28</v>
      </c>
      <c r="E37" s="109">
        <f t="shared" si="2"/>
        <v>57.16</v>
      </c>
      <c r="F37" s="110">
        <f t="shared" si="3"/>
        <v>0.09</v>
      </c>
      <c r="G37" s="109">
        <f t="shared" si="11"/>
        <v>3.2148</v>
      </c>
      <c r="H37" s="109">
        <f t="shared" si="4"/>
        <v>17.4948</v>
      </c>
      <c r="I37" s="111">
        <f t="shared" si="5"/>
        <v>1638</v>
      </c>
      <c r="J37" s="111">
        <f t="shared" si="6"/>
        <v>9.972961897</v>
      </c>
      <c r="K37" s="117" t="str">
        <f t="shared" si="12"/>
        <v/>
      </c>
      <c r="L37" s="112">
        <f t="shared" si="7"/>
        <v>0.4475537421</v>
      </c>
      <c r="M37" s="112">
        <f t="shared" si="8"/>
        <v>0.5415837895</v>
      </c>
      <c r="N37" s="113">
        <f t="shared" si="9"/>
        <v>0</v>
      </c>
      <c r="O37" s="114">
        <f t="shared" si="10"/>
        <v>46568</v>
      </c>
      <c r="P37" s="115">
        <f t="shared" si="1"/>
        <v>17.4948</v>
      </c>
      <c r="R37" s="82"/>
      <c r="S37" s="116"/>
    </row>
    <row r="38" ht="14.25" customHeight="1">
      <c r="A38" s="116">
        <v>46751.0</v>
      </c>
      <c r="B38" s="116">
        <v>46751.0</v>
      </c>
      <c r="C38" s="116">
        <v>46751.0</v>
      </c>
      <c r="D38" s="109">
        <v>14.28</v>
      </c>
      <c r="E38" s="109">
        <f t="shared" si="2"/>
        <v>42.88</v>
      </c>
      <c r="F38" s="110">
        <f t="shared" si="3"/>
        <v>0.09</v>
      </c>
      <c r="G38" s="109">
        <f t="shared" si="11"/>
        <v>2.5722</v>
      </c>
      <c r="H38" s="109">
        <f t="shared" si="4"/>
        <v>16.8522</v>
      </c>
      <c r="I38" s="111">
        <f t="shared" si="5"/>
        <v>1821</v>
      </c>
      <c r="J38" s="111">
        <f t="shared" si="6"/>
        <v>9.021987741</v>
      </c>
      <c r="K38" s="117" t="str">
        <f t="shared" si="12"/>
        <v/>
      </c>
      <c r="L38" s="112">
        <f t="shared" si="7"/>
        <v>0.4501106761</v>
      </c>
      <c r="M38" s="112">
        <f t="shared" si="8"/>
        <v>0.5799750724</v>
      </c>
      <c r="N38" s="113">
        <f t="shared" si="9"/>
        <v>0</v>
      </c>
      <c r="O38" s="114">
        <f t="shared" si="10"/>
        <v>46751</v>
      </c>
      <c r="P38" s="115">
        <f t="shared" si="1"/>
        <v>16.8522</v>
      </c>
      <c r="R38" s="82"/>
      <c r="S38" s="116"/>
    </row>
    <row r="39" ht="14.25" customHeight="1">
      <c r="A39" s="116">
        <v>46934.0</v>
      </c>
      <c r="B39" s="116">
        <v>46934.0</v>
      </c>
      <c r="C39" s="116">
        <v>46934.0</v>
      </c>
      <c r="D39" s="109">
        <v>14.28</v>
      </c>
      <c r="E39" s="109">
        <f t="shared" si="2"/>
        <v>28.6</v>
      </c>
      <c r="F39" s="110">
        <f t="shared" si="3"/>
        <v>0.09</v>
      </c>
      <c r="G39" s="109">
        <f t="shared" si="11"/>
        <v>1.9296</v>
      </c>
      <c r="H39" s="109">
        <f t="shared" si="4"/>
        <v>16.2096</v>
      </c>
      <c r="I39" s="111">
        <f t="shared" si="5"/>
        <v>2004</v>
      </c>
      <c r="J39" s="111">
        <f t="shared" si="6"/>
        <v>8.149826745</v>
      </c>
      <c r="K39" s="117" t="str">
        <f t="shared" si="12"/>
        <v/>
      </c>
      <c r="L39" s="112">
        <f t="shared" si="7"/>
        <v>0.4474589807</v>
      </c>
      <c r="M39" s="112">
        <f t="shared" si="8"/>
        <v>0.6139214287</v>
      </c>
      <c r="N39" s="113">
        <f t="shared" si="9"/>
        <v>0</v>
      </c>
      <c r="O39" s="114">
        <f t="shared" si="10"/>
        <v>46934</v>
      </c>
      <c r="P39" s="115">
        <f t="shared" si="1"/>
        <v>16.2096</v>
      </c>
      <c r="R39" s="82"/>
      <c r="S39" s="116"/>
    </row>
    <row r="40" ht="14.25" customHeight="1">
      <c r="A40" s="116">
        <v>47117.0</v>
      </c>
      <c r="B40" s="116">
        <v>47117.0</v>
      </c>
      <c r="C40" s="116">
        <v>47117.0</v>
      </c>
      <c r="D40" s="109">
        <v>14.28</v>
      </c>
      <c r="E40" s="109">
        <f t="shared" si="2"/>
        <v>14.32</v>
      </c>
      <c r="F40" s="110">
        <f t="shared" si="3"/>
        <v>0.09</v>
      </c>
      <c r="G40" s="109">
        <f t="shared" si="11"/>
        <v>1.287</v>
      </c>
      <c r="H40" s="109">
        <f t="shared" si="4"/>
        <v>15.567</v>
      </c>
      <c r="I40" s="111">
        <f t="shared" si="5"/>
        <v>2187</v>
      </c>
      <c r="J40" s="111">
        <f t="shared" si="6"/>
        <v>7.350408131</v>
      </c>
      <c r="K40" s="117" t="str">
        <f t="shared" si="12"/>
        <v/>
      </c>
      <c r="L40" s="112">
        <f t="shared" si="7"/>
        <v>0.4404203447</v>
      </c>
      <c r="M40" s="112">
        <f t="shared" si="8"/>
        <v>0.6434228585</v>
      </c>
      <c r="N40" s="113">
        <f t="shared" si="9"/>
        <v>0</v>
      </c>
      <c r="O40" s="114">
        <f t="shared" si="10"/>
        <v>47117</v>
      </c>
      <c r="P40" s="115">
        <f t="shared" si="1"/>
        <v>15.567</v>
      </c>
      <c r="R40" s="82"/>
      <c r="S40" s="116"/>
    </row>
    <row r="41" ht="14.25" customHeight="1">
      <c r="A41" s="116">
        <v>47299.0</v>
      </c>
      <c r="B41" s="116">
        <v>47299.0</v>
      </c>
      <c r="C41" s="116">
        <v>47299.0</v>
      </c>
      <c r="D41" s="109">
        <v>14.28</v>
      </c>
      <c r="E41" s="109">
        <f t="shared" si="2"/>
        <v>0.04</v>
      </c>
      <c r="F41" s="110">
        <f t="shared" si="3"/>
        <v>0.09</v>
      </c>
      <c r="G41" s="109">
        <f t="shared" si="11"/>
        <v>0.6444</v>
      </c>
      <c r="H41" s="109">
        <f t="shared" si="4"/>
        <v>14.9244</v>
      </c>
      <c r="I41" s="111">
        <f t="shared" si="5"/>
        <v>2369</v>
      </c>
      <c r="J41" s="111">
        <f t="shared" si="6"/>
        <v>6.620379315</v>
      </c>
      <c r="K41" s="117" t="str">
        <f t="shared" si="12"/>
        <v/>
      </c>
      <c r="L41" s="112">
        <f t="shared" si="7"/>
        <v>0.4296898246</v>
      </c>
      <c r="M41" s="112">
        <f t="shared" si="8"/>
        <v>0.668197303</v>
      </c>
      <c r="N41" s="113">
        <f t="shared" si="9"/>
        <v>0</v>
      </c>
      <c r="O41" s="114">
        <f t="shared" si="10"/>
        <v>47299</v>
      </c>
      <c r="P41" s="115">
        <f t="shared" si="1"/>
        <v>14.9244</v>
      </c>
      <c r="R41" s="82"/>
    </row>
    <row r="42" ht="14.25" customHeight="1">
      <c r="H42" s="118">
        <f>SUMIF(I23:I41,"&gt;0",H23:H41)</f>
        <v>144.9654</v>
      </c>
      <c r="I42" s="119">
        <f>+H10</f>
        <v>0.1292420699</v>
      </c>
      <c r="J42" s="119">
        <f>SUM(J23:J41)</f>
        <v>0</v>
      </c>
      <c r="K42" s="119">
        <f>SUM(K23:K41)/$E$23</f>
        <v>1</v>
      </c>
      <c r="L42" s="121">
        <f t="shared" ref="L42:M42" si="13">SUM(L23:L41)</f>
        <v>3.437022528</v>
      </c>
      <c r="M42" s="119">
        <f t="shared" si="13"/>
        <v>4.321613258</v>
      </c>
      <c r="N42" s="122">
        <f>SUM(N25:N41)</f>
        <v>5</v>
      </c>
      <c r="O42" s="123">
        <f>MIN(O25:O41)</f>
        <v>45107</v>
      </c>
      <c r="R42" s="82"/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C2:C3"/>
    <mergeCell ref="C8:D8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73" t="s">
        <v>21</v>
      </c>
      <c r="D2" s="74">
        <v>44263.0</v>
      </c>
      <c r="E2" s="75">
        <v>0.095</v>
      </c>
      <c r="G2" s="71" t="s">
        <v>142</v>
      </c>
      <c r="H2" s="76">
        <f>+E17*100+E11</f>
        <v>89.76111111</v>
      </c>
      <c r="M2" s="77"/>
      <c r="N2" s="78"/>
    </row>
    <row r="3" ht="14.25" customHeight="1">
      <c r="C3" s="71" t="s">
        <v>143</v>
      </c>
      <c r="D3" s="71"/>
      <c r="E3" s="79">
        <v>44082.0</v>
      </c>
      <c r="F3" s="80"/>
      <c r="G3" s="71" t="s">
        <v>144</v>
      </c>
      <c r="H3" s="81">
        <f>IF(E1&gt;D2,E2*E17*E6/E12,"")</f>
        <v>0.09334319713</v>
      </c>
      <c r="I3" s="82"/>
      <c r="L3" s="83"/>
      <c r="M3" s="84"/>
      <c r="N3" s="116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101.7144272</v>
      </c>
      <c r="L4" s="83"/>
      <c r="M4" s="84"/>
      <c r="N4" s="116"/>
    </row>
    <row r="5" ht="14.25" customHeight="1">
      <c r="C5" s="71" t="s">
        <v>147</v>
      </c>
      <c r="D5" s="88"/>
      <c r="E5" s="79">
        <v>44263.0</v>
      </c>
      <c r="G5" s="71" t="s">
        <v>148</v>
      </c>
      <c r="H5" s="89">
        <f>MIN(O22:O31)</f>
        <v>44993</v>
      </c>
      <c r="L5" s="83"/>
      <c r="M5" s="84"/>
      <c r="N5" s="116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MAX(C22:C31)</f>
        <v>45724</v>
      </c>
      <c r="L6" s="83"/>
      <c r="M6" s="84"/>
      <c r="N6" s="116"/>
    </row>
    <row r="7" ht="14.25" customHeight="1">
      <c r="C7" s="91" t="s">
        <v>151</v>
      </c>
      <c r="D7" s="91"/>
      <c r="G7" s="71" t="s">
        <v>152</v>
      </c>
      <c r="H7" s="92">
        <f>+H6-E1</f>
        <v>794</v>
      </c>
      <c r="L7" s="83"/>
      <c r="M7" s="84"/>
      <c r="N7" s="116"/>
    </row>
    <row r="8" ht="14.25" customHeight="1">
      <c r="L8" s="83"/>
      <c r="M8" s="84"/>
      <c r="N8" s="116"/>
    </row>
    <row r="9" ht="14.25" customHeight="1">
      <c r="C9" s="71" t="s">
        <v>153</v>
      </c>
      <c r="D9" s="71"/>
      <c r="E9" s="93">
        <f>+Curva!C10</f>
        <v>91.3</v>
      </c>
      <c r="G9" s="94"/>
      <c r="H9" s="95" t="s">
        <v>154</v>
      </c>
      <c r="I9" s="95" t="s">
        <v>155</v>
      </c>
      <c r="J9" s="96" t="s">
        <v>156</v>
      </c>
      <c r="L9" s="83"/>
      <c r="M9" s="84"/>
      <c r="N9" s="116"/>
    </row>
    <row r="10" ht="14.25" customHeight="1">
      <c r="C10" s="71" t="s">
        <v>157</v>
      </c>
      <c r="D10" s="71"/>
      <c r="E10" s="97">
        <f t="array" ref="E10">DAYS360(MAX(IF(C23:C31&lt;=E1,C23:C31)),E1,1)</f>
        <v>116</v>
      </c>
      <c r="G10" s="98" t="s">
        <v>158</v>
      </c>
      <c r="H10" s="99">
        <f>+((XIRR(P22:P31,C22:C31)+1)^(1/2)-1)*2</f>
        <v>0.0776145323</v>
      </c>
      <c r="I10" s="99">
        <f>+((XIRR(P22:P31,A22:A31)+1)^(1/2)-1)*2</f>
        <v>0.0774482625</v>
      </c>
      <c r="J10" s="99">
        <f>+((XIRR(P22:P31,B22:B31)+1)^(1/2)-1)*2</f>
        <v>0.07728271523</v>
      </c>
      <c r="L10" s="83"/>
      <c r="M10" s="84"/>
      <c r="N10" s="116"/>
    </row>
    <row r="11" ht="14.25" customHeight="1">
      <c r="C11" s="71" t="s">
        <v>159</v>
      </c>
      <c r="D11" s="71"/>
      <c r="E11" s="100">
        <f>IF(E1&gt;D2,E2/360*E10*E6,"")</f>
        <v>3.061111111</v>
      </c>
      <c r="L11" s="83"/>
      <c r="M11" s="84"/>
      <c r="N11" s="116"/>
    </row>
    <row r="12" ht="14.25" customHeight="1">
      <c r="C12" s="71" t="s">
        <v>160</v>
      </c>
      <c r="D12" s="71"/>
      <c r="E12" s="93">
        <f>+E9-E11</f>
        <v>88.23888889</v>
      </c>
      <c r="L12" s="83"/>
      <c r="M12" s="84"/>
      <c r="N12" s="85"/>
    </row>
    <row r="13" ht="14.25" customHeight="1">
      <c r="C13" s="101"/>
      <c r="D13" s="101"/>
      <c r="L13" s="83"/>
      <c r="M13" s="84"/>
      <c r="N13" s="85"/>
    </row>
    <row r="14" ht="14.25" customHeight="1">
      <c r="C14" s="71" t="s">
        <v>161</v>
      </c>
      <c r="D14" s="71"/>
      <c r="E14" s="100">
        <f>(L32*100)/SUM(J23:J31)</f>
        <v>1.300562678</v>
      </c>
      <c r="L14" s="83"/>
      <c r="M14" s="84"/>
      <c r="N14" s="85"/>
    </row>
    <row r="15" ht="14.25" customHeight="1">
      <c r="C15" s="71" t="s">
        <v>162</v>
      </c>
      <c r="D15" s="71"/>
      <c r="E15" s="100">
        <f>E14/(1+I32/2)</f>
        <v>1.251976878</v>
      </c>
      <c r="M15" s="84"/>
      <c r="N15" s="85"/>
    </row>
    <row r="16" ht="14.25" customHeight="1">
      <c r="C16" s="71" t="s">
        <v>163</v>
      </c>
      <c r="D16" s="71"/>
      <c r="E16" s="100">
        <f>M32</f>
        <v>1.34449848</v>
      </c>
      <c r="M16" s="84"/>
      <c r="N16" s="85"/>
    </row>
    <row r="17" ht="14.25" customHeight="1">
      <c r="C17" s="71" t="s">
        <v>164</v>
      </c>
      <c r="D17" s="71"/>
      <c r="E17" s="100">
        <f>K32</f>
        <v>0.867</v>
      </c>
      <c r="M17" s="84"/>
      <c r="N17" s="85"/>
    </row>
    <row r="18" ht="14.25" customHeight="1">
      <c r="J18" s="102"/>
    </row>
    <row r="19" ht="14.25" customHeight="1"/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</row>
    <row r="21" ht="14.25" customHeight="1">
      <c r="A21" s="107" t="s">
        <v>155</v>
      </c>
      <c r="B21" s="107" t="s">
        <v>156</v>
      </c>
      <c r="C21" s="107" t="s">
        <v>154</v>
      </c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-91.3</v>
      </c>
      <c r="I22" s="111">
        <f t="shared" ref="I22:I31" si="1">+C22-$E$1</f>
        <v>0</v>
      </c>
      <c r="J22" s="111">
        <f>H22</f>
        <v>-91.3</v>
      </c>
      <c r="K22" s="112" t="str">
        <f>IF(OR(N22="falso",N22=0),"",E21)</f>
        <v/>
      </c>
      <c r="L22" s="112"/>
      <c r="M22" s="112"/>
      <c r="N22" s="113"/>
      <c r="O22" s="114"/>
      <c r="P22" s="115">
        <f t="shared" ref="P22:P31" si="2">+H22</f>
        <v>-91.3</v>
      </c>
    </row>
    <row r="23" ht="14.25" customHeight="1">
      <c r="A23" s="116">
        <v>44263.0</v>
      </c>
      <c r="B23" s="116">
        <v>44263.0</v>
      </c>
      <c r="C23" s="116">
        <v>44263.0</v>
      </c>
      <c r="D23" s="109">
        <v>0.0</v>
      </c>
      <c r="E23" s="109">
        <f t="shared" ref="E23:E31" si="3">+E22-D23</f>
        <v>100</v>
      </c>
      <c r="F23" s="110" t="str">
        <f t="shared" ref="F23:F31" si="4">IF(C23&gt;$D$2,$E$2,"")</f>
        <v/>
      </c>
      <c r="G23" s="109"/>
      <c r="H23" s="109">
        <f t="shared" ref="H23:H31" si="5">+IF(C23&gt;$C$22,D23+G23,0)</f>
        <v>0</v>
      </c>
      <c r="I23" s="111">
        <f t="shared" si="1"/>
        <v>-667</v>
      </c>
      <c r="J23" s="111">
        <f t="shared" ref="J23:J31" si="6">IF(I23&lt;=0,0,H23/(((1+$I$32/2)^2)^(I23/365)))</f>
        <v>0</v>
      </c>
      <c r="K23" s="112" t="str">
        <f t="shared" ref="K23:K24" si="7">IF(OR(N23="falso",N23=0),"",E21)</f>
        <v/>
      </c>
      <c r="L23" s="112">
        <f t="shared" ref="L23:L31" si="8">J23*(I23/365)/100</f>
        <v>0</v>
      </c>
      <c r="M23" s="112">
        <f t="shared" ref="M23:M31" si="9">IF(I23&lt;0,0,(H23/$H$32)*I23/365)</f>
        <v>0</v>
      </c>
      <c r="N23" s="113" t="str">
        <f>IF(I23&gt;=0,IF(I21&gt;0,0,-I21),"FALSO")</f>
        <v>FALSO</v>
      </c>
      <c r="O23" s="114" t="str">
        <f t="shared" ref="O23:O31" si="10">+IF(C23&gt;$C$22,C23,"")</f>
        <v/>
      </c>
      <c r="P23" s="115">
        <f t="shared" si="2"/>
        <v>0</v>
      </c>
    </row>
    <row r="24" ht="14.25" customHeight="1">
      <c r="A24" s="116">
        <v>44447.0</v>
      </c>
      <c r="B24" s="116">
        <v>44447.0</v>
      </c>
      <c r="C24" s="116">
        <v>44447.0</v>
      </c>
      <c r="D24" s="109">
        <v>0.0</v>
      </c>
      <c r="E24" s="109">
        <f t="shared" si="3"/>
        <v>100</v>
      </c>
      <c r="F24" s="110">
        <f t="shared" si="4"/>
        <v>0.095</v>
      </c>
      <c r="G24" s="109">
        <f t="shared" ref="G24:G31" si="11">IF(F24="","",IF($E$4=365,E23*F24/365*(C24-C23),E23*F24/360*DAYS360(C23,C24)))</f>
        <v>4.75</v>
      </c>
      <c r="H24" s="109">
        <f t="shared" si="5"/>
        <v>0</v>
      </c>
      <c r="I24" s="111">
        <f t="shared" si="1"/>
        <v>-483</v>
      </c>
      <c r="J24" s="111">
        <f t="shared" si="6"/>
        <v>0</v>
      </c>
      <c r="K24" s="112" t="str">
        <f t="shared" si="7"/>
        <v/>
      </c>
      <c r="L24" s="112">
        <f t="shared" si="8"/>
        <v>0</v>
      </c>
      <c r="M24" s="112">
        <f t="shared" si="9"/>
        <v>0</v>
      </c>
      <c r="N24" s="113" t="str">
        <f t="shared" ref="N24:N31" si="12">IF(I24&gt;=0,IF(I23&gt;0,0,-I23),"FALSO")</f>
        <v>FALSO</v>
      </c>
      <c r="O24" s="114" t="str">
        <f t="shared" si="10"/>
        <v/>
      </c>
      <c r="P24" s="115">
        <f t="shared" si="2"/>
        <v>0</v>
      </c>
    </row>
    <row r="25" ht="14.25" customHeight="1">
      <c r="A25" s="116">
        <v>44628.0</v>
      </c>
      <c r="B25" s="116">
        <v>44628.0</v>
      </c>
      <c r="C25" s="116">
        <v>44628.0</v>
      </c>
      <c r="D25" s="109">
        <v>0.0</v>
      </c>
      <c r="E25" s="109">
        <f t="shared" si="3"/>
        <v>100</v>
      </c>
      <c r="F25" s="110">
        <f t="shared" si="4"/>
        <v>0.095</v>
      </c>
      <c r="G25" s="109">
        <f t="shared" si="11"/>
        <v>4.75</v>
      </c>
      <c r="H25" s="109">
        <f t="shared" si="5"/>
        <v>0</v>
      </c>
      <c r="I25" s="111">
        <f t="shared" si="1"/>
        <v>-302</v>
      </c>
      <c r="J25" s="111">
        <f t="shared" si="6"/>
        <v>0</v>
      </c>
      <c r="K25" s="112" t="str">
        <f t="shared" ref="K25:K31" si="13">IF(OR(N25="falso",N25=0),"",E24)</f>
        <v/>
      </c>
      <c r="L25" s="112">
        <f t="shared" si="8"/>
        <v>0</v>
      </c>
      <c r="M25" s="112">
        <f t="shared" si="9"/>
        <v>0</v>
      </c>
      <c r="N25" s="113" t="str">
        <f t="shared" si="12"/>
        <v>FALSO</v>
      </c>
      <c r="O25" s="114" t="str">
        <f t="shared" si="10"/>
        <v/>
      </c>
      <c r="P25" s="115">
        <f t="shared" si="2"/>
        <v>0</v>
      </c>
    </row>
    <row r="26" ht="14.25" customHeight="1">
      <c r="A26" s="116">
        <v>44812.0</v>
      </c>
      <c r="B26" s="116">
        <v>44812.0</v>
      </c>
      <c r="C26" s="116">
        <v>44812.0</v>
      </c>
      <c r="D26" s="109">
        <v>13.3</v>
      </c>
      <c r="E26" s="109">
        <f t="shared" si="3"/>
        <v>86.7</v>
      </c>
      <c r="F26" s="110">
        <f t="shared" si="4"/>
        <v>0.095</v>
      </c>
      <c r="G26" s="109">
        <f t="shared" si="11"/>
        <v>4.75</v>
      </c>
      <c r="H26" s="109">
        <f t="shared" si="5"/>
        <v>0</v>
      </c>
      <c r="I26" s="111">
        <f t="shared" si="1"/>
        <v>-118</v>
      </c>
      <c r="J26" s="111">
        <f t="shared" si="6"/>
        <v>0</v>
      </c>
      <c r="K26" s="117" t="str">
        <f t="shared" si="13"/>
        <v/>
      </c>
      <c r="L26" s="112">
        <f t="shared" si="8"/>
        <v>0</v>
      </c>
      <c r="M26" s="112">
        <f t="shared" si="9"/>
        <v>0</v>
      </c>
      <c r="N26" s="113" t="str">
        <f t="shared" si="12"/>
        <v>FALSO</v>
      </c>
      <c r="O26" s="114" t="str">
        <f t="shared" si="10"/>
        <v/>
      </c>
      <c r="P26" s="115">
        <f t="shared" si="2"/>
        <v>0</v>
      </c>
      <c r="R26" s="82"/>
    </row>
    <row r="27" ht="14.25" customHeight="1">
      <c r="A27" s="116">
        <v>44993.0</v>
      </c>
      <c r="B27" s="116">
        <v>44993.0</v>
      </c>
      <c r="C27" s="116">
        <v>44993.0</v>
      </c>
      <c r="D27" s="109">
        <v>13.3</v>
      </c>
      <c r="E27" s="109">
        <f t="shared" si="3"/>
        <v>73.4</v>
      </c>
      <c r="F27" s="110">
        <f t="shared" si="4"/>
        <v>0.095</v>
      </c>
      <c r="G27" s="109">
        <f t="shared" si="11"/>
        <v>4.11825</v>
      </c>
      <c r="H27" s="109">
        <f t="shared" si="5"/>
        <v>17.41825</v>
      </c>
      <c r="I27" s="111">
        <f t="shared" si="1"/>
        <v>63</v>
      </c>
      <c r="J27" s="111">
        <f t="shared" si="6"/>
        <v>17.19081847</v>
      </c>
      <c r="K27" s="117">
        <f t="shared" si="13"/>
        <v>86.7</v>
      </c>
      <c r="L27" s="112">
        <f t="shared" si="8"/>
        <v>0.02967182366</v>
      </c>
      <c r="M27" s="112">
        <f t="shared" si="9"/>
        <v>0.02977444802</v>
      </c>
      <c r="N27" s="111">
        <f t="shared" si="12"/>
        <v>118</v>
      </c>
      <c r="O27" s="114">
        <f t="shared" si="10"/>
        <v>44993</v>
      </c>
      <c r="P27" s="115">
        <f t="shared" si="2"/>
        <v>17.41825</v>
      </c>
      <c r="R27" s="82"/>
    </row>
    <row r="28" ht="14.25" customHeight="1">
      <c r="A28" s="116">
        <v>45177.0</v>
      </c>
      <c r="B28" s="116">
        <v>45177.0</v>
      </c>
      <c r="C28" s="116">
        <v>45177.0</v>
      </c>
      <c r="D28" s="109">
        <v>13.3</v>
      </c>
      <c r="E28" s="109">
        <f t="shared" si="3"/>
        <v>60.1</v>
      </c>
      <c r="F28" s="110">
        <f t="shared" si="4"/>
        <v>0.095</v>
      </c>
      <c r="G28" s="109">
        <f t="shared" si="11"/>
        <v>3.4865</v>
      </c>
      <c r="H28" s="109">
        <f t="shared" si="5"/>
        <v>16.7865</v>
      </c>
      <c r="I28" s="111">
        <f t="shared" si="1"/>
        <v>247</v>
      </c>
      <c r="J28" s="111">
        <f t="shared" si="6"/>
        <v>15.94341339</v>
      </c>
      <c r="K28" s="117" t="str">
        <f t="shared" si="13"/>
        <v/>
      </c>
      <c r="L28" s="112">
        <f t="shared" si="8"/>
        <v>0.107891044</v>
      </c>
      <c r="M28" s="112">
        <f t="shared" si="9"/>
        <v>0.1125008382</v>
      </c>
      <c r="N28" s="113">
        <f t="shared" si="12"/>
        <v>0</v>
      </c>
      <c r="O28" s="114">
        <f t="shared" si="10"/>
        <v>45177</v>
      </c>
      <c r="P28" s="115">
        <f t="shared" si="2"/>
        <v>16.7865</v>
      </c>
      <c r="R28" s="82"/>
    </row>
    <row r="29" ht="14.25" customHeight="1">
      <c r="A29" s="116">
        <v>45359.0</v>
      </c>
      <c r="B29" s="116">
        <v>45359.0</v>
      </c>
      <c r="C29" s="116">
        <v>45359.0</v>
      </c>
      <c r="D29" s="109">
        <v>13.3</v>
      </c>
      <c r="E29" s="109">
        <f t="shared" si="3"/>
        <v>46.8</v>
      </c>
      <c r="F29" s="110">
        <f t="shared" si="4"/>
        <v>0.095</v>
      </c>
      <c r="G29" s="109">
        <f t="shared" si="11"/>
        <v>2.85475</v>
      </c>
      <c r="H29" s="109">
        <f t="shared" si="5"/>
        <v>16.15475</v>
      </c>
      <c r="I29" s="111">
        <f t="shared" si="1"/>
        <v>429</v>
      </c>
      <c r="J29" s="111">
        <f t="shared" si="6"/>
        <v>14.77174208</v>
      </c>
      <c r="K29" s="117" t="str">
        <f t="shared" si="13"/>
        <v/>
      </c>
      <c r="L29" s="112">
        <f t="shared" si="8"/>
        <v>0.1736185576</v>
      </c>
      <c r="M29" s="112">
        <f t="shared" si="9"/>
        <v>0.1880425724</v>
      </c>
      <c r="N29" s="113">
        <f t="shared" si="12"/>
        <v>0</v>
      </c>
      <c r="O29" s="114">
        <f t="shared" si="10"/>
        <v>45359</v>
      </c>
      <c r="P29" s="115">
        <f t="shared" si="2"/>
        <v>16.15475</v>
      </c>
      <c r="R29" s="82"/>
    </row>
    <row r="30" ht="14.25" customHeight="1">
      <c r="A30" s="116">
        <v>45543.0</v>
      </c>
      <c r="B30" s="116">
        <v>45543.0</v>
      </c>
      <c r="C30" s="116">
        <v>45543.0</v>
      </c>
      <c r="D30" s="109">
        <v>13.3</v>
      </c>
      <c r="E30" s="109">
        <f t="shared" si="3"/>
        <v>33.5</v>
      </c>
      <c r="F30" s="110">
        <f t="shared" si="4"/>
        <v>0.095</v>
      </c>
      <c r="G30" s="109">
        <f t="shared" si="11"/>
        <v>2.223</v>
      </c>
      <c r="H30" s="109">
        <f t="shared" si="5"/>
        <v>15.523</v>
      </c>
      <c r="I30" s="111">
        <f t="shared" si="1"/>
        <v>613</v>
      </c>
      <c r="J30" s="111">
        <f t="shared" si="6"/>
        <v>13.65954551</v>
      </c>
      <c r="K30" s="117" t="str">
        <f t="shared" si="13"/>
        <v/>
      </c>
      <c r="L30" s="112">
        <f t="shared" si="8"/>
        <v>0.2294055178</v>
      </c>
      <c r="M30" s="112">
        <f t="shared" si="9"/>
        <v>0.2581872442</v>
      </c>
      <c r="N30" s="113">
        <f t="shared" si="12"/>
        <v>0</v>
      </c>
      <c r="O30" s="114">
        <f t="shared" si="10"/>
        <v>45543</v>
      </c>
      <c r="P30" s="115">
        <f t="shared" si="2"/>
        <v>15.523</v>
      </c>
      <c r="R30" s="82"/>
    </row>
    <row r="31" ht="14.25" customHeight="1">
      <c r="A31" s="116">
        <v>45724.0</v>
      </c>
      <c r="B31" s="116">
        <v>45724.0</v>
      </c>
      <c r="C31" s="116">
        <v>45724.0</v>
      </c>
      <c r="D31" s="109">
        <v>33.5</v>
      </c>
      <c r="E31" s="109">
        <f t="shared" si="3"/>
        <v>0</v>
      </c>
      <c r="F31" s="110">
        <f t="shared" si="4"/>
        <v>0.095</v>
      </c>
      <c r="G31" s="109">
        <f t="shared" si="11"/>
        <v>1.59125</v>
      </c>
      <c r="H31" s="109">
        <f t="shared" si="5"/>
        <v>35.09125</v>
      </c>
      <c r="I31" s="111">
        <f t="shared" si="1"/>
        <v>794</v>
      </c>
      <c r="J31" s="111">
        <f t="shared" si="6"/>
        <v>29.73448055</v>
      </c>
      <c r="K31" s="117" t="str">
        <f t="shared" si="13"/>
        <v/>
      </c>
      <c r="L31" s="112">
        <f t="shared" si="8"/>
        <v>0.6468267823</v>
      </c>
      <c r="M31" s="112">
        <f t="shared" si="9"/>
        <v>0.7559933775</v>
      </c>
      <c r="N31" s="113">
        <f t="shared" si="12"/>
        <v>0</v>
      </c>
      <c r="O31" s="114">
        <f t="shared" si="10"/>
        <v>45724</v>
      </c>
      <c r="P31" s="115">
        <f t="shared" si="2"/>
        <v>35.09125</v>
      </c>
      <c r="R31" s="82"/>
    </row>
    <row r="32" ht="14.25" customHeight="1">
      <c r="H32" s="118">
        <f>SUMIF(I22:I31,"&gt;0",H22:H31)</f>
        <v>100.97375</v>
      </c>
      <c r="I32" s="119">
        <f>+H10</f>
        <v>0.0776145323</v>
      </c>
      <c r="J32" s="119">
        <f>SUM(J22:J31)</f>
        <v>0</v>
      </c>
      <c r="K32" s="120">
        <f>SUM(K22:K31)/$E$22</f>
        <v>0.867</v>
      </c>
      <c r="L32" s="121">
        <f t="shared" ref="L32:M32" si="14">SUM(L22:L31)</f>
        <v>1.187413725</v>
      </c>
      <c r="M32" s="119">
        <f t="shared" si="14"/>
        <v>1.34449848</v>
      </c>
      <c r="N32" s="122">
        <f>SUM(N24:N31)</f>
        <v>118</v>
      </c>
      <c r="O32" s="123">
        <f>MIN(O22:O31)</f>
        <v>44993</v>
      </c>
    </row>
    <row r="33" ht="14.25" customHeight="1"/>
    <row r="34" ht="14.25" customHeight="1">
      <c r="D34" s="102"/>
    </row>
    <row r="35" ht="14.25" customHeight="1"/>
    <row r="36" ht="14.25" customHeight="1">
      <c r="A36" s="124"/>
      <c r="B36" s="124"/>
      <c r="C36" s="124"/>
      <c r="D36" s="124"/>
      <c r="E36" s="124"/>
      <c r="F36" s="124"/>
      <c r="G36" s="124"/>
      <c r="H36" s="124"/>
      <c r="I36" s="124"/>
      <c r="J36" s="124"/>
    </row>
    <row r="37" ht="14.25" customHeight="1">
      <c r="A37" s="124"/>
      <c r="B37" s="124" t="s">
        <v>178</v>
      </c>
      <c r="C37" s="124" t="s">
        <v>179</v>
      </c>
      <c r="D37" s="124" t="s">
        <v>180</v>
      </c>
      <c r="E37" s="124" t="s">
        <v>181</v>
      </c>
      <c r="F37" s="124" t="s">
        <v>182</v>
      </c>
      <c r="G37" s="124" t="s">
        <v>183</v>
      </c>
      <c r="H37" s="124" t="s">
        <v>184</v>
      </c>
      <c r="I37" s="124"/>
      <c r="J37" s="124"/>
    </row>
    <row r="38" ht="14.25" customHeight="1">
      <c r="A38" s="124"/>
      <c r="B38" s="125">
        <v>44108.0</v>
      </c>
      <c r="C38" s="124" t="s">
        <v>185</v>
      </c>
      <c r="D38" s="124" t="s">
        <v>33</v>
      </c>
      <c r="E38" s="124">
        <v>43.75</v>
      </c>
      <c r="F38" s="124">
        <v>0.0</v>
      </c>
      <c r="G38" s="124">
        <v>43.75</v>
      </c>
      <c r="H38" s="124" t="s">
        <v>186</v>
      </c>
      <c r="I38" s="124"/>
      <c r="J38" s="124"/>
    </row>
    <row r="39" ht="14.25" customHeight="1">
      <c r="A39" s="124"/>
      <c r="B39" s="125">
        <v>44290.0</v>
      </c>
      <c r="C39" s="124" t="s">
        <v>185</v>
      </c>
      <c r="D39" s="124" t="s">
        <v>33</v>
      </c>
      <c r="E39" s="124">
        <v>43.75</v>
      </c>
      <c r="F39" s="124">
        <v>0.0</v>
      </c>
      <c r="G39" s="124">
        <v>43.75</v>
      </c>
      <c r="H39" s="124" t="s">
        <v>186</v>
      </c>
      <c r="I39" s="124"/>
      <c r="J39" s="124"/>
    </row>
    <row r="40" ht="14.25" customHeight="1">
      <c r="A40" s="124"/>
      <c r="B40" s="125">
        <v>44473.0</v>
      </c>
      <c r="C40" s="124" t="s">
        <v>185</v>
      </c>
      <c r="D40" s="124" t="s">
        <v>33</v>
      </c>
      <c r="E40" s="124">
        <v>43.75</v>
      </c>
      <c r="F40" s="124">
        <v>0.0</v>
      </c>
      <c r="G40" s="124">
        <v>43.75</v>
      </c>
      <c r="H40" s="124" t="s">
        <v>186</v>
      </c>
      <c r="I40" s="124"/>
      <c r="J40" s="124"/>
    </row>
    <row r="41" ht="14.25" customHeight="1">
      <c r="A41" s="124"/>
      <c r="B41" s="125">
        <v>44655.0</v>
      </c>
      <c r="C41" s="124" t="s">
        <v>185</v>
      </c>
      <c r="D41" s="124" t="s">
        <v>33</v>
      </c>
      <c r="E41" s="124">
        <v>43.75</v>
      </c>
      <c r="F41" s="124">
        <v>300.0</v>
      </c>
      <c r="G41" s="124">
        <v>343.75</v>
      </c>
      <c r="H41" s="124" t="s">
        <v>186</v>
      </c>
      <c r="I41" s="124"/>
      <c r="J41" s="124"/>
    </row>
    <row r="42" ht="14.25" customHeight="1">
      <c r="A42" s="124"/>
      <c r="B42" s="125">
        <v>44838.0</v>
      </c>
      <c r="C42" s="124" t="s">
        <v>185</v>
      </c>
      <c r="D42" s="124" t="s">
        <v>33</v>
      </c>
      <c r="E42" s="124">
        <v>30.62</v>
      </c>
      <c r="F42" s="124">
        <v>0.0</v>
      </c>
      <c r="G42" s="124">
        <v>30.62</v>
      </c>
      <c r="H42" s="124" t="s">
        <v>186</v>
      </c>
      <c r="I42" s="124"/>
      <c r="J42" s="124"/>
    </row>
    <row r="43" ht="14.25" customHeight="1">
      <c r="A43" s="124"/>
      <c r="B43" s="125">
        <v>45020.0</v>
      </c>
      <c r="C43" s="124" t="s">
        <v>185</v>
      </c>
      <c r="D43" s="124" t="s">
        <v>33</v>
      </c>
      <c r="E43" s="124">
        <v>30.62</v>
      </c>
      <c r="F43" s="124">
        <v>300.0</v>
      </c>
      <c r="G43" s="124">
        <v>330.62</v>
      </c>
      <c r="H43" s="124" t="s">
        <v>186</v>
      </c>
      <c r="I43" s="124"/>
      <c r="J43" s="124"/>
    </row>
    <row r="44" ht="14.25" customHeight="1">
      <c r="A44" s="124"/>
      <c r="B44" s="125">
        <v>45203.0</v>
      </c>
      <c r="C44" s="124" t="s">
        <v>185</v>
      </c>
      <c r="D44" s="124" t="s">
        <v>33</v>
      </c>
      <c r="E44" s="124">
        <v>17.5</v>
      </c>
      <c r="F44" s="124">
        <v>0.0</v>
      </c>
      <c r="G44" s="124">
        <v>17.5</v>
      </c>
      <c r="H44" s="124" t="s">
        <v>186</v>
      </c>
      <c r="I44" s="124"/>
      <c r="J44" s="124"/>
    </row>
    <row r="45" ht="14.25" customHeight="1">
      <c r="A45" s="124"/>
      <c r="B45" s="125">
        <v>45386.0</v>
      </c>
      <c r="C45" s="124" t="s">
        <v>185</v>
      </c>
      <c r="D45" s="124" t="s">
        <v>33</v>
      </c>
      <c r="E45" s="124">
        <v>17.5</v>
      </c>
      <c r="F45" s="124">
        <v>400.0</v>
      </c>
      <c r="G45" s="124">
        <v>417.5</v>
      </c>
      <c r="H45" s="124" t="s">
        <v>186</v>
      </c>
      <c r="I45" s="124"/>
      <c r="J45" s="124"/>
    </row>
    <row r="46" ht="14.25" customHeight="1">
      <c r="A46" s="124"/>
      <c r="B46" s="124"/>
      <c r="C46" s="124"/>
      <c r="D46" s="124"/>
      <c r="E46" s="124"/>
      <c r="F46" s="124"/>
      <c r="G46" s="124"/>
      <c r="H46" s="124"/>
      <c r="I46" s="124"/>
      <c r="J46" s="124"/>
    </row>
    <row r="47" ht="14.25" customHeight="1">
      <c r="A47" s="124"/>
      <c r="B47" s="124"/>
      <c r="C47" s="124"/>
      <c r="D47" s="124"/>
      <c r="E47" s="124"/>
      <c r="F47" s="124"/>
      <c r="G47" s="124"/>
      <c r="H47" s="124"/>
      <c r="I47" s="124"/>
      <c r="J47" s="124"/>
    </row>
    <row r="48" ht="14.25" customHeight="1">
      <c r="A48" s="124"/>
      <c r="B48" s="124"/>
      <c r="C48" s="124"/>
      <c r="D48" s="124"/>
      <c r="E48" s="124"/>
      <c r="F48" s="124"/>
      <c r="G48" s="124"/>
      <c r="H48" s="124"/>
      <c r="I48" s="124"/>
      <c r="J48" s="124"/>
    </row>
    <row r="49" ht="14.25" customHeight="1">
      <c r="A49" s="124"/>
      <c r="B49" s="124"/>
      <c r="C49" s="124"/>
      <c r="D49" s="124"/>
      <c r="E49" s="124"/>
      <c r="F49" s="124"/>
      <c r="G49" s="124"/>
      <c r="H49" s="124"/>
      <c r="I49" s="124"/>
      <c r="J49" s="124"/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73" t="s">
        <v>21</v>
      </c>
      <c r="D2" s="74">
        <v>43848.0</v>
      </c>
      <c r="E2" s="75">
        <v>0.08</v>
      </c>
      <c r="G2" s="71" t="s">
        <v>142</v>
      </c>
      <c r="H2" s="76">
        <f>+E17*100+E11</f>
        <v>103.6888889</v>
      </c>
      <c r="M2" s="77"/>
      <c r="N2" s="78"/>
    </row>
    <row r="3" ht="14.25" customHeight="1">
      <c r="C3" s="71" t="s">
        <v>143</v>
      </c>
      <c r="D3" s="71"/>
      <c r="E3" s="79">
        <v>43664.0</v>
      </c>
      <c r="F3" s="80"/>
      <c r="G3" s="71" t="s">
        <v>144</v>
      </c>
      <c r="H3" s="81">
        <f>IF(E1&gt;D2,E2*E17*E6/E12,"")</f>
        <v>0.08179029876</v>
      </c>
      <c r="I3" s="82"/>
      <c r="L3" s="83"/>
      <c r="M3" s="84"/>
      <c r="N3" s="85"/>
      <c r="P3" s="116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97.88898414</v>
      </c>
      <c r="L4" s="83"/>
      <c r="M4" s="84"/>
      <c r="N4" s="85"/>
      <c r="P4" s="116"/>
    </row>
    <row r="5" ht="14.25" customHeight="1">
      <c r="C5" s="71" t="s">
        <v>147</v>
      </c>
      <c r="D5" s="88"/>
      <c r="E5" s="79">
        <v>43848.0</v>
      </c>
      <c r="G5" s="71" t="s">
        <v>148</v>
      </c>
      <c r="H5" s="89">
        <f>MIN(O22:O34)</f>
        <v>44944</v>
      </c>
      <c r="L5" s="83"/>
      <c r="M5" s="84"/>
      <c r="N5" s="85"/>
      <c r="P5" s="116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MAX(C22:C34)</f>
        <v>46221</v>
      </c>
      <c r="L6" s="83"/>
      <c r="M6" s="84"/>
      <c r="N6" s="85"/>
      <c r="P6" s="116"/>
    </row>
    <row r="7" ht="14.25" customHeight="1">
      <c r="C7" s="91" t="s">
        <v>151</v>
      </c>
      <c r="D7" s="91"/>
      <c r="G7" s="71" t="s">
        <v>152</v>
      </c>
      <c r="H7" s="92">
        <f>+H6-E1</f>
        <v>1291</v>
      </c>
      <c r="L7" s="83"/>
      <c r="M7" s="84"/>
      <c r="N7" s="85"/>
      <c r="P7" s="116"/>
    </row>
    <row r="8" ht="14.25" customHeight="1">
      <c r="L8" s="83"/>
      <c r="M8" s="84"/>
      <c r="N8" s="85"/>
      <c r="P8" s="116"/>
    </row>
    <row r="9" ht="14.25" customHeight="1">
      <c r="C9" s="71" t="s">
        <v>153</v>
      </c>
      <c r="D9" s="71"/>
      <c r="E9" s="93">
        <f>+Curva!C11</f>
        <v>101.5</v>
      </c>
      <c r="G9" s="94"/>
      <c r="H9" s="95" t="s">
        <v>154</v>
      </c>
      <c r="I9" s="95" t="s">
        <v>155</v>
      </c>
      <c r="J9" s="96" t="s">
        <v>156</v>
      </c>
      <c r="L9" s="83"/>
      <c r="M9" s="84"/>
      <c r="N9" s="85"/>
      <c r="P9" s="116"/>
    </row>
    <row r="10" ht="14.25" customHeight="1">
      <c r="C10" s="71" t="s">
        <v>157</v>
      </c>
      <c r="D10" s="71"/>
      <c r="E10" s="97">
        <f t="array" ref="E10">DAYS360(MAX(IF(C23:C34&lt;=E1,C23:C34)),E1,1)</f>
        <v>166</v>
      </c>
      <c r="G10" s="98" t="s">
        <v>158</v>
      </c>
      <c r="H10" s="99">
        <f>+((XIRR(P22:P34,C22:C34)+1)^(1/2)-1)*2</f>
        <v>0.08735050725</v>
      </c>
      <c r="I10" s="99">
        <f>+((XIRR(P22:P34,A22:A34)+1)^(1/2)-1)*2</f>
        <v>0.08726992652</v>
      </c>
      <c r="J10" s="99">
        <f>+((XIRR(P22:P34,B22:B34)+1)^(1/2)-1)*2</f>
        <v>0.08718949643</v>
      </c>
      <c r="L10" s="83"/>
      <c r="M10" s="84"/>
      <c r="N10" s="85"/>
      <c r="P10" s="116"/>
    </row>
    <row r="11" ht="14.25" customHeight="1">
      <c r="C11" s="71" t="s">
        <v>159</v>
      </c>
      <c r="D11" s="71"/>
      <c r="E11" s="100">
        <f>IF(E1&gt;D2,E2/360*E10*E6,"")</f>
        <v>3.688888889</v>
      </c>
      <c r="L11" s="83"/>
      <c r="M11" s="84"/>
      <c r="N11" s="85"/>
      <c r="P11" s="116"/>
    </row>
    <row r="12" ht="14.25" customHeight="1">
      <c r="C12" s="71" t="s">
        <v>160</v>
      </c>
      <c r="D12" s="71"/>
      <c r="E12" s="93">
        <f>+E9-E11</f>
        <v>97.81111111</v>
      </c>
      <c r="L12" s="83"/>
      <c r="M12" s="84"/>
      <c r="N12" s="85"/>
      <c r="P12" s="116"/>
    </row>
    <row r="13" ht="14.25" customHeight="1">
      <c r="C13" s="101"/>
      <c r="D13" s="101"/>
      <c r="L13" s="83"/>
      <c r="M13" s="84"/>
      <c r="N13" s="85"/>
      <c r="P13" s="116"/>
    </row>
    <row r="14" ht="14.25" customHeight="1">
      <c r="C14" s="71" t="s">
        <v>161</v>
      </c>
      <c r="D14" s="71"/>
      <c r="E14" s="100">
        <f>(L35*100)/SUM(J24:J34)</f>
        <v>3.030989938</v>
      </c>
      <c r="L14" s="83"/>
      <c r="M14" s="84"/>
      <c r="N14" s="85"/>
    </row>
    <row r="15" ht="14.25" customHeight="1">
      <c r="C15" s="71" t="s">
        <v>162</v>
      </c>
      <c r="D15" s="71"/>
      <c r="E15" s="100">
        <f>E14/(1+I35/2)</f>
        <v>2.904150432</v>
      </c>
      <c r="M15" s="84"/>
      <c r="N15" s="85"/>
    </row>
    <row r="16" ht="14.25" customHeight="1">
      <c r="C16" s="71" t="s">
        <v>163</v>
      </c>
      <c r="D16" s="71"/>
      <c r="E16" s="100">
        <f>M35</f>
        <v>3.112992943</v>
      </c>
      <c r="M16" s="84"/>
      <c r="N16" s="85"/>
    </row>
    <row r="17" ht="14.25" customHeight="1">
      <c r="C17" s="71" t="s">
        <v>164</v>
      </c>
      <c r="D17" s="71"/>
      <c r="E17" s="100">
        <f>K35</f>
        <v>1</v>
      </c>
      <c r="M17" s="84"/>
      <c r="N17" s="85"/>
    </row>
    <row r="18" ht="14.25" customHeight="1">
      <c r="J18" s="102"/>
    </row>
    <row r="19" ht="14.25" customHeight="1"/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</row>
    <row r="21" ht="14.25" customHeight="1">
      <c r="A21" s="107" t="s">
        <v>155</v>
      </c>
      <c r="B21" s="107" t="s">
        <v>156</v>
      </c>
      <c r="C21" s="107" t="s">
        <v>154</v>
      </c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-101.5</v>
      </c>
      <c r="I22" s="111">
        <f t="shared" ref="I22:I34" si="1">+C22-$E$1</f>
        <v>0</v>
      </c>
      <c r="J22" s="111">
        <f>H22</f>
        <v>-101.5</v>
      </c>
      <c r="K22" s="117"/>
      <c r="L22" s="112"/>
      <c r="M22" s="112"/>
      <c r="N22" s="113"/>
      <c r="O22" s="114"/>
      <c r="P22" s="115">
        <f t="shared" ref="P22:P34" si="2">+H22</f>
        <v>-101.5</v>
      </c>
    </row>
    <row r="23" ht="14.25" customHeight="1">
      <c r="A23" s="116">
        <v>44214.0</v>
      </c>
      <c r="B23" s="116">
        <v>44214.0</v>
      </c>
      <c r="C23" s="116">
        <v>44214.0</v>
      </c>
      <c r="D23" s="109">
        <v>0.0</v>
      </c>
      <c r="E23" s="109">
        <f t="shared" ref="E23:E34" si="3">+E22-D23</f>
        <v>100</v>
      </c>
      <c r="F23" s="110">
        <f t="shared" ref="F23:F34" si="4">IF(C23&gt;$D$2,$E$2,"")</f>
        <v>0.08</v>
      </c>
      <c r="G23" s="109"/>
      <c r="H23" s="109">
        <f t="shared" ref="H23:H34" si="5">+IF(C23&gt;$C$22,D23+G23,0)</f>
        <v>0</v>
      </c>
      <c r="I23" s="111">
        <f t="shared" si="1"/>
        <v>-716</v>
      </c>
      <c r="J23" s="111">
        <f t="shared" ref="J23:J34" si="6">IF(I23&lt;=0,0,H23/(((1+$I$35/2)^2)^(I23/365)))</f>
        <v>0</v>
      </c>
      <c r="K23" s="117"/>
      <c r="L23" s="112">
        <f t="shared" ref="L23:L34" si="7">J23*(I23/365)/100</f>
        <v>0</v>
      </c>
      <c r="M23" s="112">
        <f t="shared" ref="M23:M34" si="8">IF(I23&lt;0,0,(H23/$H$35)*I23/365)</f>
        <v>0</v>
      </c>
      <c r="N23" s="113" t="str">
        <f>IF(I23&gt;=0,IF(I21&gt;0,0,-I21),"FALSO")</f>
        <v>FALSO</v>
      </c>
      <c r="O23" s="114" t="str">
        <f t="shared" ref="O23:O34" si="9">+IF(C23&gt;$C$22,C23,"")</f>
        <v/>
      </c>
      <c r="P23" s="115">
        <f t="shared" si="2"/>
        <v>0</v>
      </c>
    </row>
    <row r="24" ht="14.25" customHeight="1">
      <c r="A24" s="116">
        <v>44395.0</v>
      </c>
      <c r="B24" s="116">
        <v>44395.0</v>
      </c>
      <c r="C24" s="116">
        <v>44395.0</v>
      </c>
      <c r="D24" s="109">
        <v>0.0</v>
      </c>
      <c r="E24" s="109">
        <f t="shared" si="3"/>
        <v>100</v>
      </c>
      <c r="F24" s="110">
        <f t="shared" si="4"/>
        <v>0.08</v>
      </c>
      <c r="G24" s="109">
        <f t="shared" ref="G24:G34" si="10">IF(F24="","",IF($E$4=365,E23*F24/365*(C24-C23),E23*F24/360*DAYS360(C23,C24)))</f>
        <v>4</v>
      </c>
      <c r="H24" s="109">
        <f t="shared" si="5"/>
        <v>0</v>
      </c>
      <c r="I24" s="111">
        <f t="shared" si="1"/>
        <v>-535</v>
      </c>
      <c r="J24" s="111">
        <f t="shared" si="6"/>
        <v>0</v>
      </c>
      <c r="K24" s="112" t="str">
        <f t="shared" ref="K24:K34" si="11">IF(OR(N24="falso",N24=0),"",E23)</f>
        <v/>
      </c>
      <c r="L24" s="112">
        <f t="shared" si="7"/>
        <v>0</v>
      </c>
      <c r="M24" s="112">
        <f t="shared" si="8"/>
        <v>0</v>
      </c>
      <c r="N24" s="113" t="str">
        <f t="shared" ref="N24:N34" si="12">IF(I24&gt;=0,IF(I23&gt;0,0,-I23),"FALSO")</f>
        <v>FALSO</v>
      </c>
      <c r="O24" s="114" t="str">
        <f t="shared" si="9"/>
        <v/>
      </c>
      <c r="P24" s="115">
        <f t="shared" si="2"/>
        <v>0</v>
      </c>
    </row>
    <row r="25" ht="14.25" customHeight="1">
      <c r="A25" s="116">
        <v>44579.0</v>
      </c>
      <c r="B25" s="116">
        <v>44579.0</v>
      </c>
      <c r="C25" s="116">
        <v>44579.0</v>
      </c>
      <c r="D25" s="109">
        <v>0.0</v>
      </c>
      <c r="E25" s="109">
        <f t="shared" si="3"/>
        <v>100</v>
      </c>
      <c r="F25" s="110">
        <f t="shared" si="4"/>
        <v>0.08</v>
      </c>
      <c r="G25" s="109">
        <f t="shared" si="10"/>
        <v>4</v>
      </c>
      <c r="H25" s="109">
        <f t="shared" si="5"/>
        <v>0</v>
      </c>
      <c r="I25" s="111">
        <f t="shared" si="1"/>
        <v>-351</v>
      </c>
      <c r="J25" s="111">
        <f t="shared" si="6"/>
        <v>0</v>
      </c>
      <c r="K25" s="117" t="str">
        <f t="shared" si="11"/>
        <v/>
      </c>
      <c r="L25" s="112">
        <f t="shared" si="7"/>
        <v>0</v>
      </c>
      <c r="M25" s="112">
        <f t="shared" si="8"/>
        <v>0</v>
      </c>
      <c r="N25" s="113" t="str">
        <f t="shared" si="12"/>
        <v>FALSO</v>
      </c>
      <c r="O25" s="114" t="str">
        <f t="shared" si="9"/>
        <v/>
      </c>
      <c r="P25" s="115">
        <f t="shared" si="2"/>
        <v>0</v>
      </c>
      <c r="R25" s="82"/>
    </row>
    <row r="26" ht="14.25" customHeight="1">
      <c r="A26" s="116">
        <v>44760.0</v>
      </c>
      <c r="B26" s="116">
        <v>44760.0</v>
      </c>
      <c r="C26" s="116">
        <v>44760.0</v>
      </c>
      <c r="D26" s="109">
        <v>0.0</v>
      </c>
      <c r="E26" s="109">
        <f t="shared" si="3"/>
        <v>100</v>
      </c>
      <c r="F26" s="110">
        <f t="shared" si="4"/>
        <v>0.08</v>
      </c>
      <c r="G26" s="109">
        <f t="shared" si="10"/>
        <v>4</v>
      </c>
      <c r="H26" s="109">
        <f t="shared" si="5"/>
        <v>0</v>
      </c>
      <c r="I26" s="111">
        <f t="shared" si="1"/>
        <v>-170</v>
      </c>
      <c r="J26" s="111">
        <f t="shared" si="6"/>
        <v>0</v>
      </c>
      <c r="K26" s="117" t="str">
        <f t="shared" si="11"/>
        <v/>
      </c>
      <c r="L26" s="112">
        <f t="shared" si="7"/>
        <v>0</v>
      </c>
      <c r="M26" s="112">
        <f t="shared" si="8"/>
        <v>0</v>
      </c>
      <c r="N26" s="113" t="str">
        <f t="shared" si="12"/>
        <v>FALSO</v>
      </c>
      <c r="O26" s="114" t="str">
        <f t="shared" si="9"/>
        <v/>
      </c>
      <c r="P26" s="115">
        <f t="shared" si="2"/>
        <v>0</v>
      </c>
      <c r="R26" s="82"/>
    </row>
    <row r="27" ht="14.25" customHeight="1">
      <c r="A27" s="116">
        <v>44944.0</v>
      </c>
      <c r="B27" s="116">
        <v>44944.0</v>
      </c>
      <c r="C27" s="116">
        <v>44944.0</v>
      </c>
      <c r="D27" s="109">
        <v>0.0</v>
      </c>
      <c r="E27" s="109">
        <f t="shared" si="3"/>
        <v>100</v>
      </c>
      <c r="F27" s="110">
        <f t="shared" si="4"/>
        <v>0.08</v>
      </c>
      <c r="G27" s="109">
        <f t="shared" si="10"/>
        <v>4</v>
      </c>
      <c r="H27" s="109">
        <f t="shared" si="5"/>
        <v>4</v>
      </c>
      <c r="I27" s="111">
        <f t="shared" si="1"/>
        <v>14</v>
      </c>
      <c r="J27" s="111">
        <f t="shared" si="6"/>
        <v>3.986904173</v>
      </c>
      <c r="K27" s="117">
        <f t="shared" si="11"/>
        <v>100</v>
      </c>
      <c r="L27" s="112">
        <f t="shared" si="7"/>
        <v>0.001529223518</v>
      </c>
      <c r="M27" s="112">
        <f t="shared" si="8"/>
        <v>0.001162308012</v>
      </c>
      <c r="N27" s="111">
        <f t="shared" si="12"/>
        <v>170</v>
      </c>
      <c r="O27" s="114">
        <f t="shared" si="9"/>
        <v>44944</v>
      </c>
      <c r="P27" s="115">
        <f t="shared" si="2"/>
        <v>4</v>
      </c>
      <c r="R27" s="82"/>
    </row>
    <row r="28" ht="14.25" customHeight="1">
      <c r="A28" s="116">
        <v>45125.0</v>
      </c>
      <c r="B28" s="116">
        <v>45125.0</v>
      </c>
      <c r="C28" s="116">
        <v>45125.0</v>
      </c>
      <c r="D28" s="109">
        <v>0.0</v>
      </c>
      <c r="E28" s="109">
        <f t="shared" si="3"/>
        <v>100</v>
      </c>
      <c r="F28" s="110">
        <f t="shared" si="4"/>
        <v>0.08</v>
      </c>
      <c r="G28" s="109">
        <f t="shared" si="10"/>
        <v>4</v>
      </c>
      <c r="H28" s="109">
        <f t="shared" si="5"/>
        <v>4</v>
      </c>
      <c r="I28" s="111">
        <f t="shared" si="1"/>
        <v>195</v>
      </c>
      <c r="J28" s="111">
        <f t="shared" si="6"/>
        <v>3.821404436</v>
      </c>
      <c r="K28" s="117" t="str">
        <f t="shared" si="11"/>
        <v/>
      </c>
      <c r="L28" s="112">
        <f t="shared" si="7"/>
        <v>0.02041572233</v>
      </c>
      <c r="M28" s="112">
        <f t="shared" si="8"/>
        <v>0.01618929016</v>
      </c>
      <c r="N28" s="113">
        <f t="shared" si="12"/>
        <v>0</v>
      </c>
      <c r="O28" s="114">
        <f t="shared" si="9"/>
        <v>45125</v>
      </c>
      <c r="P28" s="115">
        <f t="shared" si="2"/>
        <v>4</v>
      </c>
      <c r="R28" s="82"/>
    </row>
    <row r="29" ht="14.25" customHeight="1">
      <c r="A29" s="116">
        <v>45309.0</v>
      </c>
      <c r="B29" s="116">
        <v>45309.0</v>
      </c>
      <c r="C29" s="116">
        <v>45309.0</v>
      </c>
      <c r="D29" s="109">
        <v>0.0</v>
      </c>
      <c r="E29" s="109">
        <f t="shared" si="3"/>
        <v>100</v>
      </c>
      <c r="F29" s="110">
        <f t="shared" si="4"/>
        <v>0.08</v>
      </c>
      <c r="G29" s="109">
        <f t="shared" si="10"/>
        <v>4</v>
      </c>
      <c r="H29" s="109">
        <f t="shared" si="5"/>
        <v>4</v>
      </c>
      <c r="I29" s="111">
        <f t="shared" si="1"/>
        <v>379</v>
      </c>
      <c r="J29" s="111">
        <f t="shared" si="6"/>
        <v>3.660201756</v>
      </c>
      <c r="K29" s="117" t="str">
        <f t="shared" si="11"/>
        <v/>
      </c>
      <c r="L29" s="112">
        <f t="shared" si="7"/>
        <v>0.03800593057</v>
      </c>
      <c r="M29" s="112">
        <f t="shared" si="8"/>
        <v>0.03146533831</v>
      </c>
      <c r="N29" s="113">
        <f t="shared" si="12"/>
        <v>0</v>
      </c>
      <c r="O29" s="114">
        <f t="shared" si="9"/>
        <v>45309</v>
      </c>
      <c r="P29" s="115">
        <f t="shared" si="2"/>
        <v>4</v>
      </c>
      <c r="R29" s="82"/>
    </row>
    <row r="30" ht="14.25" customHeight="1">
      <c r="A30" s="116">
        <v>45491.0</v>
      </c>
      <c r="B30" s="116">
        <v>45491.0</v>
      </c>
      <c r="C30" s="116">
        <v>45491.0</v>
      </c>
      <c r="D30" s="109">
        <v>0.0</v>
      </c>
      <c r="E30" s="109">
        <f t="shared" si="3"/>
        <v>100</v>
      </c>
      <c r="F30" s="110">
        <f t="shared" si="4"/>
        <v>0.08</v>
      </c>
      <c r="G30" s="109">
        <f t="shared" si="10"/>
        <v>4</v>
      </c>
      <c r="H30" s="109">
        <f t="shared" si="5"/>
        <v>4</v>
      </c>
      <c r="I30" s="111">
        <f t="shared" si="1"/>
        <v>561</v>
      </c>
      <c r="J30" s="111">
        <f t="shared" si="6"/>
        <v>3.507442039</v>
      </c>
      <c r="K30" s="117" t="str">
        <f t="shared" si="11"/>
        <v/>
      </c>
      <c r="L30" s="112">
        <f t="shared" si="7"/>
        <v>0.05390890368</v>
      </c>
      <c r="M30" s="112">
        <f t="shared" si="8"/>
        <v>0.04657534247</v>
      </c>
      <c r="N30" s="113">
        <f t="shared" si="12"/>
        <v>0</v>
      </c>
      <c r="O30" s="114">
        <f t="shared" si="9"/>
        <v>45491</v>
      </c>
      <c r="P30" s="115">
        <f t="shared" si="2"/>
        <v>4</v>
      </c>
      <c r="R30" s="82"/>
    </row>
    <row r="31" ht="14.25" customHeight="1">
      <c r="A31" s="116">
        <v>45675.0</v>
      </c>
      <c r="B31" s="116">
        <v>45675.0</v>
      </c>
      <c r="C31" s="116">
        <v>45675.0</v>
      </c>
      <c r="D31" s="109">
        <v>0.0</v>
      </c>
      <c r="E31" s="109">
        <f t="shared" si="3"/>
        <v>100</v>
      </c>
      <c r="F31" s="110">
        <f t="shared" si="4"/>
        <v>0.08</v>
      </c>
      <c r="G31" s="109">
        <f t="shared" si="10"/>
        <v>4</v>
      </c>
      <c r="H31" s="109">
        <f t="shared" si="5"/>
        <v>4</v>
      </c>
      <c r="I31" s="111">
        <f t="shared" si="1"/>
        <v>745</v>
      </c>
      <c r="J31" s="111">
        <f t="shared" si="6"/>
        <v>3.359483595</v>
      </c>
      <c r="K31" s="117" t="str">
        <f t="shared" si="11"/>
        <v/>
      </c>
      <c r="L31" s="112">
        <f t="shared" si="7"/>
        <v>0.0685702816</v>
      </c>
      <c r="M31" s="112">
        <f t="shared" si="8"/>
        <v>0.06185139062</v>
      </c>
      <c r="N31" s="113">
        <f t="shared" si="12"/>
        <v>0</v>
      </c>
      <c r="O31" s="114">
        <f t="shared" si="9"/>
        <v>45675</v>
      </c>
      <c r="P31" s="115">
        <f t="shared" si="2"/>
        <v>4</v>
      </c>
      <c r="R31" s="82"/>
    </row>
    <row r="32" ht="14.25" customHeight="1">
      <c r="A32" s="116">
        <v>45856.0</v>
      </c>
      <c r="B32" s="116">
        <v>45856.0</v>
      </c>
      <c r="C32" s="116">
        <v>45856.0</v>
      </c>
      <c r="D32" s="109">
        <v>0.0</v>
      </c>
      <c r="E32" s="109">
        <f t="shared" si="3"/>
        <v>100</v>
      </c>
      <c r="F32" s="110">
        <f t="shared" si="4"/>
        <v>0.08</v>
      </c>
      <c r="G32" s="109">
        <f t="shared" si="10"/>
        <v>4</v>
      </c>
      <c r="H32" s="109">
        <f t="shared" si="5"/>
        <v>4</v>
      </c>
      <c r="I32" s="111">
        <f t="shared" si="1"/>
        <v>926</v>
      </c>
      <c r="J32" s="111">
        <f t="shared" si="6"/>
        <v>3.220028613</v>
      </c>
      <c r="K32" s="117" t="str">
        <f t="shared" si="11"/>
        <v/>
      </c>
      <c r="L32" s="112">
        <f t="shared" si="7"/>
        <v>0.08169168481</v>
      </c>
      <c r="M32" s="112">
        <f t="shared" si="8"/>
        <v>0.07687837277</v>
      </c>
      <c r="N32" s="113">
        <f t="shared" si="12"/>
        <v>0</v>
      </c>
      <c r="O32" s="114">
        <f t="shared" si="9"/>
        <v>45856</v>
      </c>
      <c r="P32" s="115">
        <f t="shared" si="2"/>
        <v>4</v>
      </c>
      <c r="R32" s="82"/>
    </row>
    <row r="33" ht="14.25" customHeight="1">
      <c r="A33" s="116">
        <v>46040.0</v>
      </c>
      <c r="B33" s="116">
        <v>46040.0</v>
      </c>
      <c r="C33" s="116">
        <v>46040.0</v>
      </c>
      <c r="D33" s="109">
        <v>0.0</v>
      </c>
      <c r="E33" s="109">
        <f t="shared" si="3"/>
        <v>100</v>
      </c>
      <c r="F33" s="110">
        <f t="shared" si="4"/>
        <v>0.08</v>
      </c>
      <c r="G33" s="109">
        <f t="shared" si="10"/>
        <v>4</v>
      </c>
      <c r="H33" s="109">
        <f t="shared" si="5"/>
        <v>4</v>
      </c>
      <c r="I33" s="111">
        <f t="shared" si="1"/>
        <v>1110</v>
      </c>
      <c r="J33" s="111">
        <f t="shared" si="6"/>
        <v>3.084194458</v>
      </c>
      <c r="K33" s="117" t="str">
        <f t="shared" si="11"/>
        <v/>
      </c>
      <c r="L33" s="112">
        <f t="shared" si="7"/>
        <v>0.09379331092</v>
      </c>
      <c r="M33" s="112">
        <f t="shared" si="8"/>
        <v>0.09215442092</v>
      </c>
      <c r="N33" s="113">
        <f t="shared" si="12"/>
        <v>0</v>
      </c>
      <c r="O33" s="114">
        <f t="shared" si="9"/>
        <v>46040</v>
      </c>
      <c r="P33" s="115">
        <f t="shared" si="2"/>
        <v>4</v>
      </c>
      <c r="R33" s="82"/>
    </row>
    <row r="34" ht="14.25" customHeight="1">
      <c r="A34" s="116">
        <v>46221.0</v>
      </c>
      <c r="B34" s="116">
        <v>46221.0</v>
      </c>
      <c r="C34" s="116">
        <v>46221.0</v>
      </c>
      <c r="D34" s="109">
        <v>100.0</v>
      </c>
      <c r="E34" s="109">
        <f t="shared" si="3"/>
        <v>0</v>
      </c>
      <c r="F34" s="110">
        <f t="shared" si="4"/>
        <v>0.08</v>
      </c>
      <c r="G34" s="109">
        <f t="shared" si="10"/>
        <v>4</v>
      </c>
      <c r="H34" s="109">
        <f t="shared" si="5"/>
        <v>104</v>
      </c>
      <c r="I34" s="111">
        <f t="shared" si="1"/>
        <v>1291</v>
      </c>
      <c r="J34" s="111">
        <f t="shared" si="6"/>
        <v>76.86034093</v>
      </c>
      <c r="K34" s="117" t="str">
        <f t="shared" si="11"/>
        <v/>
      </c>
      <c r="L34" s="112">
        <f t="shared" si="7"/>
        <v>2.71853973</v>
      </c>
      <c r="M34" s="112">
        <f t="shared" si="8"/>
        <v>2.78671648</v>
      </c>
      <c r="N34" s="113">
        <f t="shared" si="12"/>
        <v>0</v>
      </c>
      <c r="O34" s="114">
        <f t="shared" si="9"/>
        <v>46221</v>
      </c>
      <c r="P34" s="115">
        <f t="shared" si="2"/>
        <v>104</v>
      </c>
      <c r="R34" s="82"/>
    </row>
    <row r="35" ht="14.25" customHeight="1">
      <c r="H35" s="118">
        <f>SUMIF(I22:I34,"&gt;0",H22:H34)</f>
        <v>132</v>
      </c>
      <c r="I35" s="119">
        <f>+H10</f>
        <v>0.08735050725</v>
      </c>
      <c r="J35" s="119">
        <f>SUM(J22:J34)</f>
        <v>0.0000000006528466656</v>
      </c>
      <c r="K35" s="120">
        <f>SUM(K22:K34)/$E$22</f>
        <v>1</v>
      </c>
      <c r="L35" s="121">
        <f t="shared" ref="L35:M35" si="13">SUM(L22:L34)</f>
        <v>3.076454787</v>
      </c>
      <c r="M35" s="119">
        <f t="shared" si="13"/>
        <v>3.112992943</v>
      </c>
      <c r="N35" s="122">
        <f>SUM(N24:N34)</f>
        <v>170</v>
      </c>
      <c r="O35" s="123">
        <f>MIN(O24:O34)</f>
        <v>44944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73" t="s">
        <v>21</v>
      </c>
      <c r="D2" s="74">
        <v>44449.0</v>
      </c>
      <c r="E2" s="75">
        <v>0.07</v>
      </c>
      <c r="G2" s="71" t="s">
        <v>142</v>
      </c>
      <c r="H2" s="76">
        <f>+E17*100+E11</f>
        <v>100.4666667</v>
      </c>
      <c r="M2" s="77"/>
      <c r="N2" s="78"/>
    </row>
    <row r="3" ht="14.25" customHeight="1">
      <c r="C3" s="71" t="s">
        <v>143</v>
      </c>
      <c r="D3" s="71"/>
      <c r="E3" s="79">
        <v>44357.0</v>
      </c>
      <c r="F3" s="80"/>
      <c r="G3" s="71" t="s">
        <v>144</v>
      </c>
      <c r="H3" s="81">
        <f>IF(E1&gt;D2,E2*E17*E6/E12,"")</f>
        <v>0.06793917826</v>
      </c>
      <c r="I3" s="82"/>
      <c r="L3" s="83"/>
      <c r="M3" s="84"/>
      <c r="N3" s="85"/>
      <c r="P3" s="116"/>
      <c r="Q3" s="136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103.0192435</v>
      </c>
      <c r="L4" s="83"/>
      <c r="M4" s="84"/>
      <c r="N4" s="85"/>
      <c r="P4" s="116"/>
    </row>
    <row r="5" ht="14.25" customHeight="1">
      <c r="C5" s="71" t="s">
        <v>147</v>
      </c>
      <c r="D5" s="88"/>
      <c r="E5" s="79">
        <v>44449.0</v>
      </c>
      <c r="G5" s="71" t="s">
        <v>148</v>
      </c>
      <c r="H5" s="89">
        <f>MIN(O22:O31)</f>
        <v>44995</v>
      </c>
      <c r="L5" s="83"/>
      <c r="M5" s="84"/>
      <c r="N5" s="85"/>
      <c r="P5" s="116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MAX(C22:C31)</f>
        <v>45087</v>
      </c>
      <c r="L6" s="83"/>
      <c r="M6" s="84"/>
      <c r="N6" s="85"/>
      <c r="P6" s="116"/>
    </row>
    <row r="7" ht="14.25" customHeight="1">
      <c r="C7" s="91" t="s">
        <v>151</v>
      </c>
      <c r="D7" s="91"/>
      <c r="G7" s="71" t="s">
        <v>152</v>
      </c>
      <c r="H7" s="92">
        <f>+H6-E1</f>
        <v>157</v>
      </c>
      <c r="L7" s="83"/>
      <c r="M7" s="84"/>
      <c r="N7" s="85"/>
      <c r="P7" s="116"/>
    </row>
    <row r="8" ht="14.25" customHeight="1">
      <c r="L8" s="83"/>
      <c r="M8" s="84"/>
      <c r="N8" s="85"/>
      <c r="P8" s="116"/>
    </row>
    <row r="9" ht="14.25" customHeight="1">
      <c r="C9" s="71" t="s">
        <v>153</v>
      </c>
      <c r="D9" s="71"/>
      <c r="E9" s="93">
        <f>+Curva!C12</f>
        <v>103.5</v>
      </c>
      <c r="G9" s="94"/>
      <c r="H9" s="95" t="s">
        <v>154</v>
      </c>
      <c r="I9" s="95" t="s">
        <v>155</v>
      </c>
      <c r="J9" s="96" t="s">
        <v>156</v>
      </c>
      <c r="L9" s="83"/>
      <c r="M9" s="84"/>
      <c r="N9" s="85"/>
      <c r="P9" s="116"/>
    </row>
    <row r="10" ht="14.25" customHeight="1">
      <c r="C10" s="71" t="s">
        <v>157</v>
      </c>
      <c r="D10" s="71"/>
      <c r="E10" s="97">
        <f t="array" ref="E10">DAYS360(MAX(IF(C23:C31&lt;=E1,C23:C31)),E1,1)</f>
        <v>24</v>
      </c>
      <c r="G10" s="98" t="s">
        <v>158</v>
      </c>
      <c r="H10" s="99">
        <f>+((XIRR(P22:P31,C22:C31)+1)^(1/2)-1)*2</f>
        <v>0</v>
      </c>
      <c r="I10" s="99">
        <f>+((XIRR(P22:P31,A22:A31)+1)^(1/2)-1)*2</f>
        <v>0</v>
      </c>
      <c r="J10" s="99">
        <f>+((XIRR(P22:P31,B22:B31)+1)^(1/2)-1)*2</f>
        <v>0</v>
      </c>
      <c r="L10" s="83"/>
      <c r="M10" s="84"/>
      <c r="N10" s="85"/>
      <c r="P10" s="116"/>
    </row>
    <row r="11" ht="14.25" customHeight="1">
      <c r="C11" s="71" t="s">
        <v>159</v>
      </c>
      <c r="D11" s="71"/>
      <c r="E11" s="76">
        <f>+($E$2*$E$6/4)*$H$12/$H$13</f>
        <v>0.4666666667</v>
      </c>
      <c r="L11" s="83"/>
      <c r="M11" s="84"/>
      <c r="N11" s="85"/>
      <c r="P11" s="116"/>
    </row>
    <row r="12" ht="14.25" customHeight="1">
      <c r="C12" s="71" t="s">
        <v>160</v>
      </c>
      <c r="D12" s="71"/>
      <c r="E12" s="93">
        <f>+E9-E11</f>
        <v>103.0333333</v>
      </c>
      <c r="G12" s="126" t="s">
        <v>187</v>
      </c>
      <c r="H12" s="127">
        <f>COUPDAYBS(C22,C31,4,0)</f>
        <v>24</v>
      </c>
      <c r="L12" s="83"/>
      <c r="M12" s="84"/>
      <c r="N12" s="85"/>
      <c r="P12" s="116"/>
    </row>
    <row r="13" ht="14.25" customHeight="1">
      <c r="C13" s="101"/>
      <c r="D13" s="101"/>
      <c r="G13" s="126" t="s">
        <v>188</v>
      </c>
      <c r="H13" s="128">
        <f>COUPDAYS(C22,C31,4)</f>
        <v>90</v>
      </c>
      <c r="L13" s="83"/>
      <c r="M13" s="84"/>
      <c r="N13" s="85"/>
      <c r="P13" s="116"/>
    </row>
    <row r="14" ht="14.25" customHeight="1">
      <c r="C14" s="71" t="s">
        <v>161</v>
      </c>
      <c r="D14" s="71"/>
      <c r="E14" s="100">
        <f>(L32*100)/SUM(J24:J31)</f>
        <v>0.4258751903</v>
      </c>
      <c r="G14" s="126" t="s">
        <v>189</v>
      </c>
      <c r="H14" s="129">
        <f>+($E$2*$E$6/4)*$H$12/$H$13</f>
        <v>0.4666666667</v>
      </c>
      <c r="L14" s="83"/>
      <c r="M14" s="84"/>
      <c r="N14" s="85"/>
    </row>
    <row r="15" ht="14.25" customHeight="1">
      <c r="C15" s="71" t="s">
        <v>162</v>
      </c>
      <c r="D15" s="71"/>
      <c r="E15" s="100">
        <f>E14/(1+I32/2)</f>
        <v>0.4258751903</v>
      </c>
      <c r="M15" s="84"/>
      <c r="N15" s="85"/>
    </row>
    <row r="16" ht="14.25" customHeight="1">
      <c r="C16" s="71" t="s">
        <v>163</v>
      </c>
      <c r="D16" s="71"/>
      <c r="E16" s="100">
        <f>M32</f>
        <v>0.4258751903</v>
      </c>
      <c r="M16" s="84"/>
      <c r="N16" s="85"/>
    </row>
    <row r="17" ht="14.25" customHeight="1">
      <c r="C17" s="71" t="s">
        <v>164</v>
      </c>
      <c r="D17" s="71"/>
      <c r="E17" s="100">
        <f>K32</f>
        <v>1</v>
      </c>
      <c r="M17" s="84"/>
      <c r="N17" s="85"/>
    </row>
    <row r="18" ht="14.25" customHeight="1">
      <c r="J18" s="102"/>
    </row>
    <row r="19" ht="14.25" customHeight="1"/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</row>
    <row r="21" ht="14.25" customHeight="1">
      <c r="A21" s="107" t="s">
        <v>155</v>
      </c>
      <c r="B21" s="107" t="s">
        <v>156</v>
      </c>
      <c r="C21" s="107" t="s">
        <v>154</v>
      </c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-103.5</v>
      </c>
      <c r="I22" s="111">
        <f t="shared" ref="I22:I31" si="1">+C22-$E$1</f>
        <v>0</v>
      </c>
      <c r="J22" s="111">
        <f>H22</f>
        <v>-103.5</v>
      </c>
      <c r="K22" s="117"/>
      <c r="L22" s="112"/>
      <c r="M22" s="112"/>
      <c r="N22" s="113"/>
      <c r="O22" s="114"/>
      <c r="P22" s="115">
        <f t="shared" ref="P22:P31" si="2">+H22</f>
        <v>-103.5</v>
      </c>
    </row>
    <row r="23" ht="14.25" customHeight="1">
      <c r="A23" s="116">
        <v>44357.0</v>
      </c>
      <c r="B23" s="116">
        <v>44357.0</v>
      </c>
      <c r="C23" s="116">
        <v>44357.0</v>
      </c>
      <c r="D23" s="109">
        <v>0.0</v>
      </c>
      <c r="E23" s="109">
        <f t="shared" ref="E23:E31" si="3">+E22-D23</f>
        <v>100</v>
      </c>
      <c r="F23" s="110" t="str">
        <f>IF(C23&gt;$D$2,$E$2,"")</f>
        <v/>
      </c>
      <c r="G23" s="109"/>
      <c r="H23" s="109">
        <f t="shared" ref="H23:H31" si="4">+IF(C23&gt;$C$22,D23+G23,0)</f>
        <v>0</v>
      </c>
      <c r="I23" s="111">
        <f t="shared" si="1"/>
        <v>-573</v>
      </c>
      <c r="J23" s="111">
        <f t="shared" ref="J23:J31" si="5">IF(I23&lt;=0,0,H23/(((1+$I$32/2)^2)^(I23/365)))</f>
        <v>0</v>
      </c>
      <c r="K23" s="117"/>
      <c r="L23" s="112">
        <f t="shared" ref="L23:L31" si="6">J23*(I23/365)/100</f>
        <v>0</v>
      </c>
      <c r="M23" s="112">
        <f t="shared" ref="M23:M31" si="7">IF(I23&lt;0,0,(H23/$H$32)*I23/365)</f>
        <v>0</v>
      </c>
      <c r="N23" s="113" t="str">
        <f>IF(I23&gt;=0,IF(I21&gt;0,0,-I21),"FALSO")</f>
        <v>FALSO</v>
      </c>
      <c r="O23" s="114" t="str">
        <f t="shared" ref="O23:O31" si="8">+IF(C23&gt;$C$22,C23,"")</f>
        <v/>
      </c>
      <c r="P23" s="115">
        <f t="shared" si="2"/>
        <v>0</v>
      </c>
    </row>
    <row r="24" ht="14.25" customHeight="1">
      <c r="A24" s="116">
        <v>44449.0</v>
      </c>
      <c r="B24" s="116">
        <v>44449.0</v>
      </c>
      <c r="C24" s="116">
        <v>44449.0</v>
      </c>
      <c r="D24" s="109">
        <v>0.0</v>
      </c>
      <c r="E24" s="109">
        <f t="shared" si="3"/>
        <v>100</v>
      </c>
      <c r="F24" s="110">
        <f>IF(C24&gt;=$D$2,$E$2,"")</f>
        <v>0.07</v>
      </c>
      <c r="G24" s="109">
        <f t="shared" ref="G24:G31" si="9">IF(F24="","",IF($E$4=365,E23*F24/365*(C24-C23),E23*F24/360*DAYS360(C23,C24)))</f>
        <v>1.75</v>
      </c>
      <c r="H24" s="109">
        <f t="shared" si="4"/>
        <v>0</v>
      </c>
      <c r="I24" s="111">
        <f t="shared" si="1"/>
        <v>-481</v>
      </c>
      <c r="J24" s="111">
        <f t="shared" si="5"/>
        <v>0</v>
      </c>
      <c r="K24" s="112" t="str">
        <f t="shared" ref="K24:K31" si="10">IF(OR(N24="falso",N24=0),"",E23)</f>
        <v/>
      </c>
      <c r="L24" s="112">
        <f t="shared" si="6"/>
        <v>0</v>
      </c>
      <c r="M24" s="112">
        <f t="shared" si="7"/>
        <v>0</v>
      </c>
      <c r="N24" s="113" t="str">
        <f t="shared" ref="N24:N31" si="11">IF(I24&gt;=0,IF(I23&gt;0,0,-I23),"FALSO")</f>
        <v>FALSO</v>
      </c>
      <c r="O24" s="114" t="str">
        <f t="shared" si="8"/>
        <v/>
      </c>
      <c r="P24" s="115">
        <f t="shared" si="2"/>
        <v>0</v>
      </c>
    </row>
    <row r="25" ht="14.25" customHeight="1">
      <c r="A25" s="116">
        <v>44540.0</v>
      </c>
      <c r="B25" s="116">
        <v>44540.0</v>
      </c>
      <c r="C25" s="116">
        <v>44540.0</v>
      </c>
      <c r="D25" s="109">
        <v>0.0</v>
      </c>
      <c r="E25" s="109">
        <f t="shared" si="3"/>
        <v>100</v>
      </c>
      <c r="F25" s="110">
        <f t="shared" ref="F25:F31" si="12">IF(C25&gt;$D$2,$E$2,"")</f>
        <v>0.07</v>
      </c>
      <c r="G25" s="109">
        <f t="shared" si="9"/>
        <v>1.75</v>
      </c>
      <c r="H25" s="109">
        <f t="shared" si="4"/>
        <v>0</v>
      </c>
      <c r="I25" s="111">
        <f t="shared" si="1"/>
        <v>-390</v>
      </c>
      <c r="J25" s="111">
        <f t="shared" si="5"/>
        <v>0</v>
      </c>
      <c r="K25" s="117" t="str">
        <f t="shared" si="10"/>
        <v/>
      </c>
      <c r="L25" s="112">
        <f t="shared" si="6"/>
        <v>0</v>
      </c>
      <c r="M25" s="112">
        <f t="shared" si="7"/>
        <v>0</v>
      </c>
      <c r="N25" s="113" t="str">
        <f t="shared" si="11"/>
        <v>FALSO</v>
      </c>
      <c r="O25" s="114" t="str">
        <f t="shared" si="8"/>
        <v/>
      </c>
      <c r="P25" s="115">
        <f t="shared" si="2"/>
        <v>0</v>
      </c>
      <c r="Q25" s="82"/>
    </row>
    <row r="26" ht="14.25" customHeight="1">
      <c r="A26" s="116">
        <v>44630.0</v>
      </c>
      <c r="B26" s="116">
        <v>44630.0</v>
      </c>
      <c r="C26" s="116">
        <v>44630.0</v>
      </c>
      <c r="D26" s="109">
        <v>0.0</v>
      </c>
      <c r="E26" s="109">
        <f t="shared" si="3"/>
        <v>100</v>
      </c>
      <c r="F26" s="110">
        <f t="shared" si="12"/>
        <v>0.07</v>
      </c>
      <c r="G26" s="109">
        <f t="shared" si="9"/>
        <v>1.75</v>
      </c>
      <c r="H26" s="109">
        <f t="shared" si="4"/>
        <v>0</v>
      </c>
      <c r="I26" s="111">
        <f t="shared" si="1"/>
        <v>-300</v>
      </c>
      <c r="J26" s="111">
        <f t="shared" si="5"/>
        <v>0</v>
      </c>
      <c r="K26" s="117" t="str">
        <f t="shared" si="10"/>
        <v/>
      </c>
      <c r="L26" s="112">
        <f t="shared" si="6"/>
        <v>0</v>
      </c>
      <c r="M26" s="112">
        <f t="shared" si="7"/>
        <v>0</v>
      </c>
      <c r="N26" s="113" t="str">
        <f t="shared" si="11"/>
        <v>FALSO</v>
      </c>
      <c r="O26" s="114" t="str">
        <f t="shared" si="8"/>
        <v/>
      </c>
      <c r="P26" s="115">
        <f t="shared" si="2"/>
        <v>0</v>
      </c>
      <c r="Q26" s="82"/>
    </row>
    <row r="27" ht="14.25" customHeight="1">
      <c r="A27" s="116">
        <v>44722.0</v>
      </c>
      <c r="B27" s="116">
        <v>44722.0</v>
      </c>
      <c r="C27" s="116">
        <v>44722.0</v>
      </c>
      <c r="D27" s="109">
        <v>0.0</v>
      </c>
      <c r="E27" s="109">
        <f t="shared" si="3"/>
        <v>100</v>
      </c>
      <c r="F27" s="110">
        <f t="shared" si="12"/>
        <v>0.07</v>
      </c>
      <c r="G27" s="109">
        <f t="shared" si="9"/>
        <v>1.75</v>
      </c>
      <c r="H27" s="109">
        <f t="shared" si="4"/>
        <v>0</v>
      </c>
      <c r="I27" s="111">
        <f t="shared" si="1"/>
        <v>-208</v>
      </c>
      <c r="J27" s="111">
        <f t="shared" si="5"/>
        <v>0</v>
      </c>
      <c r="K27" s="117" t="str">
        <f t="shared" si="10"/>
        <v/>
      </c>
      <c r="L27" s="112">
        <f t="shared" si="6"/>
        <v>0</v>
      </c>
      <c r="M27" s="112">
        <f t="shared" si="7"/>
        <v>0</v>
      </c>
      <c r="N27" s="113" t="str">
        <f t="shared" si="11"/>
        <v>FALSO</v>
      </c>
      <c r="O27" s="114" t="str">
        <f t="shared" si="8"/>
        <v/>
      </c>
      <c r="P27" s="115">
        <f t="shared" si="2"/>
        <v>0</v>
      </c>
      <c r="Q27" s="82"/>
    </row>
    <row r="28" ht="14.25" customHeight="1">
      <c r="A28" s="116">
        <v>44814.0</v>
      </c>
      <c r="B28" s="116">
        <v>44814.0</v>
      </c>
      <c r="C28" s="116">
        <v>44814.0</v>
      </c>
      <c r="D28" s="109">
        <v>0.0</v>
      </c>
      <c r="E28" s="109">
        <f t="shared" si="3"/>
        <v>100</v>
      </c>
      <c r="F28" s="110">
        <f t="shared" si="12"/>
        <v>0.07</v>
      </c>
      <c r="G28" s="109">
        <f t="shared" si="9"/>
        <v>1.75</v>
      </c>
      <c r="H28" s="109">
        <f t="shared" si="4"/>
        <v>0</v>
      </c>
      <c r="I28" s="111">
        <f t="shared" si="1"/>
        <v>-116</v>
      </c>
      <c r="J28" s="111">
        <f t="shared" si="5"/>
        <v>0</v>
      </c>
      <c r="K28" s="117" t="str">
        <f t="shared" si="10"/>
        <v/>
      </c>
      <c r="L28" s="112">
        <f t="shared" si="6"/>
        <v>0</v>
      </c>
      <c r="M28" s="112">
        <f t="shared" si="7"/>
        <v>0</v>
      </c>
      <c r="N28" s="113" t="str">
        <f t="shared" si="11"/>
        <v>FALSO</v>
      </c>
      <c r="O28" s="114" t="str">
        <f t="shared" si="8"/>
        <v/>
      </c>
      <c r="P28" s="115">
        <f t="shared" si="2"/>
        <v>0</v>
      </c>
      <c r="Q28" s="82"/>
    </row>
    <row r="29" ht="14.25" customHeight="1">
      <c r="A29" s="116">
        <v>44905.0</v>
      </c>
      <c r="B29" s="116">
        <v>44905.0</v>
      </c>
      <c r="C29" s="116">
        <v>44905.0</v>
      </c>
      <c r="D29" s="109">
        <v>0.0</v>
      </c>
      <c r="E29" s="109">
        <f t="shared" si="3"/>
        <v>100</v>
      </c>
      <c r="F29" s="110">
        <f t="shared" si="12"/>
        <v>0.07</v>
      </c>
      <c r="G29" s="109">
        <f t="shared" si="9"/>
        <v>1.75</v>
      </c>
      <c r="H29" s="109">
        <f t="shared" si="4"/>
        <v>0</v>
      </c>
      <c r="I29" s="111">
        <f t="shared" si="1"/>
        <v>-25</v>
      </c>
      <c r="J29" s="111">
        <f t="shared" si="5"/>
        <v>0</v>
      </c>
      <c r="K29" s="117" t="str">
        <f t="shared" si="10"/>
        <v/>
      </c>
      <c r="L29" s="112">
        <f t="shared" si="6"/>
        <v>0</v>
      </c>
      <c r="M29" s="112">
        <f t="shared" si="7"/>
        <v>0</v>
      </c>
      <c r="N29" s="113" t="str">
        <f t="shared" si="11"/>
        <v>FALSO</v>
      </c>
      <c r="O29" s="114" t="str">
        <f t="shared" si="8"/>
        <v/>
      </c>
      <c r="P29" s="115">
        <f t="shared" si="2"/>
        <v>0</v>
      </c>
      <c r="Q29" s="82"/>
    </row>
    <row r="30" ht="14.25" customHeight="1">
      <c r="A30" s="116">
        <v>44995.0</v>
      </c>
      <c r="B30" s="116">
        <v>44995.0</v>
      </c>
      <c r="C30" s="116">
        <v>44995.0</v>
      </c>
      <c r="D30" s="109">
        <v>0.0</v>
      </c>
      <c r="E30" s="109">
        <f t="shared" si="3"/>
        <v>100</v>
      </c>
      <c r="F30" s="110">
        <f t="shared" si="12"/>
        <v>0.07</v>
      </c>
      <c r="G30" s="109">
        <f t="shared" si="9"/>
        <v>1.75</v>
      </c>
      <c r="H30" s="109">
        <f t="shared" si="4"/>
        <v>1.75</v>
      </c>
      <c r="I30" s="111">
        <f t="shared" si="1"/>
        <v>65</v>
      </c>
      <c r="J30" s="111">
        <f t="shared" si="5"/>
        <v>1.75</v>
      </c>
      <c r="K30" s="117">
        <f t="shared" si="10"/>
        <v>100</v>
      </c>
      <c r="L30" s="112">
        <f t="shared" si="6"/>
        <v>0.003116438356</v>
      </c>
      <c r="M30" s="112">
        <f t="shared" si="7"/>
        <v>0.003011051552</v>
      </c>
      <c r="N30" s="111">
        <f t="shared" si="11"/>
        <v>25</v>
      </c>
      <c r="O30" s="114">
        <f t="shared" si="8"/>
        <v>44995</v>
      </c>
      <c r="P30" s="115">
        <f t="shared" si="2"/>
        <v>1.75</v>
      </c>
      <c r="Q30" s="82"/>
    </row>
    <row r="31" ht="14.25" customHeight="1">
      <c r="A31" s="116">
        <v>45087.0</v>
      </c>
      <c r="B31" s="116">
        <v>45087.0</v>
      </c>
      <c r="C31" s="116">
        <v>45087.0</v>
      </c>
      <c r="D31" s="109">
        <v>100.0</v>
      </c>
      <c r="E31" s="109">
        <f t="shared" si="3"/>
        <v>0</v>
      </c>
      <c r="F31" s="110">
        <f t="shared" si="12"/>
        <v>0.07</v>
      </c>
      <c r="G31" s="109">
        <f t="shared" si="9"/>
        <v>1.75</v>
      </c>
      <c r="H31" s="109">
        <f t="shared" si="4"/>
        <v>101.75</v>
      </c>
      <c r="I31" s="111">
        <f t="shared" si="1"/>
        <v>157</v>
      </c>
      <c r="J31" s="111">
        <f t="shared" si="5"/>
        <v>101.75</v>
      </c>
      <c r="K31" s="117" t="str">
        <f t="shared" si="10"/>
        <v/>
      </c>
      <c r="L31" s="112">
        <f t="shared" si="6"/>
        <v>0.4376643836</v>
      </c>
      <c r="M31" s="112">
        <f t="shared" si="7"/>
        <v>0.4228641387</v>
      </c>
      <c r="N31" s="113">
        <f t="shared" si="11"/>
        <v>0</v>
      </c>
      <c r="O31" s="114">
        <f t="shared" si="8"/>
        <v>45087</v>
      </c>
      <c r="P31" s="115">
        <f t="shared" si="2"/>
        <v>101.75</v>
      </c>
      <c r="Q31" s="82"/>
    </row>
    <row r="32" ht="14.25" customHeight="1">
      <c r="H32" s="118">
        <f>SUMIF(I22:I31,"&gt;0",H22:H31)</f>
        <v>103.5</v>
      </c>
      <c r="I32" s="119">
        <f>+H10</f>
        <v>0</v>
      </c>
      <c r="J32" s="119">
        <f>SUM(J22:J31)</f>
        <v>0</v>
      </c>
      <c r="K32" s="120">
        <f>SUM(K22:K31)/$E$22</f>
        <v>1</v>
      </c>
      <c r="L32" s="121">
        <f t="shared" ref="L32:M32" si="13">SUM(L22:L31)</f>
        <v>0.4407808219</v>
      </c>
      <c r="M32" s="119">
        <f t="shared" si="13"/>
        <v>0.4258751903</v>
      </c>
      <c r="N32" s="122">
        <f>SUM(N24:N31)</f>
        <v>25</v>
      </c>
      <c r="O32" s="123">
        <f>MIN(O24:O31)</f>
        <v>44995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73" t="s">
        <v>21</v>
      </c>
      <c r="D2" s="74">
        <v>44560.0</v>
      </c>
      <c r="E2" s="75">
        <v>0.0699</v>
      </c>
      <c r="G2" s="71" t="s">
        <v>142</v>
      </c>
      <c r="H2" s="76">
        <f>+E17*100+E11</f>
        <v>67.03883333</v>
      </c>
      <c r="M2" s="77"/>
      <c r="N2" s="78"/>
    </row>
    <row r="3" ht="14.25" customHeight="1">
      <c r="C3" s="71" t="s">
        <v>143</v>
      </c>
      <c r="D3" s="71"/>
      <c r="E3" s="79">
        <v>44377.0</v>
      </c>
      <c r="F3" s="80"/>
      <c r="G3" s="71" t="s">
        <v>144</v>
      </c>
      <c r="H3" s="81">
        <f>IF(E1&gt;D2,E2*E17*E6/E12,"")</f>
        <v>0.06703724291</v>
      </c>
      <c r="I3" s="82"/>
      <c r="L3" s="83"/>
      <c r="M3" s="84"/>
      <c r="N3" s="85"/>
      <c r="P3" s="116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104.2679243</v>
      </c>
      <c r="L4" s="83"/>
      <c r="M4" s="84"/>
      <c r="N4" s="85"/>
      <c r="P4" s="116"/>
      <c r="Q4" s="109"/>
    </row>
    <row r="5" ht="14.25" customHeight="1">
      <c r="C5" s="71" t="s">
        <v>147</v>
      </c>
      <c r="D5" s="88"/>
      <c r="E5" s="79">
        <v>44560.0</v>
      </c>
      <c r="G5" s="71" t="s">
        <v>148</v>
      </c>
      <c r="H5" s="89">
        <f>MIN(O22:O28)</f>
        <v>45107</v>
      </c>
      <c r="L5" s="83"/>
      <c r="M5" s="84"/>
      <c r="N5" s="85"/>
      <c r="P5" s="116"/>
      <c r="Q5" s="109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MAX(C22:C28)</f>
        <v>45473</v>
      </c>
      <c r="L6" s="83"/>
      <c r="M6" s="84"/>
      <c r="N6" s="85"/>
      <c r="P6" s="116"/>
      <c r="Q6" s="109"/>
    </row>
    <row r="7" ht="14.25" customHeight="1">
      <c r="C7" s="91" t="s">
        <v>151</v>
      </c>
      <c r="D7" s="91"/>
      <c r="G7" s="71" t="s">
        <v>152</v>
      </c>
      <c r="H7" s="92">
        <f>+H6-E1</f>
        <v>543</v>
      </c>
      <c r="L7" s="83"/>
      <c r="M7" s="84"/>
      <c r="N7" s="85"/>
      <c r="P7" s="116"/>
      <c r="Q7" s="109"/>
    </row>
    <row r="8" ht="14.25" customHeight="1">
      <c r="L8" s="83"/>
      <c r="M8" s="84"/>
      <c r="N8" s="85"/>
      <c r="P8" s="116"/>
      <c r="Q8" s="109"/>
    </row>
    <row r="9" ht="14.25" customHeight="1">
      <c r="C9" s="71" t="s">
        <v>153</v>
      </c>
      <c r="D9" s="71"/>
      <c r="E9" s="93">
        <f>+Curva!C15</f>
        <v>69.9</v>
      </c>
      <c r="G9" s="94"/>
      <c r="H9" s="95" t="s">
        <v>154</v>
      </c>
      <c r="I9" s="95" t="s">
        <v>155</v>
      </c>
      <c r="J9" s="96" t="s">
        <v>156</v>
      </c>
      <c r="L9" s="83"/>
      <c r="M9" s="84"/>
      <c r="N9" s="85"/>
      <c r="P9" s="116"/>
      <c r="Q9" s="109"/>
    </row>
    <row r="10" ht="14.25" customHeight="1">
      <c r="C10" s="71" t="s">
        <v>157</v>
      </c>
      <c r="D10" s="71"/>
      <c r="E10" s="97">
        <f t="array" ref="E10">DAYS360(MAX(IF(C23:C28&lt;=E1,C23:C28)),E1,1)</f>
        <v>4</v>
      </c>
      <c r="G10" s="98" t="s">
        <v>158</v>
      </c>
      <c r="H10" s="99">
        <f>+((XIRR(P22:P28,C22:C28)+1)^(1/2)-1)*2</f>
        <v>0.02632208648</v>
      </c>
      <c r="I10" s="99">
        <f>+((XIRR(P22:P28,A22:A28)+1)^(1/2)-1)*2</f>
        <v>0.02624813291</v>
      </c>
      <c r="J10" s="99">
        <f>+((XIRR(P22:P28,B22:B28)+1)^(1/2)-1)*2</f>
        <v>0.02617459507</v>
      </c>
      <c r="L10" s="83"/>
      <c r="M10" s="84"/>
      <c r="N10" s="85"/>
      <c r="P10" s="116"/>
    </row>
    <row r="11" ht="14.25" customHeight="1">
      <c r="C11" s="71" t="s">
        <v>159</v>
      </c>
      <c r="D11" s="71"/>
      <c r="E11" s="76">
        <f>+($E$2*$E$6/4)*$H$12/$H$13</f>
        <v>0.03883333333</v>
      </c>
      <c r="L11" s="83"/>
      <c r="M11" s="84"/>
      <c r="N11" s="85"/>
      <c r="P11" s="116"/>
    </row>
    <row r="12" ht="14.25" customHeight="1">
      <c r="C12" s="71" t="s">
        <v>160</v>
      </c>
      <c r="D12" s="71"/>
      <c r="E12" s="93">
        <f>+E9-E11</f>
        <v>69.86116667</v>
      </c>
      <c r="G12" s="126" t="s">
        <v>187</v>
      </c>
      <c r="H12" s="127">
        <f>COUPDAYBS(C22,C28,2,0)</f>
        <v>4</v>
      </c>
      <c r="L12" s="83"/>
      <c r="M12" s="84"/>
      <c r="N12" s="85"/>
      <c r="P12" s="116"/>
    </row>
    <row r="13" ht="14.25" customHeight="1">
      <c r="C13" s="101"/>
      <c r="D13" s="101"/>
      <c r="G13" s="126" t="s">
        <v>188</v>
      </c>
      <c r="H13" s="128">
        <f>COUPDAYS(C22,C28,2)</f>
        <v>180</v>
      </c>
      <c r="L13" s="83"/>
      <c r="M13" s="84"/>
      <c r="N13" s="85"/>
      <c r="P13" s="116"/>
    </row>
    <row r="14" ht="14.25" customHeight="1">
      <c r="C14" s="71" t="s">
        <v>161</v>
      </c>
      <c r="D14" s="71"/>
      <c r="E14" s="100">
        <f>(L29*100)/SUM(J24:J28)</f>
        <v>0.9787653472</v>
      </c>
      <c r="G14" s="126" t="s">
        <v>189</v>
      </c>
      <c r="H14" s="129">
        <f>+($E$2*$E$6/2)*$H$12/$H$13</f>
        <v>0.07766666667</v>
      </c>
      <c r="L14" s="83"/>
      <c r="M14" s="84"/>
      <c r="N14" s="85"/>
    </row>
    <row r="15" ht="14.25" customHeight="1">
      <c r="C15" s="71" t="s">
        <v>162</v>
      </c>
      <c r="D15" s="71"/>
      <c r="E15" s="100">
        <f>E14/(1+I29/2)</f>
        <v>0.9660511068</v>
      </c>
      <c r="M15" s="84"/>
      <c r="N15" s="85"/>
    </row>
    <row r="16" ht="14.25" customHeight="1">
      <c r="C16" s="71" t="s">
        <v>163</v>
      </c>
      <c r="D16" s="71"/>
      <c r="E16" s="100">
        <f>M29</f>
        <v>0.9852293266</v>
      </c>
      <c r="M16" s="84"/>
      <c r="N16" s="85"/>
    </row>
    <row r="17" ht="14.25" customHeight="1">
      <c r="C17" s="71" t="s">
        <v>164</v>
      </c>
      <c r="D17" s="71"/>
      <c r="E17" s="100">
        <f>K29</f>
        <v>0.67</v>
      </c>
      <c r="M17" s="84"/>
      <c r="N17" s="85"/>
    </row>
    <row r="18" ht="14.25" customHeight="1">
      <c r="J18" s="102"/>
    </row>
    <row r="19" ht="14.25" customHeight="1"/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</row>
    <row r="21" ht="14.25" customHeight="1">
      <c r="A21" s="107" t="s">
        <v>155</v>
      </c>
      <c r="B21" s="107" t="s">
        <v>156</v>
      </c>
      <c r="C21" s="107" t="s">
        <v>154</v>
      </c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-69.9</v>
      </c>
      <c r="I22" s="111">
        <f t="shared" ref="I22:I28" si="1">+C22-$E$1</f>
        <v>0</v>
      </c>
      <c r="J22" s="111">
        <f>H22</f>
        <v>-69.9</v>
      </c>
      <c r="K22" s="117"/>
      <c r="L22" s="112"/>
      <c r="M22" s="112"/>
      <c r="N22" s="113"/>
      <c r="O22" s="114"/>
      <c r="P22" s="115">
        <f t="shared" ref="P22:P28" si="2">+H22</f>
        <v>-69.9</v>
      </c>
    </row>
    <row r="23" ht="14.25" customHeight="1">
      <c r="A23" s="116">
        <v>44560.0</v>
      </c>
      <c r="B23" s="116">
        <v>44560.0</v>
      </c>
      <c r="C23" s="116">
        <v>44560.0</v>
      </c>
      <c r="D23" s="109">
        <v>0.0</v>
      </c>
      <c r="E23" s="109">
        <f t="shared" ref="E23:E28" si="3">+E22-D23</f>
        <v>100</v>
      </c>
      <c r="F23" s="110">
        <f t="shared" ref="F23:F24" si="4">IF(C23&gt;=$D$2,$E$2,"")</f>
        <v>0.0699</v>
      </c>
      <c r="G23" s="109">
        <f t="shared" ref="G23:G28" si="5">IF(F23="","",IF($E$4=365,E22*F23/365*(C23-C22),E22*F23/360*DAYS360(C22,C23)))</f>
        <v>-7.067666667</v>
      </c>
      <c r="H23" s="109">
        <f t="shared" ref="H23:H28" si="6">+IF(C23&gt;$C$22,D23+G23,0)</f>
        <v>0</v>
      </c>
      <c r="I23" s="111">
        <f t="shared" si="1"/>
        <v>-370</v>
      </c>
      <c r="J23" s="111">
        <f t="shared" ref="J23:J28" si="7">IF(I23&lt;=0,0,H23/(((1+$I$29/2)^2)^(I23/365)))</f>
        <v>0</v>
      </c>
      <c r="K23" s="117"/>
      <c r="L23" s="112">
        <f t="shared" ref="L23:L28" si="8">J23*(I23/365)/100</f>
        <v>0</v>
      </c>
      <c r="M23" s="112">
        <f t="shared" ref="M23:M28" si="9">IF(I23&lt;0,0,(H23/$H$29)*I23/365)</f>
        <v>0</v>
      </c>
      <c r="N23" s="113" t="str">
        <f>IF(I23&gt;=0,IF(I21&gt;0,0,-I21),"FALSO")</f>
        <v>FALSO</v>
      </c>
      <c r="O23" s="114" t="str">
        <f t="shared" ref="O23:O28" si="10">+IF(C23&gt;$C$22,C23,"")</f>
        <v/>
      </c>
      <c r="P23" s="115">
        <f t="shared" si="2"/>
        <v>0</v>
      </c>
    </row>
    <row r="24" ht="14.25" customHeight="1">
      <c r="A24" s="116">
        <v>44742.0</v>
      </c>
      <c r="B24" s="116">
        <v>44742.0</v>
      </c>
      <c r="C24" s="116">
        <v>44742.0</v>
      </c>
      <c r="D24" s="109">
        <v>33.0</v>
      </c>
      <c r="E24" s="109">
        <f t="shared" si="3"/>
        <v>67</v>
      </c>
      <c r="F24" s="110">
        <f t="shared" si="4"/>
        <v>0.0699</v>
      </c>
      <c r="G24" s="109">
        <f t="shared" si="5"/>
        <v>3.495</v>
      </c>
      <c r="H24" s="109">
        <f t="shared" si="6"/>
        <v>0</v>
      </c>
      <c r="I24" s="111">
        <f t="shared" si="1"/>
        <v>-188</v>
      </c>
      <c r="J24" s="111">
        <f t="shared" si="7"/>
        <v>0</v>
      </c>
      <c r="K24" s="112" t="str">
        <f t="shared" ref="K24:K28" si="11">IF(OR(N24="falso",N24=0),"",E23)</f>
        <v/>
      </c>
      <c r="L24" s="112">
        <f t="shared" si="8"/>
        <v>0</v>
      </c>
      <c r="M24" s="112">
        <f t="shared" si="9"/>
        <v>0</v>
      </c>
      <c r="N24" s="113" t="str">
        <f t="shared" ref="N24:N28" si="12">IF(I24&gt;=0,IF(I23&gt;0,0,-I23),"FALSO")</f>
        <v>FALSO</v>
      </c>
      <c r="O24" s="114" t="str">
        <f t="shared" si="10"/>
        <v/>
      </c>
      <c r="P24" s="115">
        <f t="shared" si="2"/>
        <v>0</v>
      </c>
    </row>
    <row r="25" ht="14.25" customHeight="1">
      <c r="A25" s="116">
        <v>44925.0</v>
      </c>
      <c r="B25" s="116">
        <v>44925.0</v>
      </c>
      <c r="C25" s="116">
        <v>44925.0</v>
      </c>
      <c r="D25" s="109">
        <v>0.0</v>
      </c>
      <c r="E25" s="109">
        <f t="shared" si="3"/>
        <v>67</v>
      </c>
      <c r="F25" s="110">
        <f t="shared" ref="F25:F28" si="13">IF(C25&gt;$D$2,$E$2,"")</f>
        <v>0.0699</v>
      </c>
      <c r="G25" s="109">
        <f t="shared" si="5"/>
        <v>2.34165</v>
      </c>
      <c r="H25" s="109">
        <f t="shared" si="6"/>
        <v>0</v>
      </c>
      <c r="I25" s="111">
        <f t="shared" si="1"/>
        <v>-5</v>
      </c>
      <c r="J25" s="111">
        <f t="shared" si="7"/>
        <v>0</v>
      </c>
      <c r="K25" s="117" t="str">
        <f t="shared" si="11"/>
        <v/>
      </c>
      <c r="L25" s="112">
        <f t="shared" si="8"/>
        <v>0</v>
      </c>
      <c r="M25" s="112">
        <f t="shared" si="9"/>
        <v>0</v>
      </c>
      <c r="N25" s="113" t="str">
        <f t="shared" si="12"/>
        <v>FALSO</v>
      </c>
      <c r="O25" s="114" t="str">
        <f t="shared" si="10"/>
        <v/>
      </c>
      <c r="P25" s="115">
        <f t="shared" si="2"/>
        <v>0</v>
      </c>
      <c r="R25" s="82"/>
    </row>
    <row r="26" ht="14.25" customHeight="1">
      <c r="A26" s="116">
        <v>45107.0</v>
      </c>
      <c r="B26" s="116">
        <v>45107.0</v>
      </c>
      <c r="C26" s="116">
        <v>45107.0</v>
      </c>
      <c r="D26" s="109">
        <v>33.0</v>
      </c>
      <c r="E26" s="109">
        <f t="shared" si="3"/>
        <v>34</v>
      </c>
      <c r="F26" s="110">
        <f t="shared" si="13"/>
        <v>0.0699</v>
      </c>
      <c r="G26" s="109">
        <f t="shared" si="5"/>
        <v>2.34165</v>
      </c>
      <c r="H26" s="109">
        <f t="shared" si="6"/>
        <v>35.34165</v>
      </c>
      <c r="I26" s="111">
        <f t="shared" si="1"/>
        <v>177</v>
      </c>
      <c r="J26" s="111">
        <f t="shared" si="7"/>
        <v>34.8963072</v>
      </c>
      <c r="K26" s="117">
        <f t="shared" si="11"/>
        <v>67</v>
      </c>
      <c r="L26" s="112">
        <f t="shared" si="8"/>
        <v>0.1692231883</v>
      </c>
      <c r="M26" s="112">
        <f t="shared" si="9"/>
        <v>0.2389667845</v>
      </c>
      <c r="N26" s="111">
        <f t="shared" si="12"/>
        <v>5</v>
      </c>
      <c r="O26" s="114">
        <f t="shared" si="10"/>
        <v>45107</v>
      </c>
      <c r="P26" s="115">
        <f t="shared" si="2"/>
        <v>35.34165</v>
      </c>
      <c r="R26" s="82"/>
    </row>
    <row r="27" ht="14.25" customHeight="1">
      <c r="A27" s="116">
        <v>45290.0</v>
      </c>
      <c r="B27" s="116">
        <v>45290.0</v>
      </c>
      <c r="C27" s="116">
        <v>45290.0</v>
      </c>
      <c r="D27" s="109">
        <v>0.0</v>
      </c>
      <c r="E27" s="109">
        <f t="shared" si="3"/>
        <v>34</v>
      </c>
      <c r="F27" s="110">
        <f t="shared" si="13"/>
        <v>0.0699</v>
      </c>
      <c r="G27" s="109">
        <f t="shared" si="5"/>
        <v>1.1883</v>
      </c>
      <c r="H27" s="109">
        <f t="shared" si="6"/>
        <v>1.1883</v>
      </c>
      <c r="I27" s="111">
        <f t="shared" si="1"/>
        <v>360</v>
      </c>
      <c r="J27" s="111">
        <f t="shared" si="7"/>
        <v>1.158043057</v>
      </c>
      <c r="K27" s="117" t="str">
        <f t="shared" si="11"/>
        <v/>
      </c>
      <c r="L27" s="112">
        <f t="shared" si="8"/>
        <v>0.01142179453</v>
      </c>
      <c r="M27" s="112">
        <f t="shared" si="9"/>
        <v>0.01634203174</v>
      </c>
      <c r="N27" s="113">
        <f t="shared" si="12"/>
        <v>0</v>
      </c>
      <c r="O27" s="114">
        <f t="shared" si="10"/>
        <v>45290</v>
      </c>
      <c r="P27" s="115">
        <f t="shared" si="2"/>
        <v>1.1883</v>
      </c>
      <c r="R27" s="82"/>
    </row>
    <row r="28" ht="14.25" customHeight="1">
      <c r="A28" s="116">
        <v>45473.0</v>
      </c>
      <c r="B28" s="116">
        <v>45473.0</v>
      </c>
      <c r="C28" s="116">
        <v>45473.0</v>
      </c>
      <c r="D28" s="109">
        <v>34.0</v>
      </c>
      <c r="E28" s="109">
        <f t="shared" si="3"/>
        <v>0</v>
      </c>
      <c r="F28" s="110">
        <f t="shared" si="13"/>
        <v>0.0699</v>
      </c>
      <c r="G28" s="109">
        <f t="shared" si="5"/>
        <v>1.1883</v>
      </c>
      <c r="H28" s="109">
        <f t="shared" si="6"/>
        <v>35.1883</v>
      </c>
      <c r="I28" s="111">
        <f t="shared" si="1"/>
        <v>543</v>
      </c>
      <c r="J28" s="111">
        <f t="shared" si="7"/>
        <v>33.84564974</v>
      </c>
      <c r="K28" s="117" t="str">
        <f t="shared" si="11"/>
        <v/>
      </c>
      <c r="L28" s="112">
        <f t="shared" si="8"/>
        <v>0.5035119948</v>
      </c>
      <c r="M28" s="112">
        <f t="shared" si="9"/>
        <v>0.7299205104</v>
      </c>
      <c r="N28" s="113">
        <f t="shared" si="12"/>
        <v>0</v>
      </c>
      <c r="O28" s="114">
        <f t="shared" si="10"/>
        <v>45473</v>
      </c>
      <c r="P28" s="115">
        <f t="shared" si="2"/>
        <v>35.1883</v>
      </c>
      <c r="R28" s="82"/>
    </row>
    <row r="29" ht="14.25" customHeight="1">
      <c r="H29" s="118">
        <f>SUMIF(I22:I28,"&gt;0",H22:H28)</f>
        <v>71.71825</v>
      </c>
      <c r="I29" s="119">
        <f>+H10</f>
        <v>0.02632208648</v>
      </c>
      <c r="J29" s="119">
        <f>SUM(J22:J28)</f>
        <v>0</v>
      </c>
      <c r="K29" s="120">
        <f>SUM(K22:K28)/$E$22</f>
        <v>0.67</v>
      </c>
      <c r="L29" s="121">
        <f t="shared" ref="L29:M29" si="14">SUM(L22:L28)</f>
        <v>0.6841569777</v>
      </c>
      <c r="M29" s="119">
        <f t="shared" si="14"/>
        <v>0.9852293266</v>
      </c>
      <c r="N29" s="122">
        <f>SUM(N24:N28)</f>
        <v>5</v>
      </c>
      <c r="O29" s="123">
        <f>MIN(O24:O28)</f>
        <v>45107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73" t="s">
        <v>21</v>
      </c>
      <c r="D2" s="74">
        <v>44567.0</v>
      </c>
      <c r="E2" s="75">
        <v>0.0699</v>
      </c>
      <c r="G2" s="71" t="s">
        <v>142</v>
      </c>
      <c r="H2" s="76">
        <f>+E17*100+E11</f>
        <v>68.72808333</v>
      </c>
      <c r="M2" s="77"/>
      <c r="N2" s="78"/>
    </row>
    <row r="3" ht="14.25" customHeight="1">
      <c r="C3" s="71" t="s">
        <v>143</v>
      </c>
      <c r="D3" s="71"/>
      <c r="E3" s="79">
        <v>44377.0</v>
      </c>
      <c r="F3" s="80"/>
      <c r="G3" s="71" t="s">
        <v>144</v>
      </c>
      <c r="H3" s="81">
        <f>IF(E1&gt;D2,E2*E17*E6/E12,"")</f>
        <v>0.06664540007</v>
      </c>
      <c r="I3" s="82"/>
      <c r="L3" s="83"/>
      <c r="M3" s="84"/>
      <c r="N3" s="85"/>
      <c r="P3" s="116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104.7606692</v>
      </c>
      <c r="L4" s="83"/>
      <c r="M4" s="84"/>
      <c r="N4" s="85"/>
      <c r="P4" s="116"/>
      <c r="Q4" s="109"/>
    </row>
    <row r="5" ht="14.25" customHeight="1">
      <c r="C5" s="71" t="s">
        <v>147</v>
      </c>
      <c r="D5" s="88"/>
      <c r="E5" s="79">
        <v>44567.0</v>
      </c>
      <c r="G5" s="71" t="s">
        <v>148</v>
      </c>
      <c r="H5" s="89">
        <f>MIN(O22:O28)</f>
        <v>44932</v>
      </c>
      <c r="L5" s="83"/>
      <c r="M5" s="84"/>
      <c r="N5" s="85"/>
      <c r="P5" s="116"/>
      <c r="Q5" s="109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MAX(C22:C28)</f>
        <v>45479</v>
      </c>
      <c r="L6" s="83"/>
      <c r="M6" s="84"/>
      <c r="N6" s="85"/>
      <c r="P6" s="116"/>
      <c r="Q6" s="109"/>
    </row>
    <row r="7" ht="14.25" customHeight="1">
      <c r="C7" s="91" t="s">
        <v>151</v>
      </c>
      <c r="D7" s="91"/>
      <c r="G7" s="71" t="s">
        <v>152</v>
      </c>
      <c r="H7" s="92">
        <f>+H6-E1</f>
        <v>549</v>
      </c>
      <c r="L7" s="83"/>
      <c r="M7" s="84"/>
      <c r="N7" s="85"/>
      <c r="P7" s="116"/>
      <c r="Q7" s="109"/>
    </row>
    <row r="8" ht="14.25" customHeight="1">
      <c r="L8" s="83"/>
      <c r="M8" s="84"/>
      <c r="N8" s="85"/>
      <c r="P8" s="116"/>
      <c r="Q8" s="109"/>
    </row>
    <row r="9" ht="14.25" customHeight="1">
      <c r="C9" s="71" t="s">
        <v>153</v>
      </c>
      <c r="D9" s="71"/>
      <c r="E9" s="93">
        <f>+Curva!C14</f>
        <v>72</v>
      </c>
      <c r="G9" s="94"/>
      <c r="H9" s="95" t="s">
        <v>154</v>
      </c>
      <c r="I9" s="95" t="s">
        <v>155</v>
      </c>
      <c r="J9" s="96" t="s">
        <v>156</v>
      </c>
      <c r="L9" s="83"/>
      <c r="M9" s="84"/>
      <c r="N9" s="85"/>
      <c r="P9" s="116"/>
      <c r="Q9" s="109"/>
    </row>
    <row r="10" ht="14.25" customHeight="1">
      <c r="C10" s="71" t="s">
        <v>157</v>
      </c>
      <c r="D10" s="71"/>
      <c r="E10" s="97">
        <f t="array" ref="E10">DAYS360(MAX(IF(C23:C28&lt;=E1,C23:C28)),E1,1)</f>
        <v>178</v>
      </c>
      <c r="G10" s="98" t="s">
        <v>158</v>
      </c>
      <c r="H10" s="99">
        <f>+((XIRR(P22:P28,C22:C28)+1)^(1/2)-1)*2</f>
        <v>0.02940670615</v>
      </c>
      <c r="I10" s="99">
        <f>+((XIRR(P22:P28,A22:A28)+1)^(1/2)-1)*2</f>
        <v>0.02932261631</v>
      </c>
      <c r="J10" s="99">
        <f>+((XIRR(P22:P28,B22:B28)+1)^(1/2)-1)*2</f>
        <v>0.02923900794</v>
      </c>
      <c r="L10" s="83"/>
      <c r="M10" s="84"/>
      <c r="N10" s="85"/>
      <c r="P10" s="116"/>
    </row>
    <row r="11" ht="14.25" customHeight="1">
      <c r="C11" s="71" t="s">
        <v>159</v>
      </c>
      <c r="D11" s="71"/>
      <c r="E11" s="76">
        <f>+($E$2*$E$6/4)*$H$12/$H$13</f>
        <v>1.728083333</v>
      </c>
      <c r="L11" s="116"/>
      <c r="M11" s="84"/>
      <c r="N11" s="85"/>
      <c r="P11" s="116"/>
    </row>
    <row r="12" ht="14.25" customHeight="1">
      <c r="C12" s="71" t="s">
        <v>160</v>
      </c>
      <c r="D12" s="71"/>
      <c r="E12" s="93">
        <f>+E9-E11</f>
        <v>70.27191667</v>
      </c>
      <c r="G12" s="126" t="s">
        <v>187</v>
      </c>
      <c r="H12" s="127">
        <f>COUPDAYBS(C22,C28,2,0)</f>
        <v>178</v>
      </c>
      <c r="L12" s="116"/>
      <c r="M12" s="84"/>
      <c r="N12" s="85"/>
      <c r="P12" s="116"/>
    </row>
    <row r="13" ht="14.25" customHeight="1">
      <c r="C13" s="101"/>
      <c r="D13" s="101"/>
      <c r="G13" s="126" t="s">
        <v>188</v>
      </c>
      <c r="H13" s="128">
        <f>COUPDAYS(C22,C28,2)</f>
        <v>180</v>
      </c>
      <c r="L13" s="116"/>
      <c r="M13" s="84"/>
      <c r="N13" s="85"/>
      <c r="P13" s="116"/>
    </row>
    <row r="14" ht="14.25" customHeight="1">
      <c r="C14" s="71" t="s">
        <v>161</v>
      </c>
      <c r="D14" s="71"/>
      <c r="E14" s="100">
        <f>(L29*100)/SUM(J24:J28)</f>
        <v>0.9623366079</v>
      </c>
      <c r="G14" s="126" t="s">
        <v>189</v>
      </c>
      <c r="H14" s="129">
        <f>+($E$2*$E$6/2)*$H$12/$H$13</f>
        <v>3.456166667</v>
      </c>
      <c r="L14" s="116"/>
      <c r="M14" s="84"/>
      <c r="N14" s="85"/>
    </row>
    <row r="15" ht="14.25" customHeight="1">
      <c r="C15" s="71" t="s">
        <v>162</v>
      </c>
      <c r="D15" s="71"/>
      <c r="E15" s="100">
        <f>E14/(1+I29/2)</f>
        <v>0.9483920645</v>
      </c>
      <c r="L15" s="116"/>
      <c r="M15" s="84"/>
      <c r="N15" s="85"/>
    </row>
    <row r="16" ht="14.25" customHeight="1">
      <c r="C16" s="71" t="s">
        <v>163</v>
      </c>
      <c r="D16" s="71"/>
      <c r="E16" s="100">
        <f>M29</f>
        <v>0.9702138386</v>
      </c>
      <c r="L16" s="116"/>
      <c r="M16" s="84"/>
      <c r="N16" s="85"/>
    </row>
    <row r="17" ht="14.25" customHeight="1">
      <c r="C17" s="71" t="s">
        <v>164</v>
      </c>
      <c r="D17" s="71"/>
      <c r="E17" s="100">
        <f>K29</f>
        <v>0.67</v>
      </c>
      <c r="L17" s="116"/>
      <c r="M17" s="84"/>
      <c r="N17" s="85"/>
    </row>
    <row r="18" ht="14.25" customHeight="1">
      <c r="J18" s="102"/>
    </row>
    <row r="19" ht="14.25" customHeight="1"/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</row>
    <row r="21" ht="14.25" customHeight="1">
      <c r="A21" s="107" t="s">
        <v>155</v>
      </c>
      <c r="B21" s="107" t="s">
        <v>156</v>
      </c>
      <c r="C21" s="107" t="s">
        <v>154</v>
      </c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-72</v>
      </c>
      <c r="I22" s="111">
        <f t="shared" ref="I22:I28" si="1">+C22-$E$1</f>
        <v>0</v>
      </c>
      <c r="J22" s="111">
        <f>H22</f>
        <v>-72</v>
      </c>
      <c r="K22" s="117"/>
      <c r="L22" s="112"/>
      <c r="M22" s="112"/>
      <c r="N22" s="113"/>
      <c r="O22" s="114"/>
      <c r="P22" s="115">
        <f t="shared" ref="P22:P28" si="2">+H22</f>
        <v>-72</v>
      </c>
    </row>
    <row r="23" ht="14.25" customHeight="1">
      <c r="A23" s="116">
        <v>44567.0</v>
      </c>
      <c r="B23" s="116">
        <v>44567.0</v>
      </c>
      <c r="C23" s="116">
        <v>44567.0</v>
      </c>
      <c r="D23" s="109">
        <v>0.0</v>
      </c>
      <c r="E23" s="109">
        <f t="shared" ref="E23:E28" si="3">+E22-D23</f>
        <v>100</v>
      </c>
      <c r="F23" s="110">
        <f>IF(C23&gt;=$D$2,$E$2,"")</f>
        <v>0.0699</v>
      </c>
      <c r="G23" s="109">
        <f t="shared" ref="G23:G28" si="4">IF(F23="","",IF($E$4=365,E22*F23/365*(C23-C22),E22*F23/360*DAYS360(C22,C23)))</f>
        <v>-6.951166667</v>
      </c>
      <c r="H23" s="109">
        <f t="shared" ref="H23:H28" si="5">+IF(C23&gt;$C$22,D23+G23,0)</f>
        <v>0</v>
      </c>
      <c r="I23" s="111">
        <f t="shared" si="1"/>
        <v>-363</v>
      </c>
      <c r="J23" s="111">
        <f t="shared" ref="J23:J28" si="6">IF(I23&lt;=0,0,H23/(((1+$I$29/2)^2)^(I23/365)))</f>
        <v>0</v>
      </c>
      <c r="K23" s="117"/>
      <c r="L23" s="112">
        <f t="shared" ref="L23:L28" si="7">J23*(I23/365)/100</f>
        <v>0</v>
      </c>
      <c r="M23" s="112">
        <f t="shared" ref="M23:M28" si="8">IF(I23&lt;0,0,(H23/$H$29)*I23/365)</f>
        <v>0</v>
      </c>
      <c r="N23" s="113" t="str">
        <f>IF(I23&gt;=0,IF(I21&gt;0,0,-I21),"FALSO")</f>
        <v>FALSO</v>
      </c>
      <c r="O23" s="114" t="str">
        <f t="shared" ref="O23:O28" si="9">+IF(C23&gt;$C$22,C23,"")</f>
        <v/>
      </c>
      <c r="P23" s="115">
        <f t="shared" si="2"/>
        <v>0</v>
      </c>
    </row>
    <row r="24" ht="14.25" customHeight="1">
      <c r="A24" s="116">
        <v>44748.0</v>
      </c>
      <c r="B24" s="116">
        <v>44748.0</v>
      </c>
      <c r="C24" s="116">
        <v>44748.0</v>
      </c>
      <c r="D24" s="109">
        <v>33.0</v>
      </c>
      <c r="E24" s="109">
        <f t="shared" si="3"/>
        <v>67</v>
      </c>
      <c r="F24" s="110">
        <f t="shared" ref="F24:F28" si="10">IF(C24&gt;$D$2,$E$2,"")</f>
        <v>0.0699</v>
      </c>
      <c r="G24" s="109">
        <f t="shared" si="4"/>
        <v>3.495</v>
      </c>
      <c r="H24" s="109">
        <f t="shared" si="5"/>
        <v>0</v>
      </c>
      <c r="I24" s="111">
        <f t="shared" si="1"/>
        <v>-182</v>
      </c>
      <c r="J24" s="111">
        <f t="shared" si="6"/>
        <v>0</v>
      </c>
      <c r="K24" s="112" t="str">
        <f t="shared" ref="K24:K28" si="11">IF(OR(N24="falso",N24=0),"",E23)</f>
        <v/>
      </c>
      <c r="L24" s="112">
        <f t="shared" si="7"/>
        <v>0</v>
      </c>
      <c r="M24" s="112">
        <f t="shared" si="8"/>
        <v>0</v>
      </c>
      <c r="N24" s="113" t="str">
        <f t="shared" ref="N24:N28" si="12">IF(I24&gt;=0,IF(I23&gt;0,0,-I23),"FALSO")</f>
        <v>FALSO</v>
      </c>
      <c r="O24" s="114" t="str">
        <f t="shared" si="9"/>
        <v/>
      </c>
      <c r="P24" s="115">
        <f t="shared" si="2"/>
        <v>0</v>
      </c>
    </row>
    <row r="25" ht="14.25" customHeight="1">
      <c r="A25" s="116">
        <v>44932.0</v>
      </c>
      <c r="B25" s="116">
        <v>44932.0</v>
      </c>
      <c r="C25" s="116">
        <v>44932.0</v>
      </c>
      <c r="D25" s="109">
        <v>0.0</v>
      </c>
      <c r="E25" s="109">
        <f t="shared" si="3"/>
        <v>67</v>
      </c>
      <c r="F25" s="110">
        <f t="shared" si="10"/>
        <v>0.0699</v>
      </c>
      <c r="G25" s="109">
        <f t="shared" si="4"/>
        <v>2.34165</v>
      </c>
      <c r="H25" s="109">
        <f t="shared" si="5"/>
        <v>2.34165</v>
      </c>
      <c r="I25" s="111">
        <f t="shared" si="1"/>
        <v>2</v>
      </c>
      <c r="J25" s="111">
        <f t="shared" si="6"/>
        <v>2.341275461</v>
      </c>
      <c r="K25" s="117">
        <f t="shared" si="11"/>
        <v>67</v>
      </c>
      <c r="L25" s="112">
        <f t="shared" si="7"/>
        <v>0.0001282890663</v>
      </c>
      <c r="M25" s="112">
        <f t="shared" si="8"/>
        <v>0.0001732510968</v>
      </c>
      <c r="N25" s="111">
        <f t="shared" si="12"/>
        <v>182</v>
      </c>
      <c r="O25" s="114">
        <f t="shared" si="9"/>
        <v>44932</v>
      </c>
      <c r="P25" s="115">
        <f t="shared" si="2"/>
        <v>2.34165</v>
      </c>
      <c r="R25" s="82"/>
    </row>
    <row r="26" ht="14.25" customHeight="1">
      <c r="A26" s="116">
        <v>45113.0</v>
      </c>
      <c r="B26" s="116">
        <v>45113.0</v>
      </c>
      <c r="C26" s="116">
        <v>45113.0</v>
      </c>
      <c r="D26" s="109">
        <v>33.0</v>
      </c>
      <c r="E26" s="109">
        <f t="shared" si="3"/>
        <v>34</v>
      </c>
      <c r="F26" s="110">
        <f t="shared" si="10"/>
        <v>0.0699</v>
      </c>
      <c r="G26" s="109">
        <f t="shared" si="4"/>
        <v>2.34165</v>
      </c>
      <c r="H26" s="109">
        <f t="shared" si="5"/>
        <v>35.34165</v>
      </c>
      <c r="I26" s="111">
        <f t="shared" si="1"/>
        <v>183</v>
      </c>
      <c r="J26" s="111">
        <f t="shared" si="6"/>
        <v>34.82814619</v>
      </c>
      <c r="K26" s="117" t="str">
        <f t="shared" si="11"/>
        <v/>
      </c>
      <c r="L26" s="112">
        <f t="shared" si="7"/>
        <v>0.1746178288</v>
      </c>
      <c r="M26" s="112">
        <f t="shared" si="8"/>
        <v>0.2392554975</v>
      </c>
      <c r="N26" s="113">
        <f t="shared" si="12"/>
        <v>0</v>
      </c>
      <c r="O26" s="114">
        <f t="shared" si="9"/>
        <v>45113</v>
      </c>
      <c r="P26" s="115">
        <f t="shared" si="2"/>
        <v>35.34165</v>
      </c>
      <c r="R26" s="82"/>
    </row>
    <row r="27" ht="14.25" customHeight="1">
      <c r="A27" s="116">
        <v>45297.0</v>
      </c>
      <c r="B27" s="116">
        <v>45297.0</v>
      </c>
      <c r="C27" s="116">
        <v>45297.0</v>
      </c>
      <c r="D27" s="109">
        <v>0.0</v>
      </c>
      <c r="E27" s="109">
        <f t="shared" si="3"/>
        <v>34</v>
      </c>
      <c r="F27" s="110">
        <f t="shared" si="10"/>
        <v>0.0699</v>
      </c>
      <c r="G27" s="109">
        <f t="shared" si="4"/>
        <v>1.1883</v>
      </c>
      <c r="H27" s="109">
        <f t="shared" si="5"/>
        <v>1.1883</v>
      </c>
      <c r="I27" s="111">
        <f t="shared" si="1"/>
        <v>367</v>
      </c>
      <c r="J27" s="111">
        <f t="shared" si="6"/>
        <v>1.153927269</v>
      </c>
      <c r="K27" s="117" t="str">
        <f t="shared" si="11"/>
        <v/>
      </c>
      <c r="L27" s="112">
        <f t="shared" si="7"/>
        <v>0.01160250158</v>
      </c>
      <c r="M27" s="112">
        <f t="shared" si="8"/>
        <v>0.0161330387</v>
      </c>
      <c r="N27" s="113">
        <f t="shared" si="12"/>
        <v>0</v>
      </c>
      <c r="O27" s="114">
        <f t="shared" si="9"/>
        <v>45297</v>
      </c>
      <c r="P27" s="115">
        <f t="shared" si="2"/>
        <v>1.1883</v>
      </c>
      <c r="R27" s="82"/>
    </row>
    <row r="28" ht="14.25" customHeight="1">
      <c r="A28" s="116">
        <v>45479.0</v>
      </c>
      <c r="B28" s="116">
        <v>45479.0</v>
      </c>
      <c r="C28" s="116">
        <v>45479.0</v>
      </c>
      <c r="D28" s="109">
        <v>34.0</v>
      </c>
      <c r="E28" s="109">
        <f t="shared" si="3"/>
        <v>0</v>
      </c>
      <c r="F28" s="110">
        <f t="shared" si="10"/>
        <v>0.0699</v>
      </c>
      <c r="G28" s="109">
        <f t="shared" si="4"/>
        <v>1.1883</v>
      </c>
      <c r="H28" s="109">
        <f t="shared" si="5"/>
        <v>35.1883</v>
      </c>
      <c r="I28" s="111">
        <f t="shared" si="1"/>
        <v>549</v>
      </c>
      <c r="J28" s="111">
        <f t="shared" si="6"/>
        <v>33.67665108</v>
      </c>
      <c r="K28" s="117" t="str">
        <f t="shared" si="11"/>
        <v/>
      </c>
      <c r="L28" s="112">
        <f t="shared" si="7"/>
        <v>0.5065337382</v>
      </c>
      <c r="M28" s="112">
        <f t="shared" si="8"/>
        <v>0.7146520513</v>
      </c>
      <c r="N28" s="113">
        <f t="shared" si="12"/>
        <v>0</v>
      </c>
      <c r="O28" s="114">
        <f t="shared" si="9"/>
        <v>45479</v>
      </c>
      <c r="P28" s="115">
        <f t="shared" si="2"/>
        <v>35.1883</v>
      </c>
      <c r="R28" s="82"/>
    </row>
    <row r="29" ht="14.25" customHeight="1">
      <c r="H29" s="118">
        <f>SUMIF(I22:I28,"&gt;0",H22:H28)</f>
        <v>74.0599</v>
      </c>
      <c r="I29" s="119">
        <f>+H10</f>
        <v>0.02940670615</v>
      </c>
      <c r="J29" s="119">
        <f>SUM(J22:J28)</f>
        <v>0</v>
      </c>
      <c r="K29" s="120">
        <f>SUM(K22:K28)/$E$22</f>
        <v>0.67</v>
      </c>
      <c r="L29" s="121">
        <f t="shared" ref="L29:M29" si="13">SUM(L22:L28)</f>
        <v>0.6928823577</v>
      </c>
      <c r="M29" s="119">
        <f t="shared" si="13"/>
        <v>0.9702138386</v>
      </c>
      <c r="N29" s="122">
        <f>SUM(N24:N28)</f>
        <v>182</v>
      </c>
      <c r="O29" s="123">
        <f>MIN(O24:O28)</f>
        <v>44932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7" width="16.86"/>
    <col customWidth="1" min="8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  <c r="Q1" s="137"/>
      <c r="R1" s="137"/>
      <c r="S1" s="116"/>
    </row>
    <row r="2" ht="14.25" customHeight="1">
      <c r="C2" s="73" t="s">
        <v>21</v>
      </c>
      <c r="D2" s="74">
        <v>44469.0</v>
      </c>
      <c r="E2" s="75">
        <v>0.1095</v>
      </c>
      <c r="G2" s="71" t="s">
        <v>142</v>
      </c>
      <c r="H2" s="76">
        <f>+E17*100+E11</f>
        <v>100.1216667</v>
      </c>
      <c r="M2" s="77"/>
      <c r="N2" s="78"/>
      <c r="R2" s="137"/>
      <c r="S2" s="116"/>
    </row>
    <row r="3" ht="14.25" customHeight="1">
      <c r="C3" s="71" t="s">
        <v>143</v>
      </c>
      <c r="D3" s="71"/>
      <c r="E3" s="79">
        <v>44377.0</v>
      </c>
      <c r="F3" s="80"/>
      <c r="G3" s="71" t="s">
        <v>144</v>
      </c>
      <c r="H3" s="81">
        <f>IF(E1&gt;D2,E2*E17*E6/E12,"")</f>
        <v>0.1029344948</v>
      </c>
      <c r="I3" s="82"/>
      <c r="L3" s="83"/>
      <c r="M3" s="84"/>
      <c r="N3" s="85"/>
      <c r="R3" s="137"/>
      <c r="S3" s="116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106.3705825</v>
      </c>
      <c r="L4" s="83"/>
      <c r="M4" s="84"/>
      <c r="N4" s="85"/>
      <c r="R4" s="137"/>
      <c r="S4" s="116"/>
    </row>
    <row r="5" ht="14.25" customHeight="1">
      <c r="C5" s="71" t="s">
        <v>147</v>
      </c>
      <c r="D5" s="88"/>
      <c r="E5" s="79">
        <v>44469.0</v>
      </c>
      <c r="G5" s="71" t="s">
        <v>148</v>
      </c>
      <c r="H5" s="89">
        <f>MIN(O22:O43)</f>
        <v>45015</v>
      </c>
      <c r="L5" s="83"/>
      <c r="M5" s="84"/>
      <c r="N5" s="85"/>
      <c r="R5" s="137"/>
      <c r="S5" s="116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MAX(C22:C43)</f>
        <v>46203</v>
      </c>
      <c r="L6" s="83"/>
      <c r="M6" s="84"/>
      <c r="N6" s="85"/>
      <c r="R6" s="137"/>
      <c r="S6" s="116"/>
    </row>
    <row r="7" ht="14.25" customHeight="1">
      <c r="C7" s="91" t="s">
        <v>151</v>
      </c>
      <c r="D7" s="91"/>
      <c r="G7" s="71" t="s">
        <v>152</v>
      </c>
      <c r="H7" s="92">
        <f>+H6-E1</f>
        <v>1273</v>
      </c>
      <c r="L7" s="83"/>
      <c r="M7" s="84"/>
      <c r="N7" s="85"/>
      <c r="R7" s="137"/>
      <c r="S7" s="116"/>
    </row>
    <row r="8" ht="14.25" customHeight="1">
      <c r="L8" s="83"/>
      <c r="M8" s="84"/>
      <c r="N8" s="85"/>
      <c r="R8" s="137"/>
      <c r="S8" s="116"/>
    </row>
    <row r="9" ht="14.25" customHeight="1">
      <c r="C9" s="71" t="s">
        <v>153</v>
      </c>
      <c r="D9" s="71"/>
      <c r="E9" s="93">
        <f>+Curva!C13</f>
        <v>106.5</v>
      </c>
      <c r="G9" s="94"/>
      <c r="H9" s="95" t="s">
        <v>154</v>
      </c>
      <c r="I9" s="95" t="s">
        <v>155</v>
      </c>
      <c r="J9" s="96" t="s">
        <v>156</v>
      </c>
      <c r="L9" s="83"/>
      <c r="M9" s="84"/>
      <c r="N9" s="85"/>
      <c r="R9" s="137"/>
      <c r="S9" s="116"/>
    </row>
    <row r="10" ht="14.25" customHeight="1">
      <c r="C10" s="71" t="s">
        <v>157</v>
      </c>
      <c r="D10" s="71"/>
      <c r="E10" s="97">
        <f t="array" ref="E10">DAYS360(MAX(IF(C23:C43&lt;=E1,C23:C43)),E1,1)</f>
        <v>4</v>
      </c>
      <c r="G10" s="98" t="s">
        <v>158</v>
      </c>
      <c r="H10" s="99">
        <f>+((XIRR(P22:P43,C22:C43)+1)^(1/2)-1)*2</f>
        <v>0.08907657373</v>
      </c>
      <c r="I10" s="99">
        <f>+((XIRR(P22:P43,A22:A43)+1)^(1/2)-1)*2</f>
        <v>0.08899243062</v>
      </c>
      <c r="J10" s="99">
        <f>+((XIRR(P22:P43,B22:B43)+1)^(1/2)-1)*2</f>
        <v>0.08890844844</v>
      </c>
      <c r="L10" s="83"/>
      <c r="M10" s="84"/>
      <c r="N10" s="85"/>
      <c r="R10" s="137"/>
      <c r="S10" s="116"/>
    </row>
    <row r="11" ht="14.25" customHeight="1">
      <c r="C11" s="71" t="s">
        <v>159</v>
      </c>
      <c r="D11" s="71"/>
      <c r="E11" s="76">
        <f>+($E$2*$E$6/4)*$H$12/$H$13</f>
        <v>0.1216666667</v>
      </c>
      <c r="L11" s="83"/>
      <c r="M11" s="84"/>
      <c r="N11" s="85"/>
      <c r="R11" s="137"/>
      <c r="S11" s="116"/>
    </row>
    <row r="12" ht="14.25" customHeight="1">
      <c r="C12" s="71" t="s">
        <v>160</v>
      </c>
      <c r="D12" s="71"/>
      <c r="E12" s="93">
        <f>+E9-E11</f>
        <v>106.3783333</v>
      </c>
      <c r="G12" s="126" t="s">
        <v>187</v>
      </c>
      <c r="H12" s="127">
        <f>COUPDAYBS(C22,C43,4,0)</f>
        <v>4</v>
      </c>
      <c r="L12" s="83"/>
      <c r="M12" s="84"/>
      <c r="N12" s="85"/>
      <c r="Q12" s="116"/>
      <c r="R12" s="137"/>
      <c r="S12" s="116"/>
    </row>
    <row r="13" ht="14.25" customHeight="1">
      <c r="C13" s="101"/>
      <c r="D13" s="101"/>
      <c r="G13" s="126" t="s">
        <v>188</v>
      </c>
      <c r="H13" s="128">
        <f>COUPDAYS(C22,C43,4)</f>
        <v>90</v>
      </c>
      <c r="L13" s="83"/>
      <c r="M13" s="84"/>
      <c r="N13" s="85"/>
      <c r="R13" s="137"/>
      <c r="S13" s="116"/>
    </row>
    <row r="14" ht="14.25" customHeight="1">
      <c r="C14" s="71" t="s">
        <v>161</v>
      </c>
      <c r="D14" s="71"/>
      <c r="E14" s="100">
        <f>(L44*100)/SUM(J24:J43)</f>
        <v>2.961174556</v>
      </c>
      <c r="G14" s="126" t="s">
        <v>189</v>
      </c>
      <c r="H14" s="129">
        <f>+($E$2*$E$6/4)*$H$12/$H$13</f>
        <v>0.1216666667</v>
      </c>
      <c r="L14" s="83"/>
      <c r="M14" s="84"/>
      <c r="N14" s="85"/>
      <c r="R14" s="137"/>
      <c r="S14" s="116"/>
    </row>
    <row r="15" ht="14.25" customHeight="1">
      <c r="C15" s="71" t="s">
        <v>162</v>
      </c>
      <c r="D15" s="71"/>
      <c r="E15" s="100">
        <f>E14/(1+I44/2)</f>
        <v>2.834912413</v>
      </c>
      <c r="M15" s="84"/>
      <c r="N15" s="85"/>
      <c r="R15" s="137"/>
      <c r="S15" s="116"/>
    </row>
    <row r="16" ht="14.25" customHeight="1">
      <c r="C16" s="71" t="s">
        <v>163</v>
      </c>
      <c r="D16" s="71"/>
      <c r="E16" s="100">
        <f>M44</f>
        <v>3.037264582</v>
      </c>
      <c r="M16" s="84"/>
      <c r="N16" s="85"/>
      <c r="R16" s="137"/>
      <c r="S16" s="116"/>
    </row>
    <row r="17" ht="14.25" customHeight="1">
      <c r="C17" s="71" t="s">
        <v>164</v>
      </c>
      <c r="D17" s="71"/>
      <c r="E17" s="100">
        <f>K44</f>
        <v>1</v>
      </c>
      <c r="M17" s="84"/>
      <c r="N17" s="85"/>
      <c r="R17" s="137"/>
      <c r="S17" s="116"/>
    </row>
    <row r="18" ht="14.25" customHeight="1">
      <c r="J18" s="102"/>
      <c r="R18" s="137"/>
      <c r="S18" s="116"/>
    </row>
    <row r="19" ht="14.25" customHeight="1">
      <c r="R19" s="137"/>
      <c r="S19" s="116"/>
    </row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  <c r="S20" s="116"/>
    </row>
    <row r="21" ht="14.25" customHeight="1">
      <c r="A21" s="107" t="s">
        <v>155</v>
      </c>
      <c r="B21" s="107" t="s">
        <v>156</v>
      </c>
      <c r="C21" s="107" t="s">
        <v>154</v>
      </c>
      <c r="S21" s="116"/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-106.5</v>
      </c>
      <c r="I22" s="111">
        <f t="shared" ref="I22:I43" si="1">+C22-$E$1</f>
        <v>0</v>
      </c>
      <c r="J22" s="111">
        <f>H22</f>
        <v>-106.5</v>
      </c>
      <c r="K22" s="117"/>
      <c r="L22" s="112"/>
      <c r="M22" s="112"/>
      <c r="N22" s="113"/>
      <c r="O22" s="114"/>
      <c r="P22" s="115">
        <f t="shared" ref="P22:P43" si="2">+H22</f>
        <v>-106.5</v>
      </c>
    </row>
    <row r="23" ht="14.25" customHeight="1">
      <c r="A23" s="116">
        <v>44377.0</v>
      </c>
      <c r="B23" s="116">
        <v>44377.0</v>
      </c>
      <c r="C23" s="116">
        <v>44377.0</v>
      </c>
      <c r="D23" s="109">
        <v>0.0</v>
      </c>
      <c r="E23" s="109">
        <f t="shared" ref="E23:E43" si="3">+E22-D23</f>
        <v>100</v>
      </c>
      <c r="F23" s="110"/>
      <c r="G23" s="109"/>
      <c r="H23" s="109">
        <f t="shared" ref="H23:H43" si="4">+IF(C23&gt;$C$22,D23+G23,0)</f>
        <v>0</v>
      </c>
      <c r="I23" s="111">
        <f t="shared" si="1"/>
        <v>-553</v>
      </c>
      <c r="J23" s="111">
        <f t="shared" ref="J23:J43" si="5">IF(I23&lt;=0,0,H23/(((1+$I$44/2)^2)^(I23/365)))</f>
        <v>0</v>
      </c>
      <c r="K23" s="117"/>
      <c r="L23" s="112">
        <f t="shared" ref="L23:L43" si="6">J23*(I23/365)/100</f>
        <v>0</v>
      </c>
      <c r="M23" s="112">
        <f t="shared" ref="M23:M43" si="7">IF(I23&lt;0,0,(H23/$H$44)*I23/365)</f>
        <v>0</v>
      </c>
      <c r="N23" s="113" t="str">
        <f>IF(I23&gt;=0,IF(I21&gt;0,0,-I21),"FALSO")</f>
        <v>FALSO</v>
      </c>
      <c r="O23" s="114" t="str">
        <f t="shared" ref="O23:O43" si="8">+IF(C23&gt;$C$22,C23,"")</f>
        <v/>
      </c>
      <c r="P23" s="115">
        <f t="shared" si="2"/>
        <v>0</v>
      </c>
    </row>
    <row r="24" ht="14.25" customHeight="1">
      <c r="A24" s="116">
        <v>44469.0</v>
      </c>
      <c r="B24" s="116">
        <v>44469.0</v>
      </c>
      <c r="C24" s="116">
        <v>44469.0</v>
      </c>
      <c r="D24" s="109">
        <v>0.0</v>
      </c>
      <c r="E24" s="109">
        <f t="shared" si="3"/>
        <v>100</v>
      </c>
      <c r="F24" s="110">
        <f>IF(C24&gt;=$D$2,$E$2,"")</f>
        <v>0.1095</v>
      </c>
      <c r="G24" s="109">
        <f t="shared" ref="G24:G43" si="9">IF(F24="","",IF($E$4=365,E23*F24/365*(C24-C23),E23*F24/360*DAYS360(C23,C24)))</f>
        <v>2.7375</v>
      </c>
      <c r="H24" s="109">
        <f t="shared" si="4"/>
        <v>0</v>
      </c>
      <c r="I24" s="111">
        <f t="shared" si="1"/>
        <v>-461</v>
      </c>
      <c r="J24" s="111">
        <f t="shared" si="5"/>
        <v>0</v>
      </c>
      <c r="K24" s="112" t="str">
        <f t="shared" ref="K24:K43" si="10">IF(OR(N24="falso",N24=0),"",E23)</f>
        <v/>
      </c>
      <c r="L24" s="112">
        <f t="shared" si="6"/>
        <v>0</v>
      </c>
      <c r="M24" s="112">
        <f t="shared" si="7"/>
        <v>0</v>
      </c>
      <c r="N24" s="113" t="str">
        <f t="shared" ref="N24:N43" si="11">IF(I24&gt;=0,IF(I23&gt;0,0,-I23),"FALSO")</f>
        <v>FALSO</v>
      </c>
      <c r="O24" s="114" t="str">
        <f t="shared" si="8"/>
        <v/>
      </c>
      <c r="P24" s="115">
        <f t="shared" si="2"/>
        <v>0</v>
      </c>
    </row>
    <row r="25" ht="14.25" customHeight="1">
      <c r="A25" s="116">
        <v>44560.0</v>
      </c>
      <c r="B25" s="116">
        <v>44560.0</v>
      </c>
      <c r="C25" s="116">
        <v>44560.0</v>
      </c>
      <c r="D25" s="109">
        <v>0.0</v>
      </c>
      <c r="E25" s="109">
        <f t="shared" si="3"/>
        <v>100</v>
      </c>
      <c r="F25" s="110">
        <f t="shared" ref="F25:F43" si="12">IF(C25&gt;$D$2,$E$2,"")</f>
        <v>0.1095</v>
      </c>
      <c r="G25" s="109">
        <f t="shared" si="9"/>
        <v>2.7375</v>
      </c>
      <c r="H25" s="109">
        <f t="shared" si="4"/>
        <v>0</v>
      </c>
      <c r="I25" s="111">
        <f t="shared" si="1"/>
        <v>-370</v>
      </c>
      <c r="J25" s="111">
        <f t="shared" si="5"/>
        <v>0</v>
      </c>
      <c r="K25" s="117" t="str">
        <f t="shared" si="10"/>
        <v/>
      </c>
      <c r="L25" s="112">
        <f t="shared" si="6"/>
        <v>0</v>
      </c>
      <c r="M25" s="112">
        <f t="shared" si="7"/>
        <v>0</v>
      </c>
      <c r="N25" s="113" t="str">
        <f t="shared" si="11"/>
        <v>FALSO</v>
      </c>
      <c r="O25" s="114" t="str">
        <f t="shared" si="8"/>
        <v/>
      </c>
      <c r="P25" s="115">
        <f t="shared" si="2"/>
        <v>0</v>
      </c>
      <c r="R25" s="82"/>
    </row>
    <row r="26" ht="14.25" customHeight="1">
      <c r="A26" s="116">
        <v>44650.0</v>
      </c>
      <c r="B26" s="116">
        <v>44650.0</v>
      </c>
      <c r="C26" s="116">
        <v>44650.0</v>
      </c>
      <c r="D26" s="109">
        <v>0.0</v>
      </c>
      <c r="E26" s="109">
        <f t="shared" si="3"/>
        <v>100</v>
      </c>
      <c r="F26" s="110">
        <f t="shared" si="12"/>
        <v>0.1095</v>
      </c>
      <c r="G26" s="109">
        <f t="shared" si="9"/>
        <v>2.7375</v>
      </c>
      <c r="H26" s="109">
        <f t="shared" si="4"/>
        <v>0</v>
      </c>
      <c r="I26" s="111">
        <f t="shared" si="1"/>
        <v>-280</v>
      </c>
      <c r="J26" s="111">
        <f t="shared" si="5"/>
        <v>0</v>
      </c>
      <c r="K26" s="117" t="str">
        <f t="shared" si="10"/>
        <v/>
      </c>
      <c r="L26" s="112">
        <f t="shared" si="6"/>
        <v>0</v>
      </c>
      <c r="M26" s="112">
        <f t="shared" si="7"/>
        <v>0</v>
      </c>
      <c r="N26" s="113" t="str">
        <f t="shared" si="11"/>
        <v>FALSO</v>
      </c>
      <c r="O26" s="114" t="str">
        <f t="shared" si="8"/>
        <v/>
      </c>
      <c r="P26" s="115">
        <f t="shared" si="2"/>
        <v>0</v>
      </c>
      <c r="R26" s="82"/>
    </row>
    <row r="27" ht="14.25" customHeight="1">
      <c r="A27" s="116">
        <v>44742.0</v>
      </c>
      <c r="B27" s="116">
        <v>44742.0</v>
      </c>
      <c r="C27" s="116">
        <v>44742.0</v>
      </c>
      <c r="D27" s="109">
        <v>0.0</v>
      </c>
      <c r="E27" s="109">
        <f t="shared" si="3"/>
        <v>100</v>
      </c>
      <c r="F27" s="110">
        <f t="shared" si="12"/>
        <v>0.1095</v>
      </c>
      <c r="G27" s="109">
        <f t="shared" si="9"/>
        <v>2.7375</v>
      </c>
      <c r="H27" s="109">
        <f t="shared" si="4"/>
        <v>0</v>
      </c>
      <c r="I27" s="111">
        <f t="shared" si="1"/>
        <v>-188</v>
      </c>
      <c r="J27" s="111">
        <f t="shared" si="5"/>
        <v>0</v>
      </c>
      <c r="K27" s="117" t="str">
        <f t="shared" si="10"/>
        <v/>
      </c>
      <c r="L27" s="112">
        <f t="shared" si="6"/>
        <v>0</v>
      </c>
      <c r="M27" s="112">
        <f t="shared" si="7"/>
        <v>0</v>
      </c>
      <c r="N27" s="113" t="str">
        <f t="shared" si="11"/>
        <v>FALSO</v>
      </c>
      <c r="O27" s="114" t="str">
        <f t="shared" si="8"/>
        <v/>
      </c>
      <c r="P27" s="115">
        <f t="shared" si="2"/>
        <v>0</v>
      </c>
      <c r="R27" s="82"/>
    </row>
    <row r="28" ht="14.25" customHeight="1">
      <c r="A28" s="116">
        <v>44834.0</v>
      </c>
      <c r="B28" s="116">
        <v>44834.0</v>
      </c>
      <c r="C28" s="116">
        <v>44834.0</v>
      </c>
      <c r="D28" s="109">
        <v>0.0</v>
      </c>
      <c r="E28" s="109">
        <f t="shared" si="3"/>
        <v>100</v>
      </c>
      <c r="F28" s="110">
        <f t="shared" si="12"/>
        <v>0.1095</v>
      </c>
      <c r="G28" s="109">
        <f t="shared" si="9"/>
        <v>2.7375</v>
      </c>
      <c r="H28" s="109">
        <f t="shared" si="4"/>
        <v>0</v>
      </c>
      <c r="I28" s="111">
        <f t="shared" si="1"/>
        <v>-96</v>
      </c>
      <c r="J28" s="111">
        <f t="shared" si="5"/>
        <v>0</v>
      </c>
      <c r="K28" s="117" t="str">
        <f t="shared" si="10"/>
        <v/>
      </c>
      <c r="L28" s="112">
        <f t="shared" si="6"/>
        <v>0</v>
      </c>
      <c r="M28" s="112">
        <f t="shared" si="7"/>
        <v>0</v>
      </c>
      <c r="N28" s="113" t="str">
        <f t="shared" si="11"/>
        <v>FALSO</v>
      </c>
      <c r="O28" s="114" t="str">
        <f t="shared" si="8"/>
        <v/>
      </c>
      <c r="P28" s="115">
        <f t="shared" si="2"/>
        <v>0</v>
      </c>
      <c r="R28" s="82"/>
    </row>
    <row r="29" ht="14.25" customHeight="1">
      <c r="A29" s="116">
        <v>44925.0</v>
      </c>
      <c r="B29" s="116">
        <v>44925.0</v>
      </c>
      <c r="C29" s="116">
        <v>44925.0</v>
      </c>
      <c r="D29" s="109">
        <v>0.0</v>
      </c>
      <c r="E29" s="109">
        <f t="shared" si="3"/>
        <v>100</v>
      </c>
      <c r="F29" s="110">
        <f t="shared" si="12"/>
        <v>0.1095</v>
      </c>
      <c r="G29" s="109">
        <f t="shared" si="9"/>
        <v>2.7375</v>
      </c>
      <c r="H29" s="109">
        <f t="shared" si="4"/>
        <v>0</v>
      </c>
      <c r="I29" s="111">
        <f t="shared" si="1"/>
        <v>-5</v>
      </c>
      <c r="J29" s="111">
        <f t="shared" si="5"/>
        <v>0</v>
      </c>
      <c r="K29" s="117" t="str">
        <f t="shared" si="10"/>
        <v/>
      </c>
      <c r="L29" s="112">
        <f t="shared" si="6"/>
        <v>0</v>
      </c>
      <c r="M29" s="112">
        <f t="shared" si="7"/>
        <v>0</v>
      </c>
      <c r="N29" s="113" t="str">
        <f t="shared" si="11"/>
        <v>FALSO</v>
      </c>
      <c r="O29" s="114" t="str">
        <f t="shared" si="8"/>
        <v/>
      </c>
      <c r="P29" s="115">
        <f t="shared" si="2"/>
        <v>0</v>
      </c>
      <c r="R29" s="82"/>
    </row>
    <row r="30" ht="14.25" customHeight="1">
      <c r="A30" s="116">
        <v>45015.0</v>
      </c>
      <c r="B30" s="116">
        <v>45015.0</v>
      </c>
      <c r="C30" s="116">
        <v>45015.0</v>
      </c>
      <c r="D30" s="109">
        <v>0.0</v>
      </c>
      <c r="E30" s="109">
        <f t="shared" si="3"/>
        <v>100</v>
      </c>
      <c r="F30" s="110">
        <f t="shared" si="12"/>
        <v>0.1095</v>
      </c>
      <c r="G30" s="109">
        <f t="shared" si="9"/>
        <v>2.7375</v>
      </c>
      <c r="H30" s="109">
        <f t="shared" si="4"/>
        <v>2.7375</v>
      </c>
      <c r="I30" s="111">
        <f t="shared" si="1"/>
        <v>85</v>
      </c>
      <c r="J30" s="111">
        <f t="shared" si="5"/>
        <v>2.682501916</v>
      </c>
      <c r="K30" s="117">
        <f t="shared" si="10"/>
        <v>100</v>
      </c>
      <c r="L30" s="112">
        <f t="shared" si="6"/>
        <v>0.006246922269</v>
      </c>
      <c r="M30" s="112">
        <f t="shared" si="7"/>
        <v>0.004608711368</v>
      </c>
      <c r="N30" s="111">
        <f t="shared" si="11"/>
        <v>5</v>
      </c>
      <c r="O30" s="114">
        <f t="shared" si="8"/>
        <v>45015</v>
      </c>
      <c r="P30" s="115">
        <f t="shared" si="2"/>
        <v>2.7375</v>
      </c>
      <c r="R30" s="82"/>
    </row>
    <row r="31" ht="14.25" customHeight="1">
      <c r="A31" s="116">
        <v>45107.0</v>
      </c>
      <c r="B31" s="116">
        <v>45107.0</v>
      </c>
      <c r="C31" s="116">
        <v>45107.0</v>
      </c>
      <c r="D31" s="109">
        <v>0.0</v>
      </c>
      <c r="E31" s="109">
        <f t="shared" si="3"/>
        <v>100</v>
      </c>
      <c r="F31" s="110">
        <f t="shared" si="12"/>
        <v>0.1095</v>
      </c>
      <c r="G31" s="109">
        <f t="shared" si="9"/>
        <v>2.7375</v>
      </c>
      <c r="H31" s="109">
        <f t="shared" si="4"/>
        <v>2.7375</v>
      </c>
      <c r="I31" s="111">
        <f t="shared" si="1"/>
        <v>177</v>
      </c>
      <c r="J31" s="111">
        <f t="shared" si="5"/>
        <v>2.624219074</v>
      </c>
      <c r="K31" s="117" t="str">
        <f t="shared" si="10"/>
        <v/>
      </c>
      <c r="L31" s="112">
        <f t="shared" si="6"/>
        <v>0.0127256651</v>
      </c>
      <c r="M31" s="112">
        <f t="shared" si="7"/>
        <v>0.009596963673</v>
      </c>
      <c r="N31" s="113">
        <f t="shared" si="11"/>
        <v>0</v>
      </c>
      <c r="O31" s="114">
        <f t="shared" si="8"/>
        <v>45107</v>
      </c>
      <c r="P31" s="115">
        <f t="shared" si="2"/>
        <v>2.7375</v>
      </c>
      <c r="R31" s="82"/>
    </row>
    <row r="32" ht="14.25" customHeight="1">
      <c r="A32" s="116">
        <v>45199.0</v>
      </c>
      <c r="B32" s="116">
        <v>45199.0</v>
      </c>
      <c r="C32" s="116">
        <v>45199.0</v>
      </c>
      <c r="D32" s="109">
        <v>0.0</v>
      </c>
      <c r="E32" s="109">
        <f t="shared" si="3"/>
        <v>100</v>
      </c>
      <c r="F32" s="110">
        <f t="shared" si="12"/>
        <v>0.1095</v>
      </c>
      <c r="G32" s="109">
        <f t="shared" si="9"/>
        <v>2.7375</v>
      </c>
      <c r="H32" s="109">
        <f t="shared" si="4"/>
        <v>2.7375</v>
      </c>
      <c r="I32" s="111">
        <f t="shared" si="1"/>
        <v>269</v>
      </c>
      <c r="J32" s="111">
        <f t="shared" si="5"/>
        <v>2.567202545</v>
      </c>
      <c r="K32" s="117" t="str">
        <f t="shared" si="10"/>
        <v/>
      </c>
      <c r="L32" s="112">
        <f t="shared" si="6"/>
        <v>0.01891993109</v>
      </c>
      <c r="M32" s="112">
        <f t="shared" si="7"/>
        <v>0.01458521598</v>
      </c>
      <c r="N32" s="113">
        <f t="shared" si="11"/>
        <v>0</v>
      </c>
      <c r="O32" s="114">
        <f t="shared" si="8"/>
        <v>45199</v>
      </c>
      <c r="P32" s="115">
        <f t="shared" si="2"/>
        <v>2.7375</v>
      </c>
      <c r="R32" s="82"/>
    </row>
    <row r="33" ht="14.25" customHeight="1">
      <c r="A33" s="116">
        <v>45290.0</v>
      </c>
      <c r="B33" s="116">
        <v>45290.0</v>
      </c>
      <c r="C33" s="116">
        <v>45290.0</v>
      </c>
      <c r="D33" s="109">
        <v>0.0</v>
      </c>
      <c r="E33" s="109">
        <f t="shared" si="3"/>
        <v>100</v>
      </c>
      <c r="F33" s="110">
        <f t="shared" si="12"/>
        <v>0.1095</v>
      </c>
      <c r="G33" s="109">
        <f t="shared" si="9"/>
        <v>2.7375</v>
      </c>
      <c r="H33" s="109">
        <f t="shared" si="4"/>
        <v>2.7375</v>
      </c>
      <c r="I33" s="111">
        <f t="shared" si="1"/>
        <v>360</v>
      </c>
      <c r="J33" s="111">
        <f t="shared" si="5"/>
        <v>2.512024535</v>
      </c>
      <c r="K33" s="117" t="str">
        <f t="shared" si="10"/>
        <v/>
      </c>
      <c r="L33" s="112">
        <f t="shared" si="6"/>
        <v>0.0247761324</v>
      </c>
      <c r="M33" s="112">
        <f t="shared" si="7"/>
        <v>0.01951924815</v>
      </c>
      <c r="N33" s="113">
        <f t="shared" si="11"/>
        <v>0</v>
      </c>
      <c r="O33" s="114">
        <f t="shared" si="8"/>
        <v>45290</v>
      </c>
      <c r="P33" s="115">
        <f t="shared" si="2"/>
        <v>2.7375</v>
      </c>
      <c r="R33" s="82"/>
    </row>
    <row r="34" ht="14.25" customHeight="1">
      <c r="A34" s="116">
        <v>45381.0</v>
      </c>
      <c r="B34" s="116">
        <v>45381.0</v>
      </c>
      <c r="C34" s="116">
        <v>45381.0</v>
      </c>
      <c r="D34" s="109">
        <v>0.0</v>
      </c>
      <c r="E34" s="109">
        <f t="shared" si="3"/>
        <v>100</v>
      </c>
      <c r="F34" s="110">
        <f t="shared" si="12"/>
        <v>0.1095</v>
      </c>
      <c r="G34" s="109">
        <f t="shared" si="9"/>
        <v>2.7375</v>
      </c>
      <c r="H34" s="109">
        <f t="shared" si="4"/>
        <v>2.7375</v>
      </c>
      <c r="I34" s="111">
        <f t="shared" si="1"/>
        <v>451</v>
      </c>
      <c r="J34" s="111">
        <f t="shared" si="5"/>
        <v>2.458032489</v>
      </c>
      <c r="K34" s="117" t="str">
        <f t="shared" si="10"/>
        <v/>
      </c>
      <c r="L34" s="112">
        <f t="shared" si="6"/>
        <v>0.03037185349</v>
      </c>
      <c r="M34" s="112">
        <f t="shared" si="7"/>
        <v>0.02445328032</v>
      </c>
      <c r="N34" s="113">
        <f t="shared" si="11"/>
        <v>0</v>
      </c>
      <c r="O34" s="114">
        <f t="shared" si="8"/>
        <v>45381</v>
      </c>
      <c r="P34" s="115">
        <f t="shared" si="2"/>
        <v>2.7375</v>
      </c>
      <c r="R34" s="82"/>
    </row>
    <row r="35" ht="14.25" customHeight="1">
      <c r="A35" s="116">
        <v>45473.0</v>
      </c>
      <c r="B35" s="116">
        <v>45473.0</v>
      </c>
      <c r="C35" s="116">
        <v>45473.0</v>
      </c>
      <c r="D35" s="109">
        <v>0.0</v>
      </c>
      <c r="E35" s="109">
        <f t="shared" si="3"/>
        <v>100</v>
      </c>
      <c r="F35" s="110">
        <f t="shared" si="12"/>
        <v>0.1095</v>
      </c>
      <c r="G35" s="109">
        <f t="shared" si="9"/>
        <v>2.7375</v>
      </c>
      <c r="H35" s="109">
        <f t="shared" si="4"/>
        <v>2.7375</v>
      </c>
      <c r="I35" s="111">
        <f t="shared" si="1"/>
        <v>543</v>
      </c>
      <c r="J35" s="111">
        <f t="shared" si="5"/>
        <v>2.404626704</v>
      </c>
      <c r="K35" s="117" t="str">
        <f t="shared" si="10"/>
        <v/>
      </c>
      <c r="L35" s="112">
        <f t="shared" si="6"/>
        <v>0.03577293974</v>
      </c>
      <c r="M35" s="112">
        <f t="shared" si="7"/>
        <v>0.02944153262</v>
      </c>
      <c r="N35" s="113">
        <f t="shared" si="11"/>
        <v>0</v>
      </c>
      <c r="O35" s="114">
        <f t="shared" si="8"/>
        <v>45473</v>
      </c>
      <c r="P35" s="115">
        <f t="shared" si="2"/>
        <v>2.7375</v>
      </c>
      <c r="R35" s="82"/>
    </row>
    <row r="36" ht="14.25" customHeight="1">
      <c r="A36" s="116">
        <v>45565.0</v>
      </c>
      <c r="B36" s="116">
        <v>45565.0</v>
      </c>
      <c r="C36" s="116">
        <v>45565.0</v>
      </c>
      <c r="D36" s="109">
        <v>0.0</v>
      </c>
      <c r="E36" s="109">
        <f t="shared" si="3"/>
        <v>100</v>
      </c>
      <c r="F36" s="110">
        <f t="shared" si="12"/>
        <v>0.1095</v>
      </c>
      <c r="G36" s="109">
        <f t="shared" si="9"/>
        <v>2.7375</v>
      </c>
      <c r="H36" s="109">
        <f t="shared" si="4"/>
        <v>2.7375</v>
      </c>
      <c r="I36" s="111">
        <f t="shared" si="1"/>
        <v>635</v>
      </c>
      <c r="J36" s="111">
        <f t="shared" si="5"/>
        <v>2.35238127</v>
      </c>
      <c r="K36" s="117" t="str">
        <f t="shared" si="10"/>
        <v/>
      </c>
      <c r="L36" s="112">
        <f t="shared" si="6"/>
        <v>0.04092498921</v>
      </c>
      <c r="M36" s="112">
        <f t="shared" si="7"/>
        <v>0.03442978493</v>
      </c>
      <c r="N36" s="113">
        <f t="shared" si="11"/>
        <v>0</v>
      </c>
      <c r="O36" s="114">
        <f t="shared" si="8"/>
        <v>45565</v>
      </c>
      <c r="P36" s="115">
        <f t="shared" si="2"/>
        <v>2.7375</v>
      </c>
    </row>
    <row r="37" ht="14.25" customHeight="1">
      <c r="A37" s="116">
        <v>45656.0</v>
      </c>
      <c r="B37" s="116">
        <v>45656.0</v>
      </c>
      <c r="C37" s="116">
        <v>45656.0</v>
      </c>
      <c r="D37" s="109">
        <v>0.0</v>
      </c>
      <c r="E37" s="109">
        <f t="shared" si="3"/>
        <v>100</v>
      </c>
      <c r="F37" s="110">
        <f t="shared" si="12"/>
        <v>0.1095</v>
      </c>
      <c r="G37" s="109">
        <f t="shared" si="9"/>
        <v>2.7375</v>
      </c>
      <c r="H37" s="109">
        <f t="shared" si="4"/>
        <v>2.7375</v>
      </c>
      <c r="I37" s="111">
        <f t="shared" si="1"/>
        <v>726</v>
      </c>
      <c r="J37" s="111">
        <f t="shared" si="5"/>
        <v>2.301820507</v>
      </c>
      <c r="K37" s="117" t="str">
        <f t="shared" si="10"/>
        <v/>
      </c>
      <c r="L37" s="112">
        <f t="shared" si="6"/>
        <v>0.04578415584</v>
      </c>
      <c r="M37" s="112">
        <f t="shared" si="7"/>
        <v>0.0393638171</v>
      </c>
      <c r="N37" s="113">
        <f t="shared" si="11"/>
        <v>0</v>
      </c>
      <c r="O37" s="114">
        <f t="shared" si="8"/>
        <v>45656</v>
      </c>
      <c r="P37" s="115">
        <f t="shared" si="2"/>
        <v>2.7375</v>
      </c>
    </row>
    <row r="38" ht="14.25" customHeight="1">
      <c r="A38" s="116">
        <v>45746.0</v>
      </c>
      <c r="B38" s="116">
        <v>45746.0</v>
      </c>
      <c r="C38" s="116">
        <v>45746.0</v>
      </c>
      <c r="D38" s="109">
        <v>0.0</v>
      </c>
      <c r="E38" s="109">
        <f t="shared" si="3"/>
        <v>100</v>
      </c>
      <c r="F38" s="110">
        <f t="shared" si="12"/>
        <v>0.1095</v>
      </c>
      <c r="G38" s="109">
        <f t="shared" si="9"/>
        <v>2.7375</v>
      </c>
      <c r="H38" s="109">
        <f t="shared" si="4"/>
        <v>2.7375</v>
      </c>
      <c r="I38" s="111">
        <f t="shared" si="1"/>
        <v>816</v>
      </c>
      <c r="J38" s="111">
        <f t="shared" si="5"/>
        <v>2.252884319</v>
      </c>
      <c r="K38" s="117" t="str">
        <f t="shared" si="10"/>
        <v/>
      </c>
      <c r="L38" s="112">
        <f t="shared" si="6"/>
        <v>0.05036585217</v>
      </c>
      <c r="M38" s="112">
        <f t="shared" si="7"/>
        <v>0.04424362913</v>
      </c>
      <c r="N38" s="113">
        <f t="shared" si="11"/>
        <v>0</v>
      </c>
      <c r="O38" s="114">
        <f t="shared" si="8"/>
        <v>45746</v>
      </c>
      <c r="P38" s="115">
        <f t="shared" si="2"/>
        <v>2.7375</v>
      </c>
    </row>
    <row r="39" ht="14.25" customHeight="1">
      <c r="A39" s="116">
        <v>45838.0</v>
      </c>
      <c r="B39" s="116">
        <v>45838.0</v>
      </c>
      <c r="C39" s="116">
        <v>45838.0</v>
      </c>
      <c r="D39" s="109">
        <v>0.0</v>
      </c>
      <c r="E39" s="109">
        <f t="shared" si="3"/>
        <v>100</v>
      </c>
      <c r="F39" s="110">
        <f t="shared" si="12"/>
        <v>0.1095</v>
      </c>
      <c r="G39" s="109">
        <f t="shared" si="9"/>
        <v>2.7375</v>
      </c>
      <c r="H39" s="109">
        <f t="shared" si="4"/>
        <v>2.7375</v>
      </c>
      <c r="I39" s="111">
        <f t="shared" si="1"/>
        <v>908</v>
      </c>
      <c r="J39" s="111">
        <f t="shared" si="5"/>
        <v>2.203935798</v>
      </c>
      <c r="K39" s="117" t="str">
        <f t="shared" si="10"/>
        <v/>
      </c>
      <c r="L39" s="112">
        <f t="shared" si="6"/>
        <v>0.05482667683</v>
      </c>
      <c r="M39" s="112">
        <f t="shared" si="7"/>
        <v>0.04923188144</v>
      </c>
      <c r="N39" s="113">
        <f t="shared" si="11"/>
        <v>0</v>
      </c>
      <c r="O39" s="114">
        <f t="shared" si="8"/>
        <v>45838</v>
      </c>
      <c r="P39" s="115">
        <f t="shared" si="2"/>
        <v>2.7375</v>
      </c>
    </row>
    <row r="40" ht="14.25" customHeight="1">
      <c r="A40" s="116">
        <v>45930.0</v>
      </c>
      <c r="B40" s="116">
        <v>45930.0</v>
      </c>
      <c r="C40" s="116">
        <v>45930.0</v>
      </c>
      <c r="D40" s="109">
        <v>0.0</v>
      </c>
      <c r="E40" s="109">
        <f t="shared" si="3"/>
        <v>100</v>
      </c>
      <c r="F40" s="110">
        <f t="shared" si="12"/>
        <v>0.1095</v>
      </c>
      <c r="G40" s="109">
        <f t="shared" si="9"/>
        <v>2.7375</v>
      </c>
      <c r="H40" s="109">
        <f t="shared" si="4"/>
        <v>2.7375</v>
      </c>
      <c r="I40" s="111">
        <f t="shared" si="1"/>
        <v>1000</v>
      </c>
      <c r="J40" s="111">
        <f t="shared" si="5"/>
        <v>2.156050784</v>
      </c>
      <c r="K40" s="117" t="str">
        <f t="shared" si="10"/>
        <v/>
      </c>
      <c r="L40" s="112">
        <f t="shared" si="6"/>
        <v>0.05906988448</v>
      </c>
      <c r="M40" s="112">
        <f t="shared" si="7"/>
        <v>0.05422013374</v>
      </c>
      <c r="N40" s="113">
        <f t="shared" si="11"/>
        <v>0</v>
      </c>
      <c r="O40" s="114">
        <f t="shared" si="8"/>
        <v>45930</v>
      </c>
      <c r="P40" s="115">
        <f t="shared" si="2"/>
        <v>2.7375</v>
      </c>
    </row>
    <row r="41" ht="14.25" customHeight="1">
      <c r="A41" s="116">
        <v>46021.0</v>
      </c>
      <c r="B41" s="116">
        <v>46021.0</v>
      </c>
      <c r="C41" s="116">
        <v>46021.0</v>
      </c>
      <c r="D41" s="109">
        <v>0.0</v>
      </c>
      <c r="E41" s="109">
        <f t="shared" si="3"/>
        <v>100</v>
      </c>
      <c r="F41" s="110">
        <f t="shared" si="12"/>
        <v>0.1095</v>
      </c>
      <c r="G41" s="109">
        <f t="shared" si="9"/>
        <v>2.7375</v>
      </c>
      <c r="H41" s="109">
        <f t="shared" si="4"/>
        <v>2.7375</v>
      </c>
      <c r="I41" s="111">
        <f t="shared" si="1"/>
        <v>1091</v>
      </c>
      <c r="J41" s="111">
        <f t="shared" si="5"/>
        <v>2.109709838</v>
      </c>
      <c r="K41" s="117" t="str">
        <f t="shared" si="10"/>
        <v/>
      </c>
      <c r="L41" s="112">
        <f t="shared" si="6"/>
        <v>0.06306009406</v>
      </c>
      <c r="M41" s="112">
        <f t="shared" si="7"/>
        <v>0.05915416591</v>
      </c>
      <c r="N41" s="113">
        <f t="shared" si="11"/>
        <v>0</v>
      </c>
      <c r="O41" s="114">
        <f t="shared" si="8"/>
        <v>46021</v>
      </c>
      <c r="P41" s="115">
        <f t="shared" si="2"/>
        <v>2.7375</v>
      </c>
    </row>
    <row r="42" ht="14.25" customHeight="1">
      <c r="A42" s="116">
        <v>46111.0</v>
      </c>
      <c r="B42" s="116">
        <v>46111.0</v>
      </c>
      <c r="C42" s="116">
        <v>46111.0</v>
      </c>
      <c r="D42" s="109">
        <v>0.0</v>
      </c>
      <c r="E42" s="109">
        <f t="shared" si="3"/>
        <v>100</v>
      </c>
      <c r="F42" s="110">
        <f t="shared" si="12"/>
        <v>0.1095</v>
      </c>
      <c r="G42" s="109">
        <f t="shared" si="9"/>
        <v>2.7375</v>
      </c>
      <c r="H42" s="109">
        <f t="shared" si="4"/>
        <v>2.7375</v>
      </c>
      <c r="I42" s="111">
        <f t="shared" si="1"/>
        <v>1181</v>
      </c>
      <c r="J42" s="111">
        <f t="shared" si="5"/>
        <v>2.06485788</v>
      </c>
      <c r="K42" s="117" t="str">
        <f t="shared" si="10"/>
        <v/>
      </c>
      <c r="L42" s="112">
        <f t="shared" si="6"/>
        <v>0.06681088098</v>
      </c>
      <c r="M42" s="112">
        <f t="shared" si="7"/>
        <v>0.06403397795</v>
      </c>
      <c r="N42" s="113">
        <f t="shared" si="11"/>
        <v>0</v>
      </c>
      <c r="O42" s="114">
        <f t="shared" si="8"/>
        <v>46111</v>
      </c>
      <c r="P42" s="115">
        <f t="shared" si="2"/>
        <v>2.7375</v>
      </c>
    </row>
    <row r="43" ht="14.25" customHeight="1">
      <c r="A43" s="116">
        <v>46203.0</v>
      </c>
      <c r="B43" s="116">
        <v>46203.0</v>
      </c>
      <c r="C43" s="116">
        <v>46203.0</v>
      </c>
      <c r="D43" s="109">
        <v>100.0</v>
      </c>
      <c r="E43" s="109">
        <f t="shared" si="3"/>
        <v>0</v>
      </c>
      <c r="F43" s="110">
        <f t="shared" si="12"/>
        <v>0.1095</v>
      </c>
      <c r="G43" s="109">
        <f t="shared" si="9"/>
        <v>2.7375</v>
      </c>
      <c r="H43" s="109">
        <f t="shared" si="4"/>
        <v>102.7375</v>
      </c>
      <c r="I43" s="111">
        <f t="shared" si="1"/>
        <v>1273</v>
      </c>
      <c r="J43" s="111">
        <f t="shared" si="5"/>
        <v>75.80975234</v>
      </c>
      <c r="K43" s="117" t="str">
        <f t="shared" si="10"/>
        <v/>
      </c>
      <c r="L43" s="112">
        <f t="shared" si="6"/>
        <v>2.643994924</v>
      </c>
      <c r="M43" s="112">
        <f t="shared" si="7"/>
        <v>2.59038224</v>
      </c>
      <c r="N43" s="113">
        <f t="shared" si="11"/>
        <v>0</v>
      </c>
      <c r="O43" s="114">
        <f t="shared" si="8"/>
        <v>46203</v>
      </c>
      <c r="P43" s="115">
        <f t="shared" si="2"/>
        <v>102.7375</v>
      </c>
    </row>
    <row r="44" ht="14.25" customHeight="1">
      <c r="H44" s="118">
        <f>SUMIF(I22:I43,"&gt;0",H22:H43)</f>
        <v>138.325</v>
      </c>
      <c r="I44" s="119">
        <f>+H10</f>
        <v>0.08907657373</v>
      </c>
      <c r="J44" s="119">
        <f>SUM(J22:J43)</f>
        <v>0</v>
      </c>
      <c r="K44" s="120">
        <f>SUM(K22:K43)/$E$22</f>
        <v>1</v>
      </c>
      <c r="L44" s="121">
        <f t="shared" ref="L44:M44" si="13">SUM(L22:L43)</f>
        <v>3.153650902</v>
      </c>
      <c r="M44" s="119">
        <f t="shared" si="13"/>
        <v>3.037264582</v>
      </c>
      <c r="N44" s="122">
        <f>SUM(N24:N43)</f>
        <v>5</v>
      </c>
      <c r="O44" s="123">
        <f>MIN(O24:O43)</f>
        <v>45015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73" t="s">
        <v>21</v>
      </c>
      <c r="D2" s="74">
        <v>44449.0</v>
      </c>
      <c r="E2" s="75">
        <v>0.06</v>
      </c>
      <c r="G2" s="71" t="s">
        <v>142</v>
      </c>
      <c r="H2" s="76">
        <f>+E17*100+E11</f>
        <v>102.4</v>
      </c>
      <c r="M2" s="77"/>
      <c r="N2" s="78"/>
    </row>
    <row r="3" ht="14.25" customHeight="1">
      <c r="C3" s="71" t="s">
        <v>143</v>
      </c>
      <c r="D3" s="71"/>
      <c r="E3" s="79">
        <v>44357.0</v>
      </c>
      <c r="F3" s="80"/>
      <c r="G3" s="71" t="s">
        <v>144</v>
      </c>
      <c r="H3" s="81">
        <f>IF(E1&gt;D2,E2*E17*E6/E12,"")</f>
        <v>0.05847953216</v>
      </c>
      <c r="I3" s="82"/>
      <c r="L3" s="83"/>
      <c r="M3" s="84"/>
      <c r="N3" s="85"/>
      <c r="P3" s="116"/>
      <c r="Q3" s="116"/>
      <c r="U3" s="136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102.5390625</v>
      </c>
      <c r="L4" s="83"/>
      <c r="M4" s="84"/>
      <c r="N4" s="85"/>
      <c r="P4" s="116"/>
      <c r="Q4" s="116"/>
      <c r="U4" s="136"/>
    </row>
    <row r="5" ht="14.25" customHeight="1">
      <c r="C5" s="71" t="s">
        <v>147</v>
      </c>
      <c r="D5" s="88"/>
      <c r="E5" s="79">
        <v>44449.0</v>
      </c>
      <c r="G5" s="71" t="s">
        <v>148</v>
      </c>
      <c r="H5" s="89">
        <f>MIN(O22:O29)</f>
        <v>44967</v>
      </c>
      <c r="L5" s="83"/>
      <c r="M5" s="84"/>
      <c r="N5" s="85"/>
      <c r="P5" s="116"/>
      <c r="Q5" s="116"/>
      <c r="U5" s="136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MAX(C22:C29)</f>
        <v>45514</v>
      </c>
      <c r="L6" s="83"/>
      <c r="M6" s="84"/>
      <c r="N6" s="85"/>
      <c r="P6" s="116"/>
      <c r="Q6" s="116"/>
      <c r="U6" s="136"/>
    </row>
    <row r="7" ht="14.25" customHeight="1">
      <c r="C7" s="91" t="s">
        <v>151</v>
      </c>
      <c r="D7" s="91"/>
      <c r="G7" s="71" t="s">
        <v>152</v>
      </c>
      <c r="H7" s="92">
        <f>+H6-E1</f>
        <v>584</v>
      </c>
      <c r="L7" s="83"/>
      <c r="M7" s="84"/>
      <c r="N7" s="85"/>
      <c r="P7" s="116"/>
      <c r="Q7" s="116"/>
    </row>
    <row r="8" ht="14.25" customHeight="1">
      <c r="L8" s="83"/>
      <c r="M8" s="84"/>
      <c r="N8" s="85"/>
      <c r="P8" s="116"/>
      <c r="Q8" s="116"/>
    </row>
    <row r="9" ht="14.25" customHeight="1">
      <c r="C9" s="71" t="s">
        <v>153</v>
      </c>
      <c r="D9" s="71"/>
      <c r="E9" s="93">
        <f>+Curva!C16</f>
        <v>105</v>
      </c>
      <c r="G9" s="94"/>
      <c r="H9" s="95" t="s">
        <v>154</v>
      </c>
      <c r="I9" s="95" t="s">
        <v>155</v>
      </c>
      <c r="J9" s="96" t="s">
        <v>156</v>
      </c>
      <c r="L9" s="83"/>
      <c r="M9" s="84"/>
      <c r="N9" s="85"/>
      <c r="P9" s="116"/>
      <c r="Q9" s="116"/>
    </row>
    <row r="10" ht="14.25" customHeight="1">
      <c r="C10" s="71" t="s">
        <v>157</v>
      </c>
      <c r="D10" s="71"/>
      <c r="E10" s="97">
        <f t="array" ref="E10">DAYS360(MAX(IF(C23:C29&lt;=E1,C23:C29)),E1,1)</f>
        <v>144</v>
      </c>
      <c r="G10" s="98" t="s">
        <v>158</v>
      </c>
      <c r="H10" s="99">
        <f>+((XIRR(P22:P29,C22:C29)+1)^(1/2)-1)*2</f>
        <v>0.02861701532</v>
      </c>
      <c r="I10" s="99">
        <f>+((XIRR(P22:P29,A22:A29)+1)^(1/2)-1)*2</f>
        <v>0.02852147467</v>
      </c>
      <c r="J10" s="99">
        <f>+((XIRR(P22:P29,B22:B29)+1)^(1/2)-1)*2</f>
        <v>0.02842657319</v>
      </c>
      <c r="L10" s="83"/>
      <c r="M10" s="84"/>
      <c r="N10" s="85"/>
      <c r="P10" s="116"/>
      <c r="Q10" s="116"/>
    </row>
    <row r="11" ht="14.25" customHeight="1">
      <c r="C11" s="71" t="s">
        <v>159</v>
      </c>
      <c r="D11" s="71"/>
      <c r="E11" s="76">
        <f>+($E$2*$E$6/2)*$H$12/$H$13</f>
        <v>2.4</v>
      </c>
      <c r="L11" s="83"/>
      <c r="M11" s="84"/>
      <c r="N11" s="85"/>
      <c r="P11" s="116"/>
    </row>
    <row r="12" ht="14.25" customHeight="1">
      <c r="C12" s="71" t="s">
        <v>160</v>
      </c>
      <c r="D12" s="71"/>
      <c r="E12" s="93">
        <f>+E9-E11</f>
        <v>102.6</v>
      </c>
      <c r="G12" s="126" t="s">
        <v>187</v>
      </c>
      <c r="H12" s="127">
        <f>COUPDAYBS(C22,C29,2,0)</f>
        <v>144</v>
      </c>
      <c r="L12" s="83"/>
      <c r="M12" s="84"/>
      <c r="N12" s="85"/>
      <c r="P12" s="116"/>
    </row>
    <row r="13" ht="14.25" customHeight="1">
      <c r="C13" s="101"/>
      <c r="D13" s="101"/>
      <c r="G13" s="126" t="s">
        <v>188</v>
      </c>
      <c r="H13" s="128">
        <f>COUPDAYS(C22,C29,2)</f>
        <v>180</v>
      </c>
      <c r="L13" s="83"/>
      <c r="M13" s="84"/>
      <c r="N13" s="85"/>
      <c r="P13" s="116"/>
    </row>
    <row r="14" ht="14.25" customHeight="1">
      <c r="C14" s="71" t="s">
        <v>161</v>
      </c>
      <c r="D14" s="71"/>
      <c r="E14" s="100">
        <f>(L30*100)/SUM(J24:J29)</f>
        <v>0.8236915139</v>
      </c>
      <c r="G14" s="126" t="s">
        <v>189</v>
      </c>
      <c r="H14" s="129">
        <f>+($E$2*$E$6/2)*$H$12/$H$13</f>
        <v>2.4</v>
      </c>
      <c r="L14" s="83"/>
      <c r="M14" s="84"/>
      <c r="N14" s="85"/>
    </row>
    <row r="15" ht="14.25" customHeight="1">
      <c r="C15" s="71" t="s">
        <v>162</v>
      </c>
      <c r="D15" s="71"/>
      <c r="E15" s="100">
        <f>E14/(1+I30/2)</f>
        <v>0.8120719758</v>
      </c>
      <c r="M15" s="84"/>
      <c r="N15" s="85"/>
    </row>
    <row r="16" ht="14.25" customHeight="1">
      <c r="C16" s="71" t="s">
        <v>163</v>
      </c>
      <c r="D16" s="71"/>
      <c r="E16" s="100">
        <f>M30</f>
        <v>0.8325581395</v>
      </c>
      <c r="M16" s="84"/>
      <c r="N16" s="85"/>
    </row>
    <row r="17" ht="14.25" customHeight="1">
      <c r="C17" s="71" t="s">
        <v>164</v>
      </c>
      <c r="D17" s="71"/>
      <c r="E17" s="100">
        <f>K30</f>
        <v>1</v>
      </c>
      <c r="M17" s="84"/>
      <c r="N17" s="85"/>
    </row>
    <row r="18" ht="14.25" customHeight="1">
      <c r="J18" s="102"/>
    </row>
    <row r="19" ht="14.25" customHeight="1"/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</row>
    <row r="21" ht="14.25" customHeight="1">
      <c r="A21" s="107" t="s">
        <v>155</v>
      </c>
      <c r="B21" s="107" t="s">
        <v>156</v>
      </c>
      <c r="C21" s="107" t="s">
        <v>154</v>
      </c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-105</v>
      </c>
      <c r="I22" s="111">
        <f t="shared" ref="I22:I29" si="1">+C22-$E$1</f>
        <v>0</v>
      </c>
      <c r="J22" s="111">
        <f>H22</f>
        <v>-105</v>
      </c>
      <c r="K22" s="117"/>
      <c r="L22" s="112"/>
      <c r="M22" s="112"/>
      <c r="N22" s="113"/>
      <c r="O22" s="114"/>
      <c r="P22" s="115">
        <f t="shared" ref="P22:P29" si="2">+H22</f>
        <v>-105</v>
      </c>
    </row>
    <row r="23" ht="14.25" customHeight="1">
      <c r="A23" s="116">
        <v>44418.0</v>
      </c>
      <c r="B23" s="116">
        <v>44418.0</v>
      </c>
      <c r="C23" s="116">
        <v>44418.0</v>
      </c>
      <c r="D23" s="109"/>
      <c r="E23" s="109">
        <f t="shared" ref="E23:E29" si="3">+E22-D23</f>
        <v>100</v>
      </c>
      <c r="F23" s="110" t="str">
        <f>IF(C23&gt;$D$2,$E$2,"")</f>
        <v/>
      </c>
      <c r="G23" s="109"/>
      <c r="H23" s="109">
        <f t="shared" ref="H23:H29" si="4">+IF(C23&gt;$C$22,D23+G23,0)</f>
        <v>0</v>
      </c>
      <c r="I23" s="111">
        <f t="shared" si="1"/>
        <v>-512</v>
      </c>
      <c r="J23" s="111">
        <f t="shared" ref="J23:J29" si="5">IF(I23&lt;=0,0,H23/(((1+$I$30/2)^2)^(I23/365)))</f>
        <v>0</v>
      </c>
      <c r="K23" s="117"/>
      <c r="L23" s="112">
        <f t="shared" ref="L23:L29" si="6">J23*(I23/365)/100</f>
        <v>0</v>
      </c>
      <c r="M23" s="112">
        <f t="shared" ref="M23:M29" si="7">IF(I23&lt;0,0,(H23/$H$30)*I23/365)</f>
        <v>0</v>
      </c>
      <c r="N23" s="113" t="str">
        <f>IF(I23&gt;=0,IF(I21&gt;0,0,-I21),"FALSO")</f>
        <v>FALSO</v>
      </c>
      <c r="O23" s="114" t="str">
        <f t="shared" ref="O23:O29" si="8">+IF(C23&gt;$C$22,C23,"")</f>
        <v/>
      </c>
      <c r="P23" s="115">
        <f t="shared" si="2"/>
        <v>0</v>
      </c>
    </row>
    <row r="24" ht="14.25" customHeight="1">
      <c r="A24" s="116">
        <v>44602.0</v>
      </c>
      <c r="B24" s="116">
        <v>44602.0</v>
      </c>
      <c r="C24" s="116">
        <v>44602.0</v>
      </c>
      <c r="D24" s="109"/>
      <c r="E24" s="109">
        <f t="shared" si="3"/>
        <v>100</v>
      </c>
      <c r="F24" s="110">
        <f>IF(C24&gt;=$D$2,$E$2,"")</f>
        <v>0.06</v>
      </c>
      <c r="G24" s="109">
        <f t="shared" ref="G24:G29" si="9">IF(F24="","",IF($E$4=365,E23*F24/365*(C24-C23),E23*F24/360*DAYS360(C23,C24)))</f>
        <v>3</v>
      </c>
      <c r="H24" s="109">
        <f t="shared" si="4"/>
        <v>0</v>
      </c>
      <c r="I24" s="111">
        <f t="shared" si="1"/>
        <v>-328</v>
      </c>
      <c r="J24" s="111">
        <f t="shared" si="5"/>
        <v>0</v>
      </c>
      <c r="K24" s="112" t="str">
        <f t="shared" ref="K24:K29" si="10">IF(OR(N24="falso",N24=0),"",E23)</f>
        <v/>
      </c>
      <c r="L24" s="112">
        <f t="shared" si="6"/>
        <v>0</v>
      </c>
      <c r="M24" s="112">
        <f t="shared" si="7"/>
        <v>0</v>
      </c>
      <c r="N24" s="113" t="str">
        <f t="shared" ref="N24:N29" si="11">IF(I24&gt;=0,IF(I23&gt;0,0,-I23),"FALSO")</f>
        <v>FALSO</v>
      </c>
      <c r="O24" s="114" t="str">
        <f t="shared" si="8"/>
        <v/>
      </c>
      <c r="P24" s="115">
        <f t="shared" si="2"/>
        <v>0</v>
      </c>
    </row>
    <row r="25" ht="14.25" customHeight="1">
      <c r="A25" s="116">
        <v>44783.0</v>
      </c>
      <c r="B25" s="116">
        <v>44783.0</v>
      </c>
      <c r="C25" s="116">
        <v>44783.0</v>
      </c>
      <c r="D25" s="109"/>
      <c r="E25" s="109">
        <f t="shared" si="3"/>
        <v>100</v>
      </c>
      <c r="F25" s="110">
        <f t="shared" ref="F25:F29" si="12">IF(C25&gt;$D$2,$E$2,"")</f>
        <v>0.06</v>
      </c>
      <c r="G25" s="109">
        <f t="shared" si="9"/>
        <v>3</v>
      </c>
      <c r="H25" s="109">
        <f t="shared" si="4"/>
        <v>0</v>
      </c>
      <c r="I25" s="111">
        <f t="shared" si="1"/>
        <v>-147</v>
      </c>
      <c r="J25" s="111">
        <f t="shared" si="5"/>
        <v>0</v>
      </c>
      <c r="K25" s="117" t="str">
        <f t="shared" si="10"/>
        <v/>
      </c>
      <c r="L25" s="112">
        <f t="shared" si="6"/>
        <v>0</v>
      </c>
      <c r="M25" s="112">
        <f t="shared" si="7"/>
        <v>0</v>
      </c>
      <c r="N25" s="113" t="str">
        <f t="shared" si="11"/>
        <v>FALSO</v>
      </c>
      <c r="O25" s="114" t="str">
        <f t="shared" si="8"/>
        <v/>
      </c>
      <c r="P25" s="115">
        <f t="shared" si="2"/>
        <v>0</v>
      </c>
      <c r="Q25" s="82"/>
    </row>
    <row r="26" ht="14.25" customHeight="1">
      <c r="A26" s="116">
        <v>44967.0</v>
      </c>
      <c r="B26" s="116">
        <v>44967.0</v>
      </c>
      <c r="C26" s="116">
        <v>44967.0</v>
      </c>
      <c r="D26" s="109">
        <v>25.0</v>
      </c>
      <c r="E26" s="109">
        <f t="shared" si="3"/>
        <v>75</v>
      </c>
      <c r="F26" s="110">
        <f t="shared" si="12"/>
        <v>0.06</v>
      </c>
      <c r="G26" s="109">
        <f t="shared" si="9"/>
        <v>3</v>
      </c>
      <c r="H26" s="109">
        <f t="shared" si="4"/>
        <v>28</v>
      </c>
      <c r="I26" s="111">
        <f t="shared" si="1"/>
        <v>37</v>
      </c>
      <c r="J26" s="111">
        <f t="shared" si="5"/>
        <v>27.91946638</v>
      </c>
      <c r="K26" s="117">
        <f t="shared" si="10"/>
        <v>100</v>
      </c>
      <c r="L26" s="112">
        <f t="shared" si="6"/>
        <v>0.02830192482</v>
      </c>
      <c r="M26" s="112">
        <f t="shared" si="7"/>
        <v>0.02640331316</v>
      </c>
      <c r="N26" s="111">
        <f t="shared" si="11"/>
        <v>147</v>
      </c>
      <c r="O26" s="114">
        <f t="shared" si="8"/>
        <v>44967</v>
      </c>
      <c r="P26" s="115">
        <f t="shared" si="2"/>
        <v>28</v>
      </c>
      <c r="Q26" s="82"/>
    </row>
    <row r="27" ht="14.25" customHeight="1">
      <c r="A27" s="116">
        <v>45148.0</v>
      </c>
      <c r="B27" s="116">
        <v>45148.0</v>
      </c>
      <c r="C27" s="116">
        <v>45148.0</v>
      </c>
      <c r="D27" s="109">
        <v>25.0</v>
      </c>
      <c r="E27" s="109">
        <f t="shared" si="3"/>
        <v>50</v>
      </c>
      <c r="F27" s="110">
        <f t="shared" si="12"/>
        <v>0.06</v>
      </c>
      <c r="G27" s="109">
        <f t="shared" si="9"/>
        <v>2.25</v>
      </c>
      <c r="H27" s="109">
        <f t="shared" si="4"/>
        <v>27.25</v>
      </c>
      <c r="I27" s="111">
        <f t="shared" si="1"/>
        <v>218</v>
      </c>
      <c r="J27" s="111">
        <f t="shared" si="5"/>
        <v>26.79145088</v>
      </c>
      <c r="K27" s="117" t="str">
        <f t="shared" si="10"/>
        <v/>
      </c>
      <c r="L27" s="112">
        <f t="shared" si="6"/>
        <v>0.160014693</v>
      </c>
      <c r="M27" s="112">
        <f t="shared" si="7"/>
        <v>0.1513985346</v>
      </c>
      <c r="N27" s="113">
        <f t="shared" si="11"/>
        <v>0</v>
      </c>
      <c r="O27" s="114">
        <f t="shared" si="8"/>
        <v>45148</v>
      </c>
      <c r="P27" s="115">
        <f t="shared" si="2"/>
        <v>27.25</v>
      </c>
      <c r="Q27" s="82"/>
    </row>
    <row r="28" ht="14.25" customHeight="1">
      <c r="A28" s="116">
        <v>45332.0</v>
      </c>
      <c r="B28" s="116">
        <v>45332.0</v>
      </c>
      <c r="C28" s="116">
        <v>45332.0</v>
      </c>
      <c r="D28" s="109">
        <v>25.0</v>
      </c>
      <c r="E28" s="109">
        <f t="shared" si="3"/>
        <v>25</v>
      </c>
      <c r="F28" s="110">
        <f t="shared" si="12"/>
        <v>0.06</v>
      </c>
      <c r="G28" s="109">
        <f t="shared" si="9"/>
        <v>1.5</v>
      </c>
      <c r="H28" s="109">
        <f t="shared" si="4"/>
        <v>26.5</v>
      </c>
      <c r="I28" s="111">
        <f t="shared" si="1"/>
        <v>402</v>
      </c>
      <c r="J28" s="111">
        <f t="shared" si="5"/>
        <v>25.68353625</v>
      </c>
      <c r="K28" s="117" t="str">
        <f t="shared" si="10"/>
        <v/>
      </c>
      <c r="L28" s="112">
        <f t="shared" si="6"/>
        <v>0.282870728</v>
      </c>
      <c r="M28" s="112">
        <f t="shared" si="7"/>
        <v>0.2715004779</v>
      </c>
      <c r="N28" s="113">
        <f t="shared" si="11"/>
        <v>0</v>
      </c>
      <c r="O28" s="114">
        <f t="shared" si="8"/>
        <v>45332</v>
      </c>
      <c r="P28" s="115">
        <f t="shared" si="2"/>
        <v>26.5</v>
      </c>
      <c r="Q28" s="82"/>
    </row>
    <row r="29" ht="14.25" customHeight="1">
      <c r="A29" s="116">
        <v>45514.0</v>
      </c>
      <c r="B29" s="116">
        <v>45514.0</v>
      </c>
      <c r="C29" s="116">
        <v>45514.0</v>
      </c>
      <c r="D29" s="109">
        <v>25.0</v>
      </c>
      <c r="E29" s="109">
        <f t="shared" si="3"/>
        <v>0</v>
      </c>
      <c r="F29" s="110">
        <f t="shared" si="12"/>
        <v>0.06</v>
      </c>
      <c r="G29" s="109">
        <f t="shared" si="9"/>
        <v>0.75</v>
      </c>
      <c r="H29" s="109">
        <f t="shared" si="4"/>
        <v>25.75</v>
      </c>
      <c r="I29" s="111">
        <f t="shared" si="1"/>
        <v>584</v>
      </c>
      <c r="J29" s="111">
        <f t="shared" si="5"/>
        <v>24.60554649</v>
      </c>
      <c r="K29" s="117" t="str">
        <f t="shared" si="10"/>
        <v/>
      </c>
      <c r="L29" s="112">
        <f t="shared" si="6"/>
        <v>0.3936887438</v>
      </c>
      <c r="M29" s="112">
        <f t="shared" si="7"/>
        <v>0.383255814</v>
      </c>
      <c r="N29" s="113">
        <f t="shared" si="11"/>
        <v>0</v>
      </c>
      <c r="O29" s="114">
        <f t="shared" si="8"/>
        <v>45514</v>
      </c>
      <c r="P29" s="115">
        <f t="shared" si="2"/>
        <v>25.75</v>
      </c>
      <c r="Q29" s="82"/>
    </row>
    <row r="30" ht="14.25" customHeight="1">
      <c r="H30" s="118">
        <f>SUMIF(I22:I29,"&gt;0",H22:H29)</f>
        <v>107.5</v>
      </c>
      <c r="I30" s="119">
        <f>+H10</f>
        <v>0.02861701532</v>
      </c>
      <c r="J30" s="119">
        <f>SUM(J22:J29)</f>
        <v>0</v>
      </c>
      <c r="K30" s="120">
        <f>SUM(K22:K29)/$E$22</f>
        <v>1</v>
      </c>
      <c r="L30" s="121">
        <f t="shared" ref="L30:M30" si="13">SUM(L22:L29)</f>
        <v>0.8648760896</v>
      </c>
      <c r="M30" s="119">
        <f t="shared" si="13"/>
        <v>0.8325581395</v>
      </c>
      <c r="N30" s="122">
        <f>SUM(N24:N29)</f>
        <v>147</v>
      </c>
      <c r="O30" s="123">
        <f>MIN(O24:O29)</f>
        <v>44967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7" width="16.86"/>
    <col customWidth="1" min="8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73" t="s">
        <v>21</v>
      </c>
      <c r="D2" s="74">
        <v>44622.0</v>
      </c>
      <c r="E2" s="75">
        <v>0.0875</v>
      </c>
      <c r="G2" s="71" t="s">
        <v>142</v>
      </c>
      <c r="H2" s="76">
        <f>+E17*100+E11</f>
        <v>101.4826389</v>
      </c>
      <c r="L2" s="85"/>
      <c r="M2" s="77"/>
      <c r="N2" s="78"/>
    </row>
    <row r="3" ht="14.25" customHeight="1">
      <c r="C3" s="71" t="s">
        <v>143</v>
      </c>
      <c r="D3" s="71"/>
      <c r="E3" s="79">
        <v>44622.0</v>
      </c>
      <c r="F3" s="80"/>
      <c r="G3" s="71" t="s">
        <v>144</v>
      </c>
      <c r="H3" s="81">
        <f>IF(E1&gt;D2,E2*E17*E6/E12,"")</f>
        <v>0.08420152231</v>
      </c>
      <c r="I3" s="82"/>
      <c r="L3" s="85"/>
      <c r="M3" s="84"/>
      <c r="N3" s="85"/>
      <c r="P3" s="137"/>
      <c r="Q3" s="116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103.8601293</v>
      </c>
      <c r="L4" s="85"/>
      <c r="M4" s="84"/>
      <c r="N4" s="85"/>
      <c r="P4" s="137"/>
      <c r="Q4" s="116"/>
    </row>
    <row r="5" ht="14.25" customHeight="1">
      <c r="C5" s="71" t="s">
        <v>147</v>
      </c>
      <c r="D5" s="88"/>
      <c r="E5" s="79">
        <v>44622.0</v>
      </c>
      <c r="G5" s="71" t="s">
        <v>148</v>
      </c>
      <c r="H5" s="89">
        <f>MIN(O22:O35)</f>
        <v>44987</v>
      </c>
      <c r="L5" s="85"/>
      <c r="M5" s="84"/>
      <c r="N5" s="85"/>
      <c r="P5" s="137"/>
      <c r="Q5" s="116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MAX(C22:C35)</f>
        <v>46632</v>
      </c>
      <c r="L6" s="85"/>
      <c r="M6" s="84"/>
      <c r="N6" s="85"/>
      <c r="P6" s="137"/>
      <c r="Q6" s="116"/>
    </row>
    <row r="7" ht="14.25" customHeight="1">
      <c r="C7" s="91" t="s">
        <v>151</v>
      </c>
      <c r="D7" s="91"/>
      <c r="G7" s="71" t="s">
        <v>152</v>
      </c>
      <c r="H7" s="92">
        <f>+H6-E1</f>
        <v>1702</v>
      </c>
      <c r="L7" s="85"/>
      <c r="M7" s="84"/>
      <c r="N7" s="85"/>
      <c r="P7" s="137"/>
      <c r="Q7" s="116"/>
    </row>
    <row r="8" ht="14.25" customHeight="1">
      <c r="L8" s="85"/>
      <c r="M8" s="84"/>
      <c r="N8" s="85"/>
      <c r="P8" s="137"/>
      <c r="Q8" s="116"/>
    </row>
    <row r="9" ht="14.25" customHeight="1">
      <c r="C9" s="71" t="s">
        <v>153</v>
      </c>
      <c r="D9" s="71"/>
      <c r="E9" s="93">
        <f>+Curva!C17</f>
        <v>105.4</v>
      </c>
      <c r="G9" s="94"/>
      <c r="H9" s="95" t="s">
        <v>154</v>
      </c>
      <c r="I9" s="95" t="s">
        <v>155</v>
      </c>
      <c r="J9" s="96" t="s">
        <v>156</v>
      </c>
      <c r="L9" s="85"/>
      <c r="M9" s="84"/>
      <c r="N9" s="85"/>
      <c r="P9" s="137"/>
      <c r="Q9" s="116"/>
    </row>
    <row r="10" ht="14.25" customHeight="1">
      <c r="C10" s="71" t="s">
        <v>157</v>
      </c>
      <c r="D10" s="71"/>
      <c r="E10" s="97">
        <f t="array" ref="E10">DAYS360(MAX(IF(C23:C35&lt;=E1,C23:C35)),E1,1)</f>
        <v>122</v>
      </c>
      <c r="G10" s="98" t="s">
        <v>158</v>
      </c>
      <c r="H10" s="99">
        <f>+((XIRR(P22:P35,C22:C35)+1)^(1/2)-1)*2</f>
        <v>0.0758735864</v>
      </c>
      <c r="I10" s="99">
        <f>+((XIRR(P22:P35,A22:A35)+1)^(1/2)-1)*2</f>
        <v>0.07577354455</v>
      </c>
      <c r="J10" s="99">
        <f>+((XIRR(P22:P35,B22:B35)+1)^(1/2)-1)*2</f>
        <v>0.07567377523</v>
      </c>
      <c r="L10" s="85"/>
      <c r="M10" s="84"/>
      <c r="N10" s="85"/>
      <c r="P10" s="137"/>
      <c r="Q10" s="116"/>
    </row>
    <row r="11" ht="14.25" customHeight="1">
      <c r="C11" s="71" t="s">
        <v>159</v>
      </c>
      <c r="D11" s="71"/>
      <c r="E11" s="76">
        <f>+($E$2*$E$6/4)*$H$12/$H$13</f>
        <v>1.482638889</v>
      </c>
      <c r="L11" s="85"/>
      <c r="M11" s="84"/>
      <c r="N11" s="85"/>
      <c r="P11" s="137"/>
      <c r="Q11" s="116"/>
    </row>
    <row r="12" ht="14.25" customHeight="1">
      <c r="C12" s="71" t="s">
        <v>160</v>
      </c>
      <c r="D12" s="71"/>
      <c r="E12" s="93">
        <f>+E9-E11</f>
        <v>103.9173611</v>
      </c>
      <c r="G12" s="126" t="s">
        <v>187</v>
      </c>
      <c r="H12" s="127">
        <f>COUPDAYBS(C22,C35,2,0)</f>
        <v>122</v>
      </c>
      <c r="L12" s="85"/>
      <c r="M12" s="84"/>
      <c r="N12" s="85"/>
      <c r="P12" s="137"/>
      <c r="Q12" s="116"/>
    </row>
    <row r="13" ht="14.25" customHeight="1">
      <c r="C13" s="101"/>
      <c r="D13" s="101"/>
      <c r="G13" s="126" t="s">
        <v>188</v>
      </c>
      <c r="H13" s="128">
        <f>COUPDAYS(C22,C35,2)</f>
        <v>180</v>
      </c>
      <c r="L13" s="85"/>
      <c r="M13" s="84"/>
      <c r="N13" s="85"/>
      <c r="P13" s="137"/>
      <c r="Q13" s="116"/>
    </row>
    <row r="14" ht="14.25" customHeight="1">
      <c r="C14" s="71" t="s">
        <v>161</v>
      </c>
      <c r="D14" s="71"/>
      <c r="E14" s="100">
        <f>(L36*100)/SUM(J24:J35)</f>
        <v>2.113896136</v>
      </c>
      <c r="G14" s="126" t="s">
        <v>189</v>
      </c>
      <c r="H14" s="129">
        <f>+($E$2*$E$6/2)*$H$12/$H$13</f>
        <v>2.965277778</v>
      </c>
      <c r="L14" s="85"/>
      <c r="M14" s="84"/>
      <c r="N14" s="85"/>
      <c r="P14" s="137"/>
      <c r="Q14" s="116"/>
    </row>
    <row r="15" ht="14.25" customHeight="1">
      <c r="C15" s="71" t="s">
        <v>162</v>
      </c>
      <c r="D15" s="71"/>
      <c r="E15" s="100">
        <f>E14/(1+I36/2)</f>
        <v>2.036632818</v>
      </c>
      <c r="L15" s="85"/>
      <c r="M15" s="84"/>
      <c r="N15" s="85"/>
      <c r="P15" s="137"/>
      <c r="Q15" s="116"/>
    </row>
    <row r="16" ht="14.25" customHeight="1">
      <c r="C16" s="71" t="s">
        <v>163</v>
      </c>
      <c r="D16" s="71"/>
      <c r="E16" s="100">
        <f>M36</f>
        <v>2.264831441</v>
      </c>
      <c r="M16" s="84"/>
      <c r="N16" s="85"/>
      <c r="O16" s="116"/>
      <c r="P16" s="137"/>
    </row>
    <row r="17" ht="14.25" customHeight="1">
      <c r="C17" s="71" t="s">
        <v>164</v>
      </c>
      <c r="D17" s="71"/>
      <c r="E17" s="100">
        <f>K36</f>
        <v>1</v>
      </c>
      <c r="M17" s="84"/>
      <c r="N17" s="85"/>
    </row>
    <row r="18" ht="14.25" customHeight="1">
      <c r="J18" s="102"/>
    </row>
    <row r="19" ht="14.25" customHeight="1"/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</row>
    <row r="21" ht="14.25" customHeight="1">
      <c r="A21" s="107" t="s">
        <v>155</v>
      </c>
      <c r="B21" s="107" t="s">
        <v>156</v>
      </c>
      <c r="C21" s="107" t="s">
        <v>154</v>
      </c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-105.4</v>
      </c>
      <c r="I22" s="111">
        <f t="shared" ref="I22:I35" si="1">+C22-$E$1</f>
        <v>0</v>
      </c>
      <c r="J22" s="111">
        <f>H22</f>
        <v>-105.4</v>
      </c>
      <c r="K22" s="117"/>
      <c r="L22" s="112"/>
      <c r="M22" s="112"/>
      <c r="N22" s="113"/>
      <c r="O22" s="114"/>
      <c r="P22" s="115">
        <f t="shared" ref="P22:P35" si="2">+H22</f>
        <v>-105.4</v>
      </c>
    </row>
    <row r="23" ht="14.25" customHeight="1">
      <c r="A23" s="116">
        <v>44441.0</v>
      </c>
      <c r="B23" s="116">
        <v>44441.0</v>
      </c>
      <c r="C23" s="116">
        <v>44441.0</v>
      </c>
      <c r="D23" s="109">
        <v>0.0</v>
      </c>
      <c r="E23" s="109">
        <f t="shared" ref="E23:E35" si="3">+E22-D23</f>
        <v>100</v>
      </c>
      <c r="F23" s="110"/>
      <c r="G23" s="109"/>
      <c r="H23" s="109">
        <f t="shared" ref="H23:H35" si="4">+IF(C23&gt;$C$22,D23+G23,0)</f>
        <v>0</v>
      </c>
      <c r="I23" s="111">
        <f t="shared" si="1"/>
        <v>-489</v>
      </c>
      <c r="J23" s="111">
        <f t="shared" ref="J23:J35" si="5">IF(I23&lt;=0,0,H23/(((1+$I$36/2)^2)^(I23/365)))</f>
        <v>0</v>
      </c>
      <c r="K23" s="117"/>
      <c r="L23" s="112">
        <f t="shared" ref="L23:L35" si="6">J23*(I23/365)/100</f>
        <v>0</v>
      </c>
      <c r="M23" s="112">
        <f t="shared" ref="M23:M35" si="7">IF(I23&lt;0,0,(H23/$H$36)*I23/365)</f>
        <v>0</v>
      </c>
      <c r="N23" s="113" t="str">
        <f>IF(I23&gt;=0,IF(I21&gt;0,0,-I21),"FALSO")</f>
        <v>FALSO</v>
      </c>
      <c r="O23" s="114" t="str">
        <f t="shared" ref="O23:O35" si="8">+IF(C23&gt;$C$22,C23,"")</f>
        <v/>
      </c>
      <c r="P23" s="115">
        <f t="shared" si="2"/>
        <v>0</v>
      </c>
    </row>
    <row r="24" ht="14.25" customHeight="1">
      <c r="A24" s="116">
        <v>44622.0</v>
      </c>
      <c r="B24" s="116">
        <v>44622.0</v>
      </c>
      <c r="C24" s="116">
        <v>44622.0</v>
      </c>
      <c r="D24" s="109">
        <v>0.0</v>
      </c>
      <c r="E24" s="109">
        <f t="shared" si="3"/>
        <v>100</v>
      </c>
      <c r="F24" s="110">
        <f>IF(C24&gt;=$D$2,$E$2,"")</f>
        <v>0.0875</v>
      </c>
      <c r="G24" s="109">
        <f t="shared" ref="G24:G35" si="9">IF(F24="","",IF($E$4=365,E23*F24/365*(C24-C23),E23*F24/360*DAYS360(C23,C24)))</f>
        <v>4.375</v>
      </c>
      <c r="H24" s="109">
        <f t="shared" si="4"/>
        <v>0</v>
      </c>
      <c r="I24" s="111">
        <f t="shared" si="1"/>
        <v>-308</v>
      </c>
      <c r="J24" s="111">
        <f t="shared" si="5"/>
        <v>0</v>
      </c>
      <c r="K24" s="112" t="str">
        <f t="shared" ref="K24:K35" si="10">IF(OR(N24="falso",N24=0),"",E23)</f>
        <v/>
      </c>
      <c r="L24" s="112">
        <f t="shared" si="6"/>
        <v>0</v>
      </c>
      <c r="M24" s="112">
        <f t="shared" si="7"/>
        <v>0</v>
      </c>
      <c r="N24" s="113" t="str">
        <f t="shared" ref="N24:N35" si="11">IF(I24&gt;=0,IF(I23&gt;0,0,-I23),"FALSO")</f>
        <v>FALSO</v>
      </c>
      <c r="O24" s="114" t="str">
        <f t="shared" si="8"/>
        <v/>
      </c>
      <c r="P24" s="115">
        <f t="shared" si="2"/>
        <v>0</v>
      </c>
    </row>
    <row r="25" ht="14.25" customHeight="1">
      <c r="A25" s="116">
        <v>44806.0</v>
      </c>
      <c r="B25" s="116">
        <v>44806.0</v>
      </c>
      <c r="C25" s="116">
        <v>44806.0</v>
      </c>
      <c r="D25" s="109">
        <v>0.0</v>
      </c>
      <c r="E25" s="109">
        <f t="shared" si="3"/>
        <v>100</v>
      </c>
      <c r="F25" s="110">
        <f t="shared" ref="F25:F35" si="12">IF(C25&gt;$D$2,$E$2,"")</f>
        <v>0.0875</v>
      </c>
      <c r="G25" s="109">
        <f t="shared" si="9"/>
        <v>4.375</v>
      </c>
      <c r="H25" s="109">
        <f t="shared" si="4"/>
        <v>0</v>
      </c>
      <c r="I25" s="111">
        <f t="shared" si="1"/>
        <v>-124</v>
      </c>
      <c r="J25" s="111">
        <f t="shared" si="5"/>
        <v>0</v>
      </c>
      <c r="K25" s="117" t="str">
        <f t="shared" si="10"/>
        <v/>
      </c>
      <c r="L25" s="112">
        <f t="shared" si="6"/>
        <v>0</v>
      </c>
      <c r="M25" s="112">
        <f t="shared" si="7"/>
        <v>0</v>
      </c>
      <c r="N25" s="113" t="str">
        <f t="shared" si="11"/>
        <v>FALSO</v>
      </c>
      <c r="O25" s="114" t="str">
        <f t="shared" si="8"/>
        <v/>
      </c>
      <c r="P25" s="115">
        <f t="shared" si="2"/>
        <v>0</v>
      </c>
      <c r="R25" s="82"/>
    </row>
    <row r="26" ht="14.25" customHeight="1">
      <c r="A26" s="116">
        <v>44987.0</v>
      </c>
      <c r="B26" s="116">
        <v>44987.0</v>
      </c>
      <c r="C26" s="116">
        <v>44987.0</v>
      </c>
      <c r="D26" s="109">
        <v>10.0</v>
      </c>
      <c r="E26" s="109">
        <f t="shared" si="3"/>
        <v>90</v>
      </c>
      <c r="F26" s="110">
        <f t="shared" si="12"/>
        <v>0.0875</v>
      </c>
      <c r="G26" s="109">
        <f t="shared" si="9"/>
        <v>4.375</v>
      </c>
      <c r="H26" s="109">
        <f t="shared" si="4"/>
        <v>14.375</v>
      </c>
      <c r="I26" s="111">
        <f t="shared" si="1"/>
        <v>57</v>
      </c>
      <c r="J26" s="111">
        <f t="shared" si="5"/>
        <v>14.20879387</v>
      </c>
      <c r="K26" s="117">
        <f t="shared" si="10"/>
        <v>100</v>
      </c>
      <c r="L26" s="112">
        <f t="shared" si="6"/>
        <v>0.02218907536</v>
      </c>
      <c r="M26" s="112">
        <f t="shared" si="7"/>
        <v>0.01809461371</v>
      </c>
      <c r="N26" s="111">
        <f t="shared" si="11"/>
        <v>124</v>
      </c>
      <c r="O26" s="114">
        <f t="shared" si="8"/>
        <v>44987</v>
      </c>
      <c r="P26" s="115">
        <f t="shared" si="2"/>
        <v>14.375</v>
      </c>
      <c r="R26" s="82"/>
    </row>
    <row r="27" ht="14.25" customHeight="1">
      <c r="A27" s="116">
        <v>45171.0</v>
      </c>
      <c r="B27" s="116">
        <v>45171.0</v>
      </c>
      <c r="C27" s="116">
        <v>45171.0</v>
      </c>
      <c r="D27" s="109">
        <v>10.0</v>
      </c>
      <c r="E27" s="109">
        <f t="shared" si="3"/>
        <v>80</v>
      </c>
      <c r="F27" s="110">
        <f t="shared" si="12"/>
        <v>0.0875</v>
      </c>
      <c r="G27" s="109">
        <f t="shared" si="9"/>
        <v>3.9375</v>
      </c>
      <c r="H27" s="109">
        <f t="shared" si="4"/>
        <v>13.9375</v>
      </c>
      <c r="I27" s="111">
        <f t="shared" si="1"/>
        <v>241</v>
      </c>
      <c r="J27" s="111">
        <f t="shared" si="5"/>
        <v>13.26876254</v>
      </c>
      <c r="K27" s="117" t="str">
        <f t="shared" si="10"/>
        <v/>
      </c>
      <c r="L27" s="112">
        <f t="shared" si="6"/>
        <v>0.08761018555</v>
      </c>
      <c r="M27" s="112">
        <f t="shared" si="7"/>
        <v>0.0741768745</v>
      </c>
      <c r="N27" s="113">
        <f t="shared" si="11"/>
        <v>0</v>
      </c>
      <c r="O27" s="114">
        <f t="shared" si="8"/>
        <v>45171</v>
      </c>
      <c r="P27" s="115">
        <f t="shared" si="2"/>
        <v>13.9375</v>
      </c>
      <c r="R27" s="82"/>
    </row>
    <row r="28" ht="14.25" customHeight="1">
      <c r="A28" s="116">
        <v>45353.0</v>
      </c>
      <c r="B28" s="116">
        <v>45353.0</v>
      </c>
      <c r="C28" s="116">
        <v>45353.0</v>
      </c>
      <c r="D28" s="109">
        <v>10.0</v>
      </c>
      <c r="E28" s="109">
        <f t="shared" si="3"/>
        <v>70</v>
      </c>
      <c r="F28" s="110">
        <f t="shared" si="12"/>
        <v>0.0875</v>
      </c>
      <c r="G28" s="109">
        <f t="shared" si="9"/>
        <v>3.5</v>
      </c>
      <c r="H28" s="109">
        <f t="shared" si="4"/>
        <v>13.5</v>
      </c>
      <c r="I28" s="111">
        <f t="shared" si="1"/>
        <v>423</v>
      </c>
      <c r="J28" s="111">
        <f t="shared" si="5"/>
        <v>12.38376513</v>
      </c>
      <c r="K28" s="117" t="str">
        <f t="shared" si="10"/>
        <v/>
      </c>
      <c r="L28" s="112">
        <f t="shared" si="6"/>
        <v>0.1435159631</v>
      </c>
      <c r="M28" s="112">
        <f t="shared" si="7"/>
        <v>0.1261074497</v>
      </c>
      <c r="N28" s="113">
        <f t="shared" si="11"/>
        <v>0</v>
      </c>
      <c r="O28" s="114">
        <f t="shared" si="8"/>
        <v>45353</v>
      </c>
      <c r="P28" s="115">
        <f t="shared" si="2"/>
        <v>13.5</v>
      </c>
      <c r="R28" s="82"/>
    </row>
    <row r="29" ht="14.25" customHeight="1">
      <c r="A29" s="116">
        <v>45537.0</v>
      </c>
      <c r="B29" s="116">
        <v>45537.0</v>
      </c>
      <c r="C29" s="116">
        <v>45537.0</v>
      </c>
      <c r="D29" s="109">
        <v>10.0</v>
      </c>
      <c r="E29" s="109">
        <f t="shared" si="3"/>
        <v>60</v>
      </c>
      <c r="F29" s="110">
        <f t="shared" si="12"/>
        <v>0.0875</v>
      </c>
      <c r="G29" s="109">
        <f t="shared" si="9"/>
        <v>3.0625</v>
      </c>
      <c r="H29" s="109">
        <f t="shared" si="4"/>
        <v>13.0625</v>
      </c>
      <c r="I29" s="111">
        <f t="shared" si="1"/>
        <v>607</v>
      </c>
      <c r="J29" s="111">
        <f t="shared" si="5"/>
        <v>11.54094637</v>
      </c>
      <c r="K29" s="117" t="str">
        <f t="shared" si="10"/>
        <v/>
      </c>
      <c r="L29" s="112">
        <f t="shared" si="6"/>
        <v>0.1919275191</v>
      </c>
      <c r="M29" s="112">
        <f t="shared" si="7"/>
        <v>0.1750981678</v>
      </c>
      <c r="N29" s="113">
        <f t="shared" si="11"/>
        <v>0</v>
      </c>
      <c r="O29" s="114">
        <f t="shared" si="8"/>
        <v>45537</v>
      </c>
      <c r="P29" s="115">
        <f t="shared" si="2"/>
        <v>13.0625</v>
      </c>
      <c r="R29" s="82"/>
    </row>
    <row r="30" ht="14.25" customHeight="1">
      <c r="A30" s="116">
        <v>45718.0</v>
      </c>
      <c r="B30" s="116">
        <v>45718.0</v>
      </c>
      <c r="C30" s="116">
        <v>45718.0</v>
      </c>
      <c r="D30" s="109">
        <v>10.0</v>
      </c>
      <c r="E30" s="109">
        <f t="shared" si="3"/>
        <v>50</v>
      </c>
      <c r="F30" s="110">
        <f t="shared" si="12"/>
        <v>0.0875</v>
      </c>
      <c r="G30" s="109">
        <f t="shared" si="9"/>
        <v>2.625</v>
      </c>
      <c r="H30" s="109">
        <f t="shared" si="4"/>
        <v>12.625</v>
      </c>
      <c r="I30" s="111">
        <f t="shared" si="1"/>
        <v>788</v>
      </c>
      <c r="J30" s="111">
        <f t="shared" si="5"/>
        <v>10.75000114</v>
      </c>
      <c r="K30" s="117" t="str">
        <f t="shared" si="10"/>
        <v/>
      </c>
      <c r="L30" s="112">
        <f t="shared" si="6"/>
        <v>0.2320822165</v>
      </c>
      <c r="M30" s="112">
        <f t="shared" si="7"/>
        <v>0.2196970429</v>
      </c>
      <c r="N30" s="113">
        <f t="shared" si="11"/>
        <v>0</v>
      </c>
      <c r="O30" s="114">
        <f t="shared" si="8"/>
        <v>45718</v>
      </c>
      <c r="P30" s="115">
        <f t="shared" si="2"/>
        <v>12.625</v>
      </c>
      <c r="R30" s="82"/>
    </row>
    <row r="31" ht="14.25" customHeight="1">
      <c r="A31" s="116">
        <v>45902.0</v>
      </c>
      <c r="B31" s="116">
        <v>45902.0</v>
      </c>
      <c r="C31" s="116">
        <v>45902.0</v>
      </c>
      <c r="D31" s="109">
        <v>10.0</v>
      </c>
      <c r="E31" s="109">
        <f t="shared" si="3"/>
        <v>40</v>
      </c>
      <c r="F31" s="110">
        <f t="shared" si="12"/>
        <v>0.0875</v>
      </c>
      <c r="G31" s="109">
        <f t="shared" si="9"/>
        <v>2.1875</v>
      </c>
      <c r="H31" s="109">
        <f t="shared" si="4"/>
        <v>12.1875</v>
      </c>
      <c r="I31" s="111">
        <f t="shared" si="1"/>
        <v>972</v>
      </c>
      <c r="J31" s="111">
        <f t="shared" si="5"/>
        <v>9.995118182</v>
      </c>
      <c r="K31" s="117" t="str">
        <f t="shared" si="10"/>
        <v/>
      </c>
      <c r="L31" s="112">
        <f t="shared" si="6"/>
        <v>0.2661713664</v>
      </c>
      <c r="M31" s="112">
        <f t="shared" si="7"/>
        <v>0.2616058797</v>
      </c>
      <c r="N31" s="113">
        <f t="shared" si="11"/>
        <v>0</v>
      </c>
      <c r="O31" s="114">
        <f t="shared" si="8"/>
        <v>45902</v>
      </c>
      <c r="P31" s="115">
        <f t="shared" si="2"/>
        <v>12.1875</v>
      </c>
      <c r="R31" s="82"/>
    </row>
    <row r="32" ht="14.25" customHeight="1">
      <c r="A32" s="116">
        <v>46083.0</v>
      </c>
      <c r="B32" s="116">
        <v>46083.0</v>
      </c>
      <c r="C32" s="116">
        <v>46083.0</v>
      </c>
      <c r="D32" s="109">
        <v>10.0</v>
      </c>
      <c r="E32" s="109">
        <f t="shared" si="3"/>
        <v>30</v>
      </c>
      <c r="F32" s="110">
        <f t="shared" si="12"/>
        <v>0.0875</v>
      </c>
      <c r="G32" s="109">
        <f t="shared" si="9"/>
        <v>1.75</v>
      </c>
      <c r="H32" s="109">
        <f t="shared" si="4"/>
        <v>11.75</v>
      </c>
      <c r="I32" s="111">
        <f t="shared" si="1"/>
        <v>1153</v>
      </c>
      <c r="J32" s="111">
        <f t="shared" si="5"/>
        <v>9.286951463</v>
      </c>
      <c r="K32" s="117" t="str">
        <f t="shared" si="10"/>
        <v/>
      </c>
      <c r="L32" s="112">
        <f t="shared" si="6"/>
        <v>0.2933658914</v>
      </c>
      <c r="M32" s="112">
        <f t="shared" si="7"/>
        <v>0.2991808426</v>
      </c>
      <c r="N32" s="113">
        <f t="shared" si="11"/>
        <v>0</v>
      </c>
      <c r="O32" s="114">
        <f t="shared" si="8"/>
        <v>46083</v>
      </c>
      <c r="P32" s="115">
        <f t="shared" si="2"/>
        <v>11.75</v>
      </c>
      <c r="R32" s="82"/>
    </row>
    <row r="33" ht="14.25" customHeight="1">
      <c r="A33" s="116">
        <v>46267.0</v>
      </c>
      <c r="B33" s="116">
        <v>46267.0</v>
      </c>
      <c r="C33" s="116">
        <v>46267.0</v>
      </c>
      <c r="D33" s="109">
        <v>10.0</v>
      </c>
      <c r="E33" s="109">
        <f t="shared" si="3"/>
        <v>20</v>
      </c>
      <c r="F33" s="110">
        <f t="shared" si="12"/>
        <v>0.0875</v>
      </c>
      <c r="G33" s="109">
        <f t="shared" si="9"/>
        <v>1.3125</v>
      </c>
      <c r="H33" s="109">
        <f t="shared" si="4"/>
        <v>11.3125</v>
      </c>
      <c r="I33" s="111">
        <f t="shared" si="1"/>
        <v>1337</v>
      </c>
      <c r="J33" s="111">
        <f t="shared" si="5"/>
        <v>8.611723603</v>
      </c>
      <c r="K33" s="117" t="str">
        <f t="shared" si="10"/>
        <v/>
      </c>
      <c r="L33" s="112">
        <f t="shared" si="6"/>
        <v>0.3154486153</v>
      </c>
      <c r="M33" s="112">
        <f t="shared" si="7"/>
        <v>0.3340077982</v>
      </c>
      <c r="N33" s="113">
        <f t="shared" si="11"/>
        <v>0</v>
      </c>
      <c r="O33" s="114">
        <f t="shared" si="8"/>
        <v>46267</v>
      </c>
      <c r="P33" s="115">
        <f t="shared" si="2"/>
        <v>11.3125</v>
      </c>
      <c r="R33" s="82"/>
    </row>
    <row r="34" ht="14.25" customHeight="1">
      <c r="A34" s="116">
        <v>46448.0</v>
      </c>
      <c r="B34" s="116">
        <v>46448.0</v>
      </c>
      <c r="C34" s="116">
        <v>46448.0</v>
      </c>
      <c r="D34" s="109">
        <v>10.0</v>
      </c>
      <c r="E34" s="109">
        <f t="shared" si="3"/>
        <v>10</v>
      </c>
      <c r="F34" s="110">
        <f t="shared" si="12"/>
        <v>0.0875</v>
      </c>
      <c r="G34" s="109">
        <f t="shared" si="9"/>
        <v>0.875</v>
      </c>
      <c r="H34" s="109">
        <f t="shared" si="4"/>
        <v>10.875</v>
      </c>
      <c r="I34" s="111">
        <f t="shared" si="1"/>
        <v>1518</v>
      </c>
      <c r="J34" s="111">
        <f t="shared" si="5"/>
        <v>7.978527756</v>
      </c>
      <c r="K34" s="117" t="str">
        <f t="shared" si="10"/>
        <v/>
      </c>
      <c r="L34" s="112">
        <f t="shared" si="6"/>
        <v>0.3318193187</v>
      </c>
      <c r="M34" s="112">
        <f t="shared" si="7"/>
        <v>0.3645588489</v>
      </c>
      <c r="N34" s="113">
        <f t="shared" si="11"/>
        <v>0</v>
      </c>
      <c r="O34" s="114">
        <f t="shared" si="8"/>
        <v>46448</v>
      </c>
      <c r="P34" s="115">
        <f t="shared" si="2"/>
        <v>10.875</v>
      </c>
      <c r="R34" s="82"/>
    </row>
    <row r="35" ht="14.25" customHeight="1">
      <c r="A35" s="116">
        <v>46632.0</v>
      </c>
      <c r="B35" s="116">
        <v>46632.0</v>
      </c>
      <c r="C35" s="116">
        <v>46632.0</v>
      </c>
      <c r="D35" s="109">
        <v>10.0</v>
      </c>
      <c r="E35" s="109">
        <f t="shared" si="3"/>
        <v>0</v>
      </c>
      <c r="F35" s="110">
        <f t="shared" si="12"/>
        <v>0.0875</v>
      </c>
      <c r="G35" s="109">
        <f t="shared" si="9"/>
        <v>0.4375</v>
      </c>
      <c r="H35" s="109">
        <f t="shared" si="4"/>
        <v>10.4375</v>
      </c>
      <c r="I35" s="111">
        <f t="shared" si="1"/>
        <v>1702</v>
      </c>
      <c r="J35" s="111">
        <f t="shared" si="5"/>
        <v>7.37540994</v>
      </c>
      <c r="K35" s="117" t="str">
        <f t="shared" si="10"/>
        <v/>
      </c>
      <c r="L35" s="112">
        <f t="shared" si="6"/>
        <v>0.3439163758</v>
      </c>
      <c r="M35" s="112">
        <f t="shared" si="7"/>
        <v>0.3923039233</v>
      </c>
      <c r="N35" s="113">
        <f t="shared" si="11"/>
        <v>0</v>
      </c>
      <c r="O35" s="114">
        <f t="shared" si="8"/>
        <v>46632</v>
      </c>
      <c r="P35" s="115">
        <f t="shared" si="2"/>
        <v>10.4375</v>
      </c>
      <c r="R35" s="82"/>
    </row>
    <row r="36" ht="14.25" customHeight="1">
      <c r="H36" s="118">
        <f>SUMIF(I22:I35,"&gt;0",H22:H35)</f>
        <v>124.0625</v>
      </c>
      <c r="I36" s="119">
        <f>+H10</f>
        <v>0.0758735864</v>
      </c>
      <c r="J36" s="119">
        <f>SUM(J22:J35)</f>
        <v>0</v>
      </c>
      <c r="K36" s="120">
        <f>SUM(K22:K35)/$E$22</f>
        <v>1</v>
      </c>
      <c r="L36" s="121">
        <f t="shared" ref="L36:M36" si="13">SUM(L22:L35)</f>
        <v>2.228046527</v>
      </c>
      <c r="M36" s="119">
        <f t="shared" si="13"/>
        <v>2.264831441</v>
      </c>
      <c r="N36" s="122">
        <f>SUM(N24:N35)</f>
        <v>124</v>
      </c>
      <c r="O36" s="123">
        <f>MIN(O24:O35)</f>
        <v>44987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7" width="16.14"/>
    <col customWidth="1" min="8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73" t="s">
        <v>21</v>
      </c>
      <c r="D2" s="74">
        <v>44732.0</v>
      </c>
      <c r="E2" s="75">
        <v>0.0735</v>
      </c>
      <c r="G2" s="71" t="s">
        <v>142</v>
      </c>
      <c r="H2" s="76">
        <f>+E17*100+E11</f>
        <v>100.1429167</v>
      </c>
      <c r="M2" s="77"/>
      <c r="N2" s="78"/>
    </row>
    <row r="3" ht="14.25" customHeight="1">
      <c r="C3" s="71" t="s">
        <v>143</v>
      </c>
      <c r="D3" s="71"/>
      <c r="E3" s="79">
        <v>44550.0</v>
      </c>
      <c r="F3" s="80"/>
      <c r="G3" s="71" t="s">
        <v>144</v>
      </c>
      <c r="H3" s="81">
        <f>IF(E1&gt;D2,E2*E17*E6/E12,"")</f>
        <v>0.07393839306</v>
      </c>
      <c r="I3" s="82"/>
      <c r="L3" s="83"/>
      <c r="M3" s="84"/>
      <c r="N3" s="85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99.4079295</v>
      </c>
      <c r="L4" s="83"/>
      <c r="M4" s="84"/>
      <c r="N4" s="85"/>
      <c r="P4" s="137"/>
      <c r="Q4" s="137"/>
      <c r="S4" s="137"/>
    </row>
    <row r="5" ht="14.25" customHeight="1">
      <c r="C5" s="71" t="s">
        <v>147</v>
      </c>
      <c r="D5" s="88"/>
      <c r="E5" s="79">
        <v>44732.0</v>
      </c>
      <c r="G5" s="71" t="s">
        <v>148</v>
      </c>
      <c r="H5" s="89">
        <f>MIN(O22:O27)</f>
        <v>45097</v>
      </c>
      <c r="L5" s="83"/>
      <c r="M5" s="84"/>
      <c r="N5" s="85"/>
      <c r="P5" s="137"/>
      <c r="Q5" s="137"/>
      <c r="S5" s="137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MAX(C22:C27)</f>
        <v>45280</v>
      </c>
      <c r="L6" s="83"/>
      <c r="M6" s="84"/>
      <c r="N6" s="85"/>
      <c r="P6" s="137"/>
      <c r="Q6" s="137"/>
    </row>
    <row r="7" ht="14.25" customHeight="1">
      <c r="C7" s="91" t="s">
        <v>151</v>
      </c>
      <c r="D7" s="91"/>
      <c r="G7" s="71" t="s">
        <v>152</v>
      </c>
      <c r="H7" s="92">
        <f>+H6-E1</f>
        <v>350</v>
      </c>
      <c r="L7" s="83"/>
      <c r="M7" s="84"/>
      <c r="N7" s="85"/>
      <c r="P7" s="137"/>
      <c r="Q7" s="137"/>
    </row>
    <row r="8" ht="14.25" customHeight="1">
      <c r="L8" s="83"/>
      <c r="M8" s="84"/>
      <c r="N8" s="85"/>
      <c r="P8" s="137"/>
      <c r="Q8" s="137"/>
    </row>
    <row r="9" ht="14.25" customHeight="1">
      <c r="C9" s="71" t="s">
        <v>153</v>
      </c>
      <c r="D9" s="71"/>
      <c r="E9" s="93">
        <f>+Curva!C18</f>
        <v>99.55</v>
      </c>
      <c r="G9" s="94"/>
      <c r="H9" s="95" t="s">
        <v>154</v>
      </c>
      <c r="I9" s="95" t="s">
        <v>155</v>
      </c>
      <c r="J9" s="96" t="s">
        <v>156</v>
      </c>
      <c r="L9" s="83"/>
      <c r="M9" s="84"/>
      <c r="N9" s="85"/>
      <c r="P9" s="137"/>
    </row>
    <row r="10" ht="14.25" customHeight="1">
      <c r="C10" s="71" t="s">
        <v>157</v>
      </c>
      <c r="D10" s="71"/>
      <c r="E10" s="97">
        <f t="array" ref="E10">DAYS360(MAX(IF(C23:C27&lt;=E1,C23:C27)),E1,1)</f>
        <v>14</v>
      </c>
      <c r="G10" s="98" t="s">
        <v>158</v>
      </c>
      <c r="H10" s="99">
        <f>+((XIRR(P22:P27,C22:C27)+1)^(1/2)-1)*2</f>
        <v>0.08175670322</v>
      </c>
      <c r="I10" s="99">
        <f>+((XIRR(P22:P27,A22:A27)+1)^(1/2)-1)*2</f>
        <v>0.08151460306</v>
      </c>
      <c r="J10" s="99">
        <f>+((XIRR(P22:P27,B22:B27)+1)^(1/2)-1)*2</f>
        <v>0.08127393281</v>
      </c>
      <c r="L10" s="83"/>
      <c r="M10" s="84"/>
      <c r="N10" s="85"/>
    </row>
    <row r="11" ht="14.25" customHeight="1">
      <c r="C11" s="71" t="s">
        <v>159</v>
      </c>
      <c r="D11" s="71"/>
      <c r="E11" s="76">
        <f>+($E$2*$E$6/4)*$H$12/$H$13</f>
        <v>0.1429166667</v>
      </c>
      <c r="L11" s="83"/>
      <c r="M11" s="84"/>
      <c r="N11" s="85"/>
    </row>
    <row r="12" ht="14.25" customHeight="1">
      <c r="C12" s="71" t="s">
        <v>160</v>
      </c>
      <c r="D12" s="71"/>
      <c r="E12" s="138">
        <f>+E9-E11</f>
        <v>99.40708333</v>
      </c>
      <c r="G12" s="126" t="s">
        <v>187</v>
      </c>
      <c r="H12" s="139">
        <f>COUPDAYBS(C22,C27,2,0)</f>
        <v>14</v>
      </c>
      <c r="L12" s="83"/>
      <c r="M12" s="84"/>
      <c r="N12" s="85"/>
    </row>
    <row r="13" ht="14.25" customHeight="1">
      <c r="C13" s="101"/>
      <c r="D13" s="101"/>
      <c r="G13" s="126" t="s">
        <v>188</v>
      </c>
      <c r="H13" s="140">
        <f>COUPDAYS(C22,C27,2)</f>
        <v>180</v>
      </c>
      <c r="L13" s="83"/>
      <c r="M13" s="84"/>
      <c r="N13" s="85"/>
    </row>
    <row r="14" ht="14.25" customHeight="1">
      <c r="C14" s="71" t="s">
        <v>161</v>
      </c>
      <c r="D14" s="71"/>
      <c r="E14" s="100">
        <f>(L28*100)/SUM(J23:J27)</f>
        <v>0.9410617563</v>
      </c>
      <c r="G14" s="126" t="s">
        <v>189</v>
      </c>
      <c r="H14" s="129">
        <f>+($E$2*E6/2)*$H$12/$H$13</f>
        <v>0.2858333333</v>
      </c>
      <c r="L14" s="83"/>
      <c r="M14" s="84"/>
      <c r="N14" s="85"/>
    </row>
    <row r="15" ht="14.25" customHeight="1">
      <c r="C15" s="71" t="s">
        <v>162</v>
      </c>
      <c r="D15" s="71"/>
      <c r="E15" s="100">
        <f>E14/(1+I28/2)</f>
        <v>0.9041034957</v>
      </c>
      <c r="M15" s="84"/>
      <c r="N15" s="85"/>
    </row>
    <row r="16" ht="14.25" customHeight="1">
      <c r="C16" s="71" t="s">
        <v>163</v>
      </c>
      <c r="D16" s="71"/>
      <c r="E16" s="100">
        <f>M28</f>
        <v>0.9417403066</v>
      </c>
      <c r="M16" s="84"/>
      <c r="N16" s="85"/>
    </row>
    <row r="17" ht="14.25" customHeight="1">
      <c r="C17" s="71" t="s">
        <v>164</v>
      </c>
      <c r="D17" s="71"/>
      <c r="E17" s="100">
        <f>K28</f>
        <v>1</v>
      </c>
      <c r="M17" s="84"/>
      <c r="N17" s="85"/>
    </row>
    <row r="18" ht="14.25" customHeight="1">
      <c r="J18" s="102"/>
    </row>
    <row r="19" ht="14.25" customHeight="1"/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</row>
    <row r="21" ht="14.25" customHeight="1">
      <c r="A21" s="107" t="s">
        <v>155</v>
      </c>
      <c r="B21" s="107" t="s">
        <v>156</v>
      </c>
      <c r="C21" s="107" t="s">
        <v>154</v>
      </c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-99.55</v>
      </c>
      <c r="I22" s="111">
        <f t="shared" ref="I22:I27" si="1">+C22-$E$1</f>
        <v>0</v>
      </c>
      <c r="J22" s="111">
        <f>H22</f>
        <v>-99.55</v>
      </c>
      <c r="K22" s="112" t="str">
        <f>IF(OR(N22="falso",N22=0),"",E21)</f>
        <v/>
      </c>
      <c r="L22" s="112"/>
      <c r="M22" s="112"/>
      <c r="N22" s="113"/>
      <c r="O22" s="114"/>
      <c r="P22" s="115">
        <f t="shared" ref="P22:P27" si="2">+H22</f>
        <v>-99.55</v>
      </c>
    </row>
    <row r="23" ht="14.25" customHeight="1">
      <c r="A23" s="116">
        <v>44550.0</v>
      </c>
      <c r="B23" s="116">
        <v>44550.0</v>
      </c>
      <c r="C23" s="116">
        <v>44550.0</v>
      </c>
      <c r="D23" s="109">
        <v>0.0</v>
      </c>
      <c r="E23" s="109">
        <f t="shared" ref="E23:E27" si="3">+E22-D23</f>
        <v>100</v>
      </c>
      <c r="F23" s="110"/>
      <c r="G23" s="109"/>
      <c r="H23" s="109">
        <f t="shared" ref="H23:H27" si="4">+IF(C23&gt;$C$22,D23+G23,0)</f>
        <v>0</v>
      </c>
      <c r="I23" s="111">
        <f t="shared" si="1"/>
        <v>-380</v>
      </c>
      <c r="J23" s="111">
        <f t="shared" ref="J23:J27" si="5">IF(I23&lt;=0,0,H23/(((1+$I$28/2)^2)^(I23/365)))</f>
        <v>0</v>
      </c>
      <c r="K23" s="112" t="str">
        <f t="shared" ref="K23:K24" si="6">IF(OR(N23="falso",N23=0),"",E21)</f>
        <v/>
      </c>
      <c r="L23" s="112">
        <f t="shared" ref="L23:L27" si="7">J23*(I23/365)/100</f>
        <v>0</v>
      </c>
      <c r="M23" s="112">
        <f t="shared" ref="M23:M27" si="8">IF(I23&lt;0,0,(H23/$H$28)*I23/365)</f>
        <v>0</v>
      </c>
      <c r="N23" s="113" t="str">
        <f>IF(I23&gt;=0,IF(I21&gt;0,0,-I21),"FALSO")</f>
        <v>FALSO</v>
      </c>
      <c r="O23" s="114" t="str">
        <f t="shared" ref="O23:O27" si="9">+IF(C23&gt;$C$22,C23,"")</f>
        <v/>
      </c>
      <c r="P23" s="115">
        <f t="shared" si="2"/>
        <v>0</v>
      </c>
    </row>
    <row r="24" ht="14.25" customHeight="1">
      <c r="A24" s="116">
        <v>44732.0</v>
      </c>
      <c r="B24" s="116">
        <v>44732.0</v>
      </c>
      <c r="C24" s="116">
        <v>44732.0</v>
      </c>
      <c r="D24" s="109">
        <v>0.0</v>
      </c>
      <c r="E24" s="109">
        <f t="shared" si="3"/>
        <v>100</v>
      </c>
      <c r="F24" s="110">
        <f>IF(C24&gt;=$D$2,$E$2,"")</f>
        <v>0.0735</v>
      </c>
      <c r="G24" s="109">
        <f t="shared" ref="G24:G27" si="10">IF(F24="","",IF($E$4=365,E23*F24/365*(C24-C23),E23*F24/360*DAYS360(C23,C24)))</f>
        <v>3.675</v>
      </c>
      <c r="H24" s="109">
        <f t="shared" si="4"/>
        <v>0</v>
      </c>
      <c r="I24" s="111">
        <f t="shared" si="1"/>
        <v>-198</v>
      </c>
      <c r="J24" s="111">
        <f t="shared" si="5"/>
        <v>0</v>
      </c>
      <c r="K24" s="112" t="str">
        <f t="shared" si="6"/>
        <v/>
      </c>
      <c r="L24" s="112">
        <f t="shared" si="7"/>
        <v>0</v>
      </c>
      <c r="M24" s="112">
        <f t="shared" si="8"/>
        <v>0</v>
      </c>
      <c r="N24" s="113" t="str">
        <f t="shared" ref="N24:N27" si="11">IF(I24&gt;=0,IF(I23&gt;0,0,-I23),"FALSO")</f>
        <v>FALSO</v>
      </c>
      <c r="O24" s="114" t="str">
        <f t="shared" si="9"/>
        <v/>
      </c>
      <c r="P24" s="115">
        <f t="shared" si="2"/>
        <v>0</v>
      </c>
    </row>
    <row r="25" ht="14.25" customHeight="1">
      <c r="A25" s="116">
        <v>44915.0</v>
      </c>
      <c r="B25" s="116">
        <v>44915.0</v>
      </c>
      <c r="C25" s="116">
        <v>44915.0</v>
      </c>
      <c r="D25" s="109">
        <v>0.0</v>
      </c>
      <c r="E25" s="109">
        <f t="shared" si="3"/>
        <v>100</v>
      </c>
      <c r="F25" s="110">
        <f t="shared" ref="F25:F27" si="12">IF(C25&gt;$D$2,$E$2,"")</f>
        <v>0.0735</v>
      </c>
      <c r="G25" s="109">
        <f t="shared" si="10"/>
        <v>3.675</v>
      </c>
      <c r="H25" s="109">
        <f t="shared" si="4"/>
        <v>0</v>
      </c>
      <c r="I25" s="111">
        <f t="shared" si="1"/>
        <v>-15</v>
      </c>
      <c r="J25" s="111">
        <f t="shared" si="5"/>
        <v>0</v>
      </c>
      <c r="K25" s="112" t="str">
        <f t="shared" ref="K25:K27" si="13">IF(OR(N25="falso",N25=0),"",E24)</f>
        <v/>
      </c>
      <c r="L25" s="112">
        <f t="shared" si="7"/>
        <v>0</v>
      </c>
      <c r="M25" s="112">
        <f t="shared" si="8"/>
        <v>0</v>
      </c>
      <c r="N25" s="113" t="str">
        <f t="shared" si="11"/>
        <v>FALSO</v>
      </c>
      <c r="O25" s="114" t="str">
        <f t="shared" si="9"/>
        <v/>
      </c>
      <c r="P25" s="115">
        <f t="shared" si="2"/>
        <v>0</v>
      </c>
    </row>
    <row r="26" ht="14.25" customHeight="1">
      <c r="A26" s="116">
        <v>45097.0</v>
      </c>
      <c r="B26" s="116">
        <v>45097.0</v>
      </c>
      <c r="C26" s="116">
        <v>45097.0</v>
      </c>
      <c r="D26" s="109">
        <v>0.0</v>
      </c>
      <c r="E26" s="109">
        <f t="shared" si="3"/>
        <v>100</v>
      </c>
      <c r="F26" s="110">
        <f t="shared" si="12"/>
        <v>0.0735</v>
      </c>
      <c r="G26" s="109">
        <f t="shared" si="10"/>
        <v>3.675</v>
      </c>
      <c r="H26" s="109">
        <f t="shared" si="4"/>
        <v>3.675</v>
      </c>
      <c r="I26" s="111">
        <f t="shared" si="1"/>
        <v>167</v>
      </c>
      <c r="J26" s="111">
        <f t="shared" si="5"/>
        <v>3.542706495</v>
      </c>
      <c r="K26" s="117">
        <f t="shared" si="13"/>
        <v>100</v>
      </c>
      <c r="L26" s="112">
        <f t="shared" si="7"/>
        <v>0.01620909547</v>
      </c>
      <c r="M26" s="112">
        <f t="shared" si="8"/>
        <v>0.01566314258</v>
      </c>
      <c r="N26" s="111">
        <f t="shared" si="11"/>
        <v>15</v>
      </c>
      <c r="O26" s="114">
        <f t="shared" si="9"/>
        <v>45097</v>
      </c>
      <c r="P26" s="115">
        <f t="shared" si="2"/>
        <v>3.675</v>
      </c>
      <c r="R26" s="82"/>
    </row>
    <row r="27" ht="14.25" customHeight="1">
      <c r="A27" s="116">
        <v>45280.0</v>
      </c>
      <c r="B27" s="116">
        <v>45280.0</v>
      </c>
      <c r="C27" s="116">
        <v>45280.0</v>
      </c>
      <c r="D27" s="109">
        <v>100.0</v>
      </c>
      <c r="E27" s="109">
        <f t="shared" si="3"/>
        <v>0</v>
      </c>
      <c r="F27" s="110">
        <f t="shared" si="12"/>
        <v>0.0735</v>
      </c>
      <c r="G27" s="109">
        <f t="shared" si="10"/>
        <v>3.675</v>
      </c>
      <c r="H27" s="109">
        <f t="shared" si="4"/>
        <v>103.675</v>
      </c>
      <c r="I27" s="111">
        <f t="shared" si="1"/>
        <v>350</v>
      </c>
      <c r="J27" s="111">
        <f t="shared" si="5"/>
        <v>96.00729351</v>
      </c>
      <c r="K27" s="117" t="str">
        <f t="shared" si="13"/>
        <v/>
      </c>
      <c r="L27" s="112">
        <f t="shared" si="7"/>
        <v>0.9206178829</v>
      </c>
      <c r="M27" s="112">
        <f t="shared" si="8"/>
        <v>0.9260771641</v>
      </c>
      <c r="N27" s="113">
        <f t="shared" si="11"/>
        <v>0</v>
      </c>
      <c r="O27" s="114">
        <f t="shared" si="9"/>
        <v>45280</v>
      </c>
      <c r="P27" s="115">
        <f t="shared" si="2"/>
        <v>103.675</v>
      </c>
      <c r="R27" s="82"/>
    </row>
    <row r="28" ht="14.25" customHeight="1">
      <c r="H28" s="118">
        <f>SUMIF(I22:I27,"&gt;0",H22:H27)</f>
        <v>107.35</v>
      </c>
      <c r="I28" s="119">
        <f>+H10</f>
        <v>0.08175670322</v>
      </c>
      <c r="J28" s="119">
        <f>SUM(J22:J27)</f>
        <v>0</v>
      </c>
      <c r="K28" s="120">
        <f>SUM(K22:K27)/$E$22</f>
        <v>1</v>
      </c>
      <c r="L28" s="121">
        <f t="shared" ref="L28:M28" si="14">SUM(L22:L27)</f>
        <v>0.9368269784</v>
      </c>
      <c r="M28" s="119">
        <f t="shared" si="14"/>
        <v>0.9417403066</v>
      </c>
      <c r="N28" s="122">
        <f>SUM(N24:N27)</f>
        <v>15</v>
      </c>
      <c r="O28" s="123">
        <f>MIN(O22:O27)</f>
        <v>45097</v>
      </c>
    </row>
    <row r="29" ht="14.25" customHeight="1"/>
    <row r="30" ht="14.25" customHeight="1">
      <c r="D30" s="102"/>
    </row>
    <row r="31" ht="14.25" customHeight="1"/>
    <row r="32" ht="14.25" customHeight="1">
      <c r="A32" s="124"/>
      <c r="B32" s="124"/>
      <c r="C32" s="124"/>
      <c r="D32" s="124"/>
      <c r="E32" s="124"/>
      <c r="F32" s="124"/>
      <c r="G32" s="124"/>
      <c r="H32" s="124"/>
      <c r="I32" s="124"/>
      <c r="J32" s="124"/>
    </row>
    <row r="33" ht="14.25" customHeight="1">
      <c r="A33" s="124"/>
      <c r="B33" s="124" t="s">
        <v>178</v>
      </c>
      <c r="C33" s="124" t="s">
        <v>179</v>
      </c>
      <c r="D33" s="124" t="s">
        <v>180</v>
      </c>
      <c r="E33" s="124" t="s">
        <v>181</v>
      </c>
      <c r="F33" s="124" t="s">
        <v>182</v>
      </c>
      <c r="G33" s="124" t="s">
        <v>183</v>
      </c>
      <c r="H33" s="124" t="s">
        <v>184</v>
      </c>
      <c r="I33" s="124"/>
      <c r="J33" s="124"/>
    </row>
    <row r="34" ht="14.25" customHeight="1">
      <c r="A34" s="124"/>
      <c r="B34" s="125">
        <v>44108.0</v>
      </c>
      <c r="C34" s="124" t="s">
        <v>185</v>
      </c>
      <c r="D34" s="124" t="s">
        <v>33</v>
      </c>
      <c r="E34" s="124">
        <v>43.75</v>
      </c>
      <c r="F34" s="124">
        <v>0.0</v>
      </c>
      <c r="G34" s="124">
        <v>43.75</v>
      </c>
      <c r="H34" s="124" t="s">
        <v>186</v>
      </c>
      <c r="I34" s="124"/>
      <c r="J34" s="124"/>
    </row>
    <row r="35" ht="14.25" customHeight="1">
      <c r="A35" s="124"/>
      <c r="B35" s="125">
        <v>44290.0</v>
      </c>
      <c r="C35" s="124" t="s">
        <v>185</v>
      </c>
      <c r="D35" s="124" t="s">
        <v>33</v>
      </c>
      <c r="E35" s="124">
        <v>43.75</v>
      </c>
      <c r="F35" s="124">
        <v>0.0</v>
      </c>
      <c r="G35" s="124">
        <v>43.75</v>
      </c>
      <c r="H35" s="124" t="s">
        <v>186</v>
      </c>
      <c r="I35" s="124"/>
      <c r="J35" s="124"/>
    </row>
    <row r="36" ht="14.25" customHeight="1">
      <c r="A36" s="124"/>
      <c r="B36" s="125">
        <v>44473.0</v>
      </c>
      <c r="C36" s="124" t="s">
        <v>185</v>
      </c>
      <c r="D36" s="124" t="s">
        <v>33</v>
      </c>
      <c r="E36" s="124">
        <v>43.75</v>
      </c>
      <c r="F36" s="124">
        <v>0.0</v>
      </c>
      <c r="G36" s="124">
        <v>43.75</v>
      </c>
      <c r="H36" s="124" t="s">
        <v>186</v>
      </c>
      <c r="I36" s="124"/>
      <c r="J36" s="124"/>
    </row>
    <row r="37" ht="14.25" customHeight="1">
      <c r="A37" s="124"/>
      <c r="B37" s="125">
        <v>44655.0</v>
      </c>
      <c r="C37" s="124" t="s">
        <v>185</v>
      </c>
      <c r="D37" s="124" t="s">
        <v>33</v>
      </c>
      <c r="E37" s="124">
        <v>43.75</v>
      </c>
      <c r="F37" s="124">
        <v>300.0</v>
      </c>
      <c r="G37" s="124">
        <v>343.75</v>
      </c>
      <c r="H37" s="124" t="s">
        <v>186</v>
      </c>
      <c r="I37" s="124"/>
      <c r="J37" s="124"/>
    </row>
    <row r="38" ht="14.25" customHeight="1">
      <c r="A38" s="124"/>
      <c r="B38" s="125">
        <v>44838.0</v>
      </c>
      <c r="C38" s="124" t="s">
        <v>185</v>
      </c>
      <c r="D38" s="124" t="s">
        <v>33</v>
      </c>
      <c r="E38" s="124">
        <v>30.62</v>
      </c>
      <c r="F38" s="124">
        <v>0.0</v>
      </c>
      <c r="G38" s="124">
        <v>30.62</v>
      </c>
      <c r="H38" s="124" t="s">
        <v>186</v>
      </c>
      <c r="I38" s="124"/>
      <c r="J38" s="124"/>
    </row>
    <row r="39" ht="14.25" customHeight="1">
      <c r="A39" s="124"/>
      <c r="B39" s="125">
        <v>45020.0</v>
      </c>
      <c r="C39" s="124" t="s">
        <v>185</v>
      </c>
      <c r="D39" s="124" t="s">
        <v>33</v>
      </c>
      <c r="E39" s="124">
        <v>30.62</v>
      </c>
      <c r="F39" s="124">
        <v>300.0</v>
      </c>
      <c r="G39" s="124">
        <v>330.62</v>
      </c>
      <c r="H39" s="124" t="s">
        <v>186</v>
      </c>
      <c r="I39" s="124"/>
      <c r="J39" s="124"/>
    </row>
    <row r="40" ht="14.25" customHeight="1">
      <c r="A40" s="124"/>
      <c r="B40" s="125">
        <v>45203.0</v>
      </c>
      <c r="C40" s="124" t="s">
        <v>185</v>
      </c>
      <c r="D40" s="124" t="s">
        <v>33</v>
      </c>
      <c r="E40" s="124">
        <v>17.5</v>
      </c>
      <c r="F40" s="124">
        <v>0.0</v>
      </c>
      <c r="G40" s="124">
        <v>17.5</v>
      </c>
      <c r="H40" s="124" t="s">
        <v>186</v>
      </c>
      <c r="I40" s="124"/>
      <c r="J40" s="124"/>
    </row>
    <row r="41" ht="14.25" customHeight="1">
      <c r="A41" s="124"/>
      <c r="B41" s="125">
        <v>45386.0</v>
      </c>
      <c r="C41" s="124" t="s">
        <v>185</v>
      </c>
      <c r="D41" s="124" t="s">
        <v>33</v>
      </c>
      <c r="E41" s="124">
        <v>17.5</v>
      </c>
      <c r="F41" s="124">
        <v>400.0</v>
      </c>
      <c r="G41" s="124">
        <v>417.5</v>
      </c>
      <c r="H41" s="124" t="s">
        <v>186</v>
      </c>
      <c r="I41" s="124"/>
      <c r="J41" s="124"/>
    </row>
    <row r="42" ht="14.25" customHeight="1">
      <c r="A42" s="124"/>
      <c r="B42" s="124"/>
      <c r="C42" s="124"/>
      <c r="D42" s="124"/>
      <c r="E42" s="124"/>
      <c r="F42" s="124"/>
      <c r="G42" s="124"/>
      <c r="H42" s="124"/>
      <c r="I42" s="124"/>
      <c r="J42" s="124"/>
    </row>
    <row r="43" ht="14.25" customHeight="1">
      <c r="A43" s="124"/>
      <c r="B43" s="124"/>
      <c r="C43" s="124"/>
      <c r="D43" s="124"/>
      <c r="E43" s="124"/>
      <c r="F43" s="124"/>
      <c r="G43" s="124"/>
      <c r="H43" s="124"/>
      <c r="I43" s="124"/>
      <c r="J43" s="124"/>
    </row>
    <row r="44" ht="14.25" customHeight="1">
      <c r="A44" s="124"/>
      <c r="B44" s="124"/>
      <c r="C44" s="124"/>
      <c r="D44" s="124"/>
      <c r="E44" s="124"/>
      <c r="F44" s="124"/>
      <c r="G44" s="124"/>
      <c r="H44" s="124"/>
      <c r="I44" s="124"/>
      <c r="J44" s="124"/>
    </row>
    <row r="45" ht="14.25" customHeight="1">
      <c r="A45" s="124"/>
      <c r="B45" s="124"/>
      <c r="C45" s="124"/>
      <c r="D45" s="124"/>
      <c r="E45" s="124"/>
      <c r="F45" s="124"/>
      <c r="G45" s="124"/>
      <c r="H45" s="124"/>
      <c r="I45" s="124"/>
      <c r="J45" s="124"/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73" t="s">
        <v>21</v>
      </c>
      <c r="D2" s="74">
        <v>44499.0</v>
      </c>
      <c r="E2" s="75">
        <v>0.09125</v>
      </c>
      <c r="G2" s="71" t="s">
        <v>142</v>
      </c>
      <c r="H2" s="76">
        <f>+E17*100+E11</f>
        <v>101.6222222</v>
      </c>
      <c r="M2" s="77"/>
      <c r="N2" s="78"/>
    </row>
    <row r="3" ht="14.25" customHeight="1">
      <c r="C3" s="71" t="s">
        <v>143</v>
      </c>
      <c r="D3" s="71"/>
      <c r="E3" s="79">
        <v>43664.0</v>
      </c>
      <c r="F3" s="80"/>
      <c r="G3" s="71" t="s">
        <v>144</v>
      </c>
      <c r="H3" s="81">
        <f>IF(E1&gt;D2,E2*E17*E6/E12,"")</f>
        <v>0.07908802003</v>
      </c>
      <c r="I3" s="82"/>
      <c r="L3" s="83"/>
      <c r="M3" s="84"/>
      <c r="N3" s="85"/>
      <c r="P3" s="116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115.1322983</v>
      </c>
      <c r="L4" s="83"/>
      <c r="M4" s="84"/>
      <c r="N4" s="85"/>
      <c r="P4" s="116"/>
    </row>
    <row r="5" ht="14.25" customHeight="1">
      <c r="C5" s="71" t="s">
        <v>147</v>
      </c>
      <c r="D5" s="88"/>
      <c r="E5" s="79">
        <v>44499.0</v>
      </c>
      <c r="G5" s="71" t="s">
        <v>148</v>
      </c>
      <c r="H5" s="89">
        <f>MIN(O22:O34)</f>
        <v>45046</v>
      </c>
      <c r="L5" s="83"/>
      <c r="M5" s="84"/>
      <c r="N5" s="85"/>
      <c r="P5" s="116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MAX(C22:C34)</f>
        <v>46507</v>
      </c>
      <c r="L6" s="83"/>
      <c r="M6" s="84"/>
      <c r="N6" s="85"/>
      <c r="P6" s="116"/>
    </row>
    <row r="7" ht="14.25" customHeight="1">
      <c r="C7" s="91" t="s">
        <v>151</v>
      </c>
      <c r="D7" s="91"/>
      <c r="G7" s="71" t="s">
        <v>152</v>
      </c>
      <c r="H7" s="92">
        <f>+H6-E1</f>
        <v>1577</v>
      </c>
      <c r="L7" s="83"/>
      <c r="M7" s="84"/>
      <c r="N7" s="85"/>
      <c r="P7" s="116"/>
    </row>
    <row r="8" ht="14.25" customHeight="1">
      <c r="L8" s="83"/>
      <c r="M8" s="84"/>
      <c r="N8" s="85"/>
      <c r="P8" s="116"/>
    </row>
    <row r="9" ht="14.25" customHeight="1">
      <c r="C9" s="71" t="s">
        <v>153</v>
      </c>
      <c r="D9" s="71"/>
      <c r="E9" s="93">
        <f>+Curva!C19</f>
        <v>117</v>
      </c>
      <c r="G9" s="94"/>
      <c r="H9" s="95" t="s">
        <v>154</v>
      </c>
      <c r="I9" s="95" t="s">
        <v>155</v>
      </c>
      <c r="J9" s="96" t="s">
        <v>156</v>
      </c>
      <c r="L9" s="83"/>
      <c r="M9" s="84"/>
      <c r="N9" s="85"/>
      <c r="P9" s="116"/>
    </row>
    <row r="10" ht="14.25" customHeight="1">
      <c r="C10" s="71" t="s">
        <v>157</v>
      </c>
      <c r="D10" s="71"/>
      <c r="E10" s="97">
        <f t="array" ref="E10">DAYS360(MAX(IF(C23:C34&lt;=E1,C23:C34)),E1,1)</f>
        <v>64</v>
      </c>
      <c r="G10" s="98" t="s">
        <v>158</v>
      </c>
      <c r="H10" s="99">
        <f>+((XIRR(P22:P34,C22:C34)+1)^(1/2)-1)*2</f>
        <v>0.0410995511</v>
      </c>
      <c r="I10" s="99">
        <f>+((XIRR(P22:P34,A22:A34)+1)^(1/2)-1)*2</f>
        <v>0.04106078559</v>
      </c>
      <c r="J10" s="99">
        <f>+((XIRR(P22:P34,B22:B34)+1)^(1/2)-1)*2</f>
        <v>0.04102209368</v>
      </c>
      <c r="L10" s="83"/>
      <c r="M10" s="84"/>
      <c r="N10" s="85"/>
      <c r="P10" s="116"/>
    </row>
    <row r="11" ht="14.25" customHeight="1">
      <c r="C11" s="71" t="s">
        <v>159</v>
      </c>
      <c r="D11" s="71"/>
      <c r="E11" s="100">
        <f>IF(E1&gt;D2,E2/360*E10*E6,"")</f>
        <v>1.622222222</v>
      </c>
      <c r="L11" s="83"/>
      <c r="M11" s="84"/>
      <c r="N11" s="85"/>
      <c r="P11" s="116"/>
    </row>
    <row r="12" ht="14.25" customHeight="1">
      <c r="C12" s="71" t="s">
        <v>160</v>
      </c>
      <c r="D12" s="71"/>
      <c r="E12" s="93">
        <f>+E9-E11</f>
        <v>115.3777778</v>
      </c>
      <c r="L12" s="83"/>
      <c r="M12" s="84"/>
      <c r="N12" s="85"/>
      <c r="P12" s="116"/>
    </row>
    <row r="13" ht="14.25" customHeight="1">
      <c r="C13" s="101"/>
      <c r="D13" s="101"/>
      <c r="L13" s="83"/>
      <c r="M13" s="84"/>
      <c r="N13" s="85"/>
      <c r="P13" s="116"/>
    </row>
    <row r="14" ht="14.25" customHeight="1">
      <c r="C14" s="71" t="s">
        <v>161</v>
      </c>
      <c r="D14" s="71"/>
      <c r="E14" s="100">
        <f>(L35*100)/SUM(J24:J34)</f>
        <v>2.931537494</v>
      </c>
      <c r="L14" s="83"/>
      <c r="M14" s="84"/>
      <c r="N14" s="85"/>
    </row>
    <row r="15" ht="14.25" customHeight="1">
      <c r="C15" s="71" t="s">
        <v>162</v>
      </c>
      <c r="D15" s="71"/>
      <c r="E15" s="100">
        <f>E14/(1+I35/2)</f>
        <v>2.872508097</v>
      </c>
      <c r="M15" s="84"/>
      <c r="N15" s="85"/>
    </row>
    <row r="16" ht="14.25" customHeight="1">
      <c r="C16" s="71" t="s">
        <v>163</v>
      </c>
      <c r="D16" s="71"/>
      <c r="E16" s="100">
        <f>M35</f>
        <v>2.975117681</v>
      </c>
      <c r="M16" s="84"/>
      <c r="N16" s="85"/>
    </row>
    <row r="17" ht="14.25" customHeight="1">
      <c r="C17" s="71" t="s">
        <v>164</v>
      </c>
      <c r="D17" s="71"/>
      <c r="E17" s="100">
        <f>K35</f>
        <v>1</v>
      </c>
      <c r="M17" s="84"/>
      <c r="N17" s="85"/>
    </row>
    <row r="18" ht="14.25" customHeight="1">
      <c r="J18" s="102"/>
    </row>
    <row r="19" ht="14.25" customHeight="1"/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</row>
    <row r="21" ht="14.25" customHeight="1">
      <c r="A21" s="107" t="s">
        <v>155</v>
      </c>
      <c r="B21" s="107" t="s">
        <v>156</v>
      </c>
      <c r="C21" s="107" t="s">
        <v>154</v>
      </c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-117</v>
      </c>
      <c r="I22" s="111">
        <f t="shared" ref="I22:I34" si="1">+C22-$E$1</f>
        <v>0</v>
      </c>
      <c r="J22" s="111">
        <f>H22</f>
        <v>-117</v>
      </c>
      <c r="K22" s="117"/>
      <c r="L22" s="112"/>
      <c r="M22" s="112"/>
      <c r="N22" s="113"/>
      <c r="O22" s="114"/>
      <c r="P22" s="115">
        <f t="shared" ref="P22:P34" si="2">+H22</f>
        <v>-117</v>
      </c>
    </row>
    <row r="23" ht="14.25" customHeight="1">
      <c r="A23" s="116">
        <v>44316.0</v>
      </c>
      <c r="B23" s="116">
        <v>44316.0</v>
      </c>
      <c r="C23" s="116">
        <v>44316.0</v>
      </c>
      <c r="D23" s="109">
        <v>0.0</v>
      </c>
      <c r="E23" s="109">
        <f t="shared" ref="E23:E34" si="3">+E22-D23</f>
        <v>100</v>
      </c>
      <c r="F23" s="110" t="str">
        <f t="shared" ref="F23:F34" si="4">IF(C23&gt;$D$2,$E$2,"")</f>
        <v/>
      </c>
      <c r="G23" s="109"/>
      <c r="H23" s="109">
        <f t="shared" ref="H23:H34" si="5">+IF(C23&gt;$C$22,D23+G23,0)</f>
        <v>0</v>
      </c>
      <c r="I23" s="111">
        <f t="shared" si="1"/>
        <v>-614</v>
      </c>
      <c r="J23" s="111">
        <f t="shared" ref="J23:J34" si="6">IF(I23&lt;=0,0,H23/(((1+$I$35/2)^2)^(I23/365)))</f>
        <v>0</v>
      </c>
      <c r="K23" s="117"/>
      <c r="L23" s="112">
        <f t="shared" ref="L23:L34" si="7">J23*(I23/365)/100</f>
        <v>0</v>
      </c>
      <c r="M23" s="112">
        <f t="shared" ref="M23:M34" si="8">IF(I23&lt;0,0,(H23/$H$35)*I23/365)</f>
        <v>0</v>
      </c>
      <c r="N23" s="113" t="str">
        <f>IF(I23&gt;=0,IF(I21&gt;0,0,-I21),"FALSO")</f>
        <v>FALSO</v>
      </c>
      <c r="O23" s="114" t="str">
        <f t="shared" ref="O23:O34" si="9">+IF(C23&gt;$C$22,C23,"")</f>
        <v/>
      </c>
      <c r="P23" s="115">
        <f t="shared" si="2"/>
        <v>0</v>
      </c>
    </row>
    <row r="24" ht="14.25" customHeight="1">
      <c r="A24" s="116">
        <v>44681.0</v>
      </c>
      <c r="B24" s="116">
        <v>44681.0</v>
      </c>
      <c r="C24" s="116">
        <v>44681.0</v>
      </c>
      <c r="D24" s="109">
        <v>0.0</v>
      </c>
      <c r="E24" s="109">
        <f t="shared" si="3"/>
        <v>100</v>
      </c>
      <c r="F24" s="110">
        <f t="shared" si="4"/>
        <v>0.09125</v>
      </c>
      <c r="G24" s="109">
        <f t="shared" ref="G24:G34" si="10">IF(F24="","",IF($E$4=365,E23*F24/365*(C24-C23),E23*F24/360*DAYS360(C23,C24)))</f>
        <v>9.125</v>
      </c>
      <c r="H24" s="109">
        <f t="shared" si="5"/>
        <v>0</v>
      </c>
      <c r="I24" s="111">
        <f t="shared" si="1"/>
        <v>-249</v>
      </c>
      <c r="J24" s="111">
        <f t="shared" si="6"/>
        <v>0</v>
      </c>
      <c r="K24" s="112" t="str">
        <f t="shared" ref="K24:K34" si="11">IF(OR(N24="falso",N24=0),"",E23)</f>
        <v/>
      </c>
      <c r="L24" s="112">
        <f t="shared" si="7"/>
        <v>0</v>
      </c>
      <c r="M24" s="112">
        <f t="shared" si="8"/>
        <v>0</v>
      </c>
      <c r="N24" s="113" t="str">
        <f t="shared" ref="N24:N34" si="12">IF(I24&gt;=0,IF(I23&gt;0,0,-I23),"FALSO")</f>
        <v>FALSO</v>
      </c>
      <c r="O24" s="114" t="str">
        <f t="shared" si="9"/>
        <v/>
      </c>
      <c r="P24" s="115">
        <f t="shared" si="2"/>
        <v>0</v>
      </c>
    </row>
    <row r="25" ht="14.25" customHeight="1">
      <c r="A25" s="116">
        <v>44864.0</v>
      </c>
      <c r="B25" s="116">
        <v>44864.0</v>
      </c>
      <c r="C25" s="116">
        <v>44864.0</v>
      </c>
      <c r="D25" s="109">
        <v>0.0</v>
      </c>
      <c r="E25" s="109">
        <f t="shared" si="3"/>
        <v>100</v>
      </c>
      <c r="F25" s="110">
        <f t="shared" si="4"/>
        <v>0.09125</v>
      </c>
      <c r="G25" s="109">
        <f t="shared" si="10"/>
        <v>4.5625</v>
      </c>
      <c r="H25" s="109">
        <f t="shared" si="5"/>
        <v>0</v>
      </c>
      <c r="I25" s="111">
        <f t="shared" si="1"/>
        <v>-66</v>
      </c>
      <c r="J25" s="111">
        <f t="shared" si="6"/>
        <v>0</v>
      </c>
      <c r="K25" s="117" t="str">
        <f t="shared" si="11"/>
        <v/>
      </c>
      <c r="L25" s="112">
        <f t="shared" si="7"/>
        <v>0</v>
      </c>
      <c r="M25" s="112">
        <f t="shared" si="8"/>
        <v>0</v>
      </c>
      <c r="N25" s="113" t="str">
        <f t="shared" si="12"/>
        <v>FALSO</v>
      </c>
      <c r="O25" s="114" t="str">
        <f t="shared" si="9"/>
        <v/>
      </c>
      <c r="P25" s="115">
        <f t="shared" si="2"/>
        <v>0</v>
      </c>
      <c r="R25" s="82"/>
    </row>
    <row r="26" ht="14.25" customHeight="1">
      <c r="A26" s="116">
        <v>45046.0</v>
      </c>
      <c r="B26" s="116">
        <v>45046.0</v>
      </c>
      <c r="C26" s="116">
        <v>45046.0</v>
      </c>
      <c r="D26" s="109">
        <v>0.0</v>
      </c>
      <c r="E26" s="109">
        <f t="shared" si="3"/>
        <v>100</v>
      </c>
      <c r="F26" s="110">
        <f t="shared" si="4"/>
        <v>0.09125</v>
      </c>
      <c r="G26" s="109">
        <f t="shared" si="10"/>
        <v>4.5625</v>
      </c>
      <c r="H26" s="109">
        <f t="shared" si="5"/>
        <v>4.5625</v>
      </c>
      <c r="I26" s="111">
        <f t="shared" si="1"/>
        <v>116</v>
      </c>
      <c r="J26" s="111">
        <f t="shared" si="6"/>
        <v>4.50388943</v>
      </c>
      <c r="K26" s="117">
        <f t="shared" si="11"/>
        <v>100</v>
      </c>
      <c r="L26" s="112">
        <f t="shared" si="7"/>
        <v>0.01431373079</v>
      </c>
      <c r="M26" s="112">
        <f t="shared" si="8"/>
        <v>0.01099005211</v>
      </c>
      <c r="N26" s="111">
        <f t="shared" si="12"/>
        <v>66</v>
      </c>
      <c r="O26" s="114">
        <f t="shared" si="9"/>
        <v>45046</v>
      </c>
      <c r="P26" s="115">
        <f t="shared" si="2"/>
        <v>4.5625</v>
      </c>
      <c r="R26" s="82"/>
    </row>
    <row r="27" ht="14.25" customHeight="1">
      <c r="A27" s="116">
        <v>45229.0</v>
      </c>
      <c r="B27" s="116">
        <v>45229.0</v>
      </c>
      <c r="C27" s="116">
        <v>45229.0</v>
      </c>
      <c r="D27" s="109">
        <v>0.0</v>
      </c>
      <c r="E27" s="109">
        <f t="shared" si="3"/>
        <v>100</v>
      </c>
      <c r="F27" s="110">
        <f t="shared" si="4"/>
        <v>0.09125</v>
      </c>
      <c r="G27" s="109">
        <f t="shared" si="10"/>
        <v>4.5625</v>
      </c>
      <c r="H27" s="109">
        <f t="shared" si="5"/>
        <v>4.5625</v>
      </c>
      <c r="I27" s="111">
        <f t="shared" si="1"/>
        <v>299</v>
      </c>
      <c r="J27" s="111">
        <f t="shared" si="6"/>
        <v>4.412953237</v>
      </c>
      <c r="K27" s="117" t="str">
        <f t="shared" si="11"/>
        <v/>
      </c>
      <c r="L27" s="112">
        <f t="shared" si="7"/>
        <v>0.03614994569</v>
      </c>
      <c r="M27" s="112">
        <f t="shared" si="8"/>
        <v>0.02832780673</v>
      </c>
      <c r="N27" s="113">
        <f t="shared" si="12"/>
        <v>0</v>
      </c>
      <c r="O27" s="114">
        <f t="shared" si="9"/>
        <v>45229</v>
      </c>
      <c r="P27" s="115">
        <f t="shared" si="2"/>
        <v>4.5625</v>
      </c>
      <c r="R27" s="82"/>
    </row>
    <row r="28" ht="14.25" customHeight="1">
      <c r="A28" s="116">
        <v>45412.0</v>
      </c>
      <c r="B28" s="116">
        <v>45412.0</v>
      </c>
      <c r="C28" s="116">
        <v>45412.0</v>
      </c>
      <c r="D28" s="109">
        <v>0.0</v>
      </c>
      <c r="E28" s="109">
        <f t="shared" si="3"/>
        <v>100</v>
      </c>
      <c r="F28" s="110">
        <f t="shared" si="4"/>
        <v>0.09125</v>
      </c>
      <c r="G28" s="109">
        <f t="shared" si="10"/>
        <v>4.5625</v>
      </c>
      <c r="H28" s="109">
        <f t="shared" si="5"/>
        <v>4.5625</v>
      </c>
      <c r="I28" s="111">
        <f t="shared" si="1"/>
        <v>482</v>
      </c>
      <c r="J28" s="111">
        <f t="shared" si="6"/>
        <v>4.323853098</v>
      </c>
      <c r="K28" s="117" t="str">
        <f t="shared" si="11"/>
        <v/>
      </c>
      <c r="L28" s="112">
        <f t="shared" si="7"/>
        <v>0.05709855325</v>
      </c>
      <c r="M28" s="112">
        <f t="shared" si="8"/>
        <v>0.04566556135</v>
      </c>
      <c r="N28" s="113">
        <f t="shared" si="12"/>
        <v>0</v>
      </c>
      <c r="O28" s="114">
        <f t="shared" si="9"/>
        <v>45412</v>
      </c>
      <c r="P28" s="115">
        <f t="shared" si="2"/>
        <v>4.5625</v>
      </c>
      <c r="R28" s="82"/>
    </row>
    <row r="29" ht="14.25" customHeight="1">
      <c r="A29" s="116">
        <v>45595.0</v>
      </c>
      <c r="B29" s="116">
        <v>45595.0</v>
      </c>
      <c r="C29" s="116">
        <v>45595.0</v>
      </c>
      <c r="D29" s="109">
        <v>0.0</v>
      </c>
      <c r="E29" s="109">
        <f t="shared" si="3"/>
        <v>100</v>
      </c>
      <c r="F29" s="110">
        <f t="shared" si="4"/>
        <v>0.09125</v>
      </c>
      <c r="G29" s="109">
        <f t="shared" si="10"/>
        <v>4.5625</v>
      </c>
      <c r="H29" s="109">
        <f t="shared" si="5"/>
        <v>4.5625</v>
      </c>
      <c r="I29" s="111">
        <f t="shared" si="1"/>
        <v>665</v>
      </c>
      <c r="J29" s="111">
        <f t="shared" si="6"/>
        <v>4.236551945</v>
      </c>
      <c r="K29" s="117" t="str">
        <f t="shared" si="11"/>
        <v/>
      </c>
      <c r="L29" s="112">
        <f t="shared" si="7"/>
        <v>0.07718649434</v>
      </c>
      <c r="M29" s="112">
        <f t="shared" si="8"/>
        <v>0.06300331596</v>
      </c>
      <c r="N29" s="113">
        <f t="shared" si="12"/>
        <v>0</v>
      </c>
      <c r="O29" s="114">
        <f t="shared" si="9"/>
        <v>45595</v>
      </c>
      <c r="P29" s="115">
        <f t="shared" si="2"/>
        <v>4.5625</v>
      </c>
      <c r="R29" s="82"/>
    </row>
    <row r="30" ht="14.25" customHeight="1">
      <c r="A30" s="116">
        <v>45777.0</v>
      </c>
      <c r="B30" s="116">
        <v>45777.0</v>
      </c>
      <c r="C30" s="116">
        <v>45777.0</v>
      </c>
      <c r="D30" s="109">
        <v>20.0</v>
      </c>
      <c r="E30" s="109">
        <f t="shared" si="3"/>
        <v>80</v>
      </c>
      <c r="F30" s="110">
        <f t="shared" si="4"/>
        <v>0.09125</v>
      </c>
      <c r="G30" s="109">
        <f t="shared" si="10"/>
        <v>4.5625</v>
      </c>
      <c r="H30" s="109">
        <f t="shared" si="5"/>
        <v>24.5625</v>
      </c>
      <c r="I30" s="111">
        <f t="shared" si="1"/>
        <v>847</v>
      </c>
      <c r="J30" s="111">
        <f t="shared" si="6"/>
        <v>22.34972778</v>
      </c>
      <c r="K30" s="117" t="str">
        <f t="shared" si="11"/>
        <v/>
      </c>
      <c r="L30" s="112">
        <f t="shared" si="7"/>
        <v>0.5186361487</v>
      </c>
      <c r="M30" s="112">
        <f t="shared" si="8"/>
        <v>0.4320110575</v>
      </c>
      <c r="N30" s="113">
        <f t="shared" si="12"/>
        <v>0</v>
      </c>
      <c r="O30" s="114">
        <f t="shared" si="9"/>
        <v>45777</v>
      </c>
      <c r="P30" s="115">
        <f t="shared" si="2"/>
        <v>24.5625</v>
      </c>
      <c r="R30" s="82"/>
    </row>
    <row r="31" ht="14.25" customHeight="1">
      <c r="A31" s="116">
        <v>45960.0</v>
      </c>
      <c r="B31" s="116">
        <v>45960.0</v>
      </c>
      <c r="C31" s="116">
        <v>45960.0</v>
      </c>
      <c r="D31" s="109">
        <v>20.0</v>
      </c>
      <c r="E31" s="109">
        <f t="shared" si="3"/>
        <v>60</v>
      </c>
      <c r="F31" s="110">
        <f t="shared" si="4"/>
        <v>0.09125</v>
      </c>
      <c r="G31" s="109">
        <f t="shared" si="10"/>
        <v>3.65</v>
      </c>
      <c r="H31" s="109">
        <f t="shared" si="5"/>
        <v>23.65</v>
      </c>
      <c r="I31" s="111">
        <f t="shared" si="1"/>
        <v>1030</v>
      </c>
      <c r="J31" s="111">
        <f t="shared" si="6"/>
        <v>21.08494246</v>
      </c>
      <c r="K31" s="117" t="str">
        <f t="shared" si="11"/>
        <v/>
      </c>
      <c r="L31" s="112">
        <f t="shared" si="7"/>
        <v>0.5949997463</v>
      </c>
      <c r="M31" s="112">
        <f t="shared" si="8"/>
        <v>0.5058331116</v>
      </c>
      <c r="N31" s="113">
        <f t="shared" si="12"/>
        <v>0</v>
      </c>
      <c r="O31" s="114">
        <f t="shared" si="9"/>
        <v>45960</v>
      </c>
      <c r="P31" s="115">
        <f t="shared" si="2"/>
        <v>23.65</v>
      </c>
      <c r="R31" s="82"/>
    </row>
    <row r="32" ht="14.25" customHeight="1">
      <c r="A32" s="116">
        <v>46142.0</v>
      </c>
      <c r="B32" s="116">
        <v>46142.0</v>
      </c>
      <c r="C32" s="116">
        <v>46142.0</v>
      </c>
      <c r="D32" s="109">
        <v>20.0</v>
      </c>
      <c r="E32" s="109">
        <f t="shared" si="3"/>
        <v>40</v>
      </c>
      <c r="F32" s="110">
        <f t="shared" si="4"/>
        <v>0.09125</v>
      </c>
      <c r="G32" s="109">
        <f t="shared" si="10"/>
        <v>2.7375</v>
      </c>
      <c r="H32" s="109">
        <f t="shared" si="5"/>
        <v>22.7375</v>
      </c>
      <c r="I32" s="111">
        <f t="shared" si="1"/>
        <v>1212</v>
      </c>
      <c r="J32" s="111">
        <f t="shared" si="6"/>
        <v>19.86433355</v>
      </c>
      <c r="K32" s="117" t="str">
        <f t="shared" si="11"/>
        <v/>
      </c>
      <c r="L32" s="112">
        <f t="shared" si="7"/>
        <v>0.6596047195</v>
      </c>
      <c r="M32" s="112">
        <f t="shared" si="8"/>
        <v>0.5722479121</v>
      </c>
      <c r="N32" s="113">
        <f t="shared" si="12"/>
        <v>0</v>
      </c>
      <c r="O32" s="114">
        <f t="shared" si="9"/>
        <v>46142</v>
      </c>
      <c r="P32" s="115">
        <f t="shared" si="2"/>
        <v>22.7375</v>
      </c>
      <c r="R32" s="82"/>
    </row>
    <row r="33" ht="14.25" customHeight="1">
      <c r="A33" s="116">
        <v>46325.0</v>
      </c>
      <c r="B33" s="116">
        <v>46325.0</v>
      </c>
      <c r="C33" s="116">
        <v>46325.0</v>
      </c>
      <c r="D33" s="109">
        <v>20.0</v>
      </c>
      <c r="E33" s="109">
        <f t="shared" si="3"/>
        <v>20</v>
      </c>
      <c r="F33" s="110">
        <f t="shared" si="4"/>
        <v>0.09125</v>
      </c>
      <c r="G33" s="109">
        <f t="shared" si="10"/>
        <v>1.825</v>
      </c>
      <c r="H33" s="109">
        <f t="shared" si="5"/>
        <v>21.825</v>
      </c>
      <c r="I33" s="111">
        <f t="shared" si="1"/>
        <v>1395</v>
      </c>
      <c r="J33" s="111">
        <f t="shared" si="6"/>
        <v>18.68216247</v>
      </c>
      <c r="K33" s="117" t="str">
        <f t="shared" si="11"/>
        <v/>
      </c>
      <c r="L33" s="112">
        <f t="shared" si="7"/>
        <v>0.7140168942</v>
      </c>
      <c r="M33" s="112">
        <f t="shared" si="8"/>
        <v>0.6322187109</v>
      </c>
      <c r="N33" s="113">
        <f t="shared" si="12"/>
        <v>0</v>
      </c>
      <c r="O33" s="114">
        <f t="shared" si="9"/>
        <v>46325</v>
      </c>
      <c r="P33" s="115">
        <f t="shared" si="2"/>
        <v>21.825</v>
      </c>
      <c r="R33" s="82"/>
    </row>
    <row r="34" ht="14.25" customHeight="1">
      <c r="A34" s="116">
        <v>46507.0</v>
      </c>
      <c r="B34" s="116">
        <v>46507.0</v>
      </c>
      <c r="C34" s="116">
        <v>46507.0</v>
      </c>
      <c r="D34" s="109">
        <v>20.0</v>
      </c>
      <c r="E34" s="109">
        <f t="shared" si="3"/>
        <v>0</v>
      </c>
      <c r="F34" s="110">
        <f t="shared" si="4"/>
        <v>0.09125</v>
      </c>
      <c r="G34" s="109">
        <f t="shared" si="10"/>
        <v>0.9125</v>
      </c>
      <c r="H34" s="109">
        <f t="shared" si="5"/>
        <v>20.9125</v>
      </c>
      <c r="I34" s="111">
        <f t="shared" si="1"/>
        <v>1577</v>
      </c>
      <c r="J34" s="111">
        <f t="shared" si="6"/>
        <v>17.54158603</v>
      </c>
      <c r="K34" s="117" t="str">
        <f t="shared" si="11"/>
        <v/>
      </c>
      <c r="L34" s="112">
        <f t="shared" si="7"/>
        <v>0.757892635</v>
      </c>
      <c r="M34" s="112">
        <f t="shared" si="8"/>
        <v>0.6848201528</v>
      </c>
      <c r="N34" s="113">
        <f t="shared" si="12"/>
        <v>0</v>
      </c>
      <c r="O34" s="114">
        <f t="shared" si="9"/>
        <v>46507</v>
      </c>
      <c r="P34" s="115">
        <f t="shared" si="2"/>
        <v>20.9125</v>
      </c>
      <c r="R34" s="82"/>
    </row>
    <row r="35" ht="14.25" customHeight="1">
      <c r="H35" s="118">
        <f>SUMIF(I22:I34,"&gt;0",H22:H34)</f>
        <v>131.9375</v>
      </c>
      <c r="I35" s="119">
        <f>+H10</f>
        <v>0.0410995511</v>
      </c>
      <c r="J35" s="119">
        <f>SUM(J22:J34)</f>
        <v>0</v>
      </c>
      <c r="K35" s="120">
        <f>SUM(K22:K34)/$E$22</f>
        <v>1</v>
      </c>
      <c r="L35" s="121">
        <f t="shared" ref="L35:M35" si="13">SUM(L22:L34)</f>
        <v>3.429898868</v>
      </c>
      <c r="M35" s="119">
        <f t="shared" si="13"/>
        <v>2.975117681</v>
      </c>
      <c r="N35" s="122">
        <f>SUM(N24:N34)</f>
        <v>66</v>
      </c>
      <c r="O35" s="123">
        <f>MIN(O24:O34)</f>
        <v>45046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73" t="s">
        <v>21</v>
      </c>
      <c r="D2" s="74">
        <v>44233.0</v>
      </c>
      <c r="E2" s="75">
        <v>0.085</v>
      </c>
      <c r="G2" s="71" t="s">
        <v>142</v>
      </c>
      <c r="H2" s="76">
        <f>+E17*100+E11</f>
        <v>103.4944444</v>
      </c>
      <c r="M2" s="77"/>
      <c r="N2" s="78"/>
      <c r="S2" s="136"/>
    </row>
    <row r="3" ht="14.25" customHeight="1">
      <c r="C3" s="71" t="s">
        <v>143</v>
      </c>
      <c r="D3" s="71"/>
      <c r="E3" s="79">
        <v>44049.0</v>
      </c>
      <c r="F3" s="80"/>
      <c r="G3" s="71" t="s">
        <v>144</v>
      </c>
      <c r="H3" s="81">
        <f>IF(E1&gt;D2,E2*E17*E6/E12,"")</f>
        <v>0.08457243933</v>
      </c>
      <c r="I3" s="82"/>
      <c r="L3" s="83"/>
      <c r="M3" s="84"/>
      <c r="N3" s="85"/>
      <c r="S3" s="136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100.4884857</v>
      </c>
      <c r="L4" s="83"/>
      <c r="M4" s="84"/>
      <c r="N4" s="85"/>
      <c r="R4" s="116"/>
      <c r="S4" s="136"/>
    </row>
    <row r="5" ht="14.25" customHeight="1">
      <c r="C5" s="71" t="s">
        <v>147</v>
      </c>
      <c r="D5" s="88"/>
      <c r="E5" s="79">
        <v>44233.0</v>
      </c>
      <c r="G5" s="71" t="s">
        <v>148</v>
      </c>
      <c r="H5" s="89">
        <f>MIN(O22:O33)</f>
        <v>44963</v>
      </c>
      <c r="L5" s="83"/>
      <c r="M5" s="84"/>
      <c r="N5" s="85"/>
      <c r="R5" s="116"/>
      <c r="S5" s="136"/>
      <c r="U5" s="116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MAX(C22:C33)</f>
        <v>45875</v>
      </c>
      <c r="L6" s="83"/>
      <c r="M6" s="84"/>
      <c r="N6" s="85"/>
      <c r="R6" s="116"/>
      <c r="S6" s="136"/>
    </row>
    <row r="7" ht="14.25" customHeight="1">
      <c r="C7" s="91" t="s">
        <v>151</v>
      </c>
      <c r="D7" s="91"/>
      <c r="G7" s="71" t="s">
        <v>152</v>
      </c>
      <c r="H7" s="92">
        <f>+H6-E1</f>
        <v>945</v>
      </c>
      <c r="L7" s="83"/>
      <c r="M7" s="84"/>
      <c r="N7" s="85"/>
      <c r="R7" s="116"/>
      <c r="S7" s="136"/>
    </row>
    <row r="8" ht="14.25" customHeight="1">
      <c r="L8" s="83"/>
      <c r="M8" s="84"/>
      <c r="N8" s="85"/>
      <c r="R8" s="116"/>
    </row>
    <row r="9" ht="14.25" customHeight="1">
      <c r="C9" s="71" t="s">
        <v>153</v>
      </c>
      <c r="D9" s="71"/>
      <c r="E9" s="93">
        <f>+Curva!C20</f>
        <v>104</v>
      </c>
      <c r="G9" s="94"/>
      <c r="H9" s="95" t="s">
        <v>154</v>
      </c>
      <c r="I9" s="95" t="s">
        <v>155</v>
      </c>
      <c r="J9" s="96" t="s">
        <v>156</v>
      </c>
      <c r="L9" s="83"/>
      <c r="M9" s="84"/>
      <c r="N9" s="85"/>
      <c r="R9" s="116"/>
    </row>
    <row r="10" ht="14.25" customHeight="1">
      <c r="C10" s="71" t="s">
        <v>157</v>
      </c>
      <c r="D10" s="71"/>
      <c r="E10" s="97">
        <f t="array" ref="E10">DAYS360(MAX(IF(C23:C33&lt;=E1,C23:C33)),E1,1)</f>
        <v>148</v>
      </c>
      <c r="G10" s="98" t="s">
        <v>158</v>
      </c>
      <c r="H10" s="99">
        <f>+((XIRR(P22:P33,C22:C33)+1)^(1/2)-1)*2</f>
        <v>0.08141811838</v>
      </c>
      <c r="I10" s="99">
        <f>+((XIRR(P22:P33,A22:A33)+1)^(1/2)-1)*2</f>
        <v>0.08126062924</v>
      </c>
      <c r="J10" s="99">
        <f>+((XIRR(P22:P33,B22:B33)+1)^(1/2)-1)*2</f>
        <v>0.08110376015</v>
      </c>
      <c r="L10" s="83"/>
      <c r="M10" s="84"/>
      <c r="N10" s="85"/>
      <c r="R10" s="116"/>
    </row>
    <row r="11" ht="14.25" customHeight="1">
      <c r="C11" s="71" t="s">
        <v>159</v>
      </c>
      <c r="D11" s="71"/>
      <c r="E11" s="100">
        <f>IF(E1&gt;D2,E2/360*E10*E6,"")</f>
        <v>3.494444444</v>
      </c>
      <c r="L11" s="83"/>
      <c r="M11" s="84"/>
      <c r="N11" s="85"/>
      <c r="R11" s="116"/>
    </row>
    <row r="12" ht="14.25" customHeight="1">
      <c r="C12" s="71" t="s">
        <v>160</v>
      </c>
      <c r="D12" s="71"/>
      <c r="E12" s="93">
        <f>+E9-E11</f>
        <v>100.5055556</v>
      </c>
      <c r="L12" s="83"/>
      <c r="M12" s="84"/>
      <c r="N12" s="85"/>
      <c r="R12" s="116"/>
    </row>
    <row r="13" ht="14.25" customHeight="1">
      <c r="C13" s="101"/>
      <c r="D13" s="101"/>
      <c r="L13" s="83"/>
      <c r="M13" s="84"/>
      <c r="N13" s="85"/>
      <c r="R13" s="116"/>
    </row>
    <row r="14" ht="14.25" customHeight="1">
      <c r="C14" s="71" t="s">
        <v>161</v>
      </c>
      <c r="D14" s="71"/>
      <c r="E14" s="100">
        <f>(L34*100)/SUM(J24:J33)</f>
        <v>1.441969018</v>
      </c>
      <c r="L14" s="83"/>
      <c r="M14" s="84"/>
      <c r="N14" s="85"/>
      <c r="R14" s="116"/>
    </row>
    <row r="15" ht="14.25" customHeight="1">
      <c r="C15" s="71" t="s">
        <v>162</v>
      </c>
      <c r="D15" s="71"/>
      <c r="E15" s="100">
        <f>E14/(1+I34/2)</f>
        <v>1.38556401</v>
      </c>
      <c r="M15" s="84"/>
      <c r="N15" s="85"/>
    </row>
    <row r="16" ht="14.25" customHeight="1">
      <c r="C16" s="71" t="s">
        <v>163</v>
      </c>
      <c r="D16" s="71"/>
      <c r="E16" s="100">
        <f>M34</f>
        <v>1.500740083</v>
      </c>
      <c r="M16" s="84"/>
      <c r="N16" s="85"/>
    </row>
    <row r="17" ht="14.25" customHeight="1">
      <c r="C17" s="71" t="s">
        <v>164</v>
      </c>
      <c r="D17" s="71"/>
      <c r="E17" s="100">
        <f>K34</f>
        <v>1</v>
      </c>
      <c r="M17" s="84"/>
      <c r="N17" s="85"/>
    </row>
    <row r="18" ht="14.25" customHeight="1">
      <c r="J18" s="102"/>
    </row>
    <row r="19" ht="14.25" customHeight="1"/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</row>
    <row r="21" ht="14.25" customHeight="1">
      <c r="A21" s="107" t="s">
        <v>155</v>
      </c>
      <c r="B21" s="107" t="s">
        <v>156</v>
      </c>
      <c r="C21" s="107" t="s">
        <v>154</v>
      </c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-104</v>
      </c>
      <c r="I22" s="111">
        <f t="shared" ref="I22:I33" si="1">+C22-$E$1</f>
        <v>0</v>
      </c>
      <c r="J22" s="111">
        <f>H22</f>
        <v>-104</v>
      </c>
      <c r="K22" s="117"/>
      <c r="L22" s="112"/>
      <c r="M22" s="112"/>
      <c r="N22" s="113"/>
      <c r="O22" s="114"/>
      <c r="P22" s="115">
        <f t="shared" ref="P22:P33" si="2">+H22</f>
        <v>-104</v>
      </c>
    </row>
    <row r="23" ht="14.25" customHeight="1">
      <c r="A23" s="116">
        <v>44049.0</v>
      </c>
      <c r="B23" s="116">
        <v>44049.0</v>
      </c>
      <c r="C23" s="116">
        <v>44049.0</v>
      </c>
      <c r="D23" s="109">
        <v>0.0</v>
      </c>
      <c r="E23" s="109">
        <f t="shared" ref="E23:E33" si="3">+E22-D23</f>
        <v>100</v>
      </c>
      <c r="F23" s="110" t="str">
        <f>IF(C23&gt;$D$2,$E$2,"")</f>
        <v/>
      </c>
      <c r="G23" s="109"/>
      <c r="H23" s="109">
        <f t="shared" ref="H23:H33" si="4">+IF(C23&gt;$C$22,D23+G23,0)</f>
        <v>0</v>
      </c>
      <c r="I23" s="111">
        <f t="shared" si="1"/>
        <v>-881</v>
      </c>
      <c r="J23" s="111">
        <f t="shared" ref="J23:J33" si="5">IF(I23&lt;=0,0,H23/(((1+$I$34/2)^2)^(I23/365)))</f>
        <v>0</v>
      </c>
      <c r="K23" s="117"/>
      <c r="L23" s="112">
        <f t="shared" ref="L23:L33" si="6">J23*(I23/365)/100</f>
        <v>0</v>
      </c>
      <c r="M23" s="112">
        <f t="shared" ref="M23:M33" si="7">IF(I23&lt;0,0,(H23/$H$34)*I23/365)</f>
        <v>0</v>
      </c>
      <c r="N23" s="113" t="str">
        <f>IF(I23&gt;=0,IF(I21&gt;0,0,-I21),"FALSO")</f>
        <v>FALSO</v>
      </c>
      <c r="O23" s="114" t="str">
        <f t="shared" ref="O23:O33" si="8">+IF(C23&gt;$C$22,C23,"")</f>
        <v/>
      </c>
      <c r="P23" s="115">
        <f t="shared" si="2"/>
        <v>0</v>
      </c>
    </row>
    <row r="24" ht="14.25" customHeight="1">
      <c r="A24" s="116">
        <v>44233.0</v>
      </c>
      <c r="B24" s="116">
        <v>44233.0</v>
      </c>
      <c r="C24" s="116">
        <v>44233.0</v>
      </c>
      <c r="D24" s="109">
        <v>0.0</v>
      </c>
      <c r="E24" s="109">
        <f t="shared" si="3"/>
        <v>100</v>
      </c>
      <c r="F24" s="110">
        <f>IF(C24&gt;=$D$2,$E$2,"")</f>
        <v>0.085</v>
      </c>
      <c r="G24" s="109">
        <f t="shared" ref="G24:G33" si="9">IF(F24="","",IF($E$4=365,E23*F24/365*(C24-C23),E23*F24/360*DAYS360(C23,C24)))</f>
        <v>4.25</v>
      </c>
      <c r="H24" s="109">
        <f t="shared" si="4"/>
        <v>0</v>
      </c>
      <c r="I24" s="111">
        <f t="shared" si="1"/>
        <v>-697</v>
      </c>
      <c r="J24" s="111">
        <f t="shared" si="5"/>
        <v>0</v>
      </c>
      <c r="K24" s="112" t="str">
        <f t="shared" ref="K24:K33" si="10">IF(OR(N24="falso",N24=0),"",E23)</f>
        <v/>
      </c>
      <c r="L24" s="112">
        <f t="shared" si="6"/>
        <v>0</v>
      </c>
      <c r="M24" s="112">
        <f t="shared" si="7"/>
        <v>0</v>
      </c>
      <c r="N24" s="113" t="str">
        <f t="shared" ref="N24:N33" si="11">IF(I24&gt;=0,IF(I23&gt;0,0,-I23),"FALSO")</f>
        <v>FALSO</v>
      </c>
      <c r="O24" s="114" t="str">
        <f t="shared" si="8"/>
        <v/>
      </c>
      <c r="P24" s="115">
        <f t="shared" si="2"/>
        <v>0</v>
      </c>
    </row>
    <row r="25" ht="14.25" customHeight="1">
      <c r="A25" s="116">
        <v>44414.0</v>
      </c>
      <c r="B25" s="116">
        <v>44414.0</v>
      </c>
      <c r="C25" s="116">
        <v>44414.0</v>
      </c>
      <c r="D25" s="109">
        <v>0.0</v>
      </c>
      <c r="E25" s="109">
        <f t="shared" si="3"/>
        <v>100</v>
      </c>
      <c r="F25" s="110">
        <f t="shared" ref="F25:F33" si="12">IF(C25&gt;$D$2,$E$2,"")</f>
        <v>0.085</v>
      </c>
      <c r="G25" s="109">
        <f t="shared" si="9"/>
        <v>4.25</v>
      </c>
      <c r="H25" s="109">
        <f t="shared" si="4"/>
        <v>0</v>
      </c>
      <c r="I25" s="111">
        <f t="shared" si="1"/>
        <v>-516</v>
      </c>
      <c r="J25" s="111">
        <f t="shared" si="5"/>
        <v>0</v>
      </c>
      <c r="K25" s="117" t="str">
        <f t="shared" si="10"/>
        <v/>
      </c>
      <c r="L25" s="112">
        <f t="shared" si="6"/>
        <v>0</v>
      </c>
      <c r="M25" s="112">
        <f t="shared" si="7"/>
        <v>0</v>
      </c>
      <c r="N25" s="113" t="str">
        <f t="shared" si="11"/>
        <v>FALSO</v>
      </c>
      <c r="O25" s="114" t="str">
        <f t="shared" si="8"/>
        <v/>
      </c>
      <c r="P25" s="115">
        <f t="shared" si="2"/>
        <v>0</v>
      </c>
      <c r="R25" s="82"/>
    </row>
    <row r="26" ht="14.25" customHeight="1">
      <c r="A26" s="116">
        <v>44598.0</v>
      </c>
      <c r="B26" s="116">
        <v>44598.0</v>
      </c>
      <c r="C26" s="116">
        <v>44598.0</v>
      </c>
      <c r="D26" s="109">
        <v>0.0</v>
      </c>
      <c r="E26" s="109">
        <f t="shared" si="3"/>
        <v>100</v>
      </c>
      <c r="F26" s="110">
        <f t="shared" si="12"/>
        <v>0.085</v>
      </c>
      <c r="G26" s="109">
        <f t="shared" si="9"/>
        <v>4.25</v>
      </c>
      <c r="H26" s="109">
        <f t="shared" si="4"/>
        <v>0</v>
      </c>
      <c r="I26" s="111">
        <f t="shared" si="1"/>
        <v>-332</v>
      </c>
      <c r="J26" s="111">
        <f t="shared" si="5"/>
        <v>0</v>
      </c>
      <c r="K26" s="117" t="str">
        <f t="shared" si="10"/>
        <v/>
      </c>
      <c r="L26" s="112">
        <f t="shared" si="6"/>
        <v>0</v>
      </c>
      <c r="M26" s="112">
        <f t="shared" si="7"/>
        <v>0</v>
      </c>
      <c r="N26" s="113" t="str">
        <f t="shared" si="11"/>
        <v>FALSO</v>
      </c>
      <c r="O26" s="114" t="str">
        <f t="shared" si="8"/>
        <v/>
      </c>
      <c r="P26" s="115">
        <f t="shared" si="2"/>
        <v>0</v>
      </c>
      <c r="R26" s="82"/>
    </row>
    <row r="27" ht="14.25" customHeight="1">
      <c r="A27" s="116">
        <v>44779.0</v>
      </c>
      <c r="B27" s="116">
        <v>44779.0</v>
      </c>
      <c r="C27" s="116">
        <v>44779.0</v>
      </c>
      <c r="D27" s="109">
        <v>0.0</v>
      </c>
      <c r="E27" s="109">
        <f t="shared" si="3"/>
        <v>100</v>
      </c>
      <c r="F27" s="110">
        <f t="shared" si="12"/>
        <v>0.085</v>
      </c>
      <c r="G27" s="109">
        <f t="shared" si="9"/>
        <v>4.25</v>
      </c>
      <c r="H27" s="109">
        <f t="shared" si="4"/>
        <v>0</v>
      </c>
      <c r="I27" s="111">
        <f t="shared" si="1"/>
        <v>-151</v>
      </c>
      <c r="J27" s="111">
        <f t="shared" si="5"/>
        <v>0</v>
      </c>
      <c r="K27" s="117" t="str">
        <f t="shared" si="10"/>
        <v/>
      </c>
      <c r="L27" s="112">
        <f t="shared" si="6"/>
        <v>0</v>
      </c>
      <c r="M27" s="112">
        <f t="shared" si="7"/>
        <v>0</v>
      </c>
      <c r="N27" s="113" t="str">
        <f t="shared" si="11"/>
        <v>FALSO</v>
      </c>
      <c r="O27" s="114" t="str">
        <f t="shared" si="8"/>
        <v/>
      </c>
      <c r="P27" s="115">
        <f t="shared" si="2"/>
        <v>0</v>
      </c>
      <c r="R27" s="82"/>
    </row>
    <row r="28" ht="14.25" customHeight="1">
      <c r="A28" s="116">
        <v>44963.0</v>
      </c>
      <c r="B28" s="116">
        <v>44963.0</v>
      </c>
      <c r="C28" s="116">
        <v>44963.0</v>
      </c>
      <c r="D28" s="109">
        <v>3.0</v>
      </c>
      <c r="E28" s="109">
        <f t="shared" si="3"/>
        <v>97</v>
      </c>
      <c r="F28" s="110">
        <f t="shared" si="12"/>
        <v>0.085</v>
      </c>
      <c r="G28" s="109">
        <f t="shared" si="9"/>
        <v>4.25</v>
      </c>
      <c r="H28" s="109">
        <f t="shared" si="4"/>
        <v>7.25</v>
      </c>
      <c r="I28" s="111">
        <f t="shared" si="1"/>
        <v>33</v>
      </c>
      <c r="J28" s="111">
        <f t="shared" si="5"/>
        <v>7.197878027</v>
      </c>
      <c r="K28" s="117">
        <f t="shared" si="10"/>
        <v>100</v>
      </c>
      <c r="L28" s="112">
        <f t="shared" si="6"/>
        <v>0.006507670545</v>
      </c>
      <c r="M28" s="112">
        <f t="shared" si="7"/>
        <v>0.005604424274</v>
      </c>
      <c r="N28" s="111">
        <f t="shared" si="11"/>
        <v>151</v>
      </c>
      <c r="O28" s="114">
        <f t="shared" si="8"/>
        <v>44963</v>
      </c>
      <c r="P28" s="115">
        <f t="shared" si="2"/>
        <v>7.25</v>
      </c>
      <c r="R28" s="82"/>
    </row>
    <row r="29" ht="14.25" customHeight="1">
      <c r="A29" s="116">
        <v>45144.0</v>
      </c>
      <c r="B29" s="116">
        <v>45144.0</v>
      </c>
      <c r="C29" s="116">
        <v>45144.0</v>
      </c>
      <c r="D29" s="109">
        <v>30.0</v>
      </c>
      <c r="E29" s="109">
        <f t="shared" si="3"/>
        <v>67</v>
      </c>
      <c r="F29" s="110">
        <f t="shared" si="12"/>
        <v>0.085</v>
      </c>
      <c r="G29" s="109">
        <f t="shared" si="9"/>
        <v>4.1225</v>
      </c>
      <c r="H29" s="109">
        <f t="shared" si="4"/>
        <v>34.1225</v>
      </c>
      <c r="I29" s="111">
        <f t="shared" si="1"/>
        <v>214</v>
      </c>
      <c r="J29" s="111">
        <f t="shared" si="5"/>
        <v>32.56270065</v>
      </c>
      <c r="K29" s="117" t="str">
        <f t="shared" si="10"/>
        <v/>
      </c>
      <c r="L29" s="112">
        <f t="shared" si="6"/>
        <v>0.1909155599</v>
      </c>
      <c r="M29" s="112">
        <f t="shared" si="7"/>
        <v>0.1710541735</v>
      </c>
      <c r="N29" s="113">
        <f t="shared" si="11"/>
        <v>0</v>
      </c>
      <c r="O29" s="114">
        <f t="shared" si="8"/>
        <v>45144</v>
      </c>
      <c r="P29" s="115">
        <f t="shared" si="2"/>
        <v>34.1225</v>
      </c>
      <c r="R29" s="82"/>
    </row>
    <row r="30" ht="14.25" customHeight="1">
      <c r="A30" s="116">
        <v>45328.0</v>
      </c>
      <c r="B30" s="116">
        <v>45328.0</v>
      </c>
      <c r="C30" s="116">
        <v>45328.0</v>
      </c>
      <c r="D30" s="109">
        <v>0.0</v>
      </c>
      <c r="E30" s="109">
        <f t="shared" si="3"/>
        <v>67</v>
      </c>
      <c r="F30" s="110">
        <f t="shared" si="12"/>
        <v>0.085</v>
      </c>
      <c r="G30" s="109">
        <f t="shared" si="9"/>
        <v>2.8475</v>
      </c>
      <c r="H30" s="109">
        <f t="shared" si="4"/>
        <v>2.8475</v>
      </c>
      <c r="I30" s="111">
        <f t="shared" si="1"/>
        <v>398</v>
      </c>
      <c r="J30" s="111">
        <f t="shared" si="5"/>
        <v>2.6101865</v>
      </c>
      <c r="K30" s="117" t="str">
        <f t="shared" si="10"/>
        <v/>
      </c>
      <c r="L30" s="112">
        <f t="shared" si="6"/>
        <v>0.02846175964</v>
      </c>
      <c r="M30" s="112">
        <f t="shared" si="7"/>
        <v>0.02654763658</v>
      </c>
      <c r="N30" s="113">
        <f t="shared" si="11"/>
        <v>0</v>
      </c>
      <c r="O30" s="114">
        <f t="shared" si="8"/>
        <v>45328</v>
      </c>
      <c r="P30" s="115">
        <f t="shared" si="2"/>
        <v>2.8475</v>
      </c>
      <c r="R30" s="82"/>
    </row>
    <row r="31" ht="14.25" customHeight="1">
      <c r="A31" s="116">
        <v>45510.0</v>
      </c>
      <c r="B31" s="116">
        <v>45510.0</v>
      </c>
      <c r="C31" s="116">
        <v>45510.0</v>
      </c>
      <c r="D31" s="109">
        <v>33.0</v>
      </c>
      <c r="E31" s="109">
        <f t="shared" si="3"/>
        <v>34</v>
      </c>
      <c r="F31" s="110">
        <f t="shared" si="12"/>
        <v>0.085</v>
      </c>
      <c r="G31" s="109">
        <f t="shared" si="9"/>
        <v>2.8475</v>
      </c>
      <c r="H31" s="109">
        <f t="shared" si="4"/>
        <v>35.8475</v>
      </c>
      <c r="I31" s="111">
        <f t="shared" si="1"/>
        <v>580</v>
      </c>
      <c r="J31" s="111">
        <f t="shared" si="5"/>
        <v>31.57801468</v>
      </c>
      <c r="K31" s="117" t="str">
        <f t="shared" si="10"/>
        <v/>
      </c>
      <c r="L31" s="112">
        <f t="shared" si="6"/>
        <v>0.5017876306</v>
      </c>
      <c r="M31" s="112">
        <f t="shared" si="7"/>
        <v>0.4870414525</v>
      </c>
      <c r="N31" s="113">
        <f t="shared" si="11"/>
        <v>0</v>
      </c>
      <c r="O31" s="114">
        <f t="shared" si="8"/>
        <v>45510</v>
      </c>
      <c r="P31" s="115">
        <f t="shared" si="2"/>
        <v>35.8475</v>
      </c>
      <c r="R31" s="82"/>
    </row>
    <row r="32" ht="14.25" customHeight="1">
      <c r="A32" s="116">
        <v>45694.0</v>
      </c>
      <c r="B32" s="116">
        <v>45694.0</v>
      </c>
      <c r="C32" s="116">
        <v>45694.0</v>
      </c>
      <c r="D32" s="109">
        <v>0.0</v>
      </c>
      <c r="E32" s="109">
        <f t="shared" si="3"/>
        <v>34</v>
      </c>
      <c r="F32" s="110">
        <f t="shared" si="12"/>
        <v>0.085</v>
      </c>
      <c r="G32" s="109">
        <f t="shared" si="9"/>
        <v>1.445</v>
      </c>
      <c r="H32" s="109">
        <f t="shared" si="4"/>
        <v>1.445</v>
      </c>
      <c r="I32" s="111">
        <f t="shared" si="1"/>
        <v>764</v>
      </c>
      <c r="J32" s="111">
        <f t="shared" si="5"/>
        <v>1.222705957</v>
      </c>
      <c r="K32" s="117" t="str">
        <f t="shared" si="10"/>
        <v/>
      </c>
      <c r="L32" s="112">
        <f t="shared" si="6"/>
        <v>0.02559307811</v>
      </c>
      <c r="M32" s="112">
        <f t="shared" si="7"/>
        <v>0.02586069931</v>
      </c>
      <c r="N32" s="113">
        <f t="shared" si="11"/>
        <v>0</v>
      </c>
      <c r="O32" s="114">
        <f t="shared" si="8"/>
        <v>45694</v>
      </c>
      <c r="P32" s="115">
        <f t="shared" si="2"/>
        <v>1.445</v>
      </c>
      <c r="R32" s="82"/>
    </row>
    <row r="33" ht="14.25" customHeight="1">
      <c r="A33" s="116">
        <v>45875.0</v>
      </c>
      <c r="B33" s="116">
        <v>45875.0</v>
      </c>
      <c r="C33" s="116">
        <v>45875.0</v>
      </c>
      <c r="D33" s="109">
        <v>34.0</v>
      </c>
      <c r="E33" s="109">
        <f t="shared" si="3"/>
        <v>0</v>
      </c>
      <c r="F33" s="110">
        <f t="shared" si="12"/>
        <v>0.085</v>
      </c>
      <c r="G33" s="109">
        <f t="shared" si="9"/>
        <v>1.445</v>
      </c>
      <c r="H33" s="109">
        <f t="shared" si="4"/>
        <v>35.445</v>
      </c>
      <c r="I33" s="111">
        <f t="shared" si="1"/>
        <v>945</v>
      </c>
      <c r="J33" s="111">
        <f t="shared" si="5"/>
        <v>28.82851419</v>
      </c>
      <c r="K33" s="117" t="str">
        <f t="shared" si="10"/>
        <v/>
      </c>
      <c r="L33" s="112">
        <f t="shared" si="6"/>
        <v>0.7463820796</v>
      </c>
      <c r="M33" s="112">
        <f t="shared" si="7"/>
        <v>0.7846316965</v>
      </c>
      <c r="N33" s="113">
        <f t="shared" si="11"/>
        <v>0</v>
      </c>
      <c r="O33" s="114">
        <f t="shared" si="8"/>
        <v>45875</v>
      </c>
      <c r="P33" s="115">
        <f t="shared" si="2"/>
        <v>35.445</v>
      </c>
      <c r="R33" s="82"/>
    </row>
    <row r="34" ht="14.25" customHeight="1">
      <c r="H34" s="118">
        <f>SUMIF(I22:I33,"&gt;0",H22:H33)</f>
        <v>116.9575</v>
      </c>
      <c r="I34" s="119">
        <f>+H10</f>
        <v>0.08141811838</v>
      </c>
      <c r="J34" s="119">
        <f>SUM(J22:J33)</f>
        <v>0</v>
      </c>
      <c r="K34" s="120">
        <f>SUM(K22:K33)/$E$22</f>
        <v>1</v>
      </c>
      <c r="L34" s="121">
        <f t="shared" ref="L34:M34" si="13">SUM(L22:L33)</f>
        <v>1.499647778</v>
      </c>
      <c r="M34" s="119">
        <f t="shared" si="13"/>
        <v>1.500740083</v>
      </c>
      <c r="N34" s="122">
        <f>SUM(N24:N33)</f>
        <v>151</v>
      </c>
      <c r="O34" s="123">
        <f>MIN(O24:O33)</f>
        <v>44963</v>
      </c>
    </row>
    <row r="35" ht="14.25" customHeight="1"/>
    <row r="36" ht="14.25" customHeight="1">
      <c r="C36" s="116"/>
    </row>
    <row r="37" ht="14.25" customHeight="1">
      <c r="C37" s="116"/>
    </row>
    <row r="38" ht="14.25" customHeight="1">
      <c r="C38" s="116"/>
    </row>
    <row r="39" ht="14.25" customHeight="1">
      <c r="C39" s="116"/>
    </row>
    <row r="40" ht="14.25" customHeight="1">
      <c r="C40" s="116"/>
    </row>
    <row r="41" ht="14.25" customHeight="1">
      <c r="C41" s="116"/>
    </row>
    <row r="42" ht="14.25" customHeight="1">
      <c r="C42" s="116"/>
    </row>
    <row r="43" ht="14.25" customHeight="1">
      <c r="C43" s="116"/>
    </row>
    <row r="44" ht="14.25" customHeight="1">
      <c r="C44" s="116"/>
    </row>
    <row r="45" ht="14.25" customHeight="1">
      <c r="C45" s="116"/>
    </row>
    <row r="46" ht="14.25" customHeight="1">
      <c r="C46" s="116"/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73" t="s">
        <v>21</v>
      </c>
      <c r="D2" s="74">
        <v>43054.0</v>
      </c>
      <c r="E2" s="75">
        <v>0.06875</v>
      </c>
      <c r="G2" s="71" t="s">
        <v>142</v>
      </c>
      <c r="H2" s="76">
        <f>+E17*100+E11</f>
        <v>100.9357639</v>
      </c>
      <c r="M2" s="77"/>
      <c r="N2" s="78"/>
    </row>
    <row r="3" ht="14.25" customHeight="1">
      <c r="C3" s="71" t="s">
        <v>143</v>
      </c>
      <c r="D3" s="71"/>
      <c r="E3" s="79">
        <v>42870.0</v>
      </c>
      <c r="F3" s="80"/>
      <c r="G3" s="71" t="s">
        <v>144</v>
      </c>
      <c r="H3" s="81">
        <f>IF(E1&gt;D2,E2*E17*E6/E12,"")</f>
        <v>0.06735954005</v>
      </c>
      <c r="I3" s="82"/>
      <c r="L3" s="83"/>
      <c r="M3" s="84"/>
      <c r="N3" s="85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102.0450988</v>
      </c>
      <c r="L4" s="83"/>
      <c r="M4" s="84"/>
      <c r="N4" s="85"/>
    </row>
    <row r="5" ht="14.25" customHeight="1">
      <c r="C5" s="71" t="s">
        <v>147</v>
      </c>
      <c r="D5" s="88"/>
      <c r="E5" s="79">
        <v>43054.0</v>
      </c>
      <c r="G5" s="71" t="s">
        <v>148</v>
      </c>
      <c r="H5" s="89">
        <f>MIN(O22:O37)</f>
        <v>45061</v>
      </c>
      <c r="L5" s="83"/>
      <c r="M5" s="84"/>
      <c r="N5" s="85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MAX(C22:C37)</f>
        <v>45427</v>
      </c>
      <c r="L6" s="83"/>
      <c r="M6" s="84"/>
      <c r="N6" s="85"/>
    </row>
    <row r="7" ht="14.25" customHeight="1">
      <c r="C7" s="91" t="s">
        <v>151</v>
      </c>
      <c r="D7" s="91"/>
      <c r="G7" s="71" t="s">
        <v>152</v>
      </c>
      <c r="H7" s="92">
        <f>+H6-E1</f>
        <v>497</v>
      </c>
      <c r="L7" s="83"/>
      <c r="M7" s="84"/>
      <c r="N7" s="85"/>
    </row>
    <row r="8" ht="14.25" customHeight="1">
      <c r="L8" s="83"/>
      <c r="M8" s="84"/>
      <c r="N8" s="85"/>
    </row>
    <row r="9" ht="14.25" customHeight="1">
      <c r="C9" s="71" t="s">
        <v>153</v>
      </c>
      <c r="D9" s="71"/>
      <c r="E9" s="93">
        <f>+Curva!C21</f>
        <v>103</v>
      </c>
      <c r="G9" s="94"/>
      <c r="H9" s="95" t="s">
        <v>154</v>
      </c>
      <c r="I9" s="95" t="s">
        <v>155</v>
      </c>
      <c r="J9" s="96" t="s">
        <v>156</v>
      </c>
      <c r="L9" s="83"/>
      <c r="M9" s="84"/>
      <c r="N9" s="85"/>
      <c r="R9" s="116"/>
    </row>
    <row r="10" ht="14.25" customHeight="1">
      <c r="C10" s="71" t="s">
        <v>157</v>
      </c>
      <c r="D10" s="71"/>
      <c r="E10" s="97">
        <f t="array" ref="E10">DAYS360(MAX(IF(C23:C37&lt;=E1,C23:C37)),E1,1)</f>
        <v>49</v>
      </c>
      <c r="G10" s="98" t="s">
        <v>158</v>
      </c>
      <c r="H10" s="99">
        <f>+((XIRR(P22:P37,C22:C37)+1)^(1/2)-1)*2</f>
        <v>0.05288999172</v>
      </c>
      <c r="I10" s="99">
        <f>+((XIRR(P22:P37,A22:A37)+1)^(1/2)-1)*2</f>
        <v>0.05277841094</v>
      </c>
      <c r="J10" s="99">
        <f>+((XIRR(P22:P37,B22:B37)+1)^(1/2)-1)*2</f>
        <v>0.05266730028</v>
      </c>
      <c r="L10" s="83"/>
      <c r="M10" s="84"/>
      <c r="N10" s="85"/>
      <c r="R10" s="116"/>
    </row>
    <row r="11" ht="14.25" customHeight="1">
      <c r="C11" s="71" t="s">
        <v>159</v>
      </c>
      <c r="D11" s="71"/>
      <c r="E11" s="100">
        <f>IF(E1&gt;D2,E2/360*E10*E6,"")</f>
        <v>0.9357638889</v>
      </c>
      <c r="L11" s="83"/>
      <c r="M11" s="84"/>
      <c r="N11" s="85"/>
      <c r="R11" s="116"/>
    </row>
    <row r="12" ht="14.25" customHeight="1">
      <c r="C12" s="71" t="s">
        <v>160</v>
      </c>
      <c r="D12" s="71"/>
      <c r="E12" s="93">
        <f>+E9-E11</f>
        <v>102.0642361</v>
      </c>
      <c r="L12" s="83"/>
      <c r="M12" s="84"/>
      <c r="N12" s="85"/>
      <c r="R12" s="116"/>
    </row>
    <row r="13" ht="14.25" customHeight="1">
      <c r="C13" s="101"/>
      <c r="D13" s="101"/>
      <c r="L13" s="83"/>
      <c r="M13" s="84"/>
      <c r="N13" s="85"/>
      <c r="R13" s="116"/>
    </row>
    <row r="14" ht="14.25" customHeight="1">
      <c r="C14" s="71" t="s">
        <v>161</v>
      </c>
      <c r="D14" s="71"/>
      <c r="E14" s="100">
        <f>(L38*100)/SUM(J24:J37)</f>
        <v>1.312891674</v>
      </c>
      <c r="L14" s="83"/>
      <c r="M14" s="84"/>
      <c r="N14" s="85"/>
      <c r="R14" s="116"/>
    </row>
    <row r="15" ht="14.25" customHeight="1">
      <c r="C15" s="71" t="s">
        <v>162</v>
      </c>
      <c r="D15" s="71"/>
      <c r="E15" s="100">
        <f>E14/(1+I38/2)</f>
        <v>1.279066759</v>
      </c>
      <c r="M15" s="84"/>
      <c r="N15" s="85"/>
      <c r="R15" s="116"/>
    </row>
    <row r="16" ht="14.25" customHeight="1">
      <c r="C16" s="71" t="s">
        <v>163</v>
      </c>
      <c r="D16" s="71"/>
      <c r="E16" s="100">
        <f>M38</f>
        <v>1.314858939</v>
      </c>
      <c r="M16" s="84"/>
      <c r="N16" s="85"/>
      <c r="R16" s="116"/>
    </row>
    <row r="17" ht="14.25" customHeight="1">
      <c r="C17" s="71" t="s">
        <v>164</v>
      </c>
      <c r="D17" s="71"/>
      <c r="E17" s="100">
        <f>K38</f>
        <v>1</v>
      </c>
      <c r="M17" s="84"/>
      <c r="N17" s="85"/>
      <c r="R17" s="116"/>
    </row>
    <row r="18" ht="14.25" customHeight="1">
      <c r="J18" s="102"/>
      <c r="R18" s="116"/>
    </row>
    <row r="19" ht="14.25" customHeight="1">
      <c r="R19" s="116"/>
    </row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  <c r="R20" s="116"/>
    </row>
    <row r="21" ht="14.25" customHeight="1">
      <c r="A21" s="107" t="s">
        <v>155</v>
      </c>
      <c r="B21" s="107" t="s">
        <v>156</v>
      </c>
      <c r="C21" s="107" t="s">
        <v>154</v>
      </c>
      <c r="R21" s="116"/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-103</v>
      </c>
      <c r="I22" s="111">
        <f t="shared" ref="I22:I37" si="1">+C22-$E$1</f>
        <v>0</v>
      </c>
      <c r="J22" s="111">
        <f>H22</f>
        <v>-103</v>
      </c>
      <c r="K22" s="117"/>
      <c r="L22" s="112"/>
      <c r="M22" s="112"/>
      <c r="N22" s="113"/>
      <c r="O22" s="114"/>
      <c r="P22" s="115">
        <f t="shared" ref="P22:P37" si="2">+H22</f>
        <v>-103</v>
      </c>
      <c r="R22" s="116"/>
    </row>
    <row r="23" ht="14.25" customHeight="1">
      <c r="A23" s="116">
        <v>42870.0</v>
      </c>
      <c r="B23" s="116">
        <v>42870.0</v>
      </c>
      <c r="C23" s="116">
        <v>42870.0</v>
      </c>
      <c r="D23" s="109">
        <v>0.0</v>
      </c>
      <c r="E23" s="109">
        <f t="shared" ref="E23:E37" si="3">+E22-D23</f>
        <v>100</v>
      </c>
      <c r="F23" s="110" t="str">
        <f t="shared" ref="F23:F37" si="4">IF(C23&gt;$D$2,$E$2,"")</f>
        <v/>
      </c>
      <c r="G23" s="109"/>
      <c r="H23" s="109">
        <f t="shared" ref="H23:H37" si="5">+IF(C23&gt;$C$22,D23+G23,0)</f>
        <v>0</v>
      </c>
      <c r="I23" s="111">
        <f t="shared" si="1"/>
        <v>-2060</v>
      </c>
      <c r="J23" s="111">
        <f t="shared" ref="J23:J37" si="6">IF(I23&lt;=0,0,H23/(((1+$I$38/2)^2)^(I23/365)))</f>
        <v>0</v>
      </c>
      <c r="K23" s="117"/>
      <c r="L23" s="112">
        <f t="shared" ref="L23:L37" si="7">J23*(I23/365)/100</f>
        <v>0</v>
      </c>
      <c r="M23" s="112">
        <f t="shared" ref="M23:M37" si="8">IF(I23&lt;0,0,(H23/$H$38)*I23/365)</f>
        <v>0</v>
      </c>
      <c r="N23" s="113" t="str">
        <f>IF(I23&gt;=0,IF(I21&gt;0,0,-I21),"FALSO")</f>
        <v>FALSO</v>
      </c>
      <c r="O23" s="114" t="str">
        <f t="shared" ref="O23:O37" si="9">+IF(C23&gt;$C$22,C23,"")</f>
        <v/>
      </c>
      <c r="P23" s="115">
        <f t="shared" si="2"/>
        <v>0</v>
      </c>
      <c r="R23" s="116"/>
    </row>
    <row r="24" ht="14.25" customHeight="1">
      <c r="A24" s="116">
        <v>43054.0</v>
      </c>
      <c r="B24" s="116">
        <v>43054.0</v>
      </c>
      <c r="C24" s="116">
        <v>43054.0</v>
      </c>
      <c r="D24" s="109">
        <v>0.0</v>
      </c>
      <c r="E24" s="109">
        <f t="shared" si="3"/>
        <v>100</v>
      </c>
      <c r="F24" s="110" t="str">
        <f t="shared" si="4"/>
        <v/>
      </c>
      <c r="G24" s="109" t="str">
        <f t="shared" ref="G24:G37" si="10">IF(F24="","",IF($E$4=365,E23*F24/365*(C24-C23),E23*F24/360*DAYS360(C23,C24)))</f>
        <v/>
      </c>
      <c r="H24" s="109">
        <f t="shared" si="5"/>
        <v>0</v>
      </c>
      <c r="I24" s="111">
        <f t="shared" si="1"/>
        <v>-1876</v>
      </c>
      <c r="J24" s="111">
        <f t="shared" si="6"/>
        <v>0</v>
      </c>
      <c r="K24" s="112" t="str">
        <f t="shared" ref="K24:K37" si="11">IF(OR(N24="falso",N24=0),"",E23)</f>
        <v/>
      </c>
      <c r="L24" s="112">
        <f t="shared" si="7"/>
        <v>0</v>
      </c>
      <c r="M24" s="112">
        <f t="shared" si="8"/>
        <v>0</v>
      </c>
      <c r="N24" s="113" t="str">
        <f t="shared" ref="N24:N37" si="12">IF(I24&gt;=0,IF(I23&gt;0,0,-I23),"FALSO")</f>
        <v>FALSO</v>
      </c>
      <c r="O24" s="114" t="str">
        <f t="shared" si="9"/>
        <v/>
      </c>
      <c r="P24" s="115">
        <f t="shared" si="2"/>
        <v>0</v>
      </c>
    </row>
    <row r="25" ht="14.25" customHeight="1">
      <c r="A25" s="116">
        <v>43235.0</v>
      </c>
      <c r="B25" s="116">
        <v>43235.0</v>
      </c>
      <c r="C25" s="116">
        <v>43235.0</v>
      </c>
      <c r="D25" s="109">
        <v>0.0</v>
      </c>
      <c r="E25" s="109">
        <f t="shared" si="3"/>
        <v>100</v>
      </c>
      <c r="F25" s="110">
        <f t="shared" si="4"/>
        <v>0.06875</v>
      </c>
      <c r="G25" s="109">
        <f t="shared" si="10"/>
        <v>3.4375</v>
      </c>
      <c r="H25" s="109">
        <f t="shared" si="5"/>
        <v>0</v>
      </c>
      <c r="I25" s="111">
        <f t="shared" si="1"/>
        <v>-1695</v>
      </c>
      <c r="J25" s="111">
        <f t="shared" si="6"/>
        <v>0</v>
      </c>
      <c r="K25" s="117" t="str">
        <f t="shared" si="11"/>
        <v/>
      </c>
      <c r="L25" s="112">
        <f t="shared" si="7"/>
        <v>0</v>
      </c>
      <c r="M25" s="112">
        <f t="shared" si="8"/>
        <v>0</v>
      </c>
      <c r="N25" s="113" t="str">
        <f t="shared" si="12"/>
        <v>FALSO</v>
      </c>
      <c r="O25" s="114" t="str">
        <f t="shared" si="9"/>
        <v/>
      </c>
      <c r="P25" s="115">
        <f t="shared" si="2"/>
        <v>0</v>
      </c>
      <c r="R25" s="82"/>
    </row>
    <row r="26" ht="14.25" customHeight="1">
      <c r="A26" s="116">
        <v>43419.0</v>
      </c>
      <c r="B26" s="116">
        <v>43419.0</v>
      </c>
      <c r="C26" s="116">
        <v>43419.0</v>
      </c>
      <c r="D26" s="109">
        <v>0.0</v>
      </c>
      <c r="E26" s="109">
        <f t="shared" si="3"/>
        <v>100</v>
      </c>
      <c r="F26" s="110">
        <f t="shared" si="4"/>
        <v>0.06875</v>
      </c>
      <c r="G26" s="109">
        <f t="shared" si="10"/>
        <v>3.4375</v>
      </c>
      <c r="H26" s="109">
        <f t="shared" si="5"/>
        <v>0</v>
      </c>
      <c r="I26" s="111">
        <f t="shared" si="1"/>
        <v>-1511</v>
      </c>
      <c r="J26" s="111">
        <f t="shared" si="6"/>
        <v>0</v>
      </c>
      <c r="K26" s="117" t="str">
        <f t="shared" si="11"/>
        <v/>
      </c>
      <c r="L26" s="112">
        <f t="shared" si="7"/>
        <v>0</v>
      </c>
      <c r="M26" s="112">
        <f t="shared" si="8"/>
        <v>0</v>
      </c>
      <c r="N26" s="113" t="str">
        <f t="shared" si="12"/>
        <v>FALSO</v>
      </c>
      <c r="O26" s="114" t="str">
        <f t="shared" si="9"/>
        <v/>
      </c>
      <c r="P26" s="115">
        <f t="shared" si="2"/>
        <v>0</v>
      </c>
      <c r="R26" s="82"/>
    </row>
    <row r="27" ht="14.25" customHeight="1">
      <c r="A27" s="116">
        <v>43600.0</v>
      </c>
      <c r="B27" s="116">
        <v>43600.0</v>
      </c>
      <c r="C27" s="116">
        <v>43600.0</v>
      </c>
      <c r="D27" s="109">
        <v>0.0</v>
      </c>
      <c r="E27" s="109">
        <f t="shared" si="3"/>
        <v>100</v>
      </c>
      <c r="F27" s="110">
        <f t="shared" si="4"/>
        <v>0.06875</v>
      </c>
      <c r="G27" s="109">
        <f t="shared" si="10"/>
        <v>3.4375</v>
      </c>
      <c r="H27" s="109">
        <f t="shared" si="5"/>
        <v>0</v>
      </c>
      <c r="I27" s="111">
        <f t="shared" si="1"/>
        <v>-1330</v>
      </c>
      <c r="J27" s="111">
        <f t="shared" si="6"/>
        <v>0</v>
      </c>
      <c r="K27" s="117" t="str">
        <f t="shared" si="11"/>
        <v/>
      </c>
      <c r="L27" s="112">
        <f t="shared" si="7"/>
        <v>0</v>
      </c>
      <c r="M27" s="112">
        <f t="shared" si="8"/>
        <v>0</v>
      </c>
      <c r="N27" s="113" t="str">
        <f t="shared" si="12"/>
        <v>FALSO</v>
      </c>
      <c r="O27" s="114" t="str">
        <f t="shared" si="9"/>
        <v/>
      </c>
      <c r="P27" s="115">
        <f t="shared" si="2"/>
        <v>0</v>
      </c>
      <c r="R27" s="82"/>
    </row>
    <row r="28" ht="14.25" customHeight="1">
      <c r="A28" s="116">
        <v>43784.0</v>
      </c>
      <c r="B28" s="116">
        <v>43784.0</v>
      </c>
      <c r="C28" s="116">
        <v>43784.0</v>
      </c>
      <c r="D28" s="109">
        <v>0.0</v>
      </c>
      <c r="E28" s="109">
        <f t="shared" si="3"/>
        <v>100</v>
      </c>
      <c r="F28" s="110">
        <f t="shared" si="4"/>
        <v>0.06875</v>
      </c>
      <c r="G28" s="109">
        <f t="shared" si="10"/>
        <v>3.4375</v>
      </c>
      <c r="H28" s="109">
        <f t="shared" si="5"/>
        <v>0</v>
      </c>
      <c r="I28" s="111">
        <f t="shared" si="1"/>
        <v>-1146</v>
      </c>
      <c r="J28" s="111">
        <f t="shared" si="6"/>
        <v>0</v>
      </c>
      <c r="K28" s="117" t="str">
        <f t="shared" si="11"/>
        <v/>
      </c>
      <c r="L28" s="112">
        <f t="shared" si="7"/>
        <v>0</v>
      </c>
      <c r="M28" s="112">
        <f t="shared" si="8"/>
        <v>0</v>
      </c>
      <c r="N28" s="113" t="str">
        <f t="shared" si="12"/>
        <v>FALSO</v>
      </c>
      <c r="O28" s="114" t="str">
        <f t="shared" si="9"/>
        <v/>
      </c>
      <c r="P28" s="115">
        <f t="shared" si="2"/>
        <v>0</v>
      </c>
      <c r="R28" s="82"/>
    </row>
    <row r="29" ht="14.25" customHeight="1">
      <c r="A29" s="116">
        <v>43966.0</v>
      </c>
      <c r="B29" s="116">
        <v>43966.0</v>
      </c>
      <c r="C29" s="116">
        <v>43966.0</v>
      </c>
      <c r="D29" s="109">
        <v>0.0</v>
      </c>
      <c r="E29" s="109">
        <f t="shared" si="3"/>
        <v>100</v>
      </c>
      <c r="F29" s="110">
        <f t="shared" si="4"/>
        <v>0.06875</v>
      </c>
      <c r="G29" s="109">
        <f t="shared" si="10"/>
        <v>3.4375</v>
      </c>
      <c r="H29" s="109">
        <f t="shared" si="5"/>
        <v>0</v>
      </c>
      <c r="I29" s="111">
        <f t="shared" si="1"/>
        <v>-964</v>
      </c>
      <c r="J29" s="111">
        <f t="shared" si="6"/>
        <v>0</v>
      </c>
      <c r="K29" s="117" t="str">
        <f t="shared" si="11"/>
        <v/>
      </c>
      <c r="L29" s="112">
        <f t="shared" si="7"/>
        <v>0</v>
      </c>
      <c r="M29" s="112">
        <f t="shared" si="8"/>
        <v>0</v>
      </c>
      <c r="N29" s="113" t="str">
        <f t="shared" si="12"/>
        <v>FALSO</v>
      </c>
      <c r="O29" s="114" t="str">
        <f t="shared" si="9"/>
        <v/>
      </c>
      <c r="P29" s="115">
        <f t="shared" si="2"/>
        <v>0</v>
      </c>
      <c r="R29" s="82"/>
    </row>
    <row r="30" ht="14.25" customHeight="1">
      <c r="A30" s="116">
        <v>44150.0</v>
      </c>
      <c r="B30" s="116">
        <v>44150.0</v>
      </c>
      <c r="C30" s="116">
        <v>44150.0</v>
      </c>
      <c r="D30" s="109">
        <v>0.0</v>
      </c>
      <c r="E30" s="109">
        <f t="shared" si="3"/>
        <v>100</v>
      </c>
      <c r="F30" s="110">
        <f t="shared" si="4"/>
        <v>0.06875</v>
      </c>
      <c r="G30" s="109">
        <f t="shared" si="10"/>
        <v>3.4375</v>
      </c>
      <c r="H30" s="109">
        <f t="shared" si="5"/>
        <v>0</v>
      </c>
      <c r="I30" s="111">
        <f t="shared" si="1"/>
        <v>-780</v>
      </c>
      <c r="J30" s="111">
        <f t="shared" si="6"/>
        <v>0</v>
      </c>
      <c r="K30" s="117" t="str">
        <f t="shared" si="11"/>
        <v/>
      </c>
      <c r="L30" s="112">
        <f t="shared" si="7"/>
        <v>0</v>
      </c>
      <c r="M30" s="112">
        <f t="shared" si="8"/>
        <v>0</v>
      </c>
      <c r="N30" s="113" t="str">
        <f t="shared" si="12"/>
        <v>FALSO</v>
      </c>
      <c r="O30" s="114" t="str">
        <f t="shared" si="9"/>
        <v/>
      </c>
      <c r="P30" s="115">
        <f t="shared" si="2"/>
        <v>0</v>
      </c>
      <c r="R30" s="82"/>
    </row>
    <row r="31" ht="14.25" customHeight="1">
      <c r="A31" s="116">
        <v>44331.0</v>
      </c>
      <c r="B31" s="116">
        <v>44331.0</v>
      </c>
      <c r="C31" s="116">
        <v>44331.0</v>
      </c>
      <c r="D31" s="109">
        <v>0.0</v>
      </c>
      <c r="E31" s="109">
        <f t="shared" si="3"/>
        <v>100</v>
      </c>
      <c r="F31" s="110">
        <f t="shared" si="4"/>
        <v>0.06875</v>
      </c>
      <c r="G31" s="109">
        <f t="shared" si="10"/>
        <v>3.4375</v>
      </c>
      <c r="H31" s="109">
        <f t="shared" si="5"/>
        <v>0</v>
      </c>
      <c r="I31" s="111">
        <f t="shared" si="1"/>
        <v>-599</v>
      </c>
      <c r="J31" s="111">
        <f t="shared" si="6"/>
        <v>0</v>
      </c>
      <c r="K31" s="117" t="str">
        <f t="shared" si="11"/>
        <v/>
      </c>
      <c r="L31" s="112">
        <f t="shared" si="7"/>
        <v>0</v>
      </c>
      <c r="M31" s="112">
        <f t="shared" si="8"/>
        <v>0</v>
      </c>
      <c r="N31" s="113" t="str">
        <f t="shared" si="12"/>
        <v>FALSO</v>
      </c>
      <c r="O31" s="114" t="str">
        <f t="shared" si="9"/>
        <v/>
      </c>
      <c r="P31" s="115">
        <f t="shared" si="2"/>
        <v>0</v>
      </c>
      <c r="R31" s="82"/>
    </row>
    <row r="32" ht="14.25" customHeight="1">
      <c r="A32" s="116">
        <v>44515.0</v>
      </c>
      <c r="B32" s="116">
        <v>44515.0</v>
      </c>
      <c r="C32" s="116">
        <v>44515.0</v>
      </c>
      <c r="D32" s="109">
        <v>0.0</v>
      </c>
      <c r="E32" s="109">
        <f t="shared" si="3"/>
        <v>100</v>
      </c>
      <c r="F32" s="110">
        <f t="shared" si="4"/>
        <v>0.06875</v>
      </c>
      <c r="G32" s="109">
        <f t="shared" si="10"/>
        <v>3.4375</v>
      </c>
      <c r="H32" s="109">
        <f t="shared" si="5"/>
        <v>0</v>
      </c>
      <c r="I32" s="111">
        <f t="shared" si="1"/>
        <v>-415</v>
      </c>
      <c r="J32" s="111">
        <f t="shared" si="6"/>
        <v>0</v>
      </c>
      <c r="K32" s="117" t="str">
        <f t="shared" si="11"/>
        <v/>
      </c>
      <c r="L32" s="112">
        <f t="shared" si="7"/>
        <v>0</v>
      </c>
      <c r="M32" s="112">
        <f t="shared" si="8"/>
        <v>0</v>
      </c>
      <c r="N32" s="113" t="str">
        <f t="shared" si="12"/>
        <v>FALSO</v>
      </c>
      <c r="O32" s="114" t="str">
        <f t="shared" si="9"/>
        <v/>
      </c>
      <c r="P32" s="115">
        <f t="shared" si="2"/>
        <v>0</v>
      </c>
      <c r="R32" s="82"/>
    </row>
    <row r="33" ht="14.25" customHeight="1">
      <c r="A33" s="116">
        <v>44696.0</v>
      </c>
      <c r="B33" s="116">
        <v>44696.0</v>
      </c>
      <c r="C33" s="116">
        <v>44696.0</v>
      </c>
      <c r="D33" s="109">
        <v>0.0</v>
      </c>
      <c r="E33" s="109">
        <f t="shared" si="3"/>
        <v>100</v>
      </c>
      <c r="F33" s="110">
        <f t="shared" si="4"/>
        <v>0.06875</v>
      </c>
      <c r="G33" s="109">
        <f t="shared" si="10"/>
        <v>3.4375</v>
      </c>
      <c r="H33" s="109">
        <f t="shared" si="5"/>
        <v>0</v>
      </c>
      <c r="I33" s="111">
        <f t="shared" si="1"/>
        <v>-234</v>
      </c>
      <c r="J33" s="111">
        <f t="shared" si="6"/>
        <v>0</v>
      </c>
      <c r="K33" s="117" t="str">
        <f t="shared" si="11"/>
        <v/>
      </c>
      <c r="L33" s="112">
        <f t="shared" si="7"/>
        <v>0</v>
      </c>
      <c r="M33" s="112">
        <f t="shared" si="8"/>
        <v>0</v>
      </c>
      <c r="N33" s="113" t="str">
        <f t="shared" si="12"/>
        <v>FALSO</v>
      </c>
      <c r="O33" s="114" t="str">
        <f t="shared" si="9"/>
        <v/>
      </c>
      <c r="P33" s="115">
        <f t="shared" si="2"/>
        <v>0</v>
      </c>
      <c r="R33" s="82"/>
    </row>
    <row r="34" ht="14.25" customHeight="1">
      <c r="A34" s="116">
        <v>44880.0</v>
      </c>
      <c r="B34" s="116">
        <v>44880.0</v>
      </c>
      <c r="C34" s="116">
        <v>44880.0</v>
      </c>
      <c r="D34" s="109">
        <v>0.0</v>
      </c>
      <c r="E34" s="109">
        <f t="shared" si="3"/>
        <v>100</v>
      </c>
      <c r="F34" s="110">
        <f t="shared" si="4"/>
        <v>0.06875</v>
      </c>
      <c r="G34" s="109">
        <f t="shared" si="10"/>
        <v>3.4375</v>
      </c>
      <c r="H34" s="109">
        <f t="shared" si="5"/>
        <v>0</v>
      </c>
      <c r="I34" s="111">
        <f t="shared" si="1"/>
        <v>-50</v>
      </c>
      <c r="J34" s="111">
        <f t="shared" si="6"/>
        <v>0</v>
      </c>
      <c r="K34" s="117" t="str">
        <f t="shared" si="11"/>
        <v/>
      </c>
      <c r="L34" s="112">
        <f t="shared" si="7"/>
        <v>0</v>
      </c>
      <c r="M34" s="112">
        <f t="shared" si="8"/>
        <v>0</v>
      </c>
      <c r="N34" s="113" t="str">
        <f t="shared" si="12"/>
        <v>FALSO</v>
      </c>
      <c r="O34" s="114" t="str">
        <f t="shared" si="9"/>
        <v/>
      </c>
      <c r="P34" s="115">
        <f t="shared" si="2"/>
        <v>0</v>
      </c>
      <c r="R34" s="82"/>
    </row>
    <row r="35" ht="14.25" customHeight="1">
      <c r="A35" s="116">
        <v>45061.0</v>
      </c>
      <c r="B35" s="116">
        <v>45061.0</v>
      </c>
      <c r="C35" s="116">
        <v>45061.0</v>
      </c>
      <c r="D35" s="109">
        <v>0.0</v>
      </c>
      <c r="E35" s="109">
        <f t="shared" si="3"/>
        <v>100</v>
      </c>
      <c r="F35" s="110">
        <f t="shared" si="4"/>
        <v>0.06875</v>
      </c>
      <c r="G35" s="109">
        <f t="shared" si="10"/>
        <v>3.4375</v>
      </c>
      <c r="H35" s="109">
        <f t="shared" si="5"/>
        <v>3.4375</v>
      </c>
      <c r="I35" s="111">
        <f t="shared" si="1"/>
        <v>131</v>
      </c>
      <c r="J35" s="111">
        <f t="shared" si="6"/>
        <v>3.37369534</v>
      </c>
      <c r="K35" s="117">
        <f t="shared" si="11"/>
        <v>100</v>
      </c>
      <c r="L35" s="112">
        <f t="shared" si="7"/>
        <v>0.01210833122</v>
      </c>
      <c r="M35" s="112">
        <f t="shared" si="8"/>
        <v>0.01118398075</v>
      </c>
      <c r="N35" s="111">
        <f t="shared" si="12"/>
        <v>50</v>
      </c>
      <c r="O35" s="114">
        <f t="shared" si="9"/>
        <v>45061</v>
      </c>
      <c r="P35" s="115">
        <f t="shared" si="2"/>
        <v>3.4375</v>
      </c>
      <c r="R35" s="82"/>
    </row>
    <row r="36" ht="14.25" customHeight="1">
      <c r="A36" s="116">
        <v>45245.0</v>
      </c>
      <c r="B36" s="116">
        <v>45245.0</v>
      </c>
      <c r="C36" s="116">
        <v>45245.0</v>
      </c>
      <c r="D36" s="109">
        <v>0.0</v>
      </c>
      <c r="E36" s="109">
        <f t="shared" si="3"/>
        <v>100</v>
      </c>
      <c r="F36" s="110">
        <f t="shared" si="4"/>
        <v>0.06875</v>
      </c>
      <c r="G36" s="109">
        <f t="shared" si="10"/>
        <v>3.4375</v>
      </c>
      <c r="H36" s="109">
        <f t="shared" si="5"/>
        <v>3.4375</v>
      </c>
      <c r="I36" s="111">
        <f t="shared" si="1"/>
        <v>315</v>
      </c>
      <c r="J36" s="111">
        <f t="shared" si="6"/>
        <v>3.286071505</v>
      </c>
      <c r="K36" s="117" t="str">
        <f t="shared" si="11"/>
        <v/>
      </c>
      <c r="L36" s="112">
        <f t="shared" si="7"/>
        <v>0.02835924724</v>
      </c>
      <c r="M36" s="112">
        <f t="shared" si="8"/>
        <v>0.02689277814</v>
      </c>
      <c r="N36" s="113">
        <f t="shared" si="12"/>
        <v>0</v>
      </c>
      <c r="O36" s="114">
        <f t="shared" si="9"/>
        <v>45245</v>
      </c>
      <c r="P36" s="115">
        <f t="shared" si="2"/>
        <v>3.4375</v>
      </c>
      <c r="R36" s="82"/>
    </row>
    <row r="37" ht="14.25" customHeight="1">
      <c r="A37" s="116">
        <v>45427.0</v>
      </c>
      <c r="B37" s="116">
        <v>45427.0</v>
      </c>
      <c r="C37" s="116">
        <v>45427.0</v>
      </c>
      <c r="D37" s="109">
        <v>100.0</v>
      </c>
      <c r="E37" s="109">
        <f t="shared" si="3"/>
        <v>0</v>
      </c>
      <c r="F37" s="110">
        <f t="shared" si="4"/>
        <v>0.06875</v>
      </c>
      <c r="G37" s="109">
        <f t="shared" si="10"/>
        <v>3.4375</v>
      </c>
      <c r="H37" s="109">
        <f t="shared" si="5"/>
        <v>103.4375</v>
      </c>
      <c r="I37" s="111">
        <f t="shared" si="1"/>
        <v>497</v>
      </c>
      <c r="J37" s="111">
        <f t="shared" si="6"/>
        <v>96.34023315</v>
      </c>
      <c r="K37" s="117" t="str">
        <f t="shared" si="11"/>
        <v/>
      </c>
      <c r="L37" s="112">
        <f t="shared" si="7"/>
        <v>1.311810846</v>
      </c>
      <c r="M37" s="112">
        <f t="shared" si="8"/>
        <v>1.27678218</v>
      </c>
      <c r="N37" s="113">
        <f t="shared" si="12"/>
        <v>0</v>
      </c>
      <c r="O37" s="114">
        <f t="shared" si="9"/>
        <v>45427</v>
      </c>
      <c r="P37" s="115">
        <f t="shared" si="2"/>
        <v>103.4375</v>
      </c>
      <c r="R37" s="82"/>
    </row>
    <row r="38" ht="14.25" customHeight="1">
      <c r="H38" s="118">
        <f>SUMIF(I22:I37,"&gt;0",H22:H37)</f>
        <v>110.3125</v>
      </c>
      <c r="I38" s="119">
        <f>+H10</f>
        <v>0.05288999172</v>
      </c>
      <c r="J38" s="119">
        <f>SUM(J22:J37)</f>
        <v>0</v>
      </c>
      <c r="K38" s="120">
        <f>SUM(K22:K37)/$E$22</f>
        <v>1</v>
      </c>
      <c r="L38" s="121">
        <f t="shared" ref="L38:M38" si="13">SUM(L22:L37)</f>
        <v>1.352278424</v>
      </c>
      <c r="M38" s="119">
        <f t="shared" si="13"/>
        <v>1.314858939</v>
      </c>
      <c r="N38" s="122">
        <f>SUM(N24:N37)</f>
        <v>50</v>
      </c>
      <c r="O38" s="123">
        <f>MIN(O24:O37)</f>
        <v>45061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7" width="16.86"/>
    <col customWidth="1" min="8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  <c r="Q1" s="137"/>
      <c r="R1" s="137"/>
      <c r="S1" s="116"/>
    </row>
    <row r="2" ht="14.25" customHeight="1">
      <c r="C2" s="73" t="s">
        <v>21</v>
      </c>
      <c r="D2" s="74">
        <v>43655.0</v>
      </c>
      <c r="E2" s="75">
        <v>0.067</v>
      </c>
      <c r="G2" s="71" t="s">
        <v>142</v>
      </c>
      <c r="H2" s="76">
        <f>+E17*100+E11</f>
        <v>51.60194444</v>
      </c>
      <c r="M2" s="77"/>
      <c r="N2" s="78"/>
      <c r="R2" s="137"/>
      <c r="S2" s="116"/>
    </row>
    <row r="3" ht="14.25" customHeight="1">
      <c r="C3" s="71" t="s">
        <v>143</v>
      </c>
      <c r="D3" s="71"/>
      <c r="E3" s="79">
        <v>43564.0</v>
      </c>
      <c r="F3" s="80"/>
      <c r="G3" s="71" t="s">
        <v>144</v>
      </c>
      <c r="H3" s="81">
        <f>IF(E1&gt;D2,E2*E17*E6/E12,"")</f>
        <v>0.06184647088</v>
      </c>
      <c r="I3" s="82"/>
      <c r="L3" s="83"/>
      <c r="M3" s="84"/>
      <c r="N3" s="85"/>
      <c r="R3" s="137"/>
      <c r="S3" s="116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108.0773227</v>
      </c>
      <c r="L4" s="83"/>
      <c r="M4" s="84"/>
      <c r="N4" s="85"/>
      <c r="R4" s="137"/>
      <c r="S4" s="116"/>
    </row>
    <row r="5" ht="14.25" customHeight="1">
      <c r="C5" s="71" t="s">
        <v>147</v>
      </c>
      <c r="D5" s="88"/>
      <c r="E5" s="79">
        <v>43655.0</v>
      </c>
      <c r="G5" s="71" t="s">
        <v>148</v>
      </c>
      <c r="H5" s="89">
        <f>MIN(O22:O43)</f>
        <v>44935</v>
      </c>
      <c r="L5" s="83"/>
      <c r="M5" s="84"/>
      <c r="N5" s="85"/>
      <c r="R5" s="137"/>
      <c r="S5" s="116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MAX(C22:C43)</f>
        <v>45391</v>
      </c>
      <c r="L6" s="83"/>
      <c r="M6" s="84"/>
      <c r="N6" s="85"/>
      <c r="R6" s="137"/>
      <c r="S6" s="116"/>
    </row>
    <row r="7" ht="14.25" customHeight="1">
      <c r="C7" s="91" t="s">
        <v>151</v>
      </c>
      <c r="D7" s="91"/>
      <c r="G7" s="71" t="s">
        <v>152</v>
      </c>
      <c r="H7" s="92">
        <f>+H6-E1</f>
        <v>461</v>
      </c>
      <c r="L7" s="83"/>
      <c r="M7" s="84"/>
      <c r="N7" s="85"/>
      <c r="R7" s="137"/>
      <c r="S7" s="116"/>
    </row>
    <row r="8" ht="14.25" customHeight="1">
      <c r="L8" s="83"/>
      <c r="M8" s="84"/>
      <c r="N8" s="85"/>
      <c r="R8" s="137"/>
      <c r="S8" s="116"/>
    </row>
    <row r="9" ht="14.25" customHeight="1">
      <c r="C9" s="71" t="s">
        <v>153</v>
      </c>
      <c r="D9" s="71"/>
      <c r="E9" s="93">
        <f>+Curva!C22</f>
        <v>55.77</v>
      </c>
      <c r="G9" s="94"/>
      <c r="H9" s="95" t="s">
        <v>154</v>
      </c>
      <c r="I9" s="95" t="s">
        <v>155</v>
      </c>
      <c r="J9" s="96" t="s">
        <v>156</v>
      </c>
      <c r="L9" s="83"/>
      <c r="M9" s="84"/>
      <c r="N9" s="85"/>
      <c r="R9" s="137"/>
      <c r="S9" s="116"/>
    </row>
    <row r="10" ht="14.25" customHeight="1">
      <c r="C10" s="71" t="s">
        <v>157</v>
      </c>
      <c r="D10" s="71"/>
      <c r="E10" s="97">
        <f t="array" ref="E10">DAYS360(MAX(IF(C23:C43&lt;=E1,C23:C43)),E1,1)</f>
        <v>85</v>
      </c>
      <c r="G10" s="98" t="s">
        <v>158</v>
      </c>
      <c r="H10" s="99">
        <f>+((XIRR(P22:P43,C22:C43)+1)^(1/2)-1)*2</f>
        <v>-0.0801482828</v>
      </c>
      <c r="I10" s="99">
        <f>+((XIRR(P22:P43,A22:A43)+1)^(1/2)-1)*2</f>
        <v>-0.07981398996</v>
      </c>
      <c r="J10" s="99">
        <f>+((XIRR(P22:P43,B22:B43)+1)^(1/2)-1)*2</f>
        <v>-0.07948244125</v>
      </c>
      <c r="L10" s="83"/>
      <c r="M10" s="84"/>
      <c r="N10" s="85"/>
      <c r="R10" s="137"/>
      <c r="S10" s="116"/>
    </row>
    <row r="11" ht="14.25" customHeight="1">
      <c r="C11" s="71" t="s">
        <v>159</v>
      </c>
      <c r="D11" s="71"/>
      <c r="E11" s="76">
        <f>+($E$2*$E$6/4)*$H$12/$H$13</f>
        <v>1.581944444</v>
      </c>
      <c r="L11" s="83"/>
      <c r="M11" s="84"/>
      <c r="N11" s="85"/>
      <c r="R11" s="137"/>
      <c r="S11" s="116"/>
    </row>
    <row r="12" ht="14.25" customHeight="1">
      <c r="C12" s="71" t="s">
        <v>160</v>
      </c>
      <c r="D12" s="71"/>
      <c r="E12" s="93">
        <f>+E9-E11</f>
        <v>54.18805556</v>
      </c>
      <c r="G12" s="126" t="s">
        <v>187</v>
      </c>
      <c r="H12" s="127">
        <f>COUPDAYBS(C22,C43,4,0)</f>
        <v>85</v>
      </c>
      <c r="L12" s="83"/>
      <c r="M12" s="84"/>
      <c r="N12" s="85"/>
      <c r="Q12" s="116"/>
      <c r="R12" s="137"/>
      <c r="S12" s="116"/>
    </row>
    <row r="13" ht="14.25" customHeight="1">
      <c r="C13" s="101"/>
      <c r="D13" s="101"/>
      <c r="G13" s="126" t="s">
        <v>188</v>
      </c>
      <c r="H13" s="128">
        <f>COUPDAYS(C22,C43,4)</f>
        <v>90</v>
      </c>
      <c r="L13" s="83"/>
      <c r="M13" s="84"/>
      <c r="N13" s="85"/>
      <c r="R13" s="137"/>
      <c r="S13" s="116"/>
    </row>
    <row r="14" ht="14.25" customHeight="1">
      <c r="C14" s="71" t="s">
        <v>161</v>
      </c>
      <c r="D14" s="71"/>
      <c r="E14" s="100">
        <f>(L44*100)/SUM(J24:J43)</f>
        <v>0.6408693218</v>
      </c>
      <c r="G14" s="126" t="s">
        <v>189</v>
      </c>
      <c r="H14" s="129">
        <f>+($E$2*$E$6/4)*$H$12/$H$13</f>
        <v>1.581944444</v>
      </c>
      <c r="L14" s="83"/>
      <c r="M14" s="84"/>
      <c r="N14" s="85"/>
      <c r="R14" s="137"/>
      <c r="S14" s="116"/>
    </row>
    <row r="15" ht="14.25" customHeight="1">
      <c r="C15" s="71" t="s">
        <v>162</v>
      </c>
      <c r="D15" s="71"/>
      <c r="E15" s="100">
        <f>E14/(1+I44/2)</f>
        <v>0.6676237713</v>
      </c>
      <c r="M15" s="84"/>
      <c r="N15" s="85"/>
      <c r="R15" s="137"/>
      <c r="S15" s="116"/>
    </row>
    <row r="16" ht="14.25" customHeight="1">
      <c r="C16" s="71" t="s">
        <v>163</v>
      </c>
      <c r="D16" s="71"/>
      <c r="E16" s="100">
        <f>M44</f>
        <v>0.6259198697</v>
      </c>
      <c r="M16" s="84"/>
      <c r="N16" s="85"/>
      <c r="R16" s="137"/>
      <c r="S16" s="116"/>
    </row>
    <row r="17" ht="14.25" customHeight="1">
      <c r="C17" s="71" t="s">
        <v>164</v>
      </c>
      <c r="D17" s="71"/>
      <c r="E17" s="100">
        <f>K44</f>
        <v>0.5002</v>
      </c>
      <c r="M17" s="84"/>
      <c r="N17" s="85"/>
      <c r="R17" s="137"/>
      <c r="S17" s="116"/>
    </row>
    <row r="18" ht="14.25" customHeight="1">
      <c r="J18" s="102"/>
      <c r="R18" s="137"/>
      <c r="S18" s="116"/>
    </row>
    <row r="19" ht="14.25" customHeight="1">
      <c r="R19" s="137"/>
      <c r="S19" s="116"/>
    </row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  <c r="S20" s="116"/>
    </row>
    <row r="21" ht="14.25" customHeight="1">
      <c r="A21" s="107" t="s">
        <v>155</v>
      </c>
      <c r="B21" s="107" t="s">
        <v>156</v>
      </c>
      <c r="C21" s="107" t="s">
        <v>154</v>
      </c>
      <c r="S21" s="116"/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-55.77</v>
      </c>
      <c r="I22" s="111">
        <f t="shared" ref="I22:I43" si="1">+C22-$E$1</f>
        <v>0</v>
      </c>
      <c r="J22" s="111">
        <f>H22</f>
        <v>-55.77</v>
      </c>
      <c r="K22" s="117"/>
      <c r="L22" s="112"/>
      <c r="M22" s="112"/>
      <c r="N22" s="113"/>
      <c r="O22" s="114"/>
      <c r="P22" s="115">
        <f t="shared" ref="P22:P43" si="2">+H22</f>
        <v>-55.77</v>
      </c>
      <c r="S22" s="116"/>
    </row>
    <row r="23" ht="14.25" customHeight="1">
      <c r="A23" s="116">
        <v>43564.0</v>
      </c>
      <c r="B23" s="116">
        <v>43564.0</v>
      </c>
      <c r="C23" s="116">
        <v>43564.0</v>
      </c>
      <c r="D23" s="109">
        <v>0.0</v>
      </c>
      <c r="E23" s="109">
        <f t="shared" ref="E23:E43" si="3">+E22-D23</f>
        <v>100</v>
      </c>
      <c r="F23" s="110"/>
      <c r="G23" s="109"/>
      <c r="H23" s="109">
        <f t="shared" ref="H23:H43" si="4">+IF(C23&gt;$C$22,D23+G23,0)</f>
        <v>0</v>
      </c>
      <c r="I23" s="111">
        <f t="shared" si="1"/>
        <v>-1366</v>
      </c>
      <c r="J23" s="111">
        <f t="shared" ref="J23:J43" si="5">IF(I23&lt;=0,0,H23/(((1+$I$44/2)^2)^(I23/365)))</f>
        <v>0</v>
      </c>
      <c r="K23" s="117"/>
      <c r="L23" s="112">
        <f t="shared" ref="L23:L43" si="6">J23*(I23/365)/100</f>
        <v>0</v>
      </c>
      <c r="M23" s="112">
        <f t="shared" ref="M23:M43" si="7">IF(I23&lt;0,0,(H23/$H$44)*I23/365)</f>
        <v>0</v>
      </c>
      <c r="N23" s="113" t="str">
        <f>IF(I23&gt;=0,IF(I21&gt;0,0,-I21),"FALSO")</f>
        <v>FALSO</v>
      </c>
      <c r="O23" s="114" t="str">
        <f t="shared" ref="O23:O43" si="8">+IF(C23&gt;$C$22,C23,"")</f>
        <v/>
      </c>
      <c r="P23" s="115">
        <f t="shared" si="2"/>
        <v>0</v>
      </c>
    </row>
    <row r="24" ht="14.25" customHeight="1">
      <c r="A24" s="116">
        <v>43655.0</v>
      </c>
      <c r="B24" s="116">
        <v>43655.0</v>
      </c>
      <c r="C24" s="116">
        <v>43655.0</v>
      </c>
      <c r="D24" s="109">
        <v>0.0</v>
      </c>
      <c r="E24" s="109">
        <f t="shared" si="3"/>
        <v>100</v>
      </c>
      <c r="F24" s="110">
        <f>IF(C24&gt;=$D$2,$E$2,"")</f>
        <v>0.067</v>
      </c>
      <c r="G24" s="109">
        <f t="shared" ref="G24:G43" si="9">IF(F24="","",IF($E$4=365,E23*F24/365*(C24-C23),E23*F24/360*DAYS360(C23,C24)))</f>
        <v>1.675</v>
      </c>
      <c r="H24" s="109">
        <f t="shared" si="4"/>
        <v>0</v>
      </c>
      <c r="I24" s="111">
        <f t="shared" si="1"/>
        <v>-1275</v>
      </c>
      <c r="J24" s="111">
        <f t="shared" si="5"/>
        <v>0</v>
      </c>
      <c r="K24" s="112" t="str">
        <f t="shared" ref="K24:K43" si="10">IF(OR(N24="falso",N24=0),"",E23)</f>
        <v/>
      </c>
      <c r="L24" s="112">
        <f t="shared" si="6"/>
        <v>0</v>
      </c>
      <c r="M24" s="112">
        <f t="shared" si="7"/>
        <v>0</v>
      </c>
      <c r="N24" s="113" t="str">
        <f t="shared" ref="N24:N43" si="11">IF(I24&gt;=0,IF(I23&gt;0,0,-I23),"FALSO")</f>
        <v>FALSO</v>
      </c>
      <c r="O24" s="114" t="str">
        <f t="shared" si="8"/>
        <v/>
      </c>
      <c r="P24" s="115">
        <f t="shared" si="2"/>
        <v>0</v>
      </c>
    </row>
    <row r="25" ht="14.25" customHeight="1">
      <c r="A25" s="116">
        <v>43747.0</v>
      </c>
      <c r="B25" s="116">
        <v>43747.0</v>
      </c>
      <c r="C25" s="116">
        <v>43747.0</v>
      </c>
      <c r="D25" s="109">
        <v>0.0</v>
      </c>
      <c r="E25" s="109">
        <f t="shared" si="3"/>
        <v>100</v>
      </c>
      <c r="F25" s="110">
        <f t="shared" ref="F25:F43" si="12">IF(C25&gt;$D$2,$E$2,"")</f>
        <v>0.067</v>
      </c>
      <c r="G25" s="109">
        <f t="shared" si="9"/>
        <v>1.675</v>
      </c>
      <c r="H25" s="109">
        <f t="shared" si="4"/>
        <v>0</v>
      </c>
      <c r="I25" s="111">
        <f t="shared" si="1"/>
        <v>-1183</v>
      </c>
      <c r="J25" s="111">
        <f t="shared" si="5"/>
        <v>0</v>
      </c>
      <c r="K25" s="117" t="str">
        <f t="shared" si="10"/>
        <v/>
      </c>
      <c r="L25" s="112">
        <f t="shared" si="6"/>
        <v>0</v>
      </c>
      <c r="M25" s="112">
        <f t="shared" si="7"/>
        <v>0</v>
      </c>
      <c r="N25" s="113" t="str">
        <f t="shared" si="11"/>
        <v>FALSO</v>
      </c>
      <c r="O25" s="114" t="str">
        <f t="shared" si="8"/>
        <v/>
      </c>
      <c r="P25" s="115">
        <f t="shared" si="2"/>
        <v>0</v>
      </c>
      <c r="R25" s="82"/>
    </row>
    <row r="26" ht="14.25" customHeight="1">
      <c r="A26" s="116">
        <v>43839.0</v>
      </c>
      <c r="B26" s="116">
        <v>43839.0</v>
      </c>
      <c r="C26" s="116">
        <v>43839.0</v>
      </c>
      <c r="D26" s="109">
        <v>0.0</v>
      </c>
      <c r="E26" s="109">
        <f t="shared" si="3"/>
        <v>100</v>
      </c>
      <c r="F26" s="110">
        <f t="shared" si="12"/>
        <v>0.067</v>
      </c>
      <c r="G26" s="109">
        <f t="shared" si="9"/>
        <v>1.675</v>
      </c>
      <c r="H26" s="109">
        <f t="shared" si="4"/>
        <v>0</v>
      </c>
      <c r="I26" s="111">
        <f t="shared" si="1"/>
        <v>-1091</v>
      </c>
      <c r="J26" s="111">
        <f t="shared" si="5"/>
        <v>0</v>
      </c>
      <c r="K26" s="117" t="str">
        <f t="shared" si="10"/>
        <v/>
      </c>
      <c r="L26" s="112">
        <f t="shared" si="6"/>
        <v>0</v>
      </c>
      <c r="M26" s="112">
        <f t="shared" si="7"/>
        <v>0</v>
      </c>
      <c r="N26" s="113" t="str">
        <f t="shared" si="11"/>
        <v>FALSO</v>
      </c>
      <c r="O26" s="114" t="str">
        <f t="shared" si="8"/>
        <v/>
      </c>
      <c r="P26" s="115">
        <f t="shared" si="2"/>
        <v>0</v>
      </c>
      <c r="R26" s="82"/>
    </row>
    <row r="27" ht="14.25" customHeight="1">
      <c r="A27" s="116">
        <v>43930.0</v>
      </c>
      <c r="B27" s="116">
        <v>43930.0</v>
      </c>
      <c r="C27" s="116">
        <v>43930.0</v>
      </c>
      <c r="D27" s="109">
        <v>0.0</v>
      </c>
      <c r="E27" s="109">
        <f t="shared" si="3"/>
        <v>100</v>
      </c>
      <c r="F27" s="110">
        <f t="shared" si="12"/>
        <v>0.067</v>
      </c>
      <c r="G27" s="109">
        <f t="shared" si="9"/>
        <v>1.675</v>
      </c>
      <c r="H27" s="109">
        <f t="shared" si="4"/>
        <v>0</v>
      </c>
      <c r="I27" s="111">
        <f t="shared" si="1"/>
        <v>-1000</v>
      </c>
      <c r="J27" s="111">
        <f t="shared" si="5"/>
        <v>0</v>
      </c>
      <c r="K27" s="117" t="str">
        <f t="shared" si="10"/>
        <v/>
      </c>
      <c r="L27" s="112">
        <f t="shared" si="6"/>
        <v>0</v>
      </c>
      <c r="M27" s="112">
        <f t="shared" si="7"/>
        <v>0</v>
      </c>
      <c r="N27" s="113" t="str">
        <f t="shared" si="11"/>
        <v>FALSO</v>
      </c>
      <c r="O27" s="114" t="str">
        <f t="shared" si="8"/>
        <v/>
      </c>
      <c r="P27" s="115">
        <f t="shared" si="2"/>
        <v>0</v>
      </c>
      <c r="R27" s="82"/>
    </row>
    <row r="28" ht="14.25" customHeight="1">
      <c r="A28" s="116">
        <v>44021.0</v>
      </c>
      <c r="B28" s="116">
        <v>44021.0</v>
      </c>
      <c r="C28" s="116">
        <v>44021.0</v>
      </c>
      <c r="D28" s="109">
        <v>0.0</v>
      </c>
      <c r="E28" s="109">
        <f t="shared" si="3"/>
        <v>100</v>
      </c>
      <c r="F28" s="110">
        <f t="shared" si="12"/>
        <v>0.067</v>
      </c>
      <c r="G28" s="109">
        <f t="shared" si="9"/>
        <v>1.675</v>
      </c>
      <c r="H28" s="109">
        <f t="shared" si="4"/>
        <v>0</v>
      </c>
      <c r="I28" s="111">
        <f t="shared" si="1"/>
        <v>-909</v>
      </c>
      <c r="J28" s="111">
        <f t="shared" si="5"/>
        <v>0</v>
      </c>
      <c r="K28" s="117" t="str">
        <f t="shared" si="10"/>
        <v/>
      </c>
      <c r="L28" s="112">
        <f t="shared" si="6"/>
        <v>0</v>
      </c>
      <c r="M28" s="112">
        <f t="shared" si="7"/>
        <v>0</v>
      </c>
      <c r="N28" s="113" t="str">
        <f t="shared" si="11"/>
        <v>FALSO</v>
      </c>
      <c r="O28" s="114" t="str">
        <f t="shared" si="8"/>
        <v/>
      </c>
      <c r="P28" s="115">
        <f t="shared" si="2"/>
        <v>0</v>
      </c>
      <c r="R28" s="82"/>
    </row>
    <row r="29" ht="14.25" customHeight="1">
      <c r="A29" s="116">
        <v>44113.0</v>
      </c>
      <c r="B29" s="116">
        <v>44113.0</v>
      </c>
      <c r="C29" s="116">
        <v>44113.0</v>
      </c>
      <c r="D29" s="109">
        <v>0.0</v>
      </c>
      <c r="E29" s="109">
        <f t="shared" si="3"/>
        <v>100</v>
      </c>
      <c r="F29" s="110">
        <f t="shared" si="12"/>
        <v>0.067</v>
      </c>
      <c r="G29" s="109">
        <f t="shared" si="9"/>
        <v>1.675</v>
      </c>
      <c r="H29" s="109">
        <f t="shared" si="4"/>
        <v>0</v>
      </c>
      <c r="I29" s="111">
        <f t="shared" si="1"/>
        <v>-817</v>
      </c>
      <c r="J29" s="111">
        <f t="shared" si="5"/>
        <v>0</v>
      </c>
      <c r="K29" s="117" t="str">
        <f t="shared" si="10"/>
        <v/>
      </c>
      <c r="L29" s="112">
        <f t="shared" si="6"/>
        <v>0</v>
      </c>
      <c r="M29" s="112">
        <f t="shared" si="7"/>
        <v>0</v>
      </c>
      <c r="N29" s="113" t="str">
        <f t="shared" si="11"/>
        <v>FALSO</v>
      </c>
      <c r="O29" s="114" t="str">
        <f t="shared" si="8"/>
        <v/>
      </c>
      <c r="P29" s="115">
        <f t="shared" si="2"/>
        <v>0</v>
      </c>
      <c r="R29" s="82"/>
    </row>
    <row r="30" ht="14.25" customHeight="1">
      <c r="A30" s="116">
        <v>44205.0</v>
      </c>
      <c r="B30" s="116">
        <v>44205.0</v>
      </c>
      <c r="C30" s="116">
        <v>44205.0</v>
      </c>
      <c r="D30" s="109">
        <v>0.0</v>
      </c>
      <c r="E30" s="109">
        <f t="shared" si="3"/>
        <v>100</v>
      </c>
      <c r="F30" s="110">
        <f t="shared" si="12"/>
        <v>0.067</v>
      </c>
      <c r="G30" s="109">
        <f t="shared" si="9"/>
        <v>1.675</v>
      </c>
      <c r="H30" s="109">
        <f t="shared" si="4"/>
        <v>0</v>
      </c>
      <c r="I30" s="111">
        <f t="shared" si="1"/>
        <v>-725</v>
      </c>
      <c r="J30" s="111">
        <f t="shared" si="5"/>
        <v>0</v>
      </c>
      <c r="K30" s="117" t="str">
        <f t="shared" si="10"/>
        <v/>
      </c>
      <c r="L30" s="112">
        <f t="shared" si="6"/>
        <v>0</v>
      </c>
      <c r="M30" s="112">
        <f t="shared" si="7"/>
        <v>0</v>
      </c>
      <c r="N30" s="113" t="str">
        <f t="shared" si="11"/>
        <v>FALSO</v>
      </c>
      <c r="O30" s="114" t="str">
        <f t="shared" si="8"/>
        <v/>
      </c>
      <c r="P30" s="115">
        <f t="shared" si="2"/>
        <v>0</v>
      </c>
      <c r="R30" s="82"/>
    </row>
    <row r="31" ht="14.25" customHeight="1">
      <c r="A31" s="116">
        <v>44295.0</v>
      </c>
      <c r="B31" s="116">
        <v>44295.0</v>
      </c>
      <c r="C31" s="116">
        <v>44295.0</v>
      </c>
      <c r="D31" s="109">
        <v>0.0</v>
      </c>
      <c r="E31" s="109">
        <f t="shared" si="3"/>
        <v>100</v>
      </c>
      <c r="F31" s="110">
        <f t="shared" si="12"/>
        <v>0.067</v>
      </c>
      <c r="G31" s="109">
        <f t="shared" si="9"/>
        <v>1.675</v>
      </c>
      <c r="H31" s="109">
        <f t="shared" si="4"/>
        <v>0</v>
      </c>
      <c r="I31" s="111">
        <f t="shared" si="1"/>
        <v>-635</v>
      </c>
      <c r="J31" s="111">
        <f t="shared" si="5"/>
        <v>0</v>
      </c>
      <c r="K31" s="117" t="str">
        <f t="shared" si="10"/>
        <v/>
      </c>
      <c r="L31" s="112">
        <f t="shared" si="6"/>
        <v>0</v>
      </c>
      <c r="M31" s="112">
        <f t="shared" si="7"/>
        <v>0</v>
      </c>
      <c r="N31" s="113" t="str">
        <f t="shared" si="11"/>
        <v>FALSO</v>
      </c>
      <c r="O31" s="114" t="str">
        <f t="shared" si="8"/>
        <v/>
      </c>
      <c r="P31" s="115">
        <f t="shared" si="2"/>
        <v>0</v>
      </c>
      <c r="R31" s="82"/>
    </row>
    <row r="32" ht="14.25" customHeight="1">
      <c r="A32" s="116">
        <v>44386.0</v>
      </c>
      <c r="B32" s="116">
        <v>44386.0</v>
      </c>
      <c r="C32" s="116">
        <v>44386.0</v>
      </c>
      <c r="D32" s="109">
        <v>8.33</v>
      </c>
      <c r="E32" s="109">
        <f t="shared" si="3"/>
        <v>91.67</v>
      </c>
      <c r="F32" s="110">
        <f t="shared" si="12"/>
        <v>0.067</v>
      </c>
      <c r="G32" s="109">
        <f t="shared" si="9"/>
        <v>1.675</v>
      </c>
      <c r="H32" s="109">
        <f t="shared" si="4"/>
        <v>0</v>
      </c>
      <c r="I32" s="111">
        <f t="shared" si="1"/>
        <v>-544</v>
      </c>
      <c r="J32" s="111">
        <f t="shared" si="5"/>
        <v>0</v>
      </c>
      <c r="K32" s="117" t="str">
        <f t="shared" si="10"/>
        <v/>
      </c>
      <c r="L32" s="112">
        <f t="shared" si="6"/>
        <v>0</v>
      </c>
      <c r="M32" s="112">
        <f t="shared" si="7"/>
        <v>0</v>
      </c>
      <c r="N32" s="113" t="str">
        <f t="shared" si="11"/>
        <v>FALSO</v>
      </c>
      <c r="O32" s="114" t="str">
        <f t="shared" si="8"/>
        <v/>
      </c>
      <c r="P32" s="115">
        <f t="shared" si="2"/>
        <v>0</v>
      </c>
      <c r="R32" s="82"/>
    </row>
    <row r="33" ht="14.25" customHeight="1">
      <c r="A33" s="116">
        <v>44478.0</v>
      </c>
      <c r="B33" s="116">
        <v>44478.0</v>
      </c>
      <c r="C33" s="116">
        <v>44478.0</v>
      </c>
      <c r="D33" s="109">
        <v>8.33</v>
      </c>
      <c r="E33" s="109">
        <f t="shared" si="3"/>
        <v>83.34</v>
      </c>
      <c r="F33" s="110">
        <f t="shared" si="12"/>
        <v>0.067</v>
      </c>
      <c r="G33" s="109">
        <f t="shared" si="9"/>
        <v>1.5354725</v>
      </c>
      <c r="H33" s="109">
        <f t="shared" si="4"/>
        <v>0</v>
      </c>
      <c r="I33" s="111">
        <f t="shared" si="1"/>
        <v>-452</v>
      </c>
      <c r="J33" s="111">
        <f t="shared" si="5"/>
        <v>0</v>
      </c>
      <c r="K33" s="117" t="str">
        <f t="shared" si="10"/>
        <v/>
      </c>
      <c r="L33" s="112">
        <f t="shared" si="6"/>
        <v>0</v>
      </c>
      <c r="M33" s="112">
        <f t="shared" si="7"/>
        <v>0</v>
      </c>
      <c r="N33" s="113" t="str">
        <f t="shared" si="11"/>
        <v>FALSO</v>
      </c>
      <c r="O33" s="114" t="str">
        <f t="shared" si="8"/>
        <v/>
      </c>
      <c r="P33" s="115">
        <f t="shared" si="2"/>
        <v>0</v>
      </c>
      <c r="R33" s="82"/>
    </row>
    <row r="34" ht="14.25" customHeight="1">
      <c r="A34" s="116">
        <v>44570.0</v>
      </c>
      <c r="B34" s="116">
        <v>44570.0</v>
      </c>
      <c r="C34" s="116">
        <v>44570.0</v>
      </c>
      <c r="D34" s="109">
        <v>8.33</v>
      </c>
      <c r="E34" s="109">
        <f t="shared" si="3"/>
        <v>75.01</v>
      </c>
      <c r="F34" s="110">
        <f t="shared" si="12"/>
        <v>0.067</v>
      </c>
      <c r="G34" s="109">
        <f t="shared" si="9"/>
        <v>1.395945</v>
      </c>
      <c r="H34" s="109">
        <f t="shared" si="4"/>
        <v>0</v>
      </c>
      <c r="I34" s="111">
        <f t="shared" si="1"/>
        <v>-360</v>
      </c>
      <c r="J34" s="111">
        <f t="shared" si="5"/>
        <v>0</v>
      </c>
      <c r="K34" s="117" t="str">
        <f t="shared" si="10"/>
        <v/>
      </c>
      <c r="L34" s="112">
        <f t="shared" si="6"/>
        <v>0</v>
      </c>
      <c r="M34" s="112">
        <f t="shared" si="7"/>
        <v>0</v>
      </c>
      <c r="N34" s="113" t="str">
        <f t="shared" si="11"/>
        <v>FALSO</v>
      </c>
      <c r="O34" s="114" t="str">
        <f t="shared" si="8"/>
        <v/>
      </c>
      <c r="P34" s="115">
        <f t="shared" si="2"/>
        <v>0</v>
      </c>
      <c r="R34" s="82"/>
    </row>
    <row r="35" ht="14.25" customHeight="1">
      <c r="A35" s="116">
        <v>44660.0</v>
      </c>
      <c r="B35" s="116">
        <v>44660.0</v>
      </c>
      <c r="C35" s="116">
        <v>44660.0</v>
      </c>
      <c r="D35" s="109">
        <v>8.33</v>
      </c>
      <c r="E35" s="109">
        <f t="shared" si="3"/>
        <v>66.68</v>
      </c>
      <c r="F35" s="110">
        <f t="shared" si="12"/>
        <v>0.067</v>
      </c>
      <c r="G35" s="109">
        <f t="shared" si="9"/>
        <v>1.2564175</v>
      </c>
      <c r="H35" s="109">
        <f t="shared" si="4"/>
        <v>0</v>
      </c>
      <c r="I35" s="111">
        <f t="shared" si="1"/>
        <v>-270</v>
      </c>
      <c r="J35" s="111">
        <f t="shared" si="5"/>
        <v>0</v>
      </c>
      <c r="K35" s="117" t="str">
        <f t="shared" si="10"/>
        <v/>
      </c>
      <c r="L35" s="112">
        <f t="shared" si="6"/>
        <v>0</v>
      </c>
      <c r="M35" s="112">
        <f t="shared" si="7"/>
        <v>0</v>
      </c>
      <c r="N35" s="113" t="str">
        <f t="shared" si="11"/>
        <v>FALSO</v>
      </c>
      <c r="O35" s="114" t="str">
        <f t="shared" si="8"/>
        <v/>
      </c>
      <c r="P35" s="115">
        <f t="shared" si="2"/>
        <v>0</v>
      </c>
      <c r="R35" s="82"/>
    </row>
    <row r="36" ht="14.25" customHeight="1">
      <c r="A36" s="116">
        <v>44751.0</v>
      </c>
      <c r="B36" s="116">
        <v>44751.0</v>
      </c>
      <c r="C36" s="116">
        <v>44751.0</v>
      </c>
      <c r="D36" s="109">
        <v>8.33</v>
      </c>
      <c r="E36" s="109">
        <f t="shared" si="3"/>
        <v>58.35</v>
      </c>
      <c r="F36" s="110">
        <f t="shared" si="12"/>
        <v>0.067</v>
      </c>
      <c r="G36" s="109">
        <f t="shared" si="9"/>
        <v>1.11689</v>
      </c>
      <c r="H36" s="109">
        <f t="shared" si="4"/>
        <v>0</v>
      </c>
      <c r="I36" s="111">
        <f t="shared" si="1"/>
        <v>-179</v>
      </c>
      <c r="J36" s="111">
        <f t="shared" si="5"/>
        <v>0</v>
      </c>
      <c r="K36" s="117" t="str">
        <f t="shared" si="10"/>
        <v/>
      </c>
      <c r="L36" s="112">
        <f t="shared" si="6"/>
        <v>0</v>
      </c>
      <c r="M36" s="112">
        <f t="shared" si="7"/>
        <v>0</v>
      </c>
      <c r="N36" s="113" t="str">
        <f t="shared" si="11"/>
        <v>FALSO</v>
      </c>
      <c r="O36" s="114" t="str">
        <f t="shared" si="8"/>
        <v/>
      </c>
      <c r="P36" s="115">
        <f t="shared" si="2"/>
        <v>0</v>
      </c>
    </row>
    <row r="37" ht="14.25" customHeight="1">
      <c r="A37" s="116">
        <v>44843.0</v>
      </c>
      <c r="B37" s="116">
        <v>44843.0</v>
      </c>
      <c r="C37" s="116">
        <v>44843.0</v>
      </c>
      <c r="D37" s="109">
        <v>8.33</v>
      </c>
      <c r="E37" s="109">
        <f t="shared" si="3"/>
        <v>50.02</v>
      </c>
      <c r="F37" s="110">
        <f t="shared" si="12"/>
        <v>0.067</v>
      </c>
      <c r="G37" s="109">
        <f t="shared" si="9"/>
        <v>0.9773625</v>
      </c>
      <c r="H37" s="109">
        <f t="shared" si="4"/>
        <v>0</v>
      </c>
      <c r="I37" s="111">
        <f t="shared" si="1"/>
        <v>-87</v>
      </c>
      <c r="J37" s="111">
        <f t="shared" si="5"/>
        <v>0</v>
      </c>
      <c r="K37" s="117" t="str">
        <f t="shared" si="10"/>
        <v/>
      </c>
      <c r="L37" s="112">
        <f t="shared" si="6"/>
        <v>0</v>
      </c>
      <c r="M37" s="112">
        <f t="shared" si="7"/>
        <v>0</v>
      </c>
      <c r="N37" s="113" t="str">
        <f t="shared" si="11"/>
        <v>FALSO</v>
      </c>
      <c r="O37" s="114" t="str">
        <f t="shared" si="8"/>
        <v/>
      </c>
      <c r="P37" s="115">
        <f t="shared" si="2"/>
        <v>0</v>
      </c>
    </row>
    <row r="38" ht="14.25" customHeight="1">
      <c r="A38" s="116">
        <v>44935.0</v>
      </c>
      <c r="B38" s="116">
        <v>44935.0</v>
      </c>
      <c r="C38" s="116">
        <v>44935.0</v>
      </c>
      <c r="D38" s="109">
        <v>8.33</v>
      </c>
      <c r="E38" s="109">
        <f t="shared" si="3"/>
        <v>41.69</v>
      </c>
      <c r="F38" s="110">
        <f t="shared" si="12"/>
        <v>0.067</v>
      </c>
      <c r="G38" s="109">
        <f t="shared" si="9"/>
        <v>0.837835</v>
      </c>
      <c r="H38" s="109">
        <f t="shared" si="4"/>
        <v>9.167835</v>
      </c>
      <c r="I38" s="111">
        <f t="shared" si="1"/>
        <v>5</v>
      </c>
      <c r="J38" s="111">
        <f t="shared" si="5"/>
        <v>9.178113562</v>
      </c>
      <c r="K38" s="117">
        <f t="shared" si="10"/>
        <v>50.02</v>
      </c>
      <c r="L38" s="112">
        <f t="shared" si="6"/>
        <v>0.00125727583</v>
      </c>
      <c r="M38" s="112">
        <f t="shared" si="7"/>
        <v>0.002371615923</v>
      </c>
      <c r="N38" s="111">
        <f t="shared" si="11"/>
        <v>87</v>
      </c>
      <c r="O38" s="114">
        <f t="shared" si="8"/>
        <v>44935</v>
      </c>
      <c r="P38" s="115">
        <f t="shared" si="2"/>
        <v>9.167835</v>
      </c>
    </row>
    <row r="39" ht="14.25" customHeight="1">
      <c r="A39" s="116">
        <v>45025.0</v>
      </c>
      <c r="B39" s="116">
        <v>45025.0</v>
      </c>
      <c r="C39" s="116">
        <v>45025.0</v>
      </c>
      <c r="D39" s="109">
        <v>8.33</v>
      </c>
      <c r="E39" s="109">
        <f t="shared" si="3"/>
        <v>33.36</v>
      </c>
      <c r="F39" s="110">
        <f t="shared" si="12"/>
        <v>0.067</v>
      </c>
      <c r="G39" s="109">
        <f t="shared" si="9"/>
        <v>0.6983075</v>
      </c>
      <c r="H39" s="109">
        <f t="shared" si="4"/>
        <v>9.0283075</v>
      </c>
      <c r="I39" s="111">
        <f t="shared" si="1"/>
        <v>95</v>
      </c>
      <c r="J39" s="111">
        <f t="shared" si="5"/>
        <v>9.222580953</v>
      </c>
      <c r="K39" s="117" t="str">
        <f t="shared" si="10"/>
        <v/>
      </c>
      <c r="L39" s="112">
        <f t="shared" si="6"/>
        <v>0.02400397782</v>
      </c>
      <c r="M39" s="112">
        <f t="shared" si="7"/>
        <v>0.0443749128</v>
      </c>
      <c r="N39" s="113">
        <f t="shared" si="11"/>
        <v>0</v>
      </c>
      <c r="O39" s="114">
        <f t="shared" si="8"/>
        <v>45025</v>
      </c>
      <c r="P39" s="115">
        <f t="shared" si="2"/>
        <v>9.0283075</v>
      </c>
    </row>
    <row r="40" ht="14.25" customHeight="1">
      <c r="A40" s="116">
        <v>45116.0</v>
      </c>
      <c r="B40" s="116">
        <v>45116.0</v>
      </c>
      <c r="C40" s="116">
        <v>45116.0</v>
      </c>
      <c r="D40" s="109">
        <v>8.33</v>
      </c>
      <c r="E40" s="109">
        <f t="shared" si="3"/>
        <v>25.03</v>
      </c>
      <c r="F40" s="110">
        <f t="shared" si="12"/>
        <v>0.067</v>
      </c>
      <c r="G40" s="109">
        <f t="shared" si="9"/>
        <v>0.55878</v>
      </c>
      <c r="H40" s="109">
        <f t="shared" si="4"/>
        <v>8.88878</v>
      </c>
      <c r="I40" s="111">
        <f t="shared" si="1"/>
        <v>186</v>
      </c>
      <c r="J40" s="111">
        <f t="shared" si="5"/>
        <v>9.267126973</v>
      </c>
      <c r="K40" s="117" t="str">
        <f t="shared" si="10"/>
        <v/>
      </c>
      <c r="L40" s="112">
        <f t="shared" si="6"/>
        <v>0.04722426348</v>
      </c>
      <c r="M40" s="112">
        <f t="shared" si="7"/>
        <v>0.0855387041</v>
      </c>
      <c r="N40" s="113">
        <f t="shared" si="11"/>
        <v>0</v>
      </c>
      <c r="O40" s="114">
        <f t="shared" si="8"/>
        <v>45116</v>
      </c>
      <c r="P40" s="115">
        <f t="shared" si="2"/>
        <v>8.88878</v>
      </c>
    </row>
    <row r="41" ht="14.25" customHeight="1">
      <c r="A41" s="116">
        <v>45208.0</v>
      </c>
      <c r="B41" s="116">
        <v>45208.0</v>
      </c>
      <c r="C41" s="116">
        <v>45208.0</v>
      </c>
      <c r="D41" s="109">
        <v>8.33</v>
      </c>
      <c r="E41" s="109">
        <f t="shared" si="3"/>
        <v>16.7</v>
      </c>
      <c r="F41" s="110">
        <f t="shared" si="12"/>
        <v>0.067</v>
      </c>
      <c r="G41" s="109">
        <f t="shared" si="9"/>
        <v>0.4192525</v>
      </c>
      <c r="H41" s="109">
        <f t="shared" si="4"/>
        <v>8.7492525</v>
      </c>
      <c r="I41" s="111">
        <f t="shared" si="1"/>
        <v>278</v>
      </c>
      <c r="J41" s="111">
        <f t="shared" si="5"/>
        <v>9.311680298</v>
      </c>
      <c r="K41" s="117" t="str">
        <f t="shared" si="10"/>
        <v/>
      </c>
      <c r="L41" s="112">
        <f t="shared" si="6"/>
        <v>0.07092183898</v>
      </c>
      <c r="M41" s="112">
        <f t="shared" si="7"/>
        <v>0.1258413333</v>
      </c>
      <c r="N41" s="113">
        <f t="shared" si="11"/>
        <v>0</v>
      </c>
      <c r="O41" s="114">
        <f t="shared" si="8"/>
        <v>45208</v>
      </c>
      <c r="P41" s="115">
        <f t="shared" si="2"/>
        <v>8.7492525</v>
      </c>
    </row>
    <row r="42" ht="14.25" customHeight="1">
      <c r="A42" s="116">
        <v>45300.0</v>
      </c>
      <c r="B42" s="116">
        <v>45300.0</v>
      </c>
      <c r="C42" s="116">
        <v>45300.0</v>
      </c>
      <c r="D42" s="109">
        <v>8.33</v>
      </c>
      <c r="E42" s="109">
        <f t="shared" si="3"/>
        <v>8.37</v>
      </c>
      <c r="F42" s="110">
        <f t="shared" si="12"/>
        <v>0.067</v>
      </c>
      <c r="G42" s="109">
        <f t="shared" si="9"/>
        <v>0.279725</v>
      </c>
      <c r="H42" s="109">
        <f t="shared" si="4"/>
        <v>8.609725</v>
      </c>
      <c r="I42" s="111">
        <f t="shared" si="1"/>
        <v>370</v>
      </c>
      <c r="J42" s="111">
        <f t="shared" si="5"/>
        <v>9.354068304</v>
      </c>
      <c r="K42" s="117" t="str">
        <f t="shared" si="10"/>
        <v/>
      </c>
      <c r="L42" s="112">
        <f t="shared" si="6"/>
        <v>0.09482206226</v>
      </c>
      <c r="M42" s="112">
        <f t="shared" si="7"/>
        <v>0.1648156961</v>
      </c>
      <c r="N42" s="113">
        <f t="shared" si="11"/>
        <v>0</v>
      </c>
      <c r="O42" s="114">
        <f t="shared" si="8"/>
        <v>45300</v>
      </c>
      <c r="P42" s="115">
        <f t="shared" si="2"/>
        <v>8.609725</v>
      </c>
    </row>
    <row r="43" ht="14.25" customHeight="1">
      <c r="A43" s="116">
        <v>45391.0</v>
      </c>
      <c r="B43" s="116">
        <v>45391.0</v>
      </c>
      <c r="C43" s="116">
        <v>45391.0</v>
      </c>
      <c r="D43" s="109">
        <v>8.37</v>
      </c>
      <c r="E43" s="109">
        <f t="shared" si="3"/>
        <v>0</v>
      </c>
      <c r="F43" s="110">
        <f t="shared" si="12"/>
        <v>0.067</v>
      </c>
      <c r="G43" s="109">
        <f t="shared" si="9"/>
        <v>0.1401975</v>
      </c>
      <c r="H43" s="109">
        <f t="shared" si="4"/>
        <v>8.5101975</v>
      </c>
      <c r="I43" s="111">
        <f t="shared" si="1"/>
        <v>461</v>
      </c>
      <c r="J43" s="111">
        <f t="shared" si="5"/>
        <v>9.43642991</v>
      </c>
      <c r="K43" s="117" t="str">
        <f t="shared" si="10"/>
        <v/>
      </c>
      <c r="L43" s="112">
        <f t="shared" si="6"/>
        <v>0.1191834024</v>
      </c>
      <c r="M43" s="112">
        <f t="shared" si="7"/>
        <v>0.2029776076</v>
      </c>
      <c r="N43" s="113">
        <f t="shared" si="11"/>
        <v>0</v>
      </c>
      <c r="O43" s="114">
        <f t="shared" si="8"/>
        <v>45391</v>
      </c>
      <c r="P43" s="115">
        <f t="shared" si="2"/>
        <v>8.5101975</v>
      </c>
    </row>
    <row r="44" ht="14.25" customHeight="1">
      <c r="H44" s="118">
        <f>SUMIF(I22:I43,"&gt;0",H22:H43)</f>
        <v>52.9540975</v>
      </c>
      <c r="I44" s="119">
        <f>+H10</f>
        <v>-0.0801482828</v>
      </c>
      <c r="J44" s="119">
        <f>SUM(J22:J43)</f>
        <v>0</v>
      </c>
      <c r="K44" s="120">
        <f>SUM(K22:K43)/$E$22</f>
        <v>0.5002</v>
      </c>
      <c r="L44" s="121">
        <f t="shared" ref="L44:M44" si="13">SUM(L22:L43)</f>
        <v>0.3574128208</v>
      </c>
      <c r="M44" s="119">
        <f t="shared" si="13"/>
        <v>0.6259198697</v>
      </c>
      <c r="N44" s="122">
        <f>SUM(N24:N43)</f>
        <v>87</v>
      </c>
      <c r="O44" s="123">
        <f>MIN(O24:O43)</f>
        <v>44935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73" t="s">
        <v>21</v>
      </c>
      <c r="D2" s="74">
        <v>44915.0</v>
      </c>
      <c r="E2" s="75">
        <v>0.075</v>
      </c>
      <c r="G2" s="71" t="s">
        <v>142</v>
      </c>
      <c r="H2" s="76">
        <f>+E17*100+E11</f>
        <v>100.9166667</v>
      </c>
      <c r="M2" s="77"/>
      <c r="N2" s="78"/>
    </row>
    <row r="3" ht="14.25" customHeight="1">
      <c r="C3" s="71" t="s">
        <v>143</v>
      </c>
      <c r="D3" s="71"/>
      <c r="E3" s="79">
        <v>44701.0</v>
      </c>
      <c r="F3" s="80"/>
      <c r="G3" s="71" t="s">
        <v>144</v>
      </c>
      <c r="H3" s="81">
        <f>IF(E1&gt;D2,E2*E17*E6/E12,"")</f>
        <v>0.07275666936</v>
      </c>
      <c r="I3" s="82"/>
      <c r="L3" s="83"/>
      <c r="M3" s="84"/>
      <c r="N3" s="85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103.0553262</v>
      </c>
      <c r="L4" s="83"/>
      <c r="M4" s="84"/>
      <c r="N4" s="85"/>
    </row>
    <row r="5" ht="14.25" customHeight="1">
      <c r="C5" s="71" t="s">
        <v>147</v>
      </c>
      <c r="D5" s="88"/>
      <c r="E5" s="79">
        <v>45280.0</v>
      </c>
      <c r="G5" s="71" t="s">
        <v>148</v>
      </c>
      <c r="H5" s="89">
        <f>MIN(O22:O27)</f>
        <v>45066</v>
      </c>
      <c r="L5" s="83"/>
      <c r="M5" s="84"/>
      <c r="N5" s="85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MAX(C22:C27)</f>
        <v>45432</v>
      </c>
      <c r="L6" s="83"/>
      <c r="M6" s="84"/>
      <c r="N6" s="85"/>
    </row>
    <row r="7" ht="14.25" customHeight="1">
      <c r="C7" s="91" t="s">
        <v>151</v>
      </c>
      <c r="D7" s="91"/>
      <c r="G7" s="71" t="s">
        <v>152</v>
      </c>
      <c r="H7" s="92">
        <f>+H6-E1</f>
        <v>502</v>
      </c>
      <c r="L7" s="83"/>
      <c r="M7" s="84"/>
      <c r="N7" s="85"/>
    </row>
    <row r="8" ht="14.25" customHeight="1">
      <c r="L8" s="83"/>
      <c r="M8" s="84"/>
      <c r="N8" s="85"/>
    </row>
    <row r="9" ht="14.25" customHeight="1">
      <c r="C9" s="71" t="s">
        <v>153</v>
      </c>
      <c r="D9" s="71"/>
      <c r="E9" s="93">
        <f>+Curva!C24</f>
        <v>104</v>
      </c>
      <c r="G9" s="94"/>
      <c r="H9" s="95" t="s">
        <v>154</v>
      </c>
      <c r="I9" s="95" t="s">
        <v>155</v>
      </c>
      <c r="J9" s="96" t="s">
        <v>156</v>
      </c>
      <c r="L9" s="83"/>
      <c r="M9" s="84"/>
      <c r="N9" s="85"/>
    </row>
    <row r="10" ht="14.25" customHeight="1">
      <c r="C10" s="71" t="s">
        <v>157</v>
      </c>
      <c r="D10" s="71"/>
      <c r="E10" s="97">
        <f t="array" ref="E10">DAYS360(MAX(IF(C23:C27&lt;=E1,C23:C27)),E1,1)</f>
        <v>14</v>
      </c>
      <c r="G10" s="98" t="s">
        <v>158</v>
      </c>
      <c r="H10" s="99">
        <f>+((XIRR(P22:P27,C22:C27)+1)^(1/2)-1)*2</f>
        <v>0.04699180879</v>
      </c>
      <c r="I10" s="99">
        <f>+((XIRR(P22:P27,A22:A27)+1)^(1/2)-1)*2</f>
        <v>0.04689399164</v>
      </c>
      <c r="J10" s="99">
        <f>+((XIRR(P22:P27,B22:B27)+1)^(1/2)-1)*2</f>
        <v>0.0467965811</v>
      </c>
      <c r="L10" s="83"/>
      <c r="M10" s="84"/>
      <c r="N10" s="85"/>
    </row>
    <row r="11" ht="14.25" customHeight="1">
      <c r="C11" s="71" t="s">
        <v>159</v>
      </c>
      <c r="D11" s="71"/>
      <c r="E11" s="76">
        <f>+($E$2*$E$6/2)*$H$12/$H$13</f>
        <v>0.9166666667</v>
      </c>
      <c r="L11" s="83"/>
      <c r="M11" s="84"/>
      <c r="N11" s="85"/>
    </row>
    <row r="12" ht="14.25" customHeight="1">
      <c r="C12" s="71" t="s">
        <v>160</v>
      </c>
      <c r="D12" s="71"/>
      <c r="E12" s="93">
        <f>+E9-E11</f>
        <v>103.0833333</v>
      </c>
      <c r="G12" s="126" t="s">
        <v>187</v>
      </c>
      <c r="H12" s="127">
        <f>COUPDAYBS(C22,C27,2,0)</f>
        <v>44</v>
      </c>
      <c r="L12" s="83"/>
      <c r="M12" s="84"/>
      <c r="N12" s="85"/>
    </row>
    <row r="13" ht="14.25" customHeight="1">
      <c r="C13" s="101"/>
      <c r="D13" s="101"/>
      <c r="G13" s="126" t="s">
        <v>188</v>
      </c>
      <c r="H13" s="128">
        <f>COUPDAYS(C22,C27,2)</f>
        <v>180</v>
      </c>
      <c r="L13" s="83"/>
      <c r="M13" s="84"/>
      <c r="N13" s="85"/>
    </row>
    <row r="14" ht="14.25" customHeight="1">
      <c r="C14" s="71" t="s">
        <v>161</v>
      </c>
      <c r="D14" s="71"/>
      <c r="E14" s="100">
        <f>(L28*100)/SUM(J23:J27)</f>
        <v>1.328746491</v>
      </c>
      <c r="G14" s="126" t="s">
        <v>189</v>
      </c>
      <c r="H14" s="129">
        <f>+($E$2*$E$6/4)*$H$12/$H$13</f>
        <v>0.4583333333</v>
      </c>
      <c r="L14" s="83"/>
      <c r="M14" s="84"/>
      <c r="N14" s="85"/>
    </row>
    <row r="15" ht="14.25" customHeight="1">
      <c r="C15" s="71" t="s">
        <v>162</v>
      </c>
      <c r="D15" s="71"/>
      <c r="E15" s="100">
        <f>E14/(1+I28/2)</f>
        <v>1.298243096</v>
      </c>
      <c r="M15" s="84"/>
      <c r="N15" s="85"/>
    </row>
    <row r="16" ht="14.25" customHeight="1">
      <c r="C16" s="71" t="s">
        <v>163</v>
      </c>
      <c r="D16" s="71"/>
      <c r="E16" s="100">
        <f>M28</f>
        <v>1.330340789</v>
      </c>
      <c r="M16" s="84"/>
      <c r="N16" s="85"/>
    </row>
    <row r="17" ht="14.25" customHeight="1">
      <c r="C17" s="71" t="s">
        <v>164</v>
      </c>
      <c r="D17" s="71"/>
      <c r="E17" s="100">
        <f>K28</f>
        <v>1</v>
      </c>
      <c r="M17" s="84"/>
      <c r="N17" s="85"/>
    </row>
    <row r="18" ht="14.25" customHeight="1">
      <c r="J18" s="102"/>
    </row>
    <row r="19" ht="14.25" customHeight="1"/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</row>
    <row r="21" ht="14.25" customHeight="1">
      <c r="A21" s="107" t="s">
        <v>155</v>
      </c>
      <c r="B21" s="107" t="s">
        <v>156</v>
      </c>
      <c r="C21" s="107" t="s">
        <v>154</v>
      </c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-104</v>
      </c>
      <c r="I22" s="111">
        <f t="shared" ref="I22:I27" si="1">+C22-$E$1</f>
        <v>0</v>
      </c>
      <c r="J22" s="111">
        <f>H22</f>
        <v>-104</v>
      </c>
      <c r="K22" s="112" t="str">
        <f>IF(OR(N22="falso",N22=0),"",E21)</f>
        <v/>
      </c>
      <c r="L22" s="112"/>
      <c r="M22" s="112"/>
      <c r="N22" s="113"/>
      <c r="O22" s="114"/>
      <c r="P22" s="115">
        <f t="shared" ref="P22:P27" si="2">+H22</f>
        <v>-104</v>
      </c>
    </row>
    <row r="23" ht="14.25" customHeight="1">
      <c r="A23" s="116">
        <v>44701.0</v>
      </c>
      <c r="B23" s="116">
        <v>44701.0</v>
      </c>
      <c r="C23" s="116">
        <v>44701.0</v>
      </c>
      <c r="D23" s="109">
        <v>0.0</v>
      </c>
      <c r="E23" s="109">
        <f t="shared" ref="E23:E27" si="3">+E22-D23</f>
        <v>100</v>
      </c>
      <c r="F23" s="110" t="str">
        <f t="shared" ref="F23:F24" si="4">IF(C23&gt;=$D$2,$E$2,"")</f>
        <v/>
      </c>
      <c r="G23" s="109"/>
      <c r="H23" s="109">
        <f t="shared" ref="H23:H27" si="5">+IF(C23&gt;$C$22,D23+G23,0)</f>
        <v>0</v>
      </c>
      <c r="I23" s="111">
        <f t="shared" si="1"/>
        <v>-229</v>
      </c>
      <c r="J23" s="111">
        <f t="shared" ref="J23:J27" si="6">IF(I23&lt;=0,0,H23/(((1+$I$28/2)^2)^(I23/365)))</f>
        <v>0</v>
      </c>
      <c r="K23" s="112" t="str">
        <f t="shared" ref="K23:K24" si="7">IF(OR(N23="falso",N23=0),"",E21)</f>
        <v/>
      </c>
      <c r="L23" s="112">
        <f t="shared" ref="L23:L27" si="8">J23*(I23/365)/100</f>
        <v>0</v>
      </c>
      <c r="M23" s="112">
        <f t="shared" ref="M23:M27" si="9">IF(I23&lt;0,0,(H23/$H$28)*I23/365)</f>
        <v>0</v>
      </c>
      <c r="N23" s="113" t="str">
        <f>IF(I23&gt;=0,IF(I21&gt;0,0,-I21),"FALSO")</f>
        <v>FALSO</v>
      </c>
      <c r="O23" s="114" t="str">
        <f t="shared" ref="O23:O27" si="10">+IF(C23&gt;$C$22,C23,"")</f>
        <v/>
      </c>
      <c r="P23" s="115">
        <f t="shared" si="2"/>
        <v>0</v>
      </c>
    </row>
    <row r="24" ht="14.25" customHeight="1">
      <c r="A24" s="116">
        <v>44915.0</v>
      </c>
      <c r="B24" s="116">
        <v>44915.0</v>
      </c>
      <c r="C24" s="116">
        <v>44915.0</v>
      </c>
      <c r="D24" s="109">
        <v>0.0</v>
      </c>
      <c r="E24" s="109">
        <f t="shared" si="3"/>
        <v>100</v>
      </c>
      <c r="F24" s="110">
        <f t="shared" si="4"/>
        <v>0.075</v>
      </c>
      <c r="G24" s="109">
        <f t="shared" ref="G24:G27" si="11">IF(F24="","",IF($E$4=365,E23*F24/365*(C24-C23),E23*F24/360*DAYS360(C23,C24)))</f>
        <v>4.375</v>
      </c>
      <c r="H24" s="109">
        <f t="shared" si="5"/>
        <v>0</v>
      </c>
      <c r="I24" s="111">
        <f t="shared" si="1"/>
        <v>-15</v>
      </c>
      <c r="J24" s="111">
        <f t="shared" si="6"/>
        <v>0</v>
      </c>
      <c r="K24" s="112" t="str">
        <f t="shared" si="7"/>
        <v/>
      </c>
      <c r="L24" s="112">
        <f t="shared" si="8"/>
        <v>0</v>
      </c>
      <c r="M24" s="112">
        <f t="shared" si="9"/>
        <v>0</v>
      </c>
      <c r="N24" s="113" t="str">
        <f t="shared" ref="N24:N27" si="12">IF(I24&gt;=0,IF(I23&gt;0,0,-I23),"FALSO")</f>
        <v>FALSO</v>
      </c>
      <c r="O24" s="114" t="str">
        <f t="shared" si="10"/>
        <v/>
      </c>
      <c r="P24" s="115">
        <f t="shared" si="2"/>
        <v>0</v>
      </c>
    </row>
    <row r="25" ht="14.25" customHeight="1">
      <c r="A25" s="116">
        <v>45066.0</v>
      </c>
      <c r="B25" s="116">
        <v>45066.0</v>
      </c>
      <c r="C25" s="116">
        <v>45066.0</v>
      </c>
      <c r="D25" s="109">
        <v>0.0</v>
      </c>
      <c r="E25" s="109">
        <f t="shared" si="3"/>
        <v>100</v>
      </c>
      <c r="F25" s="110">
        <f t="shared" ref="F25:F27" si="13">IF(C25&gt;$D$2,$E$2,"")</f>
        <v>0.075</v>
      </c>
      <c r="G25" s="109">
        <f t="shared" si="11"/>
        <v>3.125</v>
      </c>
      <c r="H25" s="109">
        <f t="shared" si="5"/>
        <v>3.125</v>
      </c>
      <c r="I25" s="111">
        <f t="shared" si="1"/>
        <v>136</v>
      </c>
      <c r="J25" s="111">
        <f t="shared" si="6"/>
        <v>3.071381739</v>
      </c>
      <c r="K25" s="112">
        <f t="shared" ref="K25:K27" si="14">IF(OR(N25="falso",N25=0),"",E24)</f>
        <v>100</v>
      </c>
      <c r="L25" s="112">
        <f t="shared" si="8"/>
        <v>0.01144405251</v>
      </c>
      <c r="M25" s="112">
        <f t="shared" si="9"/>
        <v>0.01052550112</v>
      </c>
      <c r="N25" s="111">
        <f t="shared" si="12"/>
        <v>15</v>
      </c>
      <c r="O25" s="114">
        <f t="shared" si="10"/>
        <v>45066</v>
      </c>
      <c r="P25" s="115">
        <f t="shared" si="2"/>
        <v>3.125</v>
      </c>
    </row>
    <row r="26" ht="14.25" customHeight="1">
      <c r="A26" s="116">
        <v>45272.0</v>
      </c>
      <c r="B26" s="116">
        <v>45272.0</v>
      </c>
      <c r="C26" s="116">
        <v>45272.0</v>
      </c>
      <c r="D26" s="109">
        <v>0.0</v>
      </c>
      <c r="E26" s="109">
        <f t="shared" si="3"/>
        <v>100</v>
      </c>
      <c r="F26" s="110">
        <f t="shared" si="13"/>
        <v>0.075</v>
      </c>
      <c r="G26" s="109">
        <f t="shared" si="11"/>
        <v>4.208333333</v>
      </c>
      <c r="H26" s="109">
        <f t="shared" si="5"/>
        <v>4.208333333</v>
      </c>
      <c r="I26" s="111">
        <f t="shared" si="1"/>
        <v>342</v>
      </c>
      <c r="J26" s="111">
        <f t="shared" si="6"/>
        <v>4.029109216</v>
      </c>
      <c r="K26" s="117" t="str">
        <f t="shared" si="14"/>
        <v/>
      </c>
      <c r="L26" s="112">
        <f t="shared" si="8"/>
        <v>0.03775220142</v>
      </c>
      <c r="M26" s="112">
        <f t="shared" si="9"/>
        <v>0.03564429998</v>
      </c>
      <c r="N26" s="113">
        <f t="shared" si="12"/>
        <v>0</v>
      </c>
      <c r="O26" s="114">
        <f t="shared" si="10"/>
        <v>45272</v>
      </c>
      <c r="P26" s="115">
        <f t="shared" si="2"/>
        <v>4.208333333</v>
      </c>
      <c r="R26" s="82"/>
    </row>
    <row r="27" ht="14.25" customHeight="1">
      <c r="A27" s="116">
        <v>45432.0</v>
      </c>
      <c r="B27" s="116">
        <v>45432.0</v>
      </c>
      <c r="C27" s="116">
        <v>45432.0</v>
      </c>
      <c r="D27" s="109">
        <v>100.0</v>
      </c>
      <c r="E27" s="109">
        <f t="shared" si="3"/>
        <v>0</v>
      </c>
      <c r="F27" s="110">
        <f t="shared" si="13"/>
        <v>0.075</v>
      </c>
      <c r="G27" s="109">
        <f t="shared" si="11"/>
        <v>3.291666667</v>
      </c>
      <c r="H27" s="109">
        <f t="shared" si="5"/>
        <v>103.2916667</v>
      </c>
      <c r="I27" s="111">
        <f t="shared" si="1"/>
        <v>502</v>
      </c>
      <c r="J27" s="111">
        <f t="shared" si="6"/>
        <v>96.89950904</v>
      </c>
      <c r="K27" s="117" t="str">
        <f t="shared" si="14"/>
        <v/>
      </c>
      <c r="L27" s="112">
        <f t="shared" si="8"/>
        <v>1.332700097</v>
      </c>
      <c r="M27" s="112">
        <f t="shared" si="9"/>
        <v>1.284170988</v>
      </c>
      <c r="N27" s="113">
        <f t="shared" si="12"/>
        <v>0</v>
      </c>
      <c r="O27" s="114">
        <f t="shared" si="10"/>
        <v>45432</v>
      </c>
      <c r="P27" s="115">
        <f t="shared" si="2"/>
        <v>103.2916667</v>
      </c>
      <c r="R27" s="82"/>
    </row>
    <row r="28" ht="14.25" customHeight="1">
      <c r="H28" s="118">
        <f>SUMIF(I22:I27,"&gt;0",H22:H27)</f>
        <v>110.625</v>
      </c>
      <c r="I28" s="119">
        <f>+H10</f>
        <v>0.04699180879</v>
      </c>
      <c r="J28" s="119">
        <f>SUM(J22:J27)</f>
        <v>0</v>
      </c>
      <c r="K28" s="120">
        <f>SUM(K22:K27)/$E$22</f>
        <v>1</v>
      </c>
      <c r="L28" s="121">
        <f t="shared" ref="L28:M28" si="15">SUM(L22:L27)</f>
        <v>1.381896351</v>
      </c>
      <c r="M28" s="119">
        <f t="shared" si="15"/>
        <v>1.330340789</v>
      </c>
      <c r="N28" s="122">
        <f>SUM(N24:N27)</f>
        <v>15</v>
      </c>
      <c r="O28" s="123">
        <f>MIN(O22:O27)</f>
        <v>45066</v>
      </c>
    </row>
    <row r="29" ht="14.25" customHeight="1"/>
    <row r="30" ht="14.25" customHeight="1">
      <c r="D30" s="102"/>
    </row>
    <row r="31" ht="14.25" customHeight="1"/>
    <row r="32" ht="14.25" customHeight="1">
      <c r="A32" s="124"/>
      <c r="B32" s="124"/>
      <c r="C32" s="124"/>
      <c r="D32" s="124"/>
      <c r="E32" s="124"/>
      <c r="F32" s="124"/>
      <c r="G32" s="124"/>
      <c r="H32" s="124"/>
      <c r="I32" s="124"/>
      <c r="J32" s="124"/>
    </row>
    <row r="33" ht="14.25" customHeight="1">
      <c r="A33" s="124"/>
      <c r="B33" s="124" t="s">
        <v>178</v>
      </c>
      <c r="C33" s="124" t="s">
        <v>179</v>
      </c>
      <c r="D33" s="124" t="s">
        <v>180</v>
      </c>
      <c r="E33" s="124" t="s">
        <v>181</v>
      </c>
      <c r="F33" s="124" t="s">
        <v>182</v>
      </c>
      <c r="G33" s="124" t="s">
        <v>183</v>
      </c>
      <c r="H33" s="124" t="s">
        <v>184</v>
      </c>
      <c r="I33" s="124"/>
      <c r="J33" s="124"/>
    </row>
    <row r="34" ht="14.25" customHeight="1">
      <c r="A34" s="124"/>
      <c r="B34" s="125">
        <v>44108.0</v>
      </c>
      <c r="C34" s="124" t="s">
        <v>185</v>
      </c>
      <c r="D34" s="124" t="s">
        <v>33</v>
      </c>
      <c r="E34" s="124">
        <v>43.75</v>
      </c>
      <c r="F34" s="124">
        <v>0.0</v>
      </c>
      <c r="G34" s="124">
        <v>43.75</v>
      </c>
      <c r="H34" s="124" t="s">
        <v>186</v>
      </c>
      <c r="I34" s="124"/>
      <c r="J34" s="124"/>
    </row>
    <row r="35" ht="14.25" customHeight="1">
      <c r="A35" s="124"/>
      <c r="B35" s="125">
        <v>44290.0</v>
      </c>
      <c r="C35" s="124" t="s">
        <v>185</v>
      </c>
      <c r="D35" s="124" t="s">
        <v>33</v>
      </c>
      <c r="E35" s="124">
        <v>43.75</v>
      </c>
      <c r="F35" s="124">
        <v>0.0</v>
      </c>
      <c r="G35" s="124">
        <v>43.75</v>
      </c>
      <c r="H35" s="124" t="s">
        <v>186</v>
      </c>
      <c r="I35" s="124"/>
      <c r="J35" s="124"/>
    </row>
    <row r="36" ht="14.25" customHeight="1">
      <c r="A36" s="124"/>
      <c r="B36" s="125">
        <v>44473.0</v>
      </c>
      <c r="C36" s="124" t="s">
        <v>185</v>
      </c>
      <c r="D36" s="124" t="s">
        <v>33</v>
      </c>
      <c r="E36" s="124">
        <v>43.75</v>
      </c>
      <c r="F36" s="124">
        <v>0.0</v>
      </c>
      <c r="G36" s="124">
        <v>43.75</v>
      </c>
      <c r="H36" s="124" t="s">
        <v>186</v>
      </c>
      <c r="I36" s="124"/>
      <c r="J36" s="124"/>
    </row>
    <row r="37" ht="14.25" customHeight="1">
      <c r="A37" s="124"/>
      <c r="B37" s="125">
        <v>44655.0</v>
      </c>
      <c r="C37" s="124" t="s">
        <v>185</v>
      </c>
      <c r="D37" s="124" t="s">
        <v>33</v>
      </c>
      <c r="E37" s="124">
        <v>43.75</v>
      </c>
      <c r="F37" s="124">
        <v>300.0</v>
      </c>
      <c r="G37" s="124">
        <v>343.75</v>
      </c>
      <c r="H37" s="124" t="s">
        <v>186</v>
      </c>
      <c r="I37" s="124"/>
      <c r="J37" s="124"/>
    </row>
    <row r="38" ht="14.25" customHeight="1">
      <c r="A38" s="124"/>
      <c r="B38" s="125">
        <v>44838.0</v>
      </c>
      <c r="C38" s="124" t="s">
        <v>185</v>
      </c>
      <c r="D38" s="124" t="s">
        <v>33</v>
      </c>
      <c r="E38" s="124">
        <v>30.62</v>
      </c>
      <c r="F38" s="124">
        <v>0.0</v>
      </c>
      <c r="G38" s="124">
        <v>30.62</v>
      </c>
      <c r="H38" s="124" t="s">
        <v>186</v>
      </c>
      <c r="I38" s="124"/>
      <c r="J38" s="124"/>
    </row>
    <row r="39" ht="14.25" customHeight="1">
      <c r="A39" s="124"/>
      <c r="B39" s="125">
        <v>45020.0</v>
      </c>
      <c r="C39" s="124" t="s">
        <v>185</v>
      </c>
      <c r="D39" s="124" t="s">
        <v>33</v>
      </c>
      <c r="E39" s="124">
        <v>30.62</v>
      </c>
      <c r="F39" s="124">
        <v>300.0</v>
      </c>
      <c r="G39" s="124">
        <v>330.62</v>
      </c>
      <c r="H39" s="124" t="s">
        <v>186</v>
      </c>
      <c r="I39" s="124"/>
      <c r="J39" s="124"/>
    </row>
    <row r="40" ht="14.25" customHeight="1">
      <c r="A40" s="124"/>
      <c r="B40" s="125">
        <v>45203.0</v>
      </c>
      <c r="C40" s="124" t="s">
        <v>185</v>
      </c>
      <c r="D40" s="124" t="s">
        <v>33</v>
      </c>
      <c r="E40" s="124">
        <v>17.5</v>
      </c>
      <c r="F40" s="124">
        <v>0.0</v>
      </c>
      <c r="G40" s="124">
        <v>17.5</v>
      </c>
      <c r="H40" s="124" t="s">
        <v>186</v>
      </c>
      <c r="I40" s="124"/>
      <c r="J40" s="124"/>
    </row>
    <row r="41" ht="14.25" customHeight="1">
      <c r="A41" s="124"/>
      <c r="B41" s="125">
        <v>45386.0</v>
      </c>
      <c r="C41" s="124" t="s">
        <v>185</v>
      </c>
      <c r="D41" s="124" t="s">
        <v>33</v>
      </c>
      <c r="E41" s="124">
        <v>17.5</v>
      </c>
      <c r="F41" s="124">
        <v>400.0</v>
      </c>
      <c r="G41" s="124">
        <v>417.5</v>
      </c>
      <c r="H41" s="124" t="s">
        <v>186</v>
      </c>
      <c r="I41" s="124"/>
      <c r="J41" s="124"/>
    </row>
    <row r="42" ht="14.25" customHeight="1">
      <c r="A42" s="124"/>
      <c r="B42" s="124"/>
      <c r="C42" s="124"/>
      <c r="D42" s="124"/>
      <c r="E42" s="124"/>
      <c r="F42" s="124"/>
      <c r="G42" s="124"/>
      <c r="H42" s="124"/>
      <c r="I42" s="124"/>
      <c r="J42" s="124"/>
    </row>
    <row r="43" ht="14.25" customHeight="1">
      <c r="A43" s="124"/>
      <c r="B43" s="124"/>
      <c r="C43" s="124"/>
      <c r="D43" s="124"/>
      <c r="E43" s="124"/>
      <c r="F43" s="124"/>
      <c r="G43" s="124"/>
      <c r="H43" s="124"/>
      <c r="I43" s="124"/>
      <c r="J43" s="124"/>
    </row>
    <row r="44" ht="14.25" customHeight="1">
      <c r="A44" s="124"/>
      <c r="B44" s="124"/>
      <c r="C44" s="124"/>
      <c r="D44" s="124"/>
      <c r="E44" s="124"/>
      <c r="F44" s="124"/>
      <c r="G44" s="124"/>
      <c r="H44" s="124"/>
      <c r="I44" s="124"/>
      <c r="J44" s="124"/>
    </row>
    <row r="45" ht="14.25" customHeight="1">
      <c r="A45" s="124"/>
      <c r="B45" s="124"/>
      <c r="C45" s="124"/>
      <c r="D45" s="124"/>
      <c r="E45" s="124"/>
      <c r="F45" s="124"/>
      <c r="G45" s="124"/>
      <c r="H45" s="124"/>
      <c r="I45" s="124"/>
      <c r="J45" s="124"/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7" width="16.86"/>
    <col customWidth="1" min="8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73" t="s">
        <v>21</v>
      </c>
      <c r="D2" s="74">
        <v>44781.0</v>
      </c>
      <c r="E2" s="75">
        <v>0.06</v>
      </c>
      <c r="G2" s="71" t="s">
        <v>142</v>
      </c>
      <c r="H2" s="76">
        <f>+E17*100+E11</f>
        <v>100.9333333</v>
      </c>
      <c r="M2" s="77"/>
      <c r="N2" s="78"/>
    </row>
    <row r="3" ht="14.25" customHeight="1">
      <c r="C3" s="71" t="s">
        <v>143</v>
      </c>
      <c r="D3" s="71"/>
      <c r="E3" s="79">
        <v>44728.0</v>
      </c>
      <c r="F3" s="80"/>
      <c r="G3" s="71" t="s">
        <v>144</v>
      </c>
      <c r="H3" s="81">
        <f>IF(E1&gt;D2,E2*E17*E6/E12,"")</f>
        <v>0.05936675462</v>
      </c>
      <c r="I3" s="82"/>
      <c r="L3" s="83"/>
      <c r="M3" s="84"/>
      <c r="N3" s="85"/>
      <c r="S3" s="137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101.0568032</v>
      </c>
      <c r="L4" s="83"/>
      <c r="M4" s="84"/>
      <c r="N4" s="85"/>
      <c r="S4" s="137"/>
    </row>
    <row r="5" ht="14.25" customHeight="1">
      <c r="C5" s="71" t="s">
        <v>147</v>
      </c>
      <c r="D5" s="88"/>
      <c r="E5" s="79">
        <v>44781.0</v>
      </c>
      <c r="G5" s="71" t="s">
        <v>148</v>
      </c>
      <c r="H5" s="89">
        <f>MIN(O24:O32)</f>
        <v>44965</v>
      </c>
      <c r="L5" s="83"/>
      <c r="M5" s="84"/>
      <c r="N5" s="85"/>
      <c r="P5" s="116"/>
      <c r="S5" s="137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MAX(C22:C32)</f>
        <v>45512</v>
      </c>
      <c r="L6" s="83"/>
      <c r="M6" s="84"/>
      <c r="N6" s="85"/>
      <c r="P6" s="116"/>
      <c r="S6" s="137"/>
    </row>
    <row r="7" ht="14.25" customHeight="1">
      <c r="C7" s="91" t="s">
        <v>151</v>
      </c>
      <c r="D7" s="91"/>
      <c r="G7" s="71" t="s">
        <v>152</v>
      </c>
      <c r="H7" s="92">
        <f>+H6-E1</f>
        <v>582</v>
      </c>
      <c r="L7" s="83"/>
      <c r="M7" s="84"/>
      <c r="N7" s="85"/>
      <c r="P7" s="116"/>
      <c r="S7" s="137"/>
    </row>
    <row r="8" ht="14.25" customHeight="1">
      <c r="L8" s="83"/>
      <c r="M8" s="84"/>
      <c r="N8" s="85"/>
      <c r="P8" s="116"/>
      <c r="S8" s="137"/>
    </row>
    <row r="9" ht="14.25" customHeight="1">
      <c r="C9" s="71" t="s">
        <v>153</v>
      </c>
      <c r="D9" s="71"/>
      <c r="E9" s="93">
        <f>+Curva!C25</f>
        <v>102</v>
      </c>
      <c r="G9" s="94"/>
      <c r="H9" s="95" t="s">
        <v>154</v>
      </c>
      <c r="I9" s="95" t="s">
        <v>155</v>
      </c>
      <c r="J9" s="96" t="s">
        <v>156</v>
      </c>
      <c r="L9" s="83"/>
      <c r="M9" s="84"/>
      <c r="N9" s="85"/>
      <c r="P9" s="116"/>
      <c r="S9" s="137"/>
    </row>
    <row r="10" ht="14.25" customHeight="1">
      <c r="C10" s="71" t="s">
        <v>157</v>
      </c>
      <c r="D10" s="71"/>
      <c r="E10" s="97">
        <f t="array" ref="E10">DAYS360(MAX(IF(C23:C32&lt;=E1,C23:C32)),E1,1)</f>
        <v>56</v>
      </c>
      <c r="G10" s="98" t="s">
        <v>158</v>
      </c>
      <c r="H10" s="99">
        <f>+((XIRR(P22:P32,C22:C32)+1)^(1/2)-1)*2</f>
        <v>0.05331596529</v>
      </c>
      <c r="I10" s="99">
        <f>+((XIRR(P22:P32,A22:A32)+1)^(1/2)-1)*2</f>
        <v>0.05321872517</v>
      </c>
      <c r="J10" s="99">
        <f>+((XIRR(P22:P32,B22:B32)+1)^(1/2)-1)*2</f>
        <v>0.05312183955</v>
      </c>
      <c r="L10" s="83"/>
      <c r="M10" s="84"/>
      <c r="N10" s="85"/>
      <c r="P10" s="116"/>
      <c r="S10" s="137"/>
    </row>
    <row r="11" ht="14.25" customHeight="1">
      <c r="C11" s="71" t="s">
        <v>159</v>
      </c>
      <c r="D11" s="71"/>
      <c r="E11" s="76">
        <f>+($E$2*$E$6/4)*$H$12/$H$13</f>
        <v>0.9333333333</v>
      </c>
      <c r="L11" s="83"/>
      <c r="M11" s="84"/>
      <c r="N11" s="85"/>
      <c r="P11" s="116"/>
      <c r="S11" s="137"/>
    </row>
    <row r="12" ht="14.25" customHeight="1">
      <c r="C12" s="71" t="s">
        <v>160</v>
      </c>
      <c r="D12" s="71"/>
      <c r="E12" s="93">
        <f>+E9-E11</f>
        <v>101.0666667</v>
      </c>
      <c r="G12" s="126" t="s">
        <v>187</v>
      </c>
      <c r="H12" s="127">
        <f>COUPDAYBS(C22,C32,4,0)</f>
        <v>56</v>
      </c>
      <c r="L12" s="83"/>
      <c r="M12" s="84"/>
      <c r="N12" s="85"/>
      <c r="P12" s="116"/>
      <c r="S12" s="137"/>
    </row>
    <row r="13" ht="14.25" customHeight="1">
      <c r="C13" s="101"/>
      <c r="D13" s="101"/>
      <c r="G13" s="126" t="s">
        <v>188</v>
      </c>
      <c r="H13" s="128">
        <f>COUPDAYS(C22,C32,4)</f>
        <v>90</v>
      </c>
      <c r="L13" s="83"/>
      <c r="M13" s="84"/>
      <c r="N13" s="85"/>
      <c r="P13" s="116"/>
      <c r="S13" s="137"/>
    </row>
    <row r="14" ht="14.25" customHeight="1">
      <c r="C14" s="71" t="s">
        <v>161</v>
      </c>
      <c r="D14" s="71"/>
      <c r="E14" s="100">
        <f>(L33*100)/SUM(J24:J32)</f>
        <v>1.519236912</v>
      </c>
      <c r="G14" s="126" t="s">
        <v>189</v>
      </c>
      <c r="H14" s="129">
        <f>+($E$2*$E$6/4)*$H$12/$H$13</f>
        <v>0.9333333333</v>
      </c>
      <c r="L14" s="83"/>
      <c r="M14" s="84"/>
      <c r="N14" s="85"/>
      <c r="P14" s="116"/>
    </row>
    <row r="15" ht="14.25" customHeight="1">
      <c r="C15" s="71" t="s">
        <v>162</v>
      </c>
      <c r="D15" s="71"/>
      <c r="E15" s="100">
        <f>E14/(1+I33/2)</f>
        <v>1.479788729</v>
      </c>
      <c r="M15" s="84"/>
      <c r="N15" s="85"/>
    </row>
    <row r="16" ht="14.25" customHeight="1">
      <c r="C16" s="71" t="s">
        <v>163</v>
      </c>
      <c r="D16" s="71"/>
      <c r="E16" s="100">
        <f>M33</f>
        <v>1.523151305</v>
      </c>
      <c r="M16" s="84"/>
      <c r="N16" s="85"/>
      <c r="O16" s="116"/>
    </row>
    <row r="17" ht="14.25" customHeight="1">
      <c r="C17" s="71" t="s">
        <v>164</v>
      </c>
      <c r="D17" s="71"/>
      <c r="E17" s="100">
        <f>K33</f>
        <v>1</v>
      </c>
      <c r="M17" s="84"/>
      <c r="N17" s="85"/>
    </row>
    <row r="18" ht="14.25" customHeight="1">
      <c r="J18" s="102"/>
    </row>
    <row r="19" ht="14.25" customHeight="1"/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</row>
    <row r="21" ht="14.25" customHeight="1">
      <c r="A21" s="107" t="s">
        <v>155</v>
      </c>
      <c r="B21" s="107" t="s">
        <v>156</v>
      </c>
      <c r="C21" s="107" t="s">
        <v>154</v>
      </c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-102</v>
      </c>
      <c r="I22" s="111">
        <f t="shared" ref="I22:I32" si="1">+C22-$E$1</f>
        <v>0</v>
      </c>
      <c r="J22" s="111">
        <f>H22</f>
        <v>-102</v>
      </c>
      <c r="K22" s="117"/>
      <c r="L22" s="112"/>
      <c r="M22" s="112"/>
      <c r="N22" s="113"/>
      <c r="O22" s="114"/>
      <c r="P22" s="115">
        <f t="shared" ref="P22:P32" si="2">+H22</f>
        <v>-102</v>
      </c>
    </row>
    <row r="23" ht="14.25" customHeight="1">
      <c r="A23" s="116">
        <v>44728.0</v>
      </c>
      <c r="B23" s="116">
        <v>44728.0</v>
      </c>
      <c r="C23" s="116">
        <v>44728.0</v>
      </c>
      <c r="D23" s="109">
        <v>0.0</v>
      </c>
      <c r="E23" s="109">
        <f t="shared" ref="E23:E32" si="3">+E22-D23</f>
        <v>100</v>
      </c>
      <c r="F23" s="110" t="str">
        <f>IF(C23&gt;$D$2,$E$2,"")</f>
        <v/>
      </c>
      <c r="G23" s="109"/>
      <c r="H23" s="109">
        <f t="shared" ref="H23:H32" si="4">+IF(C23&gt;$C$22,D23+G23,0)</f>
        <v>0</v>
      </c>
      <c r="I23" s="111">
        <f t="shared" si="1"/>
        <v>-202</v>
      </c>
      <c r="J23" s="111">
        <f t="shared" ref="J23:J32" si="5">IF(I23&lt;=0,0,H23/(((1+$I$33/2)^2)^(I23/365)))</f>
        <v>0</v>
      </c>
      <c r="K23" s="117"/>
      <c r="L23" s="112">
        <f t="shared" ref="L23:L32" si="6">J23*(I23/365)/100</f>
        <v>0</v>
      </c>
      <c r="M23" s="112">
        <f t="shared" ref="M23:M32" si="7">IF(I23&lt;0,0,(H23/$H$33)*I23/365)</f>
        <v>0</v>
      </c>
      <c r="N23" s="113" t="str">
        <f>IF(I23&gt;=0,IF(I21&gt;0,0,-I21),"FALSO")</f>
        <v>FALSO</v>
      </c>
      <c r="O23" s="114" t="str">
        <f t="shared" ref="O23:O32" si="8">+IF(C23&gt;$C$22,C23,"")</f>
        <v/>
      </c>
      <c r="P23" s="115">
        <f t="shared" si="2"/>
        <v>0</v>
      </c>
    </row>
    <row r="24" ht="14.25" customHeight="1">
      <c r="A24" s="116">
        <v>44781.0</v>
      </c>
      <c r="B24" s="116">
        <v>44781.0</v>
      </c>
      <c r="C24" s="116">
        <v>44781.0</v>
      </c>
      <c r="D24" s="109">
        <v>0.0</v>
      </c>
      <c r="E24" s="109">
        <f t="shared" si="3"/>
        <v>100</v>
      </c>
      <c r="F24" s="110">
        <f>IF(C24&gt;=$D$2,$E$2,"")</f>
        <v>0.06</v>
      </c>
      <c r="G24" s="109">
        <f t="shared" ref="G24:G32" si="9">IF(F24="","",IF($E$4=365,E23*F24/365*(C24-C23),E23*F24/360*DAYS360(C23,C24)))</f>
        <v>0.8666666667</v>
      </c>
      <c r="H24" s="109">
        <f t="shared" si="4"/>
        <v>0</v>
      </c>
      <c r="I24" s="111">
        <f t="shared" si="1"/>
        <v>-149</v>
      </c>
      <c r="J24" s="111">
        <f t="shared" si="5"/>
        <v>0</v>
      </c>
      <c r="K24" s="112" t="str">
        <f t="shared" ref="K24:K32" si="10">IF(OR(N24="falso",N24=0),"",E23)</f>
        <v/>
      </c>
      <c r="L24" s="112">
        <f t="shared" si="6"/>
        <v>0</v>
      </c>
      <c r="M24" s="112">
        <f t="shared" si="7"/>
        <v>0</v>
      </c>
      <c r="N24" s="113" t="str">
        <f t="shared" ref="N24:N32" si="11">IF(I24&gt;=0,IF(I23&gt;0,0,-I23),"FALSO")</f>
        <v>FALSO</v>
      </c>
      <c r="O24" s="114" t="str">
        <f t="shared" si="8"/>
        <v/>
      </c>
      <c r="P24" s="115">
        <f t="shared" si="2"/>
        <v>0</v>
      </c>
    </row>
    <row r="25" ht="14.25" customHeight="1">
      <c r="A25" s="116">
        <v>44873.0</v>
      </c>
      <c r="B25" s="116">
        <v>44873.0</v>
      </c>
      <c r="C25" s="116">
        <v>44873.0</v>
      </c>
      <c r="D25" s="109">
        <v>0.0</v>
      </c>
      <c r="E25" s="109">
        <f t="shared" si="3"/>
        <v>100</v>
      </c>
      <c r="F25" s="110">
        <f t="shared" ref="F25:F32" si="12">IF(C25&gt;$D$2,$E$2,"")</f>
        <v>0.06</v>
      </c>
      <c r="G25" s="109">
        <f t="shared" si="9"/>
        <v>1.5</v>
      </c>
      <c r="H25" s="109">
        <f t="shared" si="4"/>
        <v>0</v>
      </c>
      <c r="I25" s="111">
        <f t="shared" si="1"/>
        <v>-57</v>
      </c>
      <c r="J25" s="111">
        <f t="shared" si="5"/>
        <v>0</v>
      </c>
      <c r="K25" s="117" t="str">
        <f t="shared" si="10"/>
        <v/>
      </c>
      <c r="L25" s="112">
        <f t="shared" si="6"/>
        <v>0</v>
      </c>
      <c r="M25" s="112">
        <f t="shared" si="7"/>
        <v>0</v>
      </c>
      <c r="N25" s="113" t="str">
        <f t="shared" si="11"/>
        <v>FALSO</v>
      </c>
      <c r="O25" s="114" t="str">
        <f t="shared" si="8"/>
        <v/>
      </c>
      <c r="P25" s="115">
        <f t="shared" si="2"/>
        <v>0</v>
      </c>
      <c r="R25" s="82"/>
    </row>
    <row r="26" ht="14.25" customHeight="1">
      <c r="A26" s="116">
        <v>44965.0</v>
      </c>
      <c r="B26" s="116">
        <v>44965.0</v>
      </c>
      <c r="C26" s="116">
        <v>44965.0</v>
      </c>
      <c r="D26" s="109">
        <v>0.0</v>
      </c>
      <c r="E26" s="109">
        <f t="shared" si="3"/>
        <v>100</v>
      </c>
      <c r="F26" s="110">
        <f t="shared" si="12"/>
        <v>0.06</v>
      </c>
      <c r="G26" s="109">
        <f t="shared" si="9"/>
        <v>1.5</v>
      </c>
      <c r="H26" s="109">
        <f t="shared" si="4"/>
        <v>1.5</v>
      </c>
      <c r="I26" s="111">
        <f t="shared" si="1"/>
        <v>35</v>
      </c>
      <c r="J26" s="111">
        <f t="shared" si="5"/>
        <v>1.492450762</v>
      </c>
      <c r="K26" s="117">
        <f t="shared" si="10"/>
        <v>100</v>
      </c>
      <c r="L26" s="112">
        <f t="shared" si="6"/>
        <v>0.001431117169</v>
      </c>
      <c r="M26" s="112">
        <f t="shared" si="7"/>
        <v>0.001301679787</v>
      </c>
      <c r="N26" s="111">
        <f t="shared" si="11"/>
        <v>57</v>
      </c>
      <c r="O26" s="114">
        <f t="shared" si="8"/>
        <v>44965</v>
      </c>
      <c r="P26" s="115">
        <f t="shared" si="2"/>
        <v>1.5</v>
      </c>
      <c r="R26" s="82"/>
    </row>
    <row r="27" ht="14.25" customHeight="1">
      <c r="A27" s="116">
        <v>45054.0</v>
      </c>
      <c r="B27" s="116">
        <v>45054.0</v>
      </c>
      <c r="C27" s="116">
        <v>45054.0</v>
      </c>
      <c r="D27" s="109">
        <v>0.0</v>
      </c>
      <c r="E27" s="109">
        <f t="shared" si="3"/>
        <v>100</v>
      </c>
      <c r="F27" s="110">
        <f t="shared" si="12"/>
        <v>0.06</v>
      </c>
      <c r="G27" s="109">
        <f t="shared" si="9"/>
        <v>1.5</v>
      </c>
      <c r="H27" s="109">
        <f t="shared" si="4"/>
        <v>1.5</v>
      </c>
      <c r="I27" s="111">
        <f t="shared" si="1"/>
        <v>124</v>
      </c>
      <c r="J27" s="111">
        <f t="shared" si="5"/>
        <v>1.473424828</v>
      </c>
      <c r="K27" s="117" t="str">
        <f t="shared" si="10"/>
        <v/>
      </c>
      <c r="L27" s="112">
        <f t="shared" si="6"/>
        <v>0.005005607635</v>
      </c>
      <c r="M27" s="112">
        <f t="shared" si="7"/>
        <v>0.00461166553</v>
      </c>
      <c r="N27" s="113">
        <f t="shared" si="11"/>
        <v>0</v>
      </c>
      <c r="O27" s="114">
        <f t="shared" si="8"/>
        <v>45054</v>
      </c>
      <c r="P27" s="115">
        <f t="shared" si="2"/>
        <v>1.5</v>
      </c>
      <c r="R27" s="82"/>
    </row>
    <row r="28" ht="14.25" customHeight="1">
      <c r="A28" s="116">
        <v>45146.0</v>
      </c>
      <c r="B28" s="116">
        <v>45146.0</v>
      </c>
      <c r="C28" s="116">
        <v>45146.0</v>
      </c>
      <c r="D28" s="109">
        <v>0.0</v>
      </c>
      <c r="E28" s="109">
        <f t="shared" si="3"/>
        <v>100</v>
      </c>
      <c r="F28" s="110">
        <f t="shared" si="12"/>
        <v>0.06</v>
      </c>
      <c r="G28" s="109">
        <f t="shared" si="9"/>
        <v>1.5</v>
      </c>
      <c r="H28" s="109">
        <f t="shared" si="4"/>
        <v>1.5</v>
      </c>
      <c r="I28" s="111">
        <f t="shared" si="1"/>
        <v>216</v>
      </c>
      <c r="J28" s="111">
        <f t="shared" si="5"/>
        <v>1.45401248</v>
      </c>
      <c r="K28" s="117" t="str">
        <f t="shared" si="10"/>
        <v/>
      </c>
      <c r="L28" s="112">
        <f t="shared" si="6"/>
        <v>0.008604567007</v>
      </c>
      <c r="M28" s="112">
        <f t="shared" si="7"/>
        <v>0.008033223827</v>
      </c>
      <c r="N28" s="113">
        <f t="shared" si="11"/>
        <v>0</v>
      </c>
      <c r="O28" s="114">
        <f t="shared" si="8"/>
        <v>45146</v>
      </c>
      <c r="P28" s="115">
        <f t="shared" si="2"/>
        <v>1.5</v>
      </c>
      <c r="R28" s="82"/>
    </row>
    <row r="29" ht="14.25" customHeight="1">
      <c r="A29" s="116">
        <v>45238.0</v>
      </c>
      <c r="B29" s="116">
        <v>45238.0</v>
      </c>
      <c r="C29" s="116">
        <v>45238.0</v>
      </c>
      <c r="D29" s="109">
        <v>0.0</v>
      </c>
      <c r="E29" s="109">
        <f t="shared" si="3"/>
        <v>100</v>
      </c>
      <c r="F29" s="110">
        <f t="shared" si="12"/>
        <v>0.06</v>
      </c>
      <c r="G29" s="109">
        <f t="shared" si="9"/>
        <v>1.5</v>
      </c>
      <c r="H29" s="109">
        <f t="shared" si="4"/>
        <v>1.5</v>
      </c>
      <c r="I29" s="111">
        <f t="shared" si="1"/>
        <v>308</v>
      </c>
      <c r="J29" s="111">
        <f t="shared" si="5"/>
        <v>1.43485589</v>
      </c>
      <c r="K29" s="117" t="str">
        <f t="shared" si="10"/>
        <v/>
      </c>
      <c r="L29" s="112">
        <f t="shared" si="6"/>
        <v>0.01210782504</v>
      </c>
      <c r="M29" s="112">
        <f t="shared" si="7"/>
        <v>0.01145478212</v>
      </c>
      <c r="N29" s="113">
        <f t="shared" si="11"/>
        <v>0</v>
      </c>
      <c r="O29" s="114">
        <f t="shared" si="8"/>
        <v>45238</v>
      </c>
      <c r="P29" s="115">
        <f t="shared" si="2"/>
        <v>1.5</v>
      </c>
      <c r="R29" s="82"/>
    </row>
    <row r="30" ht="14.25" customHeight="1">
      <c r="A30" s="116">
        <v>45330.0</v>
      </c>
      <c r="B30" s="116">
        <v>45330.0</v>
      </c>
      <c r="C30" s="116">
        <v>45330.0</v>
      </c>
      <c r="D30" s="109">
        <v>0.0</v>
      </c>
      <c r="E30" s="109">
        <f t="shared" si="3"/>
        <v>100</v>
      </c>
      <c r="F30" s="110">
        <f t="shared" si="12"/>
        <v>0.06</v>
      </c>
      <c r="G30" s="109">
        <f t="shared" si="9"/>
        <v>1.5</v>
      </c>
      <c r="H30" s="109">
        <f t="shared" si="4"/>
        <v>1.5</v>
      </c>
      <c r="I30" s="111">
        <f t="shared" si="1"/>
        <v>400</v>
      </c>
      <c r="J30" s="111">
        <f t="shared" si="5"/>
        <v>1.415951687</v>
      </c>
      <c r="K30" s="117" t="str">
        <f t="shared" si="10"/>
        <v/>
      </c>
      <c r="L30" s="112">
        <f t="shared" si="6"/>
        <v>0.01551727877</v>
      </c>
      <c r="M30" s="112">
        <f t="shared" si="7"/>
        <v>0.01487634042</v>
      </c>
      <c r="N30" s="113">
        <f t="shared" si="11"/>
        <v>0</v>
      </c>
      <c r="O30" s="114">
        <f t="shared" si="8"/>
        <v>45330</v>
      </c>
      <c r="P30" s="115">
        <f t="shared" si="2"/>
        <v>1.5</v>
      </c>
      <c r="R30" s="82"/>
    </row>
    <row r="31" ht="14.25" customHeight="1">
      <c r="A31" s="116">
        <v>45420.0</v>
      </c>
      <c r="B31" s="116">
        <v>45420.0</v>
      </c>
      <c r="C31" s="116">
        <v>45420.0</v>
      </c>
      <c r="D31" s="109">
        <v>0.0</v>
      </c>
      <c r="E31" s="109">
        <f t="shared" si="3"/>
        <v>100</v>
      </c>
      <c r="F31" s="110">
        <f t="shared" si="12"/>
        <v>0.06</v>
      </c>
      <c r="G31" s="109">
        <f t="shared" si="9"/>
        <v>1.5</v>
      </c>
      <c r="H31" s="109">
        <f t="shared" si="4"/>
        <v>1.5</v>
      </c>
      <c r="I31" s="111">
        <f t="shared" si="1"/>
        <v>490</v>
      </c>
      <c r="J31" s="111">
        <f t="shared" si="5"/>
        <v>1.397699469</v>
      </c>
      <c r="K31" s="117" t="str">
        <f t="shared" si="10"/>
        <v/>
      </c>
      <c r="L31" s="112">
        <f t="shared" si="6"/>
        <v>0.0187636367</v>
      </c>
      <c r="M31" s="112">
        <f t="shared" si="7"/>
        <v>0.01822351701</v>
      </c>
      <c r="N31" s="113">
        <f t="shared" si="11"/>
        <v>0</v>
      </c>
      <c r="O31" s="114">
        <f t="shared" si="8"/>
        <v>45420</v>
      </c>
      <c r="P31" s="115">
        <f t="shared" si="2"/>
        <v>1.5</v>
      </c>
      <c r="R31" s="82"/>
    </row>
    <row r="32" ht="14.25" customHeight="1">
      <c r="A32" s="116">
        <v>45512.0</v>
      </c>
      <c r="B32" s="116">
        <v>45512.0</v>
      </c>
      <c r="C32" s="116">
        <v>45512.0</v>
      </c>
      <c r="D32" s="109">
        <v>100.0</v>
      </c>
      <c r="E32" s="109">
        <f t="shared" si="3"/>
        <v>0</v>
      </c>
      <c r="F32" s="110">
        <f t="shared" si="12"/>
        <v>0.06</v>
      </c>
      <c r="G32" s="109">
        <f t="shared" si="9"/>
        <v>1.5</v>
      </c>
      <c r="H32" s="109">
        <f t="shared" si="4"/>
        <v>101.5</v>
      </c>
      <c r="I32" s="111">
        <f t="shared" si="1"/>
        <v>582</v>
      </c>
      <c r="J32" s="111">
        <f t="shared" si="5"/>
        <v>93.33160488</v>
      </c>
      <c r="K32" s="117" t="str">
        <f t="shared" si="10"/>
        <v/>
      </c>
      <c r="L32" s="112">
        <f t="shared" si="6"/>
        <v>1.488191618</v>
      </c>
      <c r="M32" s="112">
        <f t="shared" si="7"/>
        <v>1.464650096</v>
      </c>
      <c r="N32" s="113">
        <f t="shared" si="11"/>
        <v>0</v>
      </c>
      <c r="O32" s="114">
        <f t="shared" si="8"/>
        <v>45512</v>
      </c>
      <c r="P32" s="115">
        <f t="shared" si="2"/>
        <v>101.5</v>
      </c>
      <c r="R32" s="82"/>
    </row>
    <row r="33" ht="14.25" customHeight="1">
      <c r="H33" s="118">
        <f>SUMIF(I22:I32,"&gt;0",H22:H32)</f>
        <v>110.5</v>
      </c>
      <c r="I33" s="119">
        <f>+H10</f>
        <v>0.05331596529</v>
      </c>
      <c r="J33" s="119">
        <f>SUM(J22:J32)</f>
        <v>0</v>
      </c>
      <c r="K33" s="120">
        <f>SUM(K22:K32)/$E$22</f>
        <v>1</v>
      </c>
      <c r="L33" s="121">
        <f t="shared" ref="L33:M33" si="13">SUM(L22:L32)</f>
        <v>1.54962165</v>
      </c>
      <c r="M33" s="119">
        <f t="shared" si="13"/>
        <v>1.523151305</v>
      </c>
      <c r="N33" s="122">
        <f>SUM(N24:N32)</f>
        <v>57</v>
      </c>
      <c r="O33" s="123">
        <f>MIN(O24:O32)</f>
        <v>44965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7" width="16.86"/>
    <col customWidth="1" min="8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73" t="s">
        <v>21</v>
      </c>
      <c r="D2" s="74">
        <v>44929.0</v>
      </c>
      <c r="E2" s="75">
        <v>0.08</v>
      </c>
      <c r="G2" s="71" t="s">
        <v>142</v>
      </c>
      <c r="H2" s="76">
        <f>+E17*100+E11</f>
        <v>101.3444444</v>
      </c>
      <c r="L2" s="85"/>
      <c r="M2" s="77"/>
      <c r="N2" s="78"/>
    </row>
    <row r="3" ht="14.25" customHeight="1">
      <c r="C3" s="71" t="s">
        <v>143</v>
      </c>
      <c r="D3" s="71"/>
      <c r="E3" s="79">
        <v>44742.0</v>
      </c>
      <c r="F3" s="80"/>
      <c r="G3" s="71" t="s">
        <v>144</v>
      </c>
      <c r="H3" s="81">
        <f>IF(E1&gt;D2,E2*E17*E6/E12,"")</f>
        <v>0.07571774109</v>
      </c>
      <c r="I3" s="82"/>
      <c r="L3" s="85"/>
      <c r="M3" s="84"/>
      <c r="N3" s="85"/>
      <c r="P3" s="137"/>
      <c r="Q3" s="116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105.5805285</v>
      </c>
      <c r="L4" s="85"/>
      <c r="M4" s="84"/>
      <c r="N4" s="85"/>
      <c r="P4" s="137"/>
      <c r="Q4" s="116"/>
    </row>
    <row r="5" ht="14.25" customHeight="1">
      <c r="C5" s="71" t="s">
        <v>147</v>
      </c>
      <c r="D5" s="88"/>
      <c r="E5" s="79">
        <v>44929.0</v>
      </c>
      <c r="G5" s="71" t="s">
        <v>148</v>
      </c>
      <c r="H5" s="89">
        <f>MIN(O24:O31)</f>
        <v>45110</v>
      </c>
      <c r="L5" s="85"/>
      <c r="M5" s="84"/>
      <c r="N5" s="85"/>
      <c r="P5" s="137"/>
      <c r="Q5" s="116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MAX(C22:C31)</f>
        <v>46084</v>
      </c>
      <c r="L6" s="85"/>
      <c r="M6" s="84"/>
      <c r="N6" s="85"/>
      <c r="P6" s="137"/>
      <c r="Q6" s="116"/>
    </row>
    <row r="7" ht="14.25" customHeight="1">
      <c r="C7" s="91" t="s">
        <v>151</v>
      </c>
      <c r="D7" s="91"/>
      <c r="G7" s="71" t="s">
        <v>152</v>
      </c>
      <c r="H7" s="92">
        <f>+H6-E1</f>
        <v>1154</v>
      </c>
      <c r="L7" s="85"/>
      <c r="M7" s="84"/>
      <c r="N7" s="85"/>
      <c r="P7" s="137"/>
      <c r="Q7" s="116"/>
    </row>
    <row r="8" ht="14.25" customHeight="1">
      <c r="L8" s="85"/>
      <c r="M8" s="84"/>
      <c r="N8" s="85"/>
      <c r="P8" s="137"/>
      <c r="Q8" s="116"/>
    </row>
    <row r="9" ht="14.25" customHeight="1">
      <c r="C9" s="71" t="s">
        <v>153</v>
      </c>
      <c r="D9" s="71"/>
      <c r="E9" s="93">
        <f>+Curva!C26</f>
        <v>107</v>
      </c>
      <c r="G9" s="94"/>
      <c r="H9" s="95" t="s">
        <v>154</v>
      </c>
      <c r="I9" s="95" t="s">
        <v>155</v>
      </c>
      <c r="J9" s="96" t="s">
        <v>156</v>
      </c>
      <c r="L9" s="85"/>
      <c r="M9" s="84"/>
      <c r="N9" s="85"/>
      <c r="P9" s="137"/>
      <c r="Q9" s="116"/>
    </row>
    <row r="10" ht="14.25" customHeight="1">
      <c r="C10" s="71" t="s">
        <v>157</v>
      </c>
      <c r="D10" s="71"/>
      <c r="E10" s="97">
        <f t="array" ref="E10">DAYS360(MAX(IF(C23:C31&lt;=E1,C23:C31)),E1,1)</f>
        <v>1</v>
      </c>
      <c r="G10" s="98" t="s">
        <v>158</v>
      </c>
      <c r="H10" s="99">
        <f>+((XIRR(P22:P31,C22:C31)+1)^(1/2)-1)*2</f>
        <v>0.05571228892</v>
      </c>
      <c r="I10" s="99">
        <f>+((XIRR(P22:P31,A22:A31)+1)^(1/2)-1)*2</f>
        <v>0.05565832757</v>
      </c>
      <c r="J10" s="99">
        <f>+((XIRR(P22:P31,B22:B31)+1)^(1/2)-1)*2</f>
        <v>0.05560447113</v>
      </c>
      <c r="L10" s="85"/>
      <c r="M10" s="84"/>
      <c r="N10" s="85"/>
      <c r="P10" s="137"/>
      <c r="Q10" s="116"/>
    </row>
    <row r="11" ht="14.25" customHeight="1">
      <c r="C11" s="71" t="s">
        <v>159</v>
      </c>
      <c r="D11" s="71"/>
      <c r="E11" s="76">
        <f>+($E$2*$E$6/4)*$H$12/$H$13</f>
        <v>1.344444444</v>
      </c>
      <c r="L11" s="85"/>
      <c r="M11" s="84"/>
      <c r="N11" s="85"/>
      <c r="P11" s="137"/>
      <c r="Q11" s="116"/>
    </row>
    <row r="12" ht="14.25" customHeight="1">
      <c r="C12" s="71" t="s">
        <v>160</v>
      </c>
      <c r="D12" s="71"/>
      <c r="E12" s="93">
        <f>+E9-E11</f>
        <v>105.6555556</v>
      </c>
      <c r="G12" s="126" t="s">
        <v>187</v>
      </c>
      <c r="H12" s="127">
        <f>COUPDAYBS(C22,C31,2,0)</f>
        <v>121</v>
      </c>
      <c r="L12" s="85"/>
      <c r="M12" s="84"/>
      <c r="N12" s="85"/>
      <c r="P12" s="137"/>
    </row>
    <row r="13" ht="14.25" customHeight="1">
      <c r="C13" s="101"/>
      <c r="D13" s="101"/>
      <c r="G13" s="126" t="s">
        <v>188</v>
      </c>
      <c r="H13" s="128">
        <f>COUPDAYS(C22,C31,2)</f>
        <v>180</v>
      </c>
      <c r="L13" s="85"/>
      <c r="M13" s="84"/>
      <c r="N13" s="85"/>
      <c r="P13" s="137"/>
      <c r="Q13" s="116"/>
    </row>
    <row r="14" ht="14.25" customHeight="1">
      <c r="C14" s="71" t="s">
        <v>161</v>
      </c>
      <c r="D14" s="71"/>
      <c r="E14" s="100">
        <f>(L32*100)/SUM(J24:J31)</f>
        <v>2.864870988</v>
      </c>
      <c r="G14" s="126" t="s">
        <v>189</v>
      </c>
      <c r="H14" s="129">
        <f>+($E$2*$E$6/2)*$H$12/$H$13</f>
        <v>2.688888889</v>
      </c>
      <c r="L14" s="85"/>
      <c r="M14" s="84"/>
      <c r="N14" s="85"/>
      <c r="P14" s="137"/>
      <c r="Q14" s="116"/>
    </row>
    <row r="15" ht="14.25" customHeight="1">
      <c r="C15" s="71" t="s">
        <v>162</v>
      </c>
      <c r="D15" s="71"/>
      <c r="E15" s="100">
        <f>E14/(1+I32/2)</f>
        <v>2.78722952</v>
      </c>
      <c r="L15" s="85"/>
      <c r="M15" s="84"/>
      <c r="N15" s="85"/>
      <c r="P15" s="137"/>
      <c r="Q15" s="116"/>
    </row>
    <row r="16" ht="14.25" customHeight="1">
      <c r="C16" s="71" t="s">
        <v>163</v>
      </c>
      <c r="D16" s="71"/>
      <c r="E16" s="100">
        <f>M32</f>
        <v>2.890760711</v>
      </c>
      <c r="M16" s="84"/>
      <c r="N16" s="85"/>
      <c r="O16" s="116"/>
      <c r="P16" s="137"/>
    </row>
    <row r="17" ht="14.25" customHeight="1">
      <c r="C17" s="71" t="s">
        <v>164</v>
      </c>
      <c r="D17" s="71"/>
      <c r="E17" s="100">
        <f>K32</f>
        <v>1</v>
      </c>
      <c r="M17" s="84"/>
      <c r="N17" s="85"/>
    </row>
    <row r="18" ht="14.25" customHeight="1">
      <c r="J18" s="102"/>
    </row>
    <row r="19" ht="14.25" customHeight="1"/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</row>
    <row r="21" ht="14.25" customHeight="1">
      <c r="A21" s="107" t="s">
        <v>155</v>
      </c>
      <c r="B21" s="107" t="s">
        <v>156</v>
      </c>
      <c r="C21" s="107" t="s">
        <v>154</v>
      </c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-107</v>
      </c>
      <c r="I22" s="111">
        <f t="shared" ref="I22:I31" si="1">+C22-$E$1</f>
        <v>0</v>
      </c>
      <c r="J22" s="111">
        <f>H22</f>
        <v>-107</v>
      </c>
      <c r="K22" s="117"/>
      <c r="L22" s="112"/>
      <c r="M22" s="112"/>
      <c r="N22" s="113"/>
      <c r="O22" s="114"/>
      <c r="P22" s="115">
        <f t="shared" ref="P22:P31" si="2">+H22</f>
        <v>-107</v>
      </c>
    </row>
    <row r="23" ht="14.25" customHeight="1">
      <c r="A23" s="116">
        <v>44742.0</v>
      </c>
      <c r="B23" s="116">
        <v>44742.0</v>
      </c>
      <c r="C23" s="116">
        <v>44742.0</v>
      </c>
      <c r="D23" s="109">
        <v>0.0</v>
      </c>
      <c r="E23" s="109">
        <f t="shared" ref="E23:E31" si="3">+E22-D23</f>
        <v>100</v>
      </c>
      <c r="F23" s="110"/>
      <c r="G23" s="109"/>
      <c r="H23" s="109">
        <f t="shared" ref="H23:H31" si="4">+IF(C23&gt;$C$22,D23+G23,0)</f>
        <v>0</v>
      </c>
      <c r="I23" s="111">
        <f t="shared" si="1"/>
        <v>-188</v>
      </c>
      <c r="J23" s="111">
        <f t="shared" ref="J23:J31" si="5">IF(I23&lt;=0,0,H23/(((1+$I$32/2)^2)^(I23/365)))</f>
        <v>0</v>
      </c>
      <c r="K23" s="117"/>
      <c r="L23" s="112">
        <f t="shared" ref="L23:L31" si="6">J23*(I23/365)/100</f>
        <v>0</v>
      </c>
      <c r="M23" s="112">
        <f t="shared" ref="M23:M31" si="7">IF(I23&lt;0,0,(H23/$H$32)*I23/365)</f>
        <v>0</v>
      </c>
      <c r="N23" s="113" t="str">
        <f>IF(I23&gt;=0,IF(I21&gt;0,0,-I21),"FALSO")</f>
        <v>FALSO</v>
      </c>
      <c r="O23" s="114" t="str">
        <f t="shared" ref="O23:O31" si="8">+IF(C23&gt;$C$22,C23,"")</f>
        <v/>
      </c>
      <c r="P23" s="115">
        <f t="shared" si="2"/>
        <v>0</v>
      </c>
    </row>
    <row r="24" ht="14.25" customHeight="1">
      <c r="A24" s="116">
        <v>44929.0</v>
      </c>
      <c r="B24" s="116">
        <v>44929.0</v>
      </c>
      <c r="C24" s="116">
        <v>44929.0</v>
      </c>
      <c r="D24" s="109">
        <v>0.0</v>
      </c>
      <c r="E24" s="109">
        <f t="shared" si="3"/>
        <v>100</v>
      </c>
      <c r="F24" s="110">
        <f>IF(C24&gt;=$D$2,$E$2,"")</f>
        <v>0.08</v>
      </c>
      <c r="G24" s="109">
        <f t="shared" ref="G24:G31" si="9">IF(F24="","",IF($E$4=365,E23*F24/365*(C24-C23),E23*F24/360*DAYS360(C23,C24)))</f>
        <v>4.066666667</v>
      </c>
      <c r="H24" s="109">
        <f t="shared" si="4"/>
        <v>0</v>
      </c>
      <c r="I24" s="111">
        <f t="shared" si="1"/>
        <v>-1</v>
      </c>
      <c r="J24" s="111">
        <f t="shared" si="5"/>
        <v>0</v>
      </c>
      <c r="K24" s="112" t="str">
        <f t="shared" ref="K24:K31" si="10">IF(OR(N24="falso",N24=0),"",E23)</f>
        <v/>
      </c>
      <c r="L24" s="112">
        <f t="shared" si="6"/>
        <v>0</v>
      </c>
      <c r="M24" s="112">
        <f t="shared" si="7"/>
        <v>0</v>
      </c>
      <c r="N24" s="113" t="str">
        <f t="shared" ref="N24:N31" si="11">IF(I24&gt;=0,IF(I23&gt;0,0,-I23),"FALSO")</f>
        <v>FALSO</v>
      </c>
      <c r="O24" s="114" t="str">
        <f t="shared" si="8"/>
        <v/>
      </c>
      <c r="P24" s="115">
        <f t="shared" si="2"/>
        <v>0</v>
      </c>
    </row>
    <row r="25" ht="14.25" customHeight="1">
      <c r="A25" s="116">
        <v>45110.0</v>
      </c>
      <c r="B25" s="116">
        <v>45110.0</v>
      </c>
      <c r="C25" s="116">
        <v>45110.0</v>
      </c>
      <c r="D25" s="109">
        <v>0.0</v>
      </c>
      <c r="E25" s="109">
        <f t="shared" si="3"/>
        <v>100</v>
      </c>
      <c r="F25" s="110">
        <f t="shared" ref="F25:F31" si="12">IF(C25&gt;$D$2,$E$2,"")</f>
        <v>0.08</v>
      </c>
      <c r="G25" s="109">
        <f t="shared" si="9"/>
        <v>4</v>
      </c>
      <c r="H25" s="109">
        <f t="shared" si="4"/>
        <v>4</v>
      </c>
      <c r="I25" s="111">
        <f t="shared" si="1"/>
        <v>180</v>
      </c>
      <c r="J25" s="111">
        <f t="shared" si="5"/>
        <v>3.893060129</v>
      </c>
      <c r="K25" s="117">
        <f t="shared" si="10"/>
        <v>100</v>
      </c>
      <c r="L25" s="112">
        <f t="shared" si="6"/>
        <v>0.01919865269</v>
      </c>
      <c r="M25" s="112">
        <f t="shared" si="7"/>
        <v>0.01573885165</v>
      </c>
      <c r="N25" s="111">
        <f t="shared" si="11"/>
        <v>1</v>
      </c>
      <c r="O25" s="114">
        <f t="shared" si="8"/>
        <v>45110</v>
      </c>
      <c r="P25" s="115">
        <f t="shared" si="2"/>
        <v>4</v>
      </c>
      <c r="R25" s="82"/>
    </row>
    <row r="26" ht="14.25" customHeight="1">
      <c r="A26" s="116">
        <v>45294.0</v>
      </c>
      <c r="B26" s="116">
        <v>45294.0</v>
      </c>
      <c r="C26" s="116">
        <v>45294.0</v>
      </c>
      <c r="D26" s="109">
        <v>0.0</v>
      </c>
      <c r="E26" s="109">
        <f t="shared" si="3"/>
        <v>100</v>
      </c>
      <c r="F26" s="110">
        <f t="shared" si="12"/>
        <v>0.08</v>
      </c>
      <c r="G26" s="109">
        <f t="shared" si="9"/>
        <v>4</v>
      </c>
      <c r="H26" s="109">
        <f t="shared" si="4"/>
        <v>4</v>
      </c>
      <c r="I26" s="111">
        <f t="shared" si="1"/>
        <v>364</v>
      </c>
      <c r="J26" s="111">
        <f t="shared" si="5"/>
        <v>3.786698269</v>
      </c>
      <c r="K26" s="117" t="str">
        <f t="shared" si="10"/>
        <v/>
      </c>
      <c r="L26" s="112">
        <f t="shared" si="6"/>
        <v>0.03776323754</v>
      </c>
      <c r="M26" s="112">
        <f t="shared" si="7"/>
        <v>0.03182745555</v>
      </c>
      <c r="N26" s="113">
        <f t="shared" si="11"/>
        <v>0</v>
      </c>
      <c r="O26" s="114">
        <f t="shared" si="8"/>
        <v>45294</v>
      </c>
      <c r="P26" s="115">
        <f t="shared" si="2"/>
        <v>4</v>
      </c>
      <c r="R26" s="82"/>
    </row>
    <row r="27" ht="14.25" customHeight="1">
      <c r="A27" s="116">
        <v>45476.0</v>
      </c>
      <c r="B27" s="116">
        <v>45476.0</v>
      </c>
      <c r="C27" s="116">
        <v>45476.0</v>
      </c>
      <c r="D27" s="109">
        <v>0.0</v>
      </c>
      <c r="E27" s="109">
        <f t="shared" si="3"/>
        <v>100</v>
      </c>
      <c r="F27" s="110">
        <f t="shared" si="12"/>
        <v>0.08</v>
      </c>
      <c r="G27" s="109">
        <f t="shared" si="9"/>
        <v>4</v>
      </c>
      <c r="H27" s="109">
        <f t="shared" si="4"/>
        <v>4</v>
      </c>
      <c r="I27" s="111">
        <f t="shared" si="1"/>
        <v>546</v>
      </c>
      <c r="J27" s="111">
        <f t="shared" si="5"/>
        <v>3.684351495</v>
      </c>
      <c r="K27" s="117" t="str">
        <f t="shared" si="10"/>
        <v/>
      </c>
      <c r="L27" s="112">
        <f t="shared" si="6"/>
        <v>0.05511386072</v>
      </c>
      <c r="M27" s="112">
        <f t="shared" si="7"/>
        <v>0.04774118333</v>
      </c>
      <c r="N27" s="113">
        <f t="shared" si="11"/>
        <v>0</v>
      </c>
      <c r="O27" s="114">
        <f t="shared" si="8"/>
        <v>45476</v>
      </c>
      <c r="P27" s="115">
        <f t="shared" si="2"/>
        <v>4</v>
      </c>
      <c r="R27" s="82"/>
    </row>
    <row r="28" ht="14.25" customHeight="1">
      <c r="A28" s="116">
        <v>45660.0</v>
      </c>
      <c r="B28" s="116">
        <v>45660.0</v>
      </c>
      <c r="C28" s="116">
        <v>45660.0</v>
      </c>
      <c r="D28" s="109">
        <v>0.0</v>
      </c>
      <c r="E28" s="109">
        <f t="shared" si="3"/>
        <v>100</v>
      </c>
      <c r="F28" s="110">
        <f t="shared" si="12"/>
        <v>0.08</v>
      </c>
      <c r="G28" s="109">
        <f t="shared" si="9"/>
        <v>4</v>
      </c>
      <c r="H28" s="109">
        <f t="shared" si="4"/>
        <v>4</v>
      </c>
      <c r="I28" s="111">
        <f t="shared" si="1"/>
        <v>730</v>
      </c>
      <c r="J28" s="111">
        <f t="shared" si="5"/>
        <v>3.58369174</v>
      </c>
      <c r="K28" s="117" t="str">
        <f t="shared" si="10"/>
        <v/>
      </c>
      <c r="L28" s="112">
        <f t="shared" si="6"/>
        <v>0.0716738348</v>
      </c>
      <c r="M28" s="112">
        <f t="shared" si="7"/>
        <v>0.06382978723</v>
      </c>
      <c r="N28" s="113">
        <f t="shared" si="11"/>
        <v>0</v>
      </c>
      <c r="O28" s="114">
        <f t="shared" si="8"/>
        <v>45660</v>
      </c>
      <c r="P28" s="115">
        <f t="shared" si="2"/>
        <v>4</v>
      </c>
      <c r="R28" s="82"/>
    </row>
    <row r="29" ht="14.25" customHeight="1">
      <c r="A29" s="116">
        <v>45841.0</v>
      </c>
      <c r="B29" s="116">
        <v>45841.0</v>
      </c>
      <c r="C29" s="116">
        <v>45841.0</v>
      </c>
      <c r="D29" s="109">
        <v>0.0</v>
      </c>
      <c r="E29" s="109">
        <f t="shared" si="3"/>
        <v>100</v>
      </c>
      <c r="F29" s="110">
        <f t="shared" si="12"/>
        <v>0.08</v>
      </c>
      <c r="G29" s="109">
        <f t="shared" si="9"/>
        <v>4</v>
      </c>
      <c r="H29" s="109">
        <f t="shared" si="4"/>
        <v>4</v>
      </c>
      <c r="I29" s="111">
        <f t="shared" si="1"/>
        <v>911</v>
      </c>
      <c r="J29" s="111">
        <f t="shared" si="5"/>
        <v>3.487356799</v>
      </c>
      <c r="K29" s="117" t="str">
        <f t="shared" si="10"/>
        <v/>
      </c>
      <c r="L29" s="112">
        <f t="shared" si="6"/>
        <v>0.08704060395</v>
      </c>
      <c r="M29" s="112">
        <f t="shared" si="7"/>
        <v>0.07965607695</v>
      </c>
      <c r="N29" s="113">
        <f t="shared" si="11"/>
        <v>0</v>
      </c>
      <c r="O29" s="114">
        <f t="shared" si="8"/>
        <v>45841</v>
      </c>
      <c r="P29" s="115">
        <f t="shared" si="2"/>
        <v>4</v>
      </c>
      <c r="R29" s="82"/>
    </row>
    <row r="30" ht="14.25" customHeight="1">
      <c r="A30" s="116">
        <v>46025.0</v>
      </c>
      <c r="B30" s="116">
        <v>46025.0</v>
      </c>
      <c r="C30" s="116">
        <v>46025.0</v>
      </c>
      <c r="D30" s="109">
        <v>0.0</v>
      </c>
      <c r="E30" s="109">
        <f t="shared" si="3"/>
        <v>100</v>
      </c>
      <c r="F30" s="110">
        <f t="shared" si="12"/>
        <v>0.08</v>
      </c>
      <c r="G30" s="109">
        <f t="shared" si="9"/>
        <v>4</v>
      </c>
      <c r="H30" s="109">
        <f t="shared" si="4"/>
        <v>4</v>
      </c>
      <c r="I30" s="111">
        <f t="shared" si="1"/>
        <v>1095</v>
      </c>
      <c r="J30" s="111">
        <f t="shared" si="5"/>
        <v>3.392079114</v>
      </c>
      <c r="K30" s="117" t="str">
        <f t="shared" si="10"/>
        <v/>
      </c>
      <c r="L30" s="112">
        <f t="shared" si="6"/>
        <v>0.1017623734</v>
      </c>
      <c r="M30" s="112">
        <f t="shared" si="7"/>
        <v>0.09574468085</v>
      </c>
      <c r="N30" s="113">
        <f t="shared" si="11"/>
        <v>0</v>
      </c>
      <c r="O30" s="114">
        <f t="shared" si="8"/>
        <v>46025</v>
      </c>
      <c r="P30" s="115">
        <f t="shared" si="2"/>
        <v>4</v>
      </c>
      <c r="R30" s="82"/>
    </row>
    <row r="31" ht="14.25" customHeight="1">
      <c r="A31" s="116">
        <v>46084.0</v>
      </c>
      <c r="B31" s="116">
        <v>46084.0</v>
      </c>
      <c r="C31" s="116">
        <v>46084.0</v>
      </c>
      <c r="D31" s="109">
        <v>100.0</v>
      </c>
      <c r="E31" s="109">
        <f t="shared" si="3"/>
        <v>0</v>
      </c>
      <c r="F31" s="110">
        <f t="shared" si="12"/>
        <v>0.08</v>
      </c>
      <c r="G31" s="109">
        <f t="shared" si="9"/>
        <v>1.333333333</v>
      </c>
      <c r="H31" s="109">
        <f t="shared" si="4"/>
        <v>101.3333333</v>
      </c>
      <c r="I31" s="111">
        <f t="shared" si="1"/>
        <v>1154</v>
      </c>
      <c r="J31" s="111">
        <f t="shared" si="5"/>
        <v>85.17276245</v>
      </c>
      <c r="K31" s="117" t="str">
        <f t="shared" si="10"/>
        <v/>
      </c>
      <c r="L31" s="112">
        <f t="shared" si="6"/>
        <v>2.692859394</v>
      </c>
      <c r="M31" s="112">
        <f t="shared" si="7"/>
        <v>2.556222676</v>
      </c>
      <c r="N31" s="113">
        <f t="shared" si="11"/>
        <v>0</v>
      </c>
      <c r="O31" s="114">
        <f t="shared" si="8"/>
        <v>46084</v>
      </c>
      <c r="P31" s="115">
        <f t="shared" si="2"/>
        <v>101.3333333</v>
      </c>
      <c r="R31" s="82"/>
    </row>
    <row r="32" ht="14.25" customHeight="1">
      <c r="H32" s="118">
        <f>SUMIF(I22:I31,"&gt;0",H22:H31)</f>
        <v>125.3333333</v>
      </c>
      <c r="I32" s="119">
        <f>+H10</f>
        <v>0.05571228892</v>
      </c>
      <c r="J32" s="119">
        <f>SUM(J22:J31)</f>
        <v>0</v>
      </c>
      <c r="K32" s="120">
        <f>SUM(K22:K31)/$E$22</f>
        <v>1</v>
      </c>
      <c r="L32" s="121">
        <f t="shared" ref="L32:M32" si="13">SUM(L22:L31)</f>
        <v>3.065411957</v>
      </c>
      <c r="M32" s="119">
        <f t="shared" si="13"/>
        <v>2.890760711</v>
      </c>
      <c r="N32" s="122">
        <f>SUM(N24:N31)</f>
        <v>1</v>
      </c>
      <c r="O32" s="123">
        <f>MIN(O24:O31)</f>
        <v>45110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7" width="16.86"/>
    <col customWidth="1" min="8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73" t="s">
        <v>21</v>
      </c>
      <c r="D2" s="74">
        <v>44856.0</v>
      </c>
      <c r="E2" s="75">
        <v>0.0875</v>
      </c>
      <c r="G2" s="71" t="s">
        <v>142</v>
      </c>
      <c r="H2" s="76">
        <f>+E17*100+E11</f>
        <v>100.1458333</v>
      </c>
      <c r="L2" s="85"/>
      <c r="M2" s="77"/>
      <c r="N2" s="78"/>
    </row>
    <row r="3" ht="14.25" customHeight="1">
      <c r="C3" s="71" t="s">
        <v>143</v>
      </c>
      <c r="D3" s="71"/>
      <c r="E3" s="79">
        <v>44734.0</v>
      </c>
      <c r="F3" s="80"/>
      <c r="G3" s="71" t="s">
        <v>144</v>
      </c>
      <c r="H3" s="81">
        <f>IF(E1&gt;D2,E2*E17*E6/E12,"")</f>
        <v>0.08616091577</v>
      </c>
      <c r="I3" s="82"/>
      <c r="L3" s="85"/>
      <c r="M3" s="84"/>
      <c r="N3" s="85"/>
      <c r="P3" s="137"/>
      <c r="Q3" s="116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101.5519035</v>
      </c>
      <c r="L4" s="85"/>
      <c r="M4" s="84"/>
      <c r="N4" s="85"/>
      <c r="P4" s="137"/>
      <c r="Q4" s="116"/>
    </row>
    <row r="5" ht="14.25" customHeight="1">
      <c r="C5" s="71" t="s">
        <v>147</v>
      </c>
      <c r="D5" s="88"/>
      <c r="E5" s="79">
        <v>44856.0</v>
      </c>
      <c r="G5" s="71" t="s">
        <v>148</v>
      </c>
      <c r="H5" s="89">
        <f>MIN(O22:O35)</f>
        <v>45099</v>
      </c>
      <c r="L5" s="85"/>
      <c r="M5" s="84"/>
      <c r="N5" s="85"/>
      <c r="P5" s="137"/>
      <c r="Q5" s="116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MAX(C22:C35)</f>
        <v>46926</v>
      </c>
      <c r="L6" s="85"/>
      <c r="M6" s="84"/>
      <c r="N6" s="85"/>
      <c r="P6" s="137"/>
      <c r="Q6" s="116"/>
    </row>
    <row r="7" ht="14.25" customHeight="1">
      <c r="C7" s="91" t="s">
        <v>151</v>
      </c>
      <c r="D7" s="91"/>
      <c r="G7" s="71" t="s">
        <v>152</v>
      </c>
      <c r="H7" s="92">
        <f>+H6-E1</f>
        <v>1996</v>
      </c>
      <c r="L7" s="85"/>
      <c r="M7" s="84"/>
      <c r="N7" s="85"/>
      <c r="P7" s="137"/>
      <c r="Q7" s="116"/>
    </row>
    <row r="8" ht="14.25" customHeight="1">
      <c r="L8" s="85"/>
      <c r="M8" s="84"/>
      <c r="N8" s="85"/>
      <c r="P8" s="137"/>
      <c r="Q8" s="116"/>
    </row>
    <row r="9" ht="14.25" customHeight="1">
      <c r="C9" s="71" t="s">
        <v>153</v>
      </c>
      <c r="D9" s="71"/>
      <c r="E9" s="93">
        <f>+Curva!C23</f>
        <v>101.7</v>
      </c>
      <c r="G9" s="94"/>
      <c r="H9" s="95" t="s">
        <v>154</v>
      </c>
      <c r="I9" s="95" t="s">
        <v>155</v>
      </c>
      <c r="J9" s="96" t="s">
        <v>156</v>
      </c>
      <c r="L9" s="85"/>
      <c r="M9" s="84"/>
      <c r="N9" s="85"/>
      <c r="P9" s="137"/>
      <c r="Q9" s="116"/>
    </row>
    <row r="10" ht="14.25" customHeight="1">
      <c r="C10" s="71" t="s">
        <v>157</v>
      </c>
      <c r="D10" s="71"/>
      <c r="E10" s="97">
        <f t="array" ref="E10">DAYS360(MAX(IF(C23:C35&lt;=E1,C23:C35)),E1,1)</f>
        <v>12</v>
      </c>
      <c r="G10" s="98" t="s">
        <v>158</v>
      </c>
      <c r="H10" s="99">
        <f>+((XIRR(P22:P35,C22:C35)+1)^(1/2)-1)*2</f>
        <v>0.08291873064</v>
      </c>
      <c r="I10" s="99">
        <f>+((XIRR(P22:P35,A22:A35)+1)^(1/2)-1)*2</f>
        <v>0.08284597757</v>
      </c>
      <c r="J10" s="99">
        <f>+((XIRR(P22:P35,B22:B35)+1)^(1/2)-1)*2</f>
        <v>0.08277335601</v>
      </c>
      <c r="L10" s="85"/>
      <c r="M10" s="84"/>
      <c r="N10" s="85"/>
      <c r="P10" s="137"/>
      <c r="Q10" s="116"/>
    </row>
    <row r="11" ht="14.25" customHeight="1">
      <c r="C11" s="71" t="s">
        <v>159</v>
      </c>
      <c r="D11" s="71"/>
      <c r="E11" s="76">
        <f>+($E$2*$E$6/4)*$H$12/$H$13</f>
        <v>0.1458333333</v>
      </c>
      <c r="L11" s="85"/>
      <c r="M11" s="84"/>
      <c r="N11" s="85"/>
      <c r="P11" s="137"/>
      <c r="Q11" s="116"/>
    </row>
    <row r="12" ht="14.25" customHeight="1">
      <c r="C12" s="71" t="s">
        <v>160</v>
      </c>
      <c r="D12" s="71"/>
      <c r="E12" s="93">
        <f>+E9-E11</f>
        <v>101.5541667</v>
      </c>
      <c r="G12" s="126" t="s">
        <v>187</v>
      </c>
      <c r="H12" s="127">
        <f>COUPDAYBS(C22,C35,2,0)</f>
        <v>12</v>
      </c>
      <c r="L12" s="85"/>
      <c r="M12" s="84"/>
      <c r="N12" s="85"/>
      <c r="P12" s="137"/>
      <c r="Q12" s="116"/>
    </row>
    <row r="13" ht="14.25" customHeight="1">
      <c r="C13" s="101"/>
      <c r="D13" s="101"/>
      <c r="G13" s="126" t="s">
        <v>188</v>
      </c>
      <c r="H13" s="128">
        <f>COUPDAYS(C22,C35,2)</f>
        <v>180</v>
      </c>
      <c r="L13" s="85"/>
      <c r="M13" s="84"/>
      <c r="N13" s="85"/>
      <c r="P13" s="137"/>
      <c r="Q13" s="116"/>
    </row>
    <row r="14" ht="14.25" customHeight="1">
      <c r="C14" s="71" t="s">
        <v>161</v>
      </c>
      <c r="D14" s="71"/>
      <c r="E14" s="100">
        <f>(L36*100)/SUM(J24:J35)</f>
        <v>3.183513421</v>
      </c>
      <c r="G14" s="126" t="s">
        <v>189</v>
      </c>
      <c r="H14" s="129">
        <f>+($E$2*$E$6/2)*$H$12/$H$13</f>
        <v>0.2916666667</v>
      </c>
      <c r="L14" s="85"/>
      <c r="M14" s="84"/>
      <c r="N14" s="85"/>
      <c r="P14" s="137"/>
      <c r="Q14" s="116"/>
    </row>
    <row r="15" ht="14.25" customHeight="1">
      <c r="C15" s="71" t="s">
        <v>162</v>
      </c>
      <c r="D15" s="71"/>
      <c r="E15" s="100">
        <f>E14/(1+I36/2)</f>
        <v>3.056781212</v>
      </c>
      <c r="L15" s="85"/>
      <c r="M15" s="84"/>
      <c r="N15" s="85"/>
      <c r="P15" s="137"/>
      <c r="Q15" s="116"/>
    </row>
    <row r="16" ht="14.25" customHeight="1">
      <c r="C16" s="71" t="s">
        <v>163</v>
      </c>
      <c r="D16" s="71"/>
      <c r="E16" s="100">
        <f>M36</f>
        <v>3.386953747</v>
      </c>
      <c r="M16" s="84"/>
      <c r="N16" s="85"/>
      <c r="O16" s="116"/>
      <c r="P16" s="137"/>
    </row>
    <row r="17" ht="14.25" customHeight="1">
      <c r="C17" s="71" t="s">
        <v>164</v>
      </c>
      <c r="D17" s="71"/>
      <c r="E17" s="100">
        <f>K36</f>
        <v>1</v>
      </c>
      <c r="M17" s="84"/>
      <c r="N17" s="85"/>
    </row>
    <row r="18" ht="14.25" customHeight="1">
      <c r="J18" s="102"/>
    </row>
    <row r="19" ht="14.25" customHeight="1"/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</row>
    <row r="21" ht="14.25" customHeight="1">
      <c r="A21" s="107" t="s">
        <v>155</v>
      </c>
      <c r="B21" s="107" t="s">
        <v>156</v>
      </c>
      <c r="C21" s="107" t="s">
        <v>154</v>
      </c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-101.7</v>
      </c>
      <c r="I22" s="111">
        <f t="shared" ref="I22:I35" si="1">+C22-$E$1</f>
        <v>0</v>
      </c>
      <c r="J22" s="111">
        <f>H22</f>
        <v>-101.7</v>
      </c>
      <c r="K22" s="117"/>
      <c r="L22" s="112"/>
      <c r="M22" s="112"/>
      <c r="N22" s="113"/>
      <c r="O22" s="114"/>
      <c r="P22" s="115">
        <f t="shared" ref="P22:P35" si="2">+H22</f>
        <v>-101.7</v>
      </c>
    </row>
    <row r="23" ht="14.25" customHeight="1">
      <c r="A23" s="116">
        <v>44734.0</v>
      </c>
      <c r="B23" s="116">
        <v>44734.0</v>
      </c>
      <c r="C23" s="116">
        <v>44734.0</v>
      </c>
      <c r="D23" s="109">
        <v>0.0</v>
      </c>
      <c r="E23" s="109">
        <f t="shared" ref="E23:E35" si="3">+E22-D23</f>
        <v>100</v>
      </c>
      <c r="F23" s="110"/>
      <c r="G23" s="109"/>
      <c r="H23" s="109">
        <f t="shared" ref="H23:H35" si="4">+IF(C23&gt;$C$22,D23+G23,0)</f>
        <v>0</v>
      </c>
      <c r="I23" s="111">
        <f t="shared" si="1"/>
        <v>-196</v>
      </c>
      <c r="J23" s="111">
        <f t="shared" ref="J23:J35" si="5">IF(I23&lt;=0,0,H23/(((1+$I$36/2)^2)^(I23/365)))</f>
        <v>0</v>
      </c>
      <c r="K23" s="117"/>
      <c r="L23" s="112">
        <f t="shared" ref="L23:L35" si="6">J23*(I23/365)/100</f>
        <v>0</v>
      </c>
      <c r="M23" s="112">
        <f t="shared" ref="M23:M35" si="7">IF(I23&lt;0,0,(H23/$H$36)*I23/365)</f>
        <v>0</v>
      </c>
      <c r="N23" s="113" t="str">
        <f>IF(I23&gt;=0,IF(I21&gt;0,0,-I21),"FALSO")</f>
        <v>FALSO</v>
      </c>
      <c r="O23" s="114" t="str">
        <f t="shared" ref="O23:O35" si="8">+IF(C23&gt;$C$22,C23,"")</f>
        <v/>
      </c>
      <c r="P23" s="115">
        <f t="shared" si="2"/>
        <v>0</v>
      </c>
    </row>
    <row r="24" ht="14.25" customHeight="1">
      <c r="A24" s="116">
        <v>44917.0</v>
      </c>
      <c r="B24" s="116">
        <v>44917.0</v>
      </c>
      <c r="C24" s="116">
        <v>44917.0</v>
      </c>
      <c r="D24" s="109">
        <v>0.0</v>
      </c>
      <c r="E24" s="109">
        <f t="shared" si="3"/>
        <v>100</v>
      </c>
      <c r="F24" s="110">
        <f>IF(C24&gt;=$D$2,$E$2,"")</f>
        <v>0.0875</v>
      </c>
      <c r="G24" s="109">
        <f t="shared" ref="G24:G35" si="9">IF(F24="","",IF($E$4=365,E23*F24/365*(C24-C23),E23*F24/360*DAYS360(C23,C24)))</f>
        <v>4.375</v>
      </c>
      <c r="H24" s="109">
        <f t="shared" si="4"/>
        <v>0</v>
      </c>
      <c r="I24" s="111">
        <f t="shared" si="1"/>
        <v>-13</v>
      </c>
      <c r="J24" s="111">
        <f t="shared" si="5"/>
        <v>0</v>
      </c>
      <c r="K24" s="112" t="str">
        <f t="shared" ref="K24:K35" si="10">IF(OR(N24="falso",N24=0),"",E23)</f>
        <v/>
      </c>
      <c r="L24" s="112">
        <f t="shared" si="6"/>
        <v>0</v>
      </c>
      <c r="M24" s="112">
        <f t="shared" si="7"/>
        <v>0</v>
      </c>
      <c r="N24" s="113" t="str">
        <f t="shared" ref="N24:N35" si="11">IF(I24&gt;=0,IF(I23&gt;0,0,-I23),"FALSO")</f>
        <v>FALSO</v>
      </c>
      <c r="O24" s="114" t="str">
        <f t="shared" si="8"/>
        <v/>
      </c>
      <c r="P24" s="115">
        <f t="shared" si="2"/>
        <v>0</v>
      </c>
    </row>
    <row r="25" ht="14.25" customHeight="1">
      <c r="A25" s="116">
        <v>45099.0</v>
      </c>
      <c r="B25" s="116">
        <v>45099.0</v>
      </c>
      <c r="C25" s="116">
        <v>45099.0</v>
      </c>
      <c r="D25" s="109">
        <v>0.0</v>
      </c>
      <c r="E25" s="109">
        <f t="shared" si="3"/>
        <v>100</v>
      </c>
      <c r="F25" s="110">
        <f t="shared" ref="F25:F35" si="12">IF(C25&gt;$D$2,$E$2,"")</f>
        <v>0.0875</v>
      </c>
      <c r="G25" s="109">
        <f t="shared" si="9"/>
        <v>4.375</v>
      </c>
      <c r="H25" s="109">
        <f t="shared" si="4"/>
        <v>4.375</v>
      </c>
      <c r="I25" s="111">
        <f t="shared" si="1"/>
        <v>169</v>
      </c>
      <c r="J25" s="111">
        <f t="shared" si="5"/>
        <v>4.213478446</v>
      </c>
      <c r="K25" s="117">
        <f t="shared" si="10"/>
        <v>100</v>
      </c>
      <c r="L25" s="112">
        <f t="shared" si="6"/>
        <v>0.0195089824</v>
      </c>
      <c r="M25" s="112">
        <f t="shared" si="7"/>
        <v>0.01525221595</v>
      </c>
      <c r="N25" s="111">
        <f t="shared" si="11"/>
        <v>13</v>
      </c>
      <c r="O25" s="114">
        <f t="shared" si="8"/>
        <v>45099</v>
      </c>
      <c r="P25" s="115">
        <f t="shared" si="2"/>
        <v>4.375</v>
      </c>
      <c r="R25" s="82"/>
    </row>
    <row r="26" ht="14.25" customHeight="1">
      <c r="A26" s="116">
        <v>45282.0</v>
      </c>
      <c r="B26" s="116">
        <v>45282.0</v>
      </c>
      <c r="C26" s="116">
        <v>45282.0</v>
      </c>
      <c r="D26" s="109">
        <v>0.0</v>
      </c>
      <c r="E26" s="109">
        <f t="shared" si="3"/>
        <v>100</v>
      </c>
      <c r="F26" s="110">
        <f t="shared" si="12"/>
        <v>0.0875</v>
      </c>
      <c r="G26" s="109">
        <f t="shared" si="9"/>
        <v>4.375</v>
      </c>
      <c r="H26" s="109">
        <f t="shared" si="4"/>
        <v>4.375</v>
      </c>
      <c r="I26" s="111">
        <f t="shared" si="1"/>
        <v>352</v>
      </c>
      <c r="J26" s="111">
        <f t="shared" si="5"/>
        <v>4.0452942</v>
      </c>
      <c r="K26" s="117" t="str">
        <f t="shared" si="10"/>
        <v/>
      </c>
      <c r="L26" s="112">
        <f t="shared" si="6"/>
        <v>0.03901215229</v>
      </c>
      <c r="M26" s="112">
        <f t="shared" si="7"/>
        <v>0.03176792909</v>
      </c>
      <c r="N26" s="113">
        <f t="shared" si="11"/>
        <v>0</v>
      </c>
      <c r="O26" s="114">
        <f t="shared" si="8"/>
        <v>45282</v>
      </c>
      <c r="P26" s="115">
        <f t="shared" si="2"/>
        <v>4.375</v>
      </c>
      <c r="R26" s="82"/>
    </row>
    <row r="27" ht="14.25" customHeight="1">
      <c r="A27" s="116">
        <v>45465.0</v>
      </c>
      <c r="B27" s="116">
        <v>45465.0</v>
      </c>
      <c r="C27" s="116">
        <v>45465.0</v>
      </c>
      <c r="D27" s="109">
        <v>17.5</v>
      </c>
      <c r="E27" s="109">
        <f t="shared" si="3"/>
        <v>82.5</v>
      </c>
      <c r="F27" s="110">
        <f t="shared" si="12"/>
        <v>0.0875</v>
      </c>
      <c r="G27" s="109">
        <f t="shared" si="9"/>
        <v>4.375</v>
      </c>
      <c r="H27" s="109">
        <f t="shared" si="4"/>
        <v>21.875</v>
      </c>
      <c r="I27" s="111">
        <f t="shared" si="1"/>
        <v>535</v>
      </c>
      <c r="J27" s="111">
        <f t="shared" si="5"/>
        <v>19.41911579</v>
      </c>
      <c r="K27" s="117" t="str">
        <f t="shared" si="10"/>
        <v/>
      </c>
      <c r="L27" s="112">
        <f t="shared" si="6"/>
        <v>0.2846363547</v>
      </c>
      <c r="M27" s="112">
        <f t="shared" si="7"/>
        <v>0.2414182111</v>
      </c>
      <c r="N27" s="113">
        <f t="shared" si="11"/>
        <v>0</v>
      </c>
      <c r="O27" s="114">
        <f t="shared" si="8"/>
        <v>45465</v>
      </c>
      <c r="P27" s="115">
        <f t="shared" si="2"/>
        <v>21.875</v>
      </c>
      <c r="R27" s="82"/>
    </row>
    <row r="28" ht="14.25" customHeight="1">
      <c r="A28" s="116">
        <v>45648.0</v>
      </c>
      <c r="B28" s="116">
        <v>45648.0</v>
      </c>
      <c r="C28" s="116">
        <v>45648.0</v>
      </c>
      <c r="D28" s="109">
        <v>0.0</v>
      </c>
      <c r="E28" s="109">
        <f t="shared" si="3"/>
        <v>82.5</v>
      </c>
      <c r="F28" s="110">
        <f t="shared" si="12"/>
        <v>0.0875</v>
      </c>
      <c r="G28" s="109">
        <f t="shared" si="9"/>
        <v>3.609375</v>
      </c>
      <c r="H28" s="109">
        <f t="shared" si="4"/>
        <v>3.609375</v>
      </c>
      <c r="I28" s="111">
        <f t="shared" si="1"/>
        <v>718</v>
      </c>
      <c r="J28" s="111">
        <f t="shared" si="5"/>
        <v>3.076257819</v>
      </c>
      <c r="K28" s="117" t="str">
        <f t="shared" si="10"/>
        <v/>
      </c>
      <c r="L28" s="112">
        <f t="shared" si="6"/>
        <v>0.06051378395</v>
      </c>
      <c r="M28" s="112">
        <f t="shared" si="7"/>
        <v>0.05345946817</v>
      </c>
      <c r="N28" s="113">
        <f t="shared" si="11"/>
        <v>0</v>
      </c>
      <c r="O28" s="114">
        <f t="shared" si="8"/>
        <v>45648</v>
      </c>
      <c r="P28" s="115">
        <f t="shared" si="2"/>
        <v>3.609375</v>
      </c>
      <c r="R28" s="82"/>
    </row>
    <row r="29" ht="14.25" customHeight="1">
      <c r="A29" s="116">
        <v>45830.0</v>
      </c>
      <c r="B29" s="116">
        <v>45830.0</v>
      </c>
      <c r="C29" s="116">
        <v>45830.0</v>
      </c>
      <c r="D29" s="109">
        <v>17.5</v>
      </c>
      <c r="E29" s="109">
        <f t="shared" si="3"/>
        <v>65</v>
      </c>
      <c r="F29" s="110">
        <f t="shared" si="12"/>
        <v>0.0875</v>
      </c>
      <c r="G29" s="109">
        <f t="shared" si="9"/>
        <v>3.609375</v>
      </c>
      <c r="H29" s="109">
        <f t="shared" si="4"/>
        <v>21.109375</v>
      </c>
      <c r="I29" s="111">
        <f t="shared" si="1"/>
        <v>900</v>
      </c>
      <c r="J29" s="111">
        <f t="shared" si="5"/>
        <v>17.27715005</v>
      </c>
      <c r="K29" s="117" t="str">
        <f t="shared" si="10"/>
        <v/>
      </c>
      <c r="L29" s="112">
        <f t="shared" si="6"/>
        <v>0.4260119192</v>
      </c>
      <c r="M29" s="112">
        <f t="shared" si="7"/>
        <v>0.3919097502</v>
      </c>
      <c r="N29" s="113">
        <f t="shared" si="11"/>
        <v>0</v>
      </c>
      <c r="O29" s="114">
        <f t="shared" si="8"/>
        <v>45830</v>
      </c>
      <c r="P29" s="115">
        <f t="shared" si="2"/>
        <v>21.109375</v>
      </c>
      <c r="R29" s="82"/>
    </row>
    <row r="30" ht="14.25" customHeight="1">
      <c r="A30" s="116">
        <v>46013.0</v>
      </c>
      <c r="B30" s="116">
        <v>46013.0</v>
      </c>
      <c r="C30" s="116">
        <v>46013.0</v>
      </c>
      <c r="D30" s="109">
        <v>0.0</v>
      </c>
      <c r="E30" s="109">
        <f t="shared" si="3"/>
        <v>65</v>
      </c>
      <c r="F30" s="110">
        <f t="shared" si="12"/>
        <v>0.0875</v>
      </c>
      <c r="G30" s="109">
        <f t="shared" si="9"/>
        <v>2.84375</v>
      </c>
      <c r="H30" s="109">
        <f t="shared" si="4"/>
        <v>2.84375</v>
      </c>
      <c r="I30" s="111">
        <f t="shared" si="1"/>
        <v>1083</v>
      </c>
      <c r="J30" s="111">
        <f t="shared" si="5"/>
        <v>2.234588088</v>
      </c>
      <c r="K30" s="117" t="str">
        <f t="shared" si="10"/>
        <v/>
      </c>
      <c r="L30" s="112">
        <f t="shared" si="6"/>
        <v>0.06630298353</v>
      </c>
      <c r="M30" s="112">
        <f t="shared" si="7"/>
        <v>0.06353134569</v>
      </c>
      <c r="N30" s="113">
        <f t="shared" si="11"/>
        <v>0</v>
      </c>
      <c r="O30" s="114">
        <f t="shared" si="8"/>
        <v>46013</v>
      </c>
      <c r="P30" s="115">
        <f t="shared" si="2"/>
        <v>2.84375</v>
      </c>
      <c r="R30" s="82"/>
    </row>
    <row r="31" ht="14.25" customHeight="1">
      <c r="A31" s="116">
        <v>46195.0</v>
      </c>
      <c r="B31" s="116">
        <v>46195.0</v>
      </c>
      <c r="C31" s="116">
        <v>46195.0</v>
      </c>
      <c r="D31" s="109">
        <v>17.5</v>
      </c>
      <c r="E31" s="109">
        <f t="shared" si="3"/>
        <v>47.5</v>
      </c>
      <c r="F31" s="110">
        <f t="shared" si="12"/>
        <v>0.0875</v>
      </c>
      <c r="G31" s="109">
        <f t="shared" si="9"/>
        <v>2.84375</v>
      </c>
      <c r="H31" s="109">
        <f t="shared" si="4"/>
        <v>20.34375</v>
      </c>
      <c r="I31" s="111">
        <f t="shared" si="1"/>
        <v>1265</v>
      </c>
      <c r="J31" s="111">
        <f t="shared" si="5"/>
        <v>15.35122655</v>
      </c>
      <c r="K31" s="117" t="str">
        <f t="shared" si="10"/>
        <v/>
      </c>
      <c r="L31" s="112">
        <f t="shared" si="6"/>
        <v>0.5320356599</v>
      </c>
      <c r="M31" s="112">
        <f t="shared" si="7"/>
        <v>0.5308718775</v>
      </c>
      <c r="N31" s="113">
        <f t="shared" si="11"/>
        <v>0</v>
      </c>
      <c r="O31" s="114">
        <f t="shared" si="8"/>
        <v>46195</v>
      </c>
      <c r="P31" s="115">
        <f t="shared" si="2"/>
        <v>20.34375</v>
      </c>
      <c r="R31" s="82"/>
    </row>
    <row r="32" ht="14.25" customHeight="1">
      <c r="A32" s="116">
        <v>46378.0</v>
      </c>
      <c r="B32" s="116">
        <v>46378.0</v>
      </c>
      <c r="C32" s="116">
        <v>46378.0</v>
      </c>
      <c r="D32" s="109">
        <v>0.0</v>
      </c>
      <c r="E32" s="109">
        <f t="shared" si="3"/>
        <v>47.5</v>
      </c>
      <c r="F32" s="110">
        <f t="shared" si="12"/>
        <v>0.0875</v>
      </c>
      <c r="G32" s="109">
        <f t="shared" si="9"/>
        <v>2.078125</v>
      </c>
      <c r="H32" s="109">
        <f t="shared" si="4"/>
        <v>2.078125</v>
      </c>
      <c r="I32" s="111">
        <f t="shared" si="1"/>
        <v>1448</v>
      </c>
      <c r="J32" s="111">
        <f t="shared" si="5"/>
        <v>1.505542684</v>
      </c>
      <c r="K32" s="117" t="str">
        <f t="shared" si="10"/>
        <v/>
      </c>
      <c r="L32" s="112">
        <f t="shared" si="6"/>
        <v>0.05972673442</v>
      </c>
      <c r="M32" s="112">
        <f t="shared" si="7"/>
        <v>0.06207381144</v>
      </c>
      <c r="N32" s="113">
        <f t="shared" si="11"/>
        <v>0</v>
      </c>
      <c r="O32" s="114">
        <f t="shared" si="8"/>
        <v>46378</v>
      </c>
      <c r="P32" s="115">
        <f t="shared" si="2"/>
        <v>2.078125</v>
      </c>
      <c r="R32" s="82"/>
    </row>
    <row r="33" ht="14.25" customHeight="1">
      <c r="A33" s="116">
        <v>46560.0</v>
      </c>
      <c r="B33" s="116">
        <v>46560.0</v>
      </c>
      <c r="C33" s="116">
        <v>46560.0</v>
      </c>
      <c r="D33" s="109">
        <v>17.5</v>
      </c>
      <c r="E33" s="109">
        <f t="shared" si="3"/>
        <v>30</v>
      </c>
      <c r="F33" s="110">
        <f t="shared" si="12"/>
        <v>0.0875</v>
      </c>
      <c r="G33" s="109">
        <f t="shared" si="9"/>
        <v>2.078125</v>
      </c>
      <c r="H33" s="109">
        <f t="shared" si="4"/>
        <v>19.578125</v>
      </c>
      <c r="I33" s="111">
        <f t="shared" si="1"/>
        <v>1630</v>
      </c>
      <c r="J33" s="111">
        <f t="shared" si="5"/>
        <v>13.62067117</v>
      </c>
      <c r="K33" s="117" t="str">
        <f t="shared" si="10"/>
        <v/>
      </c>
      <c r="L33" s="112">
        <f t="shared" si="6"/>
        <v>0.6082655892</v>
      </c>
      <c r="M33" s="112">
        <f t="shared" si="7"/>
        <v>0.6583045931</v>
      </c>
      <c r="N33" s="113">
        <f t="shared" si="11"/>
        <v>0</v>
      </c>
      <c r="O33" s="114">
        <f t="shared" si="8"/>
        <v>46560</v>
      </c>
      <c r="P33" s="115">
        <f t="shared" si="2"/>
        <v>19.578125</v>
      </c>
      <c r="R33" s="82"/>
    </row>
    <row r="34" ht="14.25" customHeight="1">
      <c r="A34" s="116">
        <v>46743.0</v>
      </c>
      <c r="B34" s="116">
        <v>46743.0</v>
      </c>
      <c r="C34" s="116">
        <v>46743.0</v>
      </c>
      <c r="D34" s="109">
        <v>0.0</v>
      </c>
      <c r="E34" s="109">
        <f t="shared" si="3"/>
        <v>30</v>
      </c>
      <c r="F34" s="110">
        <f t="shared" si="12"/>
        <v>0.0875</v>
      </c>
      <c r="G34" s="109">
        <f t="shared" si="9"/>
        <v>1.3125</v>
      </c>
      <c r="H34" s="109">
        <f t="shared" si="4"/>
        <v>1.3125</v>
      </c>
      <c r="I34" s="111">
        <f t="shared" si="1"/>
        <v>1813</v>
      </c>
      <c r="J34" s="111">
        <f t="shared" si="5"/>
        <v>0.8766698252</v>
      </c>
      <c r="K34" s="117" t="str">
        <f t="shared" si="10"/>
        <v/>
      </c>
      <c r="L34" s="112">
        <f t="shared" si="6"/>
        <v>0.04354527104</v>
      </c>
      <c r="M34" s="112">
        <f t="shared" si="7"/>
        <v>0.04908686543</v>
      </c>
      <c r="N34" s="113">
        <f t="shared" si="11"/>
        <v>0</v>
      </c>
      <c r="O34" s="114">
        <f t="shared" si="8"/>
        <v>46743</v>
      </c>
      <c r="P34" s="115">
        <f t="shared" si="2"/>
        <v>1.3125</v>
      </c>
      <c r="R34" s="82"/>
    </row>
    <row r="35" ht="14.25" customHeight="1">
      <c r="A35" s="116">
        <v>46926.0</v>
      </c>
      <c r="B35" s="116">
        <v>46926.0</v>
      </c>
      <c r="C35" s="116">
        <v>46926.0</v>
      </c>
      <c r="D35" s="109">
        <v>30.0</v>
      </c>
      <c r="E35" s="109">
        <f t="shared" si="3"/>
        <v>0</v>
      </c>
      <c r="F35" s="110">
        <f t="shared" si="12"/>
        <v>0.0875</v>
      </c>
      <c r="G35" s="109">
        <f t="shared" si="9"/>
        <v>1.3125</v>
      </c>
      <c r="H35" s="109">
        <f t="shared" si="4"/>
        <v>31.3125</v>
      </c>
      <c r="I35" s="111">
        <f t="shared" si="1"/>
        <v>1996</v>
      </c>
      <c r="J35" s="111">
        <f t="shared" si="5"/>
        <v>20.08000538</v>
      </c>
      <c r="K35" s="117" t="str">
        <f t="shared" si="10"/>
        <v/>
      </c>
      <c r="L35" s="112">
        <f t="shared" si="6"/>
        <v>1.098073719</v>
      </c>
      <c r="M35" s="112">
        <f t="shared" si="7"/>
        <v>1.289277679</v>
      </c>
      <c r="N35" s="113">
        <f t="shared" si="11"/>
        <v>0</v>
      </c>
      <c r="O35" s="114">
        <f t="shared" si="8"/>
        <v>46926</v>
      </c>
      <c r="P35" s="115">
        <f t="shared" si="2"/>
        <v>31.3125</v>
      </c>
      <c r="R35" s="82"/>
    </row>
    <row r="36" ht="14.25" customHeight="1">
      <c r="H36" s="118">
        <f>SUMIF(I22:I35,"&gt;0",H22:H35)</f>
        <v>132.8125</v>
      </c>
      <c r="I36" s="119">
        <f>+H10</f>
        <v>0.08291873064</v>
      </c>
      <c r="J36" s="119">
        <f>SUM(J22:J35)</f>
        <v>0</v>
      </c>
      <c r="K36" s="120">
        <f>SUM(K22:K35)/$E$22</f>
        <v>1</v>
      </c>
      <c r="L36" s="121">
        <f t="shared" ref="L36:M36" si="13">SUM(L22:L35)</f>
        <v>3.237633149</v>
      </c>
      <c r="M36" s="119">
        <f t="shared" si="13"/>
        <v>3.386953747</v>
      </c>
      <c r="N36" s="122">
        <f>SUM(N24:N35)</f>
        <v>13</v>
      </c>
      <c r="O36" s="123">
        <f>MIN(O24:O35)</f>
        <v>45099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7" width="16.86"/>
    <col customWidth="1" min="8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73" t="s">
        <v>21</v>
      </c>
      <c r="D2" s="74">
        <v>44903.0</v>
      </c>
      <c r="E2" s="75">
        <v>0.095</v>
      </c>
      <c r="G2" s="71" t="s">
        <v>142</v>
      </c>
      <c r="H2" s="76">
        <f>+E17*100+E11</f>
        <v>100.3430556</v>
      </c>
      <c r="L2" s="85"/>
      <c r="M2" s="77"/>
      <c r="N2" s="78"/>
    </row>
    <row r="3" ht="14.25" customHeight="1">
      <c r="C3" s="71" t="s">
        <v>143</v>
      </c>
      <c r="D3" s="71"/>
      <c r="E3" s="79">
        <v>44781.0</v>
      </c>
      <c r="F3" s="80"/>
      <c r="G3" s="71" t="s">
        <v>144</v>
      </c>
      <c r="H3" s="81">
        <f>IF(E1&gt;D2,E2*E17*E6/E12,"")</f>
        <v>0.08824326242</v>
      </c>
      <c r="I3" s="82"/>
      <c r="L3" s="85"/>
      <c r="M3" s="84"/>
      <c r="N3" s="85"/>
      <c r="P3" s="137"/>
      <c r="Q3" s="116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107.6307667</v>
      </c>
      <c r="L4" s="85"/>
      <c r="M4" s="84"/>
      <c r="N4" s="85"/>
      <c r="P4" s="137"/>
      <c r="Q4" s="116"/>
    </row>
    <row r="5" ht="14.25" customHeight="1">
      <c r="C5" s="71" t="s">
        <v>147</v>
      </c>
      <c r="D5" s="88"/>
      <c r="E5" s="79">
        <v>44903.0</v>
      </c>
      <c r="G5" s="71" t="s">
        <v>148</v>
      </c>
      <c r="H5" s="89">
        <f>MIN(O24:O32)</f>
        <v>45085</v>
      </c>
      <c r="L5" s="85"/>
      <c r="M5" s="84"/>
      <c r="N5" s="85"/>
      <c r="P5" s="137"/>
      <c r="Q5" s="116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MAX(C22:C32)</f>
        <v>46364</v>
      </c>
      <c r="L6" s="85"/>
      <c r="M6" s="84"/>
      <c r="N6" s="85"/>
      <c r="P6" s="137"/>
      <c r="Q6" s="116"/>
    </row>
    <row r="7" ht="14.25" customHeight="1">
      <c r="C7" s="91" t="s">
        <v>151</v>
      </c>
      <c r="D7" s="91"/>
      <c r="G7" s="71" t="s">
        <v>152</v>
      </c>
      <c r="H7" s="92">
        <f>+H6-E1</f>
        <v>1434</v>
      </c>
      <c r="L7" s="85"/>
      <c r="M7" s="84"/>
      <c r="N7" s="85"/>
      <c r="P7" s="137"/>
      <c r="Q7" s="116"/>
    </row>
    <row r="8" ht="14.25" customHeight="1">
      <c r="L8" s="85"/>
      <c r="M8" s="84"/>
      <c r="N8" s="85"/>
      <c r="P8" s="137"/>
      <c r="Q8" s="116"/>
    </row>
    <row r="9" ht="14.25" customHeight="1">
      <c r="C9" s="71" t="s">
        <v>153</v>
      </c>
      <c r="D9" s="71"/>
      <c r="E9" s="93">
        <f>+Curva!C27</f>
        <v>108</v>
      </c>
      <c r="G9" s="94"/>
      <c r="H9" s="95" t="s">
        <v>154</v>
      </c>
      <c r="I9" s="95" t="s">
        <v>155</v>
      </c>
      <c r="J9" s="96" t="s">
        <v>156</v>
      </c>
      <c r="L9" s="85"/>
      <c r="M9" s="84"/>
      <c r="N9" s="85"/>
      <c r="P9" s="137"/>
      <c r="Q9" s="116"/>
    </row>
    <row r="10" ht="14.25" customHeight="1">
      <c r="C10" s="71" t="s">
        <v>157</v>
      </c>
      <c r="D10" s="71"/>
      <c r="E10" s="97">
        <f t="array" ref="E10">DAYS360(MAX(IF(C23:C32&lt;=E1,C23:C32)),E1,1)</f>
        <v>26</v>
      </c>
      <c r="G10" s="98" t="s">
        <v>158</v>
      </c>
      <c r="H10" s="99">
        <f>+((XIRR(P22:P32,C22:C32)+1)^(1/2)-1)*2</f>
        <v>0.06691987418</v>
      </c>
      <c r="I10" s="99">
        <f>+((XIRR(P22:P32,A22:A32)+1)^(1/2)-1)*2</f>
        <v>0.06684878239</v>
      </c>
      <c r="J10" s="99">
        <f>+((XIRR(P22:P32,B22:B32)+1)^(1/2)-1)*2</f>
        <v>0.06677784332</v>
      </c>
      <c r="L10" s="85"/>
      <c r="M10" s="84"/>
      <c r="N10" s="85"/>
      <c r="P10" s="137"/>
      <c r="Q10" s="116"/>
    </row>
    <row r="11" ht="14.25" customHeight="1">
      <c r="C11" s="71" t="s">
        <v>159</v>
      </c>
      <c r="D11" s="71"/>
      <c r="E11" s="76">
        <f>+($E$2*$E$6/4)*$H$12/$H$13</f>
        <v>0.3430555556</v>
      </c>
      <c r="L11" s="85"/>
      <c r="M11" s="84"/>
      <c r="N11" s="85"/>
      <c r="P11" s="137"/>
      <c r="Q11" s="116"/>
    </row>
    <row r="12" ht="14.25" customHeight="1">
      <c r="C12" s="71" t="s">
        <v>160</v>
      </c>
      <c r="D12" s="71"/>
      <c r="E12" s="93">
        <f>+E9-E11</f>
        <v>107.6569444</v>
      </c>
      <c r="G12" s="126" t="s">
        <v>187</v>
      </c>
      <c r="H12" s="127">
        <f>COUPDAYBS(C22,C32,2,0)</f>
        <v>26</v>
      </c>
      <c r="L12" s="85"/>
      <c r="M12" s="84"/>
      <c r="N12" s="85"/>
      <c r="P12" s="137"/>
      <c r="Q12" s="116"/>
    </row>
    <row r="13" ht="14.25" customHeight="1">
      <c r="C13" s="101"/>
      <c r="D13" s="101"/>
      <c r="G13" s="126" t="s">
        <v>188</v>
      </c>
      <c r="H13" s="128">
        <f>COUPDAYS(C22,C32,2)</f>
        <v>180</v>
      </c>
      <c r="L13" s="85"/>
      <c r="M13" s="84"/>
      <c r="N13" s="85"/>
      <c r="P13" s="137"/>
      <c r="Q13" s="116"/>
    </row>
    <row r="14" ht="14.25" customHeight="1">
      <c r="C14" s="71" t="s">
        <v>161</v>
      </c>
      <c r="D14" s="71"/>
      <c r="E14" s="100">
        <f>(L33*100)/SUM(J24:J32)</f>
        <v>2.618802246</v>
      </c>
      <c r="G14" s="126" t="s">
        <v>189</v>
      </c>
      <c r="H14" s="129">
        <f>+($E$2*$E$6/2)*$H$12/$H$13</f>
        <v>0.6861111111</v>
      </c>
      <c r="L14" s="85"/>
      <c r="M14" s="84"/>
      <c r="N14" s="85"/>
      <c r="P14" s="137"/>
      <c r="Q14" s="116"/>
    </row>
    <row r="15" ht="14.25" customHeight="1">
      <c r="C15" s="71" t="s">
        <v>162</v>
      </c>
      <c r="D15" s="71"/>
      <c r="E15" s="100">
        <f>E14/(1+I33/2)</f>
        <v>2.534014287</v>
      </c>
      <c r="L15" s="85"/>
      <c r="M15" s="84"/>
      <c r="N15" s="85"/>
      <c r="P15" s="137"/>
      <c r="Q15" s="116"/>
    </row>
    <row r="16" ht="14.25" customHeight="1">
      <c r="C16" s="71" t="s">
        <v>163</v>
      </c>
      <c r="D16" s="71"/>
      <c r="E16" s="100">
        <f>M33</f>
        <v>2.684089157</v>
      </c>
      <c r="M16" s="84"/>
      <c r="N16" s="85"/>
      <c r="O16" s="116"/>
      <c r="P16" s="137"/>
    </row>
    <row r="17" ht="14.25" customHeight="1">
      <c r="C17" s="71" t="s">
        <v>164</v>
      </c>
      <c r="D17" s="71"/>
      <c r="E17" s="100">
        <f>K33</f>
        <v>1</v>
      </c>
      <c r="M17" s="84"/>
      <c r="N17" s="85"/>
    </row>
    <row r="18" ht="14.25" customHeight="1">
      <c r="J18" s="102"/>
    </row>
    <row r="19" ht="14.25" customHeight="1"/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</row>
    <row r="21" ht="14.25" customHeight="1">
      <c r="A21" s="107" t="s">
        <v>155</v>
      </c>
      <c r="B21" s="107" t="s">
        <v>156</v>
      </c>
      <c r="C21" s="107" t="s">
        <v>154</v>
      </c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-108</v>
      </c>
      <c r="I22" s="111">
        <f t="shared" ref="I22:I32" si="1">+C22-$E$1</f>
        <v>0</v>
      </c>
      <c r="J22" s="111">
        <f>H22</f>
        <v>-108</v>
      </c>
      <c r="K22" s="117"/>
      <c r="L22" s="112"/>
      <c r="M22" s="112"/>
      <c r="N22" s="113"/>
      <c r="O22" s="114"/>
      <c r="P22" s="115">
        <f t="shared" ref="P22:P32" si="2">+H22</f>
        <v>-108</v>
      </c>
    </row>
    <row r="23" ht="14.25" customHeight="1">
      <c r="A23" s="116">
        <v>44781.0</v>
      </c>
      <c r="B23" s="116">
        <v>44781.0</v>
      </c>
      <c r="C23" s="116">
        <v>44781.0</v>
      </c>
      <c r="D23" s="109">
        <v>0.0</v>
      </c>
      <c r="E23" s="109">
        <f t="shared" ref="E23:E32" si="3">+E22-D23</f>
        <v>100</v>
      </c>
      <c r="F23" s="110"/>
      <c r="G23" s="109"/>
      <c r="H23" s="109">
        <f t="shared" ref="H23:H32" si="4">+IF(C23&gt;$C$22,D23+G23,0)</f>
        <v>0</v>
      </c>
      <c r="I23" s="111">
        <f t="shared" si="1"/>
        <v>-149</v>
      </c>
      <c r="J23" s="111">
        <f t="shared" ref="J23:J32" si="5">IF(I23&lt;=0,0,H23/(((1+$I$33/2)^2)^(I23/365)))</f>
        <v>0</v>
      </c>
      <c r="K23" s="117"/>
      <c r="L23" s="112">
        <f t="shared" ref="L23:L32" si="6">J23*(I23/365)/100</f>
        <v>0</v>
      </c>
      <c r="M23" s="112">
        <f t="shared" ref="M23:M32" si="7">IF(I23&lt;0,0,(H23/$H$33)*I23/365)</f>
        <v>0</v>
      </c>
      <c r="N23" s="113" t="str">
        <f>IF(I23&gt;=0,IF(I21&gt;0,0,-I21),"FALSO")</f>
        <v>FALSO</v>
      </c>
      <c r="O23" s="114" t="str">
        <f t="shared" ref="O23:O32" si="8">+IF(C23&gt;$C$22,C23,"")</f>
        <v/>
      </c>
      <c r="P23" s="115">
        <f t="shared" si="2"/>
        <v>0</v>
      </c>
    </row>
    <row r="24" ht="14.25" customHeight="1">
      <c r="A24" s="116">
        <v>44903.0</v>
      </c>
      <c r="B24" s="116">
        <v>44903.0</v>
      </c>
      <c r="C24" s="116">
        <v>44903.0</v>
      </c>
      <c r="D24" s="109">
        <v>0.0</v>
      </c>
      <c r="E24" s="109">
        <f t="shared" si="3"/>
        <v>100</v>
      </c>
      <c r="F24" s="110">
        <f>IF(C24&gt;=$D$2,$E$2,"")</f>
        <v>0.095</v>
      </c>
      <c r="G24" s="109">
        <f t="shared" ref="G24:G32" si="9">IF(F24="","",IF($E$4=365,E23*F24/365*(C24-C23),E23*F24/360*DAYS360(C23,C24)))</f>
        <v>3.166666667</v>
      </c>
      <c r="H24" s="109">
        <f t="shared" si="4"/>
        <v>0</v>
      </c>
      <c r="I24" s="111">
        <f t="shared" si="1"/>
        <v>-27</v>
      </c>
      <c r="J24" s="111">
        <f t="shared" si="5"/>
        <v>0</v>
      </c>
      <c r="K24" s="112" t="str">
        <f t="shared" ref="K24:K32" si="10">IF(OR(N24="falso",N24=0),"",E23)</f>
        <v/>
      </c>
      <c r="L24" s="112">
        <f t="shared" si="6"/>
        <v>0</v>
      </c>
      <c r="M24" s="112">
        <f t="shared" si="7"/>
        <v>0</v>
      </c>
      <c r="N24" s="113" t="str">
        <f t="shared" ref="N24:N32" si="11">IF(I24&gt;=0,IF(I23&gt;0,0,-I23),"FALSO")</f>
        <v>FALSO</v>
      </c>
      <c r="O24" s="114" t="str">
        <f t="shared" si="8"/>
        <v/>
      </c>
      <c r="P24" s="115">
        <f t="shared" si="2"/>
        <v>0</v>
      </c>
    </row>
    <row r="25" ht="14.25" customHeight="1">
      <c r="A25" s="116">
        <v>45085.0</v>
      </c>
      <c r="B25" s="116">
        <v>45085.0</v>
      </c>
      <c r="C25" s="116">
        <v>45085.0</v>
      </c>
      <c r="D25" s="109">
        <v>0.0</v>
      </c>
      <c r="E25" s="109">
        <f t="shared" si="3"/>
        <v>100</v>
      </c>
      <c r="F25" s="110">
        <f t="shared" ref="F25:F32" si="12">IF(C25&gt;$D$2,$E$2,"")</f>
        <v>0.095</v>
      </c>
      <c r="G25" s="109">
        <f t="shared" si="9"/>
        <v>4.75</v>
      </c>
      <c r="H25" s="109">
        <f t="shared" si="4"/>
        <v>4.75</v>
      </c>
      <c r="I25" s="111">
        <f t="shared" si="1"/>
        <v>155</v>
      </c>
      <c r="J25" s="111">
        <f t="shared" si="5"/>
        <v>4.6190621</v>
      </c>
      <c r="K25" s="117">
        <f t="shared" si="10"/>
        <v>100</v>
      </c>
      <c r="L25" s="112">
        <f t="shared" si="6"/>
        <v>0.01961519522</v>
      </c>
      <c r="M25" s="112">
        <f t="shared" si="7"/>
        <v>0.01568586094</v>
      </c>
      <c r="N25" s="111">
        <f t="shared" si="11"/>
        <v>27</v>
      </c>
      <c r="O25" s="114">
        <f t="shared" si="8"/>
        <v>45085</v>
      </c>
      <c r="P25" s="115">
        <f t="shared" si="2"/>
        <v>4.75</v>
      </c>
      <c r="R25" s="82"/>
    </row>
    <row r="26" ht="14.25" customHeight="1">
      <c r="A26" s="116">
        <v>45268.0</v>
      </c>
      <c r="B26" s="116">
        <v>45268.0</v>
      </c>
      <c r="C26" s="116">
        <v>45268.0</v>
      </c>
      <c r="D26" s="109">
        <v>0.0</v>
      </c>
      <c r="E26" s="109">
        <f t="shared" si="3"/>
        <v>100</v>
      </c>
      <c r="F26" s="110">
        <f t="shared" si="12"/>
        <v>0.095</v>
      </c>
      <c r="G26" s="109">
        <f t="shared" si="9"/>
        <v>4.75</v>
      </c>
      <c r="H26" s="109">
        <f t="shared" si="4"/>
        <v>4.75</v>
      </c>
      <c r="I26" s="111">
        <f t="shared" si="1"/>
        <v>338</v>
      </c>
      <c r="J26" s="111">
        <f t="shared" si="5"/>
        <v>4.469109492</v>
      </c>
      <c r="K26" s="117" t="str">
        <f t="shared" si="10"/>
        <v/>
      </c>
      <c r="L26" s="112">
        <f t="shared" si="6"/>
        <v>0.04138517831</v>
      </c>
      <c r="M26" s="112">
        <f t="shared" si="7"/>
        <v>0.03420529676</v>
      </c>
      <c r="N26" s="113">
        <f t="shared" si="11"/>
        <v>0</v>
      </c>
      <c r="O26" s="114">
        <f t="shared" si="8"/>
        <v>45268</v>
      </c>
      <c r="P26" s="115">
        <f t="shared" si="2"/>
        <v>4.75</v>
      </c>
      <c r="R26" s="82"/>
    </row>
    <row r="27" ht="14.25" customHeight="1">
      <c r="A27" s="116">
        <v>45451.0</v>
      </c>
      <c r="B27" s="116">
        <v>45451.0</v>
      </c>
      <c r="C27" s="116">
        <v>45451.0</v>
      </c>
      <c r="D27" s="109">
        <v>0.0</v>
      </c>
      <c r="E27" s="109">
        <f t="shared" si="3"/>
        <v>100</v>
      </c>
      <c r="F27" s="110">
        <f t="shared" si="12"/>
        <v>0.095</v>
      </c>
      <c r="G27" s="109">
        <f t="shared" si="9"/>
        <v>4.75</v>
      </c>
      <c r="H27" s="109">
        <f t="shared" si="4"/>
        <v>4.75</v>
      </c>
      <c r="I27" s="111">
        <f t="shared" si="1"/>
        <v>521</v>
      </c>
      <c r="J27" s="111">
        <f t="shared" si="5"/>
        <v>4.324024925</v>
      </c>
      <c r="K27" s="117" t="str">
        <f t="shared" si="10"/>
        <v/>
      </c>
      <c r="L27" s="112">
        <f t="shared" si="6"/>
        <v>0.06172101332</v>
      </c>
      <c r="M27" s="112">
        <f t="shared" si="7"/>
        <v>0.05272473258</v>
      </c>
      <c r="N27" s="113">
        <f t="shared" si="11"/>
        <v>0</v>
      </c>
      <c r="O27" s="114">
        <f t="shared" si="8"/>
        <v>45451</v>
      </c>
      <c r="P27" s="115">
        <f t="shared" si="2"/>
        <v>4.75</v>
      </c>
      <c r="R27" s="82"/>
    </row>
    <row r="28" ht="14.25" customHeight="1">
      <c r="A28" s="116">
        <v>45634.0</v>
      </c>
      <c r="B28" s="116">
        <v>45634.0</v>
      </c>
      <c r="C28" s="116">
        <v>45634.0</v>
      </c>
      <c r="D28" s="109">
        <v>33.0</v>
      </c>
      <c r="E28" s="109">
        <f t="shared" si="3"/>
        <v>67</v>
      </c>
      <c r="F28" s="110">
        <f t="shared" si="12"/>
        <v>0.095</v>
      </c>
      <c r="G28" s="109">
        <f t="shared" si="9"/>
        <v>4.75</v>
      </c>
      <c r="H28" s="109">
        <f t="shared" si="4"/>
        <v>37.75</v>
      </c>
      <c r="I28" s="111">
        <f t="shared" si="1"/>
        <v>704</v>
      </c>
      <c r="J28" s="111">
        <f t="shared" si="5"/>
        <v>33.24901079</v>
      </c>
      <c r="K28" s="117" t="str">
        <f t="shared" si="10"/>
        <v/>
      </c>
      <c r="L28" s="112">
        <f t="shared" si="6"/>
        <v>0.6412959889</v>
      </c>
      <c r="M28" s="112">
        <f t="shared" si="7"/>
        <v>0.5662036541</v>
      </c>
      <c r="N28" s="113">
        <f t="shared" si="11"/>
        <v>0</v>
      </c>
      <c r="O28" s="114">
        <f t="shared" si="8"/>
        <v>45634</v>
      </c>
      <c r="P28" s="115">
        <f t="shared" si="2"/>
        <v>37.75</v>
      </c>
      <c r="R28" s="82"/>
    </row>
    <row r="29" ht="14.25" customHeight="1">
      <c r="A29" s="116">
        <v>45816.0</v>
      </c>
      <c r="B29" s="116">
        <v>45816.0</v>
      </c>
      <c r="C29" s="116">
        <v>45816.0</v>
      </c>
      <c r="D29" s="109">
        <v>0.0</v>
      </c>
      <c r="E29" s="109">
        <f t="shared" si="3"/>
        <v>67</v>
      </c>
      <c r="F29" s="110">
        <f t="shared" si="12"/>
        <v>0.095</v>
      </c>
      <c r="G29" s="109">
        <f t="shared" si="9"/>
        <v>3.1825</v>
      </c>
      <c r="H29" s="109">
        <f t="shared" si="4"/>
        <v>3.1825</v>
      </c>
      <c r="I29" s="111">
        <f t="shared" si="1"/>
        <v>886</v>
      </c>
      <c r="J29" s="111">
        <f t="shared" si="5"/>
        <v>2.712537185</v>
      </c>
      <c r="K29" s="117" t="str">
        <f t="shared" si="10"/>
        <v/>
      </c>
      <c r="L29" s="112">
        <f t="shared" si="6"/>
        <v>0.06584405331</v>
      </c>
      <c r="M29" s="112">
        <f t="shared" si="7"/>
        <v>0.06007381143</v>
      </c>
      <c r="N29" s="113">
        <f t="shared" si="11"/>
        <v>0</v>
      </c>
      <c r="O29" s="114">
        <f t="shared" si="8"/>
        <v>45816</v>
      </c>
      <c r="P29" s="115">
        <f t="shared" si="2"/>
        <v>3.1825</v>
      </c>
      <c r="R29" s="82"/>
    </row>
    <row r="30" ht="14.25" customHeight="1">
      <c r="A30" s="116">
        <v>45999.0</v>
      </c>
      <c r="B30" s="116">
        <v>45999.0</v>
      </c>
      <c r="C30" s="116">
        <v>45999.0</v>
      </c>
      <c r="D30" s="109">
        <v>33.0</v>
      </c>
      <c r="E30" s="109">
        <f t="shared" si="3"/>
        <v>34</v>
      </c>
      <c r="F30" s="110">
        <f t="shared" si="12"/>
        <v>0.095</v>
      </c>
      <c r="G30" s="109">
        <f t="shared" si="9"/>
        <v>3.1825</v>
      </c>
      <c r="H30" s="109">
        <f t="shared" si="4"/>
        <v>36.1825</v>
      </c>
      <c r="I30" s="111">
        <f t="shared" si="1"/>
        <v>1069</v>
      </c>
      <c r="J30" s="111">
        <f t="shared" si="5"/>
        <v>29.83822968</v>
      </c>
      <c r="K30" s="117" t="str">
        <f t="shared" si="10"/>
        <v/>
      </c>
      <c r="L30" s="112">
        <f t="shared" si="6"/>
        <v>0.8738922612</v>
      </c>
      <c r="M30" s="112">
        <f t="shared" si="7"/>
        <v>0.8240609389</v>
      </c>
      <c r="N30" s="113">
        <f t="shared" si="11"/>
        <v>0</v>
      </c>
      <c r="O30" s="114">
        <f t="shared" si="8"/>
        <v>45999</v>
      </c>
      <c r="P30" s="115">
        <f t="shared" si="2"/>
        <v>36.1825</v>
      </c>
      <c r="R30" s="82"/>
    </row>
    <row r="31" ht="14.25" customHeight="1">
      <c r="A31" s="116">
        <v>46181.0</v>
      </c>
      <c r="B31" s="116">
        <v>46181.0</v>
      </c>
      <c r="C31" s="116">
        <v>46181.0</v>
      </c>
      <c r="D31" s="109">
        <v>0.0</v>
      </c>
      <c r="E31" s="109">
        <f t="shared" si="3"/>
        <v>34</v>
      </c>
      <c r="F31" s="110">
        <f t="shared" si="12"/>
        <v>0.095</v>
      </c>
      <c r="G31" s="109">
        <f t="shared" si="9"/>
        <v>1.615</v>
      </c>
      <c r="H31" s="109">
        <f t="shared" si="4"/>
        <v>1.615</v>
      </c>
      <c r="I31" s="111">
        <f t="shared" si="1"/>
        <v>1251</v>
      </c>
      <c r="J31" s="111">
        <f t="shared" si="5"/>
        <v>1.288820762</v>
      </c>
      <c r="K31" s="117" t="str">
        <f t="shared" si="10"/>
        <v/>
      </c>
      <c r="L31" s="112">
        <f t="shared" si="6"/>
        <v>0.04417300749</v>
      </c>
      <c r="M31" s="112">
        <f t="shared" si="7"/>
        <v>0.0430440264</v>
      </c>
      <c r="N31" s="113">
        <f t="shared" si="11"/>
        <v>0</v>
      </c>
      <c r="O31" s="114">
        <f t="shared" si="8"/>
        <v>46181</v>
      </c>
      <c r="P31" s="115">
        <f t="shared" si="2"/>
        <v>1.615</v>
      </c>
      <c r="R31" s="82"/>
    </row>
    <row r="32" ht="14.25" customHeight="1">
      <c r="A32" s="116">
        <v>46364.0</v>
      </c>
      <c r="B32" s="116">
        <v>46364.0</v>
      </c>
      <c r="C32" s="116">
        <v>46364.0</v>
      </c>
      <c r="D32" s="109">
        <v>34.0</v>
      </c>
      <c r="E32" s="109">
        <f t="shared" si="3"/>
        <v>0</v>
      </c>
      <c r="F32" s="110">
        <f t="shared" si="12"/>
        <v>0.095</v>
      </c>
      <c r="G32" s="109">
        <f t="shared" si="9"/>
        <v>1.615</v>
      </c>
      <c r="H32" s="109">
        <f t="shared" si="4"/>
        <v>35.615</v>
      </c>
      <c r="I32" s="111">
        <f t="shared" si="1"/>
        <v>1434</v>
      </c>
      <c r="J32" s="111">
        <f t="shared" si="5"/>
        <v>27.49920506</v>
      </c>
      <c r="K32" s="117" t="str">
        <f t="shared" si="10"/>
        <v/>
      </c>
      <c r="L32" s="112">
        <f t="shared" si="6"/>
        <v>1.080379728</v>
      </c>
      <c r="M32" s="112">
        <f t="shared" si="7"/>
        <v>1.088090836</v>
      </c>
      <c r="N32" s="113">
        <f t="shared" si="11"/>
        <v>0</v>
      </c>
      <c r="O32" s="114">
        <f t="shared" si="8"/>
        <v>46364</v>
      </c>
      <c r="P32" s="115">
        <f t="shared" si="2"/>
        <v>35.615</v>
      </c>
      <c r="R32" s="82"/>
    </row>
    <row r="33" ht="14.25" customHeight="1">
      <c r="H33" s="118">
        <f>SUMIF(I22:I32,"&gt;0",H22:H32)</f>
        <v>128.595</v>
      </c>
      <c r="I33" s="119">
        <f>+H10</f>
        <v>0.06691987418</v>
      </c>
      <c r="J33" s="119">
        <f>SUM(J22:J32)</f>
        <v>0</v>
      </c>
      <c r="K33" s="120">
        <f>SUM(K22:K32)/$E$22</f>
        <v>1</v>
      </c>
      <c r="L33" s="121">
        <f t="shared" ref="L33:M33" si="13">SUM(L22:L32)</f>
        <v>2.828306425</v>
      </c>
      <c r="M33" s="119">
        <f t="shared" si="13"/>
        <v>2.684089157</v>
      </c>
      <c r="N33" s="122">
        <f>SUM(N24:N32)</f>
        <v>27</v>
      </c>
      <c r="O33" s="123">
        <f>MIN(O24:O32)</f>
        <v>45085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7" width="16.86"/>
    <col customWidth="1" min="8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73" t="s">
        <v>21</v>
      </c>
      <c r="D2" s="74">
        <v>44947.0</v>
      </c>
      <c r="E2" s="75">
        <v>0.08</v>
      </c>
      <c r="G2" s="71" t="s">
        <v>142</v>
      </c>
      <c r="H2" s="76">
        <f>+E17*100+E11</f>
        <v>101.8111111</v>
      </c>
      <c r="L2" s="85"/>
      <c r="M2" s="77"/>
      <c r="N2" s="78"/>
    </row>
    <row r="3" ht="14.25" customHeight="1">
      <c r="C3" s="71" t="s">
        <v>143</v>
      </c>
      <c r="D3" s="71"/>
      <c r="E3" s="79">
        <v>44763.0</v>
      </c>
      <c r="F3" s="80"/>
      <c r="G3" s="71" t="s">
        <v>144</v>
      </c>
      <c r="H3" s="81" t="str">
        <f>IF(E1&gt;D2,E2*E17*E6/E12,"")</f>
        <v/>
      </c>
      <c r="I3" s="82"/>
      <c r="L3" s="85"/>
      <c r="M3" s="84"/>
      <c r="N3" s="85"/>
      <c r="P3" s="137"/>
      <c r="Q3" s="116"/>
      <c r="R3" s="116"/>
      <c r="S3" s="137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107.0610062</v>
      </c>
      <c r="L4" s="85"/>
      <c r="M4" s="84"/>
      <c r="N4" s="85"/>
      <c r="P4" s="137"/>
      <c r="Q4" s="136"/>
      <c r="R4" s="116"/>
      <c r="S4" s="137"/>
    </row>
    <row r="5" ht="14.25" customHeight="1">
      <c r="C5" s="71" t="s">
        <v>147</v>
      </c>
      <c r="D5" s="88"/>
      <c r="E5" s="79">
        <v>44947.0</v>
      </c>
      <c r="G5" s="71" t="s">
        <v>148</v>
      </c>
      <c r="H5" s="89">
        <f>MIN(O24:O27)</f>
        <v>44947</v>
      </c>
      <c r="L5" s="85"/>
      <c r="M5" s="84"/>
      <c r="N5" s="85"/>
      <c r="P5" s="137"/>
      <c r="Q5" s="136"/>
      <c r="R5" s="116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MAX(C22:C27)</f>
        <v>45494</v>
      </c>
      <c r="L6" s="85"/>
      <c r="M6" s="84"/>
      <c r="N6" s="85"/>
      <c r="P6" s="137"/>
      <c r="Q6" s="136"/>
      <c r="R6" s="116"/>
    </row>
    <row r="7" ht="14.25" customHeight="1">
      <c r="C7" s="91" t="s">
        <v>151</v>
      </c>
      <c r="D7" s="91"/>
      <c r="G7" s="71" t="s">
        <v>152</v>
      </c>
      <c r="H7" s="92">
        <f>+H6-E1</f>
        <v>564</v>
      </c>
      <c r="L7" s="85"/>
      <c r="M7" s="84"/>
      <c r="N7" s="85"/>
      <c r="P7" s="137"/>
      <c r="Q7" s="136"/>
      <c r="R7" s="116"/>
    </row>
    <row r="8" ht="14.25" customHeight="1">
      <c r="L8" s="85"/>
      <c r="M8" s="84"/>
      <c r="N8" s="85"/>
      <c r="P8" s="137"/>
      <c r="Q8" s="136"/>
    </row>
    <row r="9" ht="14.25" customHeight="1">
      <c r="C9" s="71" t="s">
        <v>153</v>
      </c>
      <c r="D9" s="71"/>
      <c r="E9" s="93">
        <f>+Curva!C29</f>
        <v>109</v>
      </c>
      <c r="G9" s="94"/>
      <c r="H9" s="95" t="s">
        <v>154</v>
      </c>
      <c r="I9" s="95" t="s">
        <v>155</v>
      </c>
      <c r="J9" s="96" t="s">
        <v>156</v>
      </c>
      <c r="L9" s="85"/>
      <c r="M9" s="84"/>
      <c r="N9" s="85"/>
      <c r="P9" s="137"/>
      <c r="Q9" s="136"/>
    </row>
    <row r="10" ht="14.25" customHeight="1">
      <c r="C10" s="71" t="s">
        <v>157</v>
      </c>
      <c r="D10" s="71"/>
      <c r="E10" s="97">
        <f t="array" ref="E10">DAYS360(MAX(IF(C23:C27&lt;=E1,C23:C27)),E1,1)</f>
        <v>163</v>
      </c>
      <c r="G10" s="98" t="s">
        <v>158</v>
      </c>
      <c r="H10" s="99">
        <f>+((XIRR(P22:P27,C22:C27)+1)^(1/2)-1)*2</f>
        <v>0.04371449671</v>
      </c>
      <c r="I10" s="99">
        <f>+((XIRR(P22:P27,A22:A27)+1)^(1/2)-1)*2</f>
        <v>0.04363040388</v>
      </c>
      <c r="J10" s="99">
        <f>+((XIRR(P22:P27,B22:B27)+1)^(1/2)-1)*2</f>
        <v>0.04354663451</v>
      </c>
      <c r="L10" s="85"/>
      <c r="M10" s="84"/>
      <c r="N10" s="85"/>
      <c r="P10" s="137"/>
      <c r="Q10" s="136"/>
    </row>
    <row r="11" ht="14.25" customHeight="1">
      <c r="C11" s="71" t="s">
        <v>159</v>
      </c>
      <c r="D11" s="71"/>
      <c r="E11" s="76">
        <f>+($E$2*$E$6/4)*$H$12/$H$13</f>
        <v>1.811111111</v>
      </c>
      <c r="L11" s="85"/>
      <c r="M11" s="84"/>
      <c r="N11" s="85"/>
      <c r="P11" s="137"/>
      <c r="Q11" s="136"/>
    </row>
    <row r="12" ht="14.25" customHeight="1">
      <c r="C12" s="71" t="s">
        <v>160</v>
      </c>
      <c r="D12" s="71"/>
      <c r="E12" s="93">
        <f>+E9-E11</f>
        <v>107.1888889</v>
      </c>
      <c r="G12" s="126" t="s">
        <v>187</v>
      </c>
      <c r="H12" s="127">
        <f>COUPDAYBS(C22,C27,2,0)</f>
        <v>163</v>
      </c>
      <c r="L12" s="85"/>
      <c r="M12" s="84"/>
      <c r="N12" s="85"/>
      <c r="P12" s="137"/>
      <c r="Q12" s="136"/>
    </row>
    <row r="13" ht="14.25" customHeight="1">
      <c r="C13" s="101"/>
      <c r="D13" s="101"/>
      <c r="G13" s="126" t="s">
        <v>188</v>
      </c>
      <c r="H13" s="128">
        <f>COUPDAYS(C22,C27,2)</f>
        <v>180</v>
      </c>
      <c r="L13" s="85"/>
      <c r="M13" s="84"/>
      <c r="N13" s="85"/>
      <c r="P13" s="137"/>
      <c r="Q13" s="136"/>
    </row>
    <row r="14" ht="14.25" customHeight="1">
      <c r="C14" s="71" t="s">
        <v>161</v>
      </c>
      <c r="D14" s="71"/>
      <c r="E14" s="100">
        <f>(L28*100)/SUM(J24:J27)</f>
        <v>1.436887235</v>
      </c>
      <c r="G14" s="126" t="s">
        <v>189</v>
      </c>
      <c r="H14" s="129">
        <f>+($E$2*$E$6/2)*$H$12/$H$13</f>
        <v>3.622222222</v>
      </c>
      <c r="L14" s="85"/>
      <c r="M14" s="84"/>
      <c r="N14" s="85"/>
      <c r="P14" s="137"/>
      <c r="Q14" s="136"/>
    </row>
    <row r="15" ht="14.25" customHeight="1">
      <c r="C15" s="71" t="s">
        <v>162</v>
      </c>
      <c r="D15" s="71"/>
      <c r="E15" s="100">
        <f>E14/(1+I28/2)</f>
        <v>1.406152608</v>
      </c>
      <c r="L15" s="85"/>
      <c r="M15" s="84"/>
      <c r="N15" s="85"/>
      <c r="P15" s="137"/>
      <c r="Q15" s="136"/>
    </row>
    <row r="16" ht="14.25" customHeight="1">
      <c r="C16" s="71" t="s">
        <v>163</v>
      </c>
      <c r="D16" s="71"/>
      <c r="E16" s="100">
        <f>M28</f>
        <v>1.441757204</v>
      </c>
      <c r="M16" s="84"/>
      <c r="N16" s="85"/>
      <c r="O16" s="116"/>
      <c r="P16" s="137"/>
    </row>
    <row r="17" ht="14.25" customHeight="1">
      <c r="C17" s="71" t="s">
        <v>164</v>
      </c>
      <c r="D17" s="71"/>
      <c r="E17" s="100">
        <f>K28</f>
        <v>1</v>
      </c>
      <c r="M17" s="84"/>
      <c r="N17" s="85"/>
    </row>
    <row r="18" ht="14.25" customHeight="1">
      <c r="J18" s="102"/>
    </row>
    <row r="19" ht="14.25" customHeight="1"/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</row>
    <row r="21" ht="14.25" customHeight="1">
      <c r="A21" s="107" t="s">
        <v>155</v>
      </c>
      <c r="B21" s="107" t="s">
        <v>156</v>
      </c>
      <c r="C21" s="107" t="s">
        <v>154</v>
      </c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-109</v>
      </c>
      <c r="I22" s="111">
        <f t="shared" ref="I22:I27" si="1">+C22-$E$1</f>
        <v>0</v>
      </c>
      <c r="J22" s="111">
        <f>H22</f>
        <v>-109</v>
      </c>
      <c r="K22" s="117"/>
      <c r="L22" s="112"/>
      <c r="M22" s="112"/>
      <c r="N22" s="113"/>
      <c r="O22" s="114"/>
      <c r="P22" s="115">
        <f t="shared" ref="P22:P27" si="2">+H22</f>
        <v>-109</v>
      </c>
    </row>
    <row r="23" ht="14.25" customHeight="1">
      <c r="A23" s="116">
        <v>44763.0</v>
      </c>
      <c r="B23" s="116">
        <v>44763.0</v>
      </c>
      <c r="C23" s="116">
        <v>44763.0</v>
      </c>
      <c r="D23" s="109">
        <v>0.0</v>
      </c>
      <c r="E23" s="109">
        <f t="shared" ref="E23:E27" si="3">+E22-D23</f>
        <v>100</v>
      </c>
      <c r="F23" s="110"/>
      <c r="G23" s="109"/>
      <c r="H23" s="109">
        <f t="shared" ref="H23:H27" si="4">+IF(C23&gt;$C$22,D23+G23,0)</f>
        <v>0</v>
      </c>
      <c r="I23" s="111">
        <f t="shared" si="1"/>
        <v>-167</v>
      </c>
      <c r="J23" s="111">
        <f t="shared" ref="J23:J27" si="5">IF(I23&lt;=0,0,H23/(((1+$I$28/2)^2)^(I23/365)))</f>
        <v>0</v>
      </c>
      <c r="K23" s="117"/>
      <c r="L23" s="112">
        <f t="shared" ref="L23:L27" si="6">J23*(I23/365)/100</f>
        <v>0</v>
      </c>
      <c r="M23" s="112">
        <f t="shared" ref="M23:M27" si="7">IF(I23&lt;0,0,(H23/$H$28)*I23/365)</f>
        <v>0</v>
      </c>
      <c r="N23" s="113" t="str">
        <f>IF(I23&gt;=0,IF(I21&gt;0,0,-I21),"FALSO")</f>
        <v>FALSO</v>
      </c>
      <c r="O23" s="114" t="str">
        <f t="shared" ref="O23:O27" si="8">+IF(C23&gt;$C$22,C23,"")</f>
        <v/>
      </c>
      <c r="P23" s="115">
        <f t="shared" si="2"/>
        <v>0</v>
      </c>
    </row>
    <row r="24" ht="14.25" customHeight="1">
      <c r="A24" s="116">
        <v>44947.0</v>
      </c>
      <c r="B24" s="116">
        <v>44947.0</v>
      </c>
      <c r="C24" s="116">
        <v>44947.0</v>
      </c>
      <c r="D24" s="109">
        <v>0.0</v>
      </c>
      <c r="E24" s="109">
        <f t="shared" si="3"/>
        <v>100</v>
      </c>
      <c r="F24" s="110">
        <f>IF(C24&gt;=$D$2,$E$2,"")</f>
        <v>0.08</v>
      </c>
      <c r="G24" s="109">
        <f t="shared" ref="G24:G27" si="9">IF(F24="","",IF($E$4=365,E23*F24/365*(C24-C23),E23*F24/360*DAYS360(C23,C24)))</f>
        <v>4</v>
      </c>
      <c r="H24" s="109">
        <f t="shared" si="4"/>
        <v>4</v>
      </c>
      <c r="I24" s="111">
        <f t="shared" si="1"/>
        <v>17</v>
      </c>
      <c r="J24" s="111">
        <f t="shared" si="5"/>
        <v>3.991951764</v>
      </c>
      <c r="K24" s="112">
        <f t="shared" ref="K24:K27" si="10">IF(OR(N24="falso",N24=0),"",E23)</f>
        <v>100</v>
      </c>
      <c r="L24" s="112">
        <f t="shared" si="6"/>
        <v>0.001859265205</v>
      </c>
      <c r="M24" s="112">
        <f t="shared" si="7"/>
        <v>0.001606046292</v>
      </c>
      <c r="N24" s="111">
        <f t="shared" ref="N24:N27" si="11">IF(I24&gt;=0,IF(I23&gt;0,0,-I23),"FALSO")</f>
        <v>167</v>
      </c>
      <c r="O24" s="114">
        <f t="shared" si="8"/>
        <v>44947</v>
      </c>
      <c r="P24" s="115">
        <f t="shared" si="2"/>
        <v>4</v>
      </c>
    </row>
    <row r="25" ht="14.25" customHeight="1">
      <c r="A25" s="116">
        <v>45128.0</v>
      </c>
      <c r="B25" s="116">
        <v>45128.0</v>
      </c>
      <c r="C25" s="116">
        <v>45128.0</v>
      </c>
      <c r="D25" s="109">
        <v>0.0</v>
      </c>
      <c r="E25" s="109">
        <f t="shared" si="3"/>
        <v>100</v>
      </c>
      <c r="F25" s="110">
        <f t="shared" ref="F25:F27" si="12">IF(C25&gt;$D$2,$E$2,"")</f>
        <v>0.08</v>
      </c>
      <c r="G25" s="109">
        <f t="shared" si="9"/>
        <v>4</v>
      </c>
      <c r="H25" s="109">
        <f t="shared" si="4"/>
        <v>4</v>
      </c>
      <c r="I25" s="111">
        <f t="shared" si="1"/>
        <v>198</v>
      </c>
      <c r="J25" s="111">
        <f t="shared" si="5"/>
        <v>3.907259314</v>
      </c>
      <c r="K25" s="117" t="str">
        <f t="shared" si="10"/>
        <v/>
      </c>
      <c r="L25" s="112">
        <f t="shared" si="6"/>
        <v>0.02119554368</v>
      </c>
      <c r="M25" s="112">
        <f t="shared" si="7"/>
        <v>0.01870571564</v>
      </c>
      <c r="N25" s="113">
        <f t="shared" si="11"/>
        <v>0</v>
      </c>
      <c r="O25" s="114">
        <f t="shared" si="8"/>
        <v>45128</v>
      </c>
      <c r="P25" s="115">
        <f t="shared" si="2"/>
        <v>4</v>
      </c>
      <c r="R25" s="82"/>
    </row>
    <row r="26" ht="14.25" customHeight="1">
      <c r="A26" s="116">
        <v>45312.0</v>
      </c>
      <c r="B26" s="116">
        <v>45312.0</v>
      </c>
      <c r="C26" s="116">
        <v>45312.0</v>
      </c>
      <c r="D26" s="109">
        <v>0.0</v>
      </c>
      <c r="E26" s="109">
        <f t="shared" si="3"/>
        <v>100</v>
      </c>
      <c r="F26" s="110">
        <f t="shared" si="12"/>
        <v>0.08</v>
      </c>
      <c r="G26" s="109">
        <f t="shared" si="9"/>
        <v>4</v>
      </c>
      <c r="H26" s="109">
        <f t="shared" si="4"/>
        <v>4</v>
      </c>
      <c r="I26" s="111">
        <f t="shared" si="1"/>
        <v>382</v>
      </c>
      <c r="J26" s="111">
        <f t="shared" si="5"/>
        <v>3.823004641</v>
      </c>
      <c r="K26" s="117" t="str">
        <f t="shared" si="10"/>
        <v/>
      </c>
      <c r="L26" s="112">
        <f t="shared" si="6"/>
        <v>0.04001062392</v>
      </c>
      <c r="M26" s="112">
        <f t="shared" si="7"/>
        <v>0.03608880491</v>
      </c>
      <c r="N26" s="113">
        <f t="shared" si="11"/>
        <v>0</v>
      </c>
      <c r="O26" s="114">
        <f t="shared" si="8"/>
        <v>45312</v>
      </c>
      <c r="P26" s="115">
        <f t="shared" si="2"/>
        <v>4</v>
      </c>
      <c r="R26" s="82"/>
    </row>
    <row r="27" ht="14.25" customHeight="1">
      <c r="A27" s="116">
        <v>45494.0</v>
      </c>
      <c r="B27" s="116">
        <v>45494.0</v>
      </c>
      <c r="C27" s="116">
        <v>45494.0</v>
      </c>
      <c r="D27" s="109">
        <v>100.0</v>
      </c>
      <c r="E27" s="109">
        <f t="shared" si="3"/>
        <v>0</v>
      </c>
      <c r="F27" s="110">
        <f t="shared" si="12"/>
        <v>0.08</v>
      </c>
      <c r="G27" s="109">
        <f t="shared" si="9"/>
        <v>4</v>
      </c>
      <c r="H27" s="109">
        <f t="shared" si="4"/>
        <v>104</v>
      </c>
      <c r="I27" s="111">
        <f t="shared" si="1"/>
        <v>564</v>
      </c>
      <c r="J27" s="111">
        <f t="shared" si="5"/>
        <v>97.27778428</v>
      </c>
      <c r="K27" s="117" t="str">
        <f t="shared" si="10"/>
        <v/>
      </c>
      <c r="L27" s="112">
        <f t="shared" si="6"/>
        <v>1.503141653</v>
      </c>
      <c r="M27" s="112">
        <f t="shared" si="7"/>
        <v>1.385356637</v>
      </c>
      <c r="N27" s="113">
        <f t="shared" si="11"/>
        <v>0</v>
      </c>
      <c r="O27" s="114">
        <f t="shared" si="8"/>
        <v>45494</v>
      </c>
      <c r="P27" s="115">
        <f t="shared" si="2"/>
        <v>104</v>
      </c>
      <c r="R27" s="82"/>
    </row>
    <row r="28" ht="14.25" customHeight="1">
      <c r="H28" s="118">
        <f>SUMIF(I22:I27,"&gt;0",H22:H27)</f>
        <v>116</v>
      </c>
      <c r="I28" s="119">
        <f>+H10</f>
        <v>0.04371449671</v>
      </c>
      <c r="J28" s="119">
        <f>SUM(J22:J27)</f>
        <v>0</v>
      </c>
      <c r="K28" s="120">
        <f>SUM(K22:K27)/$E$22</f>
        <v>1</v>
      </c>
      <c r="L28" s="121">
        <f t="shared" ref="L28:M28" si="13">SUM(L22:L27)</f>
        <v>1.566207086</v>
      </c>
      <c r="M28" s="119">
        <f t="shared" si="13"/>
        <v>1.441757204</v>
      </c>
      <c r="N28" s="141">
        <f>SUM(N24:N27)</f>
        <v>167</v>
      </c>
      <c r="O28" s="123">
        <f>MIN(O24:O27)</f>
        <v>44947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7" width="16.86"/>
    <col customWidth="1" min="8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73" t="s">
        <v>21</v>
      </c>
      <c r="D2" s="74">
        <v>44944.0</v>
      </c>
      <c r="E2" s="75">
        <v>0.095</v>
      </c>
      <c r="G2" s="71" t="s">
        <v>142</v>
      </c>
      <c r="H2" s="76">
        <f>+E17*100+E11</f>
        <v>102.1902778</v>
      </c>
      <c r="L2" s="85"/>
      <c r="M2" s="77"/>
      <c r="N2" s="78"/>
    </row>
    <row r="3" ht="14.25" customHeight="1">
      <c r="C3" s="71" t="s">
        <v>143</v>
      </c>
      <c r="D3" s="71"/>
      <c r="E3" s="79">
        <v>44760.0</v>
      </c>
      <c r="F3" s="80"/>
      <c r="G3" s="71" t="s">
        <v>144</v>
      </c>
      <c r="H3" s="81" t="str">
        <f>IF(E1&gt;D2,E2*E17*E6/E12,"")</f>
        <v/>
      </c>
      <c r="I3" s="82"/>
      <c r="L3" s="85"/>
      <c r="M3" s="84"/>
      <c r="N3" s="85"/>
      <c r="P3" s="137"/>
      <c r="Q3" s="116"/>
      <c r="R3" s="116"/>
      <c r="S3" s="137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100.7923672</v>
      </c>
      <c r="L4" s="85"/>
      <c r="M4" s="84"/>
      <c r="N4" s="85"/>
      <c r="P4" s="137"/>
      <c r="Q4" s="136"/>
      <c r="R4" s="116"/>
      <c r="S4" s="137"/>
    </row>
    <row r="5" ht="14.25" customHeight="1">
      <c r="C5" s="71" t="s">
        <v>147</v>
      </c>
      <c r="D5" s="88"/>
      <c r="E5" s="79">
        <v>44944.0</v>
      </c>
      <c r="G5" s="71" t="s">
        <v>148</v>
      </c>
      <c r="H5" s="89">
        <f>MIN(O24:O27)</f>
        <v>44944</v>
      </c>
      <c r="L5" s="85"/>
      <c r="M5" s="84"/>
      <c r="N5" s="85"/>
      <c r="P5" s="137"/>
      <c r="Q5" s="136"/>
      <c r="R5" s="116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MAX(C22:C27)</f>
        <v>45491</v>
      </c>
      <c r="L6" s="85"/>
      <c r="M6" s="84"/>
      <c r="N6" s="85"/>
      <c r="P6" s="137"/>
      <c r="Q6" s="136"/>
      <c r="R6" s="116"/>
    </row>
    <row r="7" ht="14.25" customHeight="1">
      <c r="C7" s="91" t="s">
        <v>151</v>
      </c>
      <c r="D7" s="91"/>
      <c r="G7" s="71" t="s">
        <v>152</v>
      </c>
      <c r="H7" s="92">
        <f>+H6-E1</f>
        <v>561</v>
      </c>
      <c r="L7" s="85"/>
      <c r="M7" s="84"/>
      <c r="N7" s="85"/>
      <c r="P7" s="137"/>
      <c r="Q7" s="136"/>
      <c r="R7" s="116"/>
    </row>
    <row r="8" ht="14.25" customHeight="1">
      <c r="L8" s="85"/>
      <c r="M8" s="84"/>
      <c r="N8" s="85"/>
      <c r="P8" s="137"/>
      <c r="Q8" s="136"/>
    </row>
    <row r="9" ht="14.25" customHeight="1">
      <c r="C9" s="71" t="s">
        <v>153</v>
      </c>
      <c r="D9" s="71"/>
      <c r="E9" s="93">
        <f>+Curva!C28</f>
        <v>103</v>
      </c>
      <c r="G9" s="94"/>
      <c r="H9" s="95" t="s">
        <v>154</v>
      </c>
      <c r="I9" s="95" t="s">
        <v>155</v>
      </c>
      <c r="J9" s="96" t="s">
        <v>156</v>
      </c>
      <c r="L9" s="85"/>
      <c r="M9" s="84"/>
      <c r="N9" s="85"/>
      <c r="P9" s="137"/>
      <c r="Q9" s="136"/>
    </row>
    <row r="10" ht="14.25" customHeight="1">
      <c r="C10" s="71" t="s">
        <v>157</v>
      </c>
      <c r="D10" s="71"/>
      <c r="E10" s="97">
        <f t="array" ref="E10">DAYS360(MAX(IF(C23:C27&lt;=E1,C23:C27)),E1,1)</f>
        <v>166</v>
      </c>
      <c r="G10" s="98" t="s">
        <v>158</v>
      </c>
      <c r="H10" s="99">
        <f>+((XIRR(P22:P27,C22:C27)+1)^(1/2)-1)*2</f>
        <v>0.1050299444</v>
      </c>
      <c r="I10" s="99">
        <f>+((XIRR(P22:P27,A22:A27)+1)^(1/2)-1)*2</f>
        <v>0.1048200775</v>
      </c>
      <c r="J10" s="99">
        <f>+((XIRR(P22:P27,B22:B27)+1)^(1/2)-1)*2</f>
        <v>0.1046110517</v>
      </c>
      <c r="L10" s="85"/>
      <c r="M10" s="84"/>
      <c r="N10" s="85"/>
      <c r="P10" s="137"/>
      <c r="Q10" s="136"/>
    </row>
    <row r="11" ht="14.25" customHeight="1">
      <c r="C11" s="71" t="s">
        <v>159</v>
      </c>
      <c r="D11" s="71"/>
      <c r="E11" s="76">
        <f>+($E$2*$E$6/4)*$H$12/$H$13</f>
        <v>2.190277778</v>
      </c>
      <c r="L11" s="85"/>
      <c r="M11" s="84"/>
      <c r="N11" s="85"/>
      <c r="P11" s="137"/>
      <c r="Q11" s="136"/>
    </row>
    <row r="12" ht="14.25" customHeight="1">
      <c r="C12" s="71" t="s">
        <v>160</v>
      </c>
      <c r="D12" s="71"/>
      <c r="E12" s="93">
        <f>+E9-E11</f>
        <v>100.8097222</v>
      </c>
      <c r="G12" s="126" t="s">
        <v>187</v>
      </c>
      <c r="H12" s="127">
        <f>COUPDAYBS(C22,C27,2,0)</f>
        <v>166</v>
      </c>
      <c r="L12" s="85"/>
      <c r="M12" s="84"/>
      <c r="N12" s="85"/>
      <c r="P12" s="137"/>
      <c r="Q12" s="136"/>
    </row>
    <row r="13" ht="14.25" customHeight="1">
      <c r="C13" s="101"/>
      <c r="D13" s="101"/>
      <c r="G13" s="126" t="s">
        <v>188</v>
      </c>
      <c r="H13" s="128">
        <f>COUPDAYS(C22,C27,2)</f>
        <v>180</v>
      </c>
      <c r="L13" s="85"/>
      <c r="M13" s="84"/>
      <c r="N13" s="85"/>
      <c r="P13" s="137"/>
      <c r="Q13" s="136"/>
    </row>
    <row r="14" ht="14.25" customHeight="1">
      <c r="C14" s="71" t="s">
        <v>161</v>
      </c>
      <c r="D14" s="71"/>
      <c r="E14" s="100">
        <f>(L28*100)/SUM(J24:J27)</f>
        <v>1.403687402</v>
      </c>
      <c r="G14" s="126" t="s">
        <v>189</v>
      </c>
      <c r="H14" s="129">
        <f>+($E$2*$E$6/2)*$H$12/$H$13</f>
        <v>4.380555556</v>
      </c>
      <c r="L14" s="85"/>
      <c r="M14" s="84"/>
      <c r="N14" s="85"/>
      <c r="P14" s="137"/>
      <c r="Q14" s="136"/>
    </row>
    <row r="15" ht="14.25" customHeight="1">
      <c r="C15" s="71" t="s">
        <v>162</v>
      </c>
      <c r="D15" s="71"/>
      <c r="E15" s="100">
        <f>E14/(1+I28/2)</f>
        <v>1.333650769</v>
      </c>
      <c r="L15" s="85"/>
      <c r="M15" s="84"/>
      <c r="N15" s="85"/>
      <c r="P15" s="137"/>
      <c r="Q15" s="136"/>
    </row>
    <row r="16" ht="14.25" customHeight="1">
      <c r="C16" s="71" t="s">
        <v>163</v>
      </c>
      <c r="D16" s="71"/>
      <c r="E16" s="100">
        <f>M28</f>
        <v>1.417238402</v>
      </c>
      <c r="M16" s="84"/>
      <c r="N16" s="85"/>
      <c r="O16" s="116"/>
      <c r="P16" s="137"/>
    </row>
    <row r="17" ht="14.25" customHeight="1">
      <c r="C17" s="71" t="s">
        <v>164</v>
      </c>
      <c r="D17" s="71"/>
      <c r="E17" s="100">
        <f>K28</f>
        <v>1</v>
      </c>
      <c r="M17" s="84"/>
      <c r="N17" s="85"/>
    </row>
    <row r="18" ht="14.25" customHeight="1">
      <c r="J18" s="102"/>
    </row>
    <row r="19" ht="14.25" customHeight="1"/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</row>
    <row r="21" ht="14.25" customHeight="1">
      <c r="A21" s="107" t="s">
        <v>155</v>
      </c>
      <c r="B21" s="107" t="s">
        <v>156</v>
      </c>
      <c r="C21" s="107" t="s">
        <v>154</v>
      </c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-103</v>
      </c>
      <c r="I22" s="111">
        <f t="shared" ref="I22:I27" si="1">+C22-$E$1</f>
        <v>0</v>
      </c>
      <c r="J22" s="111">
        <f>H22</f>
        <v>-103</v>
      </c>
      <c r="K22" s="117"/>
      <c r="L22" s="112"/>
      <c r="M22" s="112"/>
      <c r="N22" s="113"/>
      <c r="O22" s="114"/>
      <c r="P22" s="115">
        <f t="shared" ref="P22:P27" si="2">+H22</f>
        <v>-103</v>
      </c>
    </row>
    <row r="23" ht="14.25" customHeight="1">
      <c r="A23" s="116">
        <v>44760.0</v>
      </c>
      <c r="B23" s="116">
        <v>44760.0</v>
      </c>
      <c r="C23" s="116">
        <v>44760.0</v>
      </c>
      <c r="D23" s="109">
        <v>0.0</v>
      </c>
      <c r="E23" s="109">
        <f t="shared" ref="E23:E27" si="3">+E22-D23</f>
        <v>100</v>
      </c>
      <c r="F23" s="110"/>
      <c r="G23" s="109"/>
      <c r="H23" s="109">
        <f t="shared" ref="H23:H27" si="4">+IF(C23&gt;$C$22,D23+G23,0)</f>
        <v>0</v>
      </c>
      <c r="I23" s="111">
        <f t="shared" si="1"/>
        <v>-170</v>
      </c>
      <c r="J23" s="111">
        <f t="shared" ref="J23:J27" si="5">IF(I23&lt;=0,0,H23/(((1+$I$28/2)^2)^(I23/365)))</f>
        <v>0</v>
      </c>
      <c r="K23" s="117"/>
      <c r="L23" s="112">
        <f t="shared" ref="L23:L27" si="6">J23*(I23/365)/100</f>
        <v>0</v>
      </c>
      <c r="M23" s="112">
        <f t="shared" ref="M23:M27" si="7">IF(I23&lt;0,0,(H23/$H$28)*I23/365)</f>
        <v>0</v>
      </c>
      <c r="N23" s="113" t="str">
        <f>IF(I23&gt;=0,IF(I21&gt;0,0,-I21),"FALSO")</f>
        <v>FALSO</v>
      </c>
      <c r="O23" s="114" t="str">
        <f t="shared" ref="O23:O27" si="8">+IF(C23&gt;$C$22,C23,"")</f>
        <v/>
      </c>
      <c r="P23" s="115">
        <f t="shared" si="2"/>
        <v>0</v>
      </c>
    </row>
    <row r="24" ht="14.25" customHeight="1">
      <c r="A24" s="116">
        <v>44944.0</v>
      </c>
      <c r="B24" s="116">
        <v>44944.0</v>
      </c>
      <c r="C24" s="116">
        <v>44944.0</v>
      </c>
      <c r="D24" s="109">
        <v>0.0</v>
      </c>
      <c r="E24" s="109">
        <f t="shared" si="3"/>
        <v>100</v>
      </c>
      <c r="F24" s="110">
        <f>IF(C24&gt;=$D$2,$E$2,"")</f>
        <v>0.095</v>
      </c>
      <c r="G24" s="109">
        <f t="shared" ref="G24:G27" si="9">IF(F24="","",IF($E$4=365,E23*F24/365*(C24-C23),E23*F24/360*DAYS360(C23,C24)))</f>
        <v>4.75</v>
      </c>
      <c r="H24" s="109">
        <f t="shared" si="4"/>
        <v>4.75</v>
      </c>
      <c r="I24" s="111">
        <f t="shared" si="1"/>
        <v>14</v>
      </c>
      <c r="J24" s="111">
        <f t="shared" si="5"/>
        <v>4.731386499</v>
      </c>
      <c r="K24" s="112">
        <f t="shared" ref="K24:K27" si="10">IF(OR(N24="falso",N24=0),"",E23)</f>
        <v>100</v>
      </c>
      <c r="L24" s="112">
        <f t="shared" si="6"/>
        <v>0.001814778383</v>
      </c>
      <c r="M24" s="112">
        <f t="shared" si="7"/>
        <v>0.001531023368</v>
      </c>
      <c r="N24" s="111">
        <f t="shared" ref="N24:N27" si="11">IF(I24&gt;=0,IF(I23&gt;0,0,-I23),"FALSO")</f>
        <v>170</v>
      </c>
      <c r="O24" s="114">
        <f t="shared" si="8"/>
        <v>44944</v>
      </c>
      <c r="P24" s="115">
        <f t="shared" si="2"/>
        <v>4.75</v>
      </c>
    </row>
    <row r="25" ht="14.25" customHeight="1">
      <c r="A25" s="116">
        <v>45125.0</v>
      </c>
      <c r="B25" s="116">
        <v>45125.0</v>
      </c>
      <c r="C25" s="116">
        <v>45125.0</v>
      </c>
      <c r="D25" s="109">
        <v>0.0</v>
      </c>
      <c r="E25" s="109">
        <f t="shared" si="3"/>
        <v>100</v>
      </c>
      <c r="F25" s="110">
        <f t="shared" ref="F25:F27" si="12">IF(C25&gt;$D$2,$E$2,"")</f>
        <v>0.095</v>
      </c>
      <c r="G25" s="109">
        <f t="shared" si="9"/>
        <v>4.75</v>
      </c>
      <c r="H25" s="109">
        <f t="shared" si="4"/>
        <v>4.75</v>
      </c>
      <c r="I25" s="111">
        <f t="shared" si="1"/>
        <v>195</v>
      </c>
      <c r="J25" s="111">
        <f t="shared" si="5"/>
        <v>4.497206628</v>
      </c>
      <c r="K25" s="117" t="str">
        <f t="shared" si="10"/>
        <v/>
      </c>
      <c r="L25" s="112">
        <f t="shared" si="6"/>
        <v>0.0240261724</v>
      </c>
      <c r="M25" s="112">
        <f t="shared" si="7"/>
        <v>0.02132496834</v>
      </c>
      <c r="N25" s="113">
        <f t="shared" si="11"/>
        <v>0</v>
      </c>
      <c r="O25" s="114">
        <f t="shared" si="8"/>
        <v>45125</v>
      </c>
      <c r="P25" s="115">
        <f t="shared" si="2"/>
        <v>4.75</v>
      </c>
      <c r="R25" s="82"/>
    </row>
    <row r="26" ht="14.25" customHeight="1">
      <c r="A26" s="116">
        <v>45309.0</v>
      </c>
      <c r="B26" s="116">
        <v>45309.0</v>
      </c>
      <c r="C26" s="116">
        <v>45309.0</v>
      </c>
      <c r="D26" s="109">
        <v>0.0</v>
      </c>
      <c r="E26" s="109">
        <f t="shared" si="3"/>
        <v>100</v>
      </c>
      <c r="F26" s="110">
        <f t="shared" si="12"/>
        <v>0.095</v>
      </c>
      <c r="G26" s="109">
        <f t="shared" si="9"/>
        <v>4.75</v>
      </c>
      <c r="H26" s="109">
        <f t="shared" si="4"/>
        <v>4.75</v>
      </c>
      <c r="I26" s="111">
        <f t="shared" si="1"/>
        <v>379</v>
      </c>
      <c r="J26" s="111">
        <f t="shared" si="5"/>
        <v>4.27102252</v>
      </c>
      <c r="K26" s="117" t="str">
        <f t="shared" si="10"/>
        <v/>
      </c>
      <c r="L26" s="112">
        <f t="shared" si="6"/>
        <v>0.04434842562</v>
      </c>
      <c r="M26" s="112">
        <f t="shared" si="7"/>
        <v>0.04144698975</v>
      </c>
      <c r="N26" s="113">
        <f t="shared" si="11"/>
        <v>0</v>
      </c>
      <c r="O26" s="114">
        <f t="shared" si="8"/>
        <v>45309</v>
      </c>
      <c r="P26" s="115">
        <f t="shared" si="2"/>
        <v>4.75</v>
      </c>
      <c r="R26" s="82"/>
    </row>
    <row r="27" ht="14.25" customHeight="1">
      <c r="A27" s="116">
        <v>45491.0</v>
      </c>
      <c r="B27" s="116">
        <v>45491.0</v>
      </c>
      <c r="C27" s="116">
        <v>45491.0</v>
      </c>
      <c r="D27" s="109">
        <v>100.0</v>
      </c>
      <c r="E27" s="109">
        <f t="shared" si="3"/>
        <v>0</v>
      </c>
      <c r="F27" s="110">
        <f t="shared" si="12"/>
        <v>0.095</v>
      </c>
      <c r="G27" s="109">
        <f t="shared" si="9"/>
        <v>4.75</v>
      </c>
      <c r="H27" s="109">
        <f t="shared" si="4"/>
        <v>104.75</v>
      </c>
      <c r="I27" s="111">
        <f t="shared" si="1"/>
        <v>561</v>
      </c>
      <c r="J27" s="111">
        <f t="shared" si="5"/>
        <v>89.50038435</v>
      </c>
      <c r="K27" s="117" t="str">
        <f t="shared" si="10"/>
        <v/>
      </c>
      <c r="L27" s="112">
        <f t="shared" si="6"/>
        <v>1.375608647</v>
      </c>
      <c r="M27" s="112">
        <f t="shared" si="7"/>
        <v>1.352935421</v>
      </c>
      <c r="N27" s="113">
        <f t="shared" si="11"/>
        <v>0</v>
      </c>
      <c r="O27" s="114">
        <f t="shared" si="8"/>
        <v>45491</v>
      </c>
      <c r="P27" s="115">
        <f t="shared" si="2"/>
        <v>104.75</v>
      </c>
      <c r="R27" s="82"/>
    </row>
    <row r="28" ht="14.25" customHeight="1">
      <c r="H28" s="118">
        <f>SUMIF(I22:I27,"&gt;0",H22:H27)</f>
        <v>119</v>
      </c>
      <c r="I28" s="119">
        <f>+H10</f>
        <v>0.1050299444</v>
      </c>
      <c r="J28" s="119">
        <f>SUM(J22:J27)</f>
        <v>0</v>
      </c>
      <c r="K28" s="120">
        <f>SUM(K22:K27)/$E$22</f>
        <v>1</v>
      </c>
      <c r="L28" s="121">
        <f t="shared" ref="L28:M28" si="13">SUM(L22:L27)</f>
        <v>1.445798024</v>
      </c>
      <c r="M28" s="119">
        <f t="shared" si="13"/>
        <v>1.417238402</v>
      </c>
      <c r="N28" s="141">
        <f>SUM(N24:N27)</f>
        <v>170</v>
      </c>
      <c r="O28" s="123">
        <f>MIN(O24:O27)</f>
        <v>44944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7" width="16.86"/>
    <col customWidth="1" min="8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73" t="s">
        <v>21</v>
      </c>
      <c r="D2" s="74">
        <v>44816.0</v>
      </c>
      <c r="E2" s="75">
        <v>0.0775</v>
      </c>
      <c r="G2" s="71" t="s">
        <v>142</v>
      </c>
      <c r="H2" s="76">
        <f>+E17*100+E11</f>
        <v>102.4111111</v>
      </c>
      <c r="M2" s="77"/>
      <c r="N2" s="78"/>
    </row>
    <row r="3" ht="14.25" customHeight="1">
      <c r="C3" s="71" t="s">
        <v>143</v>
      </c>
      <c r="D3" s="71"/>
      <c r="E3" s="79">
        <v>44816.0</v>
      </c>
      <c r="F3" s="80"/>
      <c r="G3" s="71" t="s">
        <v>144</v>
      </c>
      <c r="H3" s="81">
        <f>IF(E1&gt;D2,E2*E17*E6/E12,"")</f>
        <v>0.07712295444</v>
      </c>
      <c r="I3" s="82"/>
      <c r="L3" s="83"/>
      <c r="M3" s="84"/>
      <c r="N3" s="85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100.4773788</v>
      </c>
      <c r="L4" s="83"/>
      <c r="M4" s="84"/>
      <c r="N4" s="85"/>
    </row>
    <row r="5" ht="14.25" customHeight="1">
      <c r="C5" s="71" t="s">
        <v>147</v>
      </c>
      <c r="D5" s="88"/>
      <c r="E5" s="79">
        <v>45181.0</v>
      </c>
      <c r="G5" s="71" t="s">
        <v>148</v>
      </c>
      <c r="H5" s="89">
        <f>MIN(O22:O25)</f>
        <v>45181</v>
      </c>
      <c r="L5" s="83"/>
      <c r="M5" s="84"/>
      <c r="N5" s="85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MAX(C22:C25)</f>
        <v>45547</v>
      </c>
      <c r="L6" s="83"/>
      <c r="M6" s="84"/>
      <c r="N6" s="85"/>
    </row>
    <row r="7" ht="14.25" customHeight="1">
      <c r="C7" s="91" t="s">
        <v>151</v>
      </c>
      <c r="D7" s="91"/>
      <c r="G7" s="71" t="s">
        <v>152</v>
      </c>
      <c r="H7" s="92">
        <f>+H6-E1</f>
        <v>617</v>
      </c>
      <c r="L7" s="83"/>
      <c r="M7" s="84"/>
      <c r="N7" s="85"/>
      <c r="P7" s="137"/>
    </row>
    <row r="8" ht="14.25" customHeight="1">
      <c r="L8" s="83"/>
      <c r="M8" s="84"/>
      <c r="N8" s="85"/>
      <c r="Q8" s="137"/>
    </row>
    <row r="9" ht="14.25" customHeight="1">
      <c r="C9" s="71" t="s">
        <v>153</v>
      </c>
      <c r="D9" s="71"/>
      <c r="E9" s="93">
        <f>+Curva!C30</f>
        <v>102.9</v>
      </c>
      <c r="G9" s="94"/>
      <c r="H9" s="95" t="s">
        <v>154</v>
      </c>
      <c r="I9" s="95" t="s">
        <v>155</v>
      </c>
      <c r="J9" s="96" t="s">
        <v>156</v>
      </c>
      <c r="L9" s="83"/>
      <c r="M9" s="84"/>
      <c r="N9" s="85"/>
    </row>
    <row r="10" ht="14.25" customHeight="1">
      <c r="C10" s="71" t="s">
        <v>157</v>
      </c>
      <c r="D10" s="71"/>
      <c r="E10" s="97">
        <f t="array" ref="E10">DAYS360(MAX(IF(C23:C25&lt;=E1,C23:C25)),E1,1)</f>
        <v>112</v>
      </c>
      <c r="G10" s="98" t="s">
        <v>158</v>
      </c>
      <c r="H10" s="99">
        <f>+((XIRR(P22:P25,C22:C25)+1)^(1/2)-1)*2</f>
        <v>0.07255236817</v>
      </c>
      <c r="I10" s="99">
        <f>+((XIRR(P22:P25,A22:A25)+1)^(1/2)-1)*2</f>
        <v>0.07242756893</v>
      </c>
      <c r="J10" s="99">
        <f>+((XIRR(P22:P25,B22:B25)+1)^(1/2)-1)*2</f>
        <v>0.07230319888</v>
      </c>
      <c r="L10" s="83"/>
      <c r="M10" s="84"/>
      <c r="N10" s="85"/>
    </row>
    <row r="11" ht="14.25" customHeight="1">
      <c r="C11" s="71" t="s">
        <v>159</v>
      </c>
      <c r="D11" s="71"/>
      <c r="E11" s="76">
        <f>+($E$2*$E$6/1)*$H$12/$H$13</f>
        <v>2.411111111</v>
      </c>
      <c r="L11" s="83"/>
      <c r="M11" s="84"/>
      <c r="N11" s="85"/>
    </row>
    <row r="12" ht="14.25" customHeight="1">
      <c r="C12" s="71" t="s">
        <v>160</v>
      </c>
      <c r="D12" s="71"/>
      <c r="E12" s="93">
        <f>+E9-E11</f>
        <v>100.4888889</v>
      </c>
      <c r="G12" s="126" t="s">
        <v>187</v>
      </c>
      <c r="H12" s="127">
        <f>COUPDAYBS(C22,C25,1,0)</f>
        <v>112</v>
      </c>
      <c r="L12" s="83"/>
      <c r="M12" s="84"/>
      <c r="N12" s="85"/>
    </row>
    <row r="13" ht="14.25" customHeight="1">
      <c r="C13" s="101"/>
      <c r="D13" s="101"/>
      <c r="G13" s="126" t="s">
        <v>188</v>
      </c>
      <c r="H13" s="128">
        <f>COUPDAYS(C22,C25,1)</f>
        <v>360</v>
      </c>
      <c r="L13" s="83"/>
      <c r="M13" s="84"/>
      <c r="N13" s="85"/>
    </row>
    <row r="14" ht="14.25" customHeight="1">
      <c r="C14" s="71" t="s">
        <v>161</v>
      </c>
      <c r="D14" s="71"/>
      <c r="E14" s="100">
        <f>(L26*100)/SUM(J24:J25)</f>
        <v>1.618500773</v>
      </c>
      <c r="G14" s="126" t="s">
        <v>189</v>
      </c>
      <c r="H14" s="129">
        <f>+($E$2*$E$6/1)*$H$12/$H$13</f>
        <v>2.411111111</v>
      </c>
      <c r="L14" s="83"/>
      <c r="M14" s="84"/>
      <c r="N14" s="85"/>
    </row>
    <row r="15" ht="14.25" customHeight="1">
      <c r="C15" s="71" t="s">
        <v>162</v>
      </c>
      <c r="D15" s="71"/>
      <c r="E15" s="100">
        <f>E14/(1+I26/2)</f>
        <v>1.561843066</v>
      </c>
      <c r="M15" s="84"/>
      <c r="N15" s="85"/>
    </row>
    <row r="16" ht="14.25" customHeight="1">
      <c r="C16" s="71" t="s">
        <v>163</v>
      </c>
      <c r="D16" s="71"/>
      <c r="E16" s="100">
        <f>M26</f>
        <v>1.623127557</v>
      </c>
      <c r="M16" s="84"/>
      <c r="N16" s="85"/>
      <c r="O16" s="116"/>
    </row>
    <row r="17" ht="14.25" customHeight="1">
      <c r="C17" s="71" t="s">
        <v>164</v>
      </c>
      <c r="D17" s="71"/>
      <c r="E17" s="100">
        <f>K26</f>
        <v>1</v>
      </c>
      <c r="M17" s="84"/>
      <c r="N17" s="85"/>
    </row>
    <row r="18" ht="14.25" customHeight="1">
      <c r="J18" s="102"/>
    </row>
    <row r="19" ht="14.25" customHeight="1"/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</row>
    <row r="21" ht="14.25" customHeight="1">
      <c r="A21" s="107" t="s">
        <v>155</v>
      </c>
      <c r="B21" s="107" t="s">
        <v>156</v>
      </c>
      <c r="C21" s="107" t="s">
        <v>154</v>
      </c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-102.9</v>
      </c>
      <c r="I22" s="111">
        <f t="shared" ref="I22:I25" si="1">+C22-$E$1</f>
        <v>0</v>
      </c>
      <c r="J22" s="111">
        <f>H22</f>
        <v>-102.9</v>
      </c>
      <c r="K22" s="117"/>
      <c r="L22" s="112"/>
      <c r="M22" s="112"/>
      <c r="N22" s="113"/>
      <c r="O22" s="114"/>
      <c r="P22" s="115">
        <f t="shared" ref="P22:P25" si="2">+H22</f>
        <v>-102.9</v>
      </c>
    </row>
    <row r="23" ht="14.25" customHeight="1">
      <c r="A23" s="116">
        <v>44816.0</v>
      </c>
      <c r="B23" s="116">
        <v>44816.0</v>
      </c>
      <c r="C23" s="116">
        <v>44816.0</v>
      </c>
      <c r="D23" s="109">
        <v>0.0</v>
      </c>
      <c r="E23" s="109">
        <f t="shared" ref="E23:E25" si="3">+E22-D23</f>
        <v>100</v>
      </c>
      <c r="F23" s="110" t="str">
        <f>IF(C23&gt;$D$2,$E$2,"")</f>
        <v/>
      </c>
      <c r="G23" s="109"/>
      <c r="H23" s="109">
        <f t="shared" ref="H23:H25" si="4">+IF(C23&gt;$C$22,D23+G23,0)</f>
        <v>0</v>
      </c>
      <c r="I23" s="111">
        <f t="shared" si="1"/>
        <v>-114</v>
      </c>
      <c r="J23" s="111">
        <f t="shared" ref="J23:J25" si="5">IF(I23&lt;=0,0,H23/(((1+$I$26/2)^2)^(I23/365)))</f>
        <v>0</v>
      </c>
      <c r="K23" s="117"/>
      <c r="L23" s="112">
        <f t="shared" ref="L23:L25" si="6">J23*(I23/365)/100</f>
        <v>0</v>
      </c>
      <c r="M23" s="112">
        <f t="shared" ref="M23:M25" si="7">IF(I23&lt;0,0,(H23/$H$26)*I23/365)</f>
        <v>0</v>
      </c>
      <c r="N23" s="113" t="str">
        <f>IF(I23&gt;=0,IF(I21&gt;0,0,-I21),"FALSO")</f>
        <v>FALSO</v>
      </c>
      <c r="O23" s="114" t="str">
        <f t="shared" ref="O23:O25" si="8">+IF(C23&gt;$C$22,C23,"")</f>
        <v/>
      </c>
      <c r="P23" s="115">
        <f t="shared" si="2"/>
        <v>0</v>
      </c>
    </row>
    <row r="24" ht="14.25" customHeight="1">
      <c r="A24" s="116">
        <v>45181.0</v>
      </c>
      <c r="B24" s="116">
        <v>45181.0</v>
      </c>
      <c r="C24" s="116">
        <v>45181.0</v>
      </c>
      <c r="D24" s="109">
        <v>0.0</v>
      </c>
      <c r="E24" s="109">
        <f t="shared" si="3"/>
        <v>100</v>
      </c>
      <c r="F24" s="110">
        <f>IF(C24&gt;=$D$2,$E$2,"")</f>
        <v>0.0775</v>
      </c>
      <c r="G24" s="109">
        <f t="shared" ref="G24:G25" si="9">IF(F24="","",IF($E$4=365,E23*F24/365*(C24-C23),E23*F24/360*DAYS360(C23,C24)))</f>
        <v>7.75</v>
      </c>
      <c r="H24" s="109">
        <f t="shared" si="4"/>
        <v>7.75</v>
      </c>
      <c r="I24" s="111">
        <f t="shared" si="1"/>
        <v>251</v>
      </c>
      <c r="J24" s="111">
        <f t="shared" si="5"/>
        <v>7.379340777</v>
      </c>
      <c r="K24" s="112">
        <f t="shared" ref="K24:K25" si="10">IF(OR(N24="falso",N24=0),"",E23)</f>
        <v>100</v>
      </c>
      <c r="L24" s="112">
        <f t="shared" si="6"/>
        <v>0.0507456037</v>
      </c>
      <c r="M24" s="112">
        <f t="shared" si="7"/>
        <v>0.04614244203</v>
      </c>
      <c r="N24" s="111">
        <f t="shared" ref="N24:N25" si="11">IF(I24&gt;=0,IF(I23&gt;0,0,-I23),"FALSO")</f>
        <v>114</v>
      </c>
      <c r="O24" s="114">
        <f t="shared" si="8"/>
        <v>45181</v>
      </c>
      <c r="P24" s="115">
        <f t="shared" si="2"/>
        <v>7.75</v>
      </c>
    </row>
    <row r="25" ht="14.25" customHeight="1">
      <c r="A25" s="116">
        <v>45547.0</v>
      </c>
      <c r="B25" s="116">
        <v>45547.0</v>
      </c>
      <c r="C25" s="116">
        <v>45547.0</v>
      </c>
      <c r="D25" s="109">
        <v>100.0</v>
      </c>
      <c r="E25" s="109">
        <f t="shared" si="3"/>
        <v>0</v>
      </c>
      <c r="F25" s="110">
        <f>IF(C25&gt;$D$2,$E$2,"")</f>
        <v>0.0775</v>
      </c>
      <c r="G25" s="109">
        <f t="shared" si="9"/>
        <v>7.75</v>
      </c>
      <c r="H25" s="109">
        <f t="shared" si="4"/>
        <v>107.75</v>
      </c>
      <c r="I25" s="111">
        <f t="shared" si="1"/>
        <v>617</v>
      </c>
      <c r="J25" s="111">
        <f t="shared" si="5"/>
        <v>95.52065922</v>
      </c>
      <c r="K25" s="117" t="str">
        <f t="shared" si="10"/>
        <v/>
      </c>
      <c r="L25" s="112">
        <f t="shared" si="6"/>
        <v>1.614691692</v>
      </c>
      <c r="M25" s="112">
        <f t="shared" si="7"/>
        <v>1.576985115</v>
      </c>
      <c r="N25" s="113">
        <f t="shared" si="11"/>
        <v>0</v>
      </c>
      <c r="O25" s="114">
        <f t="shared" si="8"/>
        <v>45547</v>
      </c>
      <c r="P25" s="115">
        <f t="shared" si="2"/>
        <v>107.75</v>
      </c>
      <c r="R25" s="82"/>
    </row>
    <row r="26" ht="14.25" customHeight="1">
      <c r="H26" s="118">
        <f>SUMIF(I22:I25,"&gt;0",H22:H25)</f>
        <v>115.5</v>
      </c>
      <c r="I26" s="119">
        <f>+H10</f>
        <v>0.07255236817</v>
      </c>
      <c r="J26" s="119">
        <f>SUM(J22:J25)</f>
        <v>0</v>
      </c>
      <c r="K26" s="120">
        <f>SUM(K22:K25)/$E$22</f>
        <v>1</v>
      </c>
      <c r="L26" s="121">
        <f t="shared" ref="L26:M26" si="12">SUM(L22:L25)</f>
        <v>1.665437295</v>
      </c>
      <c r="M26" s="119">
        <f t="shared" si="12"/>
        <v>1.623127557</v>
      </c>
      <c r="N26" s="141">
        <f>SUM(N24:N25)</f>
        <v>114</v>
      </c>
      <c r="O26" s="123">
        <f>MIN(O24:O25)</f>
        <v>45181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73" t="s">
        <v>21</v>
      </c>
      <c r="D2" s="74">
        <v>42741.0</v>
      </c>
      <c r="E2" s="75">
        <v>0.06</v>
      </c>
      <c r="G2" s="71" t="s">
        <v>142</v>
      </c>
      <c r="H2" s="76">
        <f>+E17*100+E11</f>
        <v>102.9666667</v>
      </c>
      <c r="M2" s="77"/>
      <c r="N2" s="78"/>
    </row>
    <row r="3" ht="14.25" customHeight="1">
      <c r="C3" s="71" t="s">
        <v>143</v>
      </c>
      <c r="D3" s="71"/>
      <c r="E3" s="79">
        <v>42557.0</v>
      </c>
      <c r="F3" s="80"/>
      <c r="G3" s="71" t="s">
        <v>144</v>
      </c>
      <c r="H3" s="81">
        <f>IF(E1&gt;D2,E2*E17*E6/E12,"")</f>
        <v>0.05767382249</v>
      </c>
      <c r="I3" s="82"/>
      <c r="L3" s="83"/>
      <c r="M3" s="84"/>
      <c r="N3" s="85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103.9171253</v>
      </c>
      <c r="L4" s="83"/>
      <c r="M4" s="84"/>
      <c r="N4" s="85"/>
    </row>
    <row r="5" ht="14.25" customHeight="1">
      <c r="C5" s="71" t="s">
        <v>147</v>
      </c>
      <c r="D5" s="88"/>
      <c r="E5" s="79">
        <v>42741.0</v>
      </c>
      <c r="G5" s="71" t="s">
        <v>148</v>
      </c>
      <c r="H5" s="89">
        <f>MIN(O22:O37)</f>
        <v>44932</v>
      </c>
      <c r="L5" s="83"/>
      <c r="M5" s="84"/>
      <c r="N5" s="85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MAX(C22:C37)</f>
        <v>45113</v>
      </c>
      <c r="L6" s="83"/>
      <c r="M6" s="84"/>
      <c r="N6" s="85"/>
    </row>
    <row r="7" ht="14.25" customHeight="1">
      <c r="C7" s="91" t="s">
        <v>151</v>
      </c>
      <c r="D7" s="91"/>
      <c r="G7" s="71" t="s">
        <v>152</v>
      </c>
      <c r="H7" s="92">
        <f>+H6-E1</f>
        <v>183</v>
      </c>
      <c r="L7" s="83"/>
      <c r="M7" s="84"/>
      <c r="N7" s="85"/>
    </row>
    <row r="8" ht="14.25" customHeight="1">
      <c r="L8" s="83"/>
      <c r="M8" s="84"/>
      <c r="N8" s="85"/>
    </row>
    <row r="9" ht="14.25" customHeight="1">
      <c r="C9" s="71" t="s">
        <v>153</v>
      </c>
      <c r="D9" s="71"/>
      <c r="E9" s="93">
        <f>+Curva!C32</f>
        <v>107</v>
      </c>
      <c r="G9" s="94"/>
      <c r="H9" s="95" t="s">
        <v>154</v>
      </c>
      <c r="I9" s="95" t="s">
        <v>155</v>
      </c>
      <c r="J9" s="96" t="s">
        <v>156</v>
      </c>
      <c r="L9" s="83"/>
      <c r="M9" s="84"/>
      <c r="N9" s="85"/>
    </row>
    <row r="10" ht="14.25" customHeight="1">
      <c r="C10" s="71" t="s">
        <v>157</v>
      </c>
      <c r="D10" s="71"/>
      <c r="E10" s="97">
        <f t="array" ref="E10">DAYS360(MAX(IF(C23:C37&lt;=E1,C23:C37)),E1,1)</f>
        <v>178</v>
      </c>
      <c r="G10" s="98" t="s">
        <v>158</v>
      </c>
      <c r="H10" s="99">
        <f>+((XIRR(P22:P37,C22:C37)+1)^(1/2)-1)*2</f>
        <v>-0.01917246335</v>
      </c>
      <c r="I10" s="99">
        <f>+((XIRR(P22:P37,A22:A37)+1)^(1/2)-1)*2</f>
        <v>-0.01906582184</v>
      </c>
      <c r="J10" s="99">
        <f>+((XIRR(P22:P37,B22:B37)+1)^(1/2)-1)*2</f>
        <v>-0.01896035993</v>
      </c>
      <c r="L10" s="83"/>
      <c r="M10" s="84"/>
      <c r="N10" s="85"/>
    </row>
    <row r="11" ht="14.25" customHeight="1">
      <c r="C11" s="71" t="s">
        <v>159</v>
      </c>
      <c r="D11" s="71"/>
      <c r="E11" s="100">
        <f>IF(E1&gt;D2,E2/360*E10*E6,"")</f>
        <v>2.966666667</v>
      </c>
      <c r="L11" s="83"/>
      <c r="M11" s="84"/>
      <c r="N11" s="85"/>
    </row>
    <row r="12" ht="14.25" customHeight="1">
      <c r="C12" s="71" t="s">
        <v>160</v>
      </c>
      <c r="D12" s="71"/>
      <c r="E12" s="93">
        <f>+E9-E11</f>
        <v>104.0333333</v>
      </c>
      <c r="L12" s="83"/>
      <c r="M12" s="84"/>
      <c r="N12" s="85"/>
    </row>
    <row r="13" ht="14.25" customHeight="1">
      <c r="C13" s="101"/>
      <c r="D13" s="101"/>
      <c r="L13" s="83"/>
      <c r="M13" s="84"/>
      <c r="N13" s="85"/>
    </row>
    <row r="14" ht="14.25" customHeight="1">
      <c r="C14" s="71" t="s">
        <v>161</v>
      </c>
      <c r="D14" s="71"/>
      <c r="E14" s="100">
        <f>(L38*100)/SUM(J24:J37)</f>
        <v>0.4874649258</v>
      </c>
      <c r="L14" s="83"/>
      <c r="M14" s="84"/>
      <c r="N14" s="85"/>
    </row>
    <row r="15" ht="14.25" customHeight="1">
      <c r="C15" s="71" t="s">
        <v>162</v>
      </c>
      <c r="D15" s="71"/>
      <c r="E15" s="100">
        <f>E14/(1+I38/2)</f>
        <v>0.4921831071</v>
      </c>
      <c r="M15" s="84"/>
      <c r="N15" s="85"/>
    </row>
    <row r="16" ht="14.25" customHeight="1">
      <c r="C16" s="71" t="s">
        <v>163</v>
      </c>
      <c r="D16" s="71"/>
      <c r="E16" s="100">
        <f>M38</f>
        <v>0.4873352287</v>
      </c>
      <c r="M16" s="84"/>
      <c r="N16" s="85"/>
    </row>
    <row r="17" ht="14.25" customHeight="1">
      <c r="C17" s="71" t="s">
        <v>164</v>
      </c>
      <c r="D17" s="71"/>
      <c r="E17" s="100">
        <f>K38</f>
        <v>1</v>
      </c>
      <c r="M17" s="84"/>
      <c r="N17" s="85"/>
    </row>
    <row r="18" ht="14.25" customHeight="1">
      <c r="J18" s="102"/>
    </row>
    <row r="19" ht="14.25" customHeight="1"/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</row>
    <row r="21" ht="14.25" customHeight="1">
      <c r="A21" s="107" t="s">
        <v>155</v>
      </c>
      <c r="B21" s="107" t="s">
        <v>156</v>
      </c>
      <c r="C21" s="107" t="s">
        <v>154</v>
      </c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-107</v>
      </c>
      <c r="I22" s="111">
        <f t="shared" ref="I22:I37" si="1">+C22-$E$1</f>
        <v>0</v>
      </c>
      <c r="J22" s="111">
        <f>H22</f>
        <v>-107</v>
      </c>
      <c r="K22" s="117"/>
      <c r="L22" s="112"/>
      <c r="M22" s="112"/>
      <c r="N22" s="113"/>
      <c r="O22" s="114"/>
      <c r="P22" s="115">
        <f t="shared" ref="P22:P37" si="2">+H22</f>
        <v>-107</v>
      </c>
    </row>
    <row r="23" ht="14.25" customHeight="1">
      <c r="A23" s="116">
        <v>42557.0</v>
      </c>
      <c r="B23" s="116">
        <v>42557.0</v>
      </c>
      <c r="C23" s="116">
        <v>42557.0</v>
      </c>
      <c r="D23" s="109">
        <v>0.0</v>
      </c>
      <c r="E23" s="109">
        <f t="shared" ref="E23:E37" si="3">+E22-D23</f>
        <v>100</v>
      </c>
      <c r="F23" s="110" t="str">
        <f>IF(C23&gt;$D$2,$E$2,"")</f>
        <v/>
      </c>
      <c r="G23" s="109"/>
      <c r="H23" s="109">
        <f t="shared" ref="H23:H37" si="4">+IF(C23&gt;$C$22,D23+G23,0)</f>
        <v>0</v>
      </c>
      <c r="I23" s="111">
        <f t="shared" si="1"/>
        <v>-2373</v>
      </c>
      <c r="J23" s="111">
        <f t="shared" ref="J23:J37" si="5">IF(I23&lt;=0,0,H23/(((1+$I$38/2)^2)^(I23/365)))</f>
        <v>0</v>
      </c>
      <c r="K23" s="117"/>
      <c r="L23" s="112">
        <f t="shared" ref="L23:L37" si="6">J23*(I23/365)/100</f>
        <v>0</v>
      </c>
      <c r="M23" s="112">
        <f t="shared" ref="M23:M37" si="7">IF(I23&lt;0,0,(H23/$H$38)*I23/365)</f>
        <v>0</v>
      </c>
      <c r="N23" s="113" t="str">
        <f>IF(I23&gt;=0,IF(I21&gt;0,0,-I21),"FALSO")</f>
        <v>FALSO</v>
      </c>
      <c r="O23" s="114" t="str">
        <f t="shared" ref="O23:O37" si="8">+IF(C23&gt;$C$22,C23,"")</f>
        <v/>
      </c>
      <c r="P23" s="115">
        <f t="shared" si="2"/>
        <v>0</v>
      </c>
    </row>
    <row r="24" ht="14.25" customHeight="1">
      <c r="A24" s="116">
        <v>42741.0</v>
      </c>
      <c r="B24" s="116">
        <v>42741.0</v>
      </c>
      <c r="C24" s="116">
        <v>42741.0</v>
      </c>
      <c r="D24" s="109">
        <v>0.0</v>
      </c>
      <c r="E24" s="109">
        <f t="shared" si="3"/>
        <v>100</v>
      </c>
      <c r="F24" s="110">
        <f>IF(C24&gt;=$D$2,$E$2,"")</f>
        <v>0.06</v>
      </c>
      <c r="G24" s="109">
        <f t="shared" ref="G24:G37" si="9">IF(F24="","",IF($E$4=365,E23*F24/365*(C24-C23),E23*F24/360*DAYS360(C23,C24)))</f>
        <v>3</v>
      </c>
      <c r="H24" s="109">
        <f t="shared" si="4"/>
        <v>0</v>
      </c>
      <c r="I24" s="111">
        <f t="shared" si="1"/>
        <v>-2189</v>
      </c>
      <c r="J24" s="111">
        <f t="shared" si="5"/>
        <v>0</v>
      </c>
      <c r="K24" s="112" t="str">
        <f t="shared" ref="K24:K37" si="10">IF(OR(N24="falso",N24=0),"",E23)</f>
        <v/>
      </c>
      <c r="L24" s="112">
        <f t="shared" si="6"/>
        <v>0</v>
      </c>
      <c r="M24" s="112">
        <f t="shared" si="7"/>
        <v>0</v>
      </c>
      <c r="N24" s="113" t="str">
        <f t="shared" ref="N24:N37" si="11">IF(I24&gt;=0,IF(I23&gt;0,0,-I23),"FALSO")</f>
        <v>FALSO</v>
      </c>
      <c r="O24" s="114" t="str">
        <f t="shared" si="8"/>
        <v/>
      </c>
      <c r="P24" s="115">
        <f t="shared" si="2"/>
        <v>0</v>
      </c>
    </row>
    <row r="25" ht="14.25" customHeight="1">
      <c r="A25" s="116">
        <v>42922.0</v>
      </c>
      <c r="B25" s="116">
        <v>42922.0</v>
      </c>
      <c r="C25" s="116">
        <v>42922.0</v>
      </c>
      <c r="D25" s="109">
        <v>0.0</v>
      </c>
      <c r="E25" s="109">
        <f t="shared" si="3"/>
        <v>100</v>
      </c>
      <c r="F25" s="110">
        <f t="shared" ref="F25:F37" si="12">IF(C25&gt;$D$2,$E$2,"")</f>
        <v>0.06</v>
      </c>
      <c r="G25" s="109">
        <f t="shared" si="9"/>
        <v>3</v>
      </c>
      <c r="H25" s="109">
        <f t="shared" si="4"/>
        <v>0</v>
      </c>
      <c r="I25" s="111">
        <f t="shared" si="1"/>
        <v>-2008</v>
      </c>
      <c r="J25" s="111">
        <f t="shared" si="5"/>
        <v>0</v>
      </c>
      <c r="K25" s="117" t="str">
        <f t="shared" si="10"/>
        <v/>
      </c>
      <c r="L25" s="112">
        <f t="shared" si="6"/>
        <v>0</v>
      </c>
      <c r="M25" s="112">
        <f t="shared" si="7"/>
        <v>0</v>
      </c>
      <c r="N25" s="113" t="str">
        <f t="shared" si="11"/>
        <v>FALSO</v>
      </c>
      <c r="O25" s="114" t="str">
        <f t="shared" si="8"/>
        <v/>
      </c>
      <c r="P25" s="115">
        <f t="shared" si="2"/>
        <v>0</v>
      </c>
      <c r="R25" s="82"/>
    </row>
    <row r="26" ht="14.25" customHeight="1">
      <c r="A26" s="116">
        <v>43106.0</v>
      </c>
      <c r="B26" s="116">
        <v>43106.0</v>
      </c>
      <c r="C26" s="116">
        <v>43106.0</v>
      </c>
      <c r="D26" s="109">
        <v>0.0</v>
      </c>
      <c r="E26" s="109">
        <f t="shared" si="3"/>
        <v>100</v>
      </c>
      <c r="F26" s="110">
        <f t="shared" si="12"/>
        <v>0.06</v>
      </c>
      <c r="G26" s="109">
        <f t="shared" si="9"/>
        <v>3</v>
      </c>
      <c r="H26" s="109">
        <f t="shared" si="4"/>
        <v>0</v>
      </c>
      <c r="I26" s="111">
        <f t="shared" si="1"/>
        <v>-1824</v>
      </c>
      <c r="J26" s="111">
        <f t="shared" si="5"/>
        <v>0</v>
      </c>
      <c r="K26" s="117" t="str">
        <f t="shared" si="10"/>
        <v/>
      </c>
      <c r="L26" s="112">
        <f t="shared" si="6"/>
        <v>0</v>
      </c>
      <c r="M26" s="112">
        <f t="shared" si="7"/>
        <v>0</v>
      </c>
      <c r="N26" s="113" t="str">
        <f t="shared" si="11"/>
        <v>FALSO</v>
      </c>
      <c r="O26" s="114" t="str">
        <f t="shared" si="8"/>
        <v/>
      </c>
      <c r="P26" s="115">
        <f t="shared" si="2"/>
        <v>0</v>
      </c>
      <c r="R26" s="82"/>
    </row>
    <row r="27" ht="14.25" customHeight="1">
      <c r="A27" s="116">
        <v>43287.0</v>
      </c>
      <c r="B27" s="116">
        <v>43287.0</v>
      </c>
      <c r="C27" s="116">
        <v>43287.0</v>
      </c>
      <c r="D27" s="109">
        <v>0.0</v>
      </c>
      <c r="E27" s="109">
        <f t="shared" si="3"/>
        <v>100</v>
      </c>
      <c r="F27" s="110">
        <f t="shared" si="12"/>
        <v>0.06</v>
      </c>
      <c r="G27" s="109">
        <f t="shared" si="9"/>
        <v>3</v>
      </c>
      <c r="H27" s="109">
        <f t="shared" si="4"/>
        <v>0</v>
      </c>
      <c r="I27" s="111">
        <f t="shared" si="1"/>
        <v>-1643</v>
      </c>
      <c r="J27" s="111">
        <f t="shared" si="5"/>
        <v>0</v>
      </c>
      <c r="K27" s="117" t="str">
        <f t="shared" si="10"/>
        <v/>
      </c>
      <c r="L27" s="112">
        <f t="shared" si="6"/>
        <v>0</v>
      </c>
      <c r="M27" s="112">
        <f t="shared" si="7"/>
        <v>0</v>
      </c>
      <c r="N27" s="113" t="str">
        <f t="shared" si="11"/>
        <v>FALSO</v>
      </c>
      <c r="O27" s="114" t="str">
        <f t="shared" si="8"/>
        <v/>
      </c>
      <c r="P27" s="115">
        <f t="shared" si="2"/>
        <v>0</v>
      </c>
      <c r="R27" s="82"/>
    </row>
    <row r="28" ht="14.25" customHeight="1">
      <c r="A28" s="116">
        <v>43471.0</v>
      </c>
      <c r="B28" s="116">
        <v>43471.0</v>
      </c>
      <c r="C28" s="116">
        <v>43471.0</v>
      </c>
      <c r="D28" s="109">
        <v>0.0</v>
      </c>
      <c r="E28" s="109">
        <f t="shared" si="3"/>
        <v>100</v>
      </c>
      <c r="F28" s="110">
        <f t="shared" si="12"/>
        <v>0.06</v>
      </c>
      <c r="G28" s="109">
        <f t="shared" si="9"/>
        <v>3</v>
      </c>
      <c r="H28" s="109">
        <f t="shared" si="4"/>
        <v>0</v>
      </c>
      <c r="I28" s="111">
        <f t="shared" si="1"/>
        <v>-1459</v>
      </c>
      <c r="J28" s="111">
        <f t="shared" si="5"/>
        <v>0</v>
      </c>
      <c r="K28" s="117" t="str">
        <f t="shared" si="10"/>
        <v/>
      </c>
      <c r="L28" s="112">
        <f t="shared" si="6"/>
        <v>0</v>
      </c>
      <c r="M28" s="112">
        <f t="shared" si="7"/>
        <v>0</v>
      </c>
      <c r="N28" s="113" t="str">
        <f t="shared" si="11"/>
        <v>FALSO</v>
      </c>
      <c r="O28" s="114" t="str">
        <f t="shared" si="8"/>
        <v/>
      </c>
      <c r="P28" s="115">
        <f t="shared" si="2"/>
        <v>0</v>
      </c>
      <c r="R28" s="82"/>
    </row>
    <row r="29" ht="14.25" customHeight="1">
      <c r="A29" s="116">
        <v>43652.0</v>
      </c>
      <c r="B29" s="116">
        <v>43652.0</v>
      </c>
      <c r="C29" s="116">
        <v>43652.0</v>
      </c>
      <c r="D29" s="109">
        <v>0.0</v>
      </c>
      <c r="E29" s="109">
        <f t="shared" si="3"/>
        <v>100</v>
      </c>
      <c r="F29" s="110">
        <f t="shared" si="12"/>
        <v>0.06</v>
      </c>
      <c r="G29" s="109">
        <f t="shared" si="9"/>
        <v>3</v>
      </c>
      <c r="H29" s="109">
        <f t="shared" si="4"/>
        <v>0</v>
      </c>
      <c r="I29" s="111">
        <f t="shared" si="1"/>
        <v>-1278</v>
      </c>
      <c r="J29" s="111">
        <f t="shared" si="5"/>
        <v>0</v>
      </c>
      <c r="K29" s="117" t="str">
        <f t="shared" si="10"/>
        <v/>
      </c>
      <c r="L29" s="112">
        <f t="shared" si="6"/>
        <v>0</v>
      </c>
      <c r="M29" s="112">
        <f t="shared" si="7"/>
        <v>0</v>
      </c>
      <c r="N29" s="113" t="str">
        <f t="shared" si="11"/>
        <v>FALSO</v>
      </c>
      <c r="O29" s="114" t="str">
        <f t="shared" si="8"/>
        <v/>
      </c>
      <c r="P29" s="115">
        <f t="shared" si="2"/>
        <v>0</v>
      </c>
      <c r="R29" s="82"/>
    </row>
    <row r="30" ht="14.25" customHeight="1">
      <c r="A30" s="116">
        <v>43836.0</v>
      </c>
      <c r="B30" s="116">
        <v>43836.0</v>
      </c>
      <c r="C30" s="116">
        <v>43836.0</v>
      </c>
      <c r="D30" s="109">
        <v>0.0</v>
      </c>
      <c r="E30" s="109">
        <f t="shared" si="3"/>
        <v>100</v>
      </c>
      <c r="F30" s="110">
        <f t="shared" si="12"/>
        <v>0.06</v>
      </c>
      <c r="G30" s="109">
        <f t="shared" si="9"/>
        <v>3</v>
      </c>
      <c r="H30" s="109">
        <f t="shared" si="4"/>
        <v>0</v>
      </c>
      <c r="I30" s="111">
        <f t="shared" si="1"/>
        <v>-1094</v>
      </c>
      <c r="J30" s="111">
        <f t="shared" si="5"/>
        <v>0</v>
      </c>
      <c r="K30" s="117" t="str">
        <f t="shared" si="10"/>
        <v/>
      </c>
      <c r="L30" s="112">
        <f t="shared" si="6"/>
        <v>0</v>
      </c>
      <c r="M30" s="112">
        <f t="shared" si="7"/>
        <v>0</v>
      </c>
      <c r="N30" s="113" t="str">
        <f t="shared" si="11"/>
        <v>FALSO</v>
      </c>
      <c r="O30" s="114" t="str">
        <f t="shared" si="8"/>
        <v/>
      </c>
      <c r="P30" s="115">
        <f t="shared" si="2"/>
        <v>0</v>
      </c>
      <c r="R30" s="82"/>
    </row>
    <row r="31" ht="14.25" customHeight="1">
      <c r="A31" s="116">
        <v>44018.0</v>
      </c>
      <c r="B31" s="116">
        <v>44018.0</v>
      </c>
      <c r="C31" s="116">
        <v>44018.0</v>
      </c>
      <c r="D31" s="109">
        <v>0.0</v>
      </c>
      <c r="E31" s="109">
        <f t="shared" si="3"/>
        <v>100</v>
      </c>
      <c r="F31" s="110">
        <f t="shared" si="12"/>
        <v>0.06</v>
      </c>
      <c r="G31" s="109">
        <f t="shared" si="9"/>
        <v>3</v>
      </c>
      <c r="H31" s="109">
        <f t="shared" si="4"/>
        <v>0</v>
      </c>
      <c r="I31" s="111">
        <f t="shared" si="1"/>
        <v>-912</v>
      </c>
      <c r="J31" s="111">
        <f t="shared" si="5"/>
        <v>0</v>
      </c>
      <c r="K31" s="117" t="str">
        <f t="shared" si="10"/>
        <v/>
      </c>
      <c r="L31" s="112">
        <f t="shared" si="6"/>
        <v>0</v>
      </c>
      <c r="M31" s="112">
        <f t="shared" si="7"/>
        <v>0</v>
      </c>
      <c r="N31" s="113" t="str">
        <f t="shared" si="11"/>
        <v>FALSO</v>
      </c>
      <c r="O31" s="114" t="str">
        <f t="shared" si="8"/>
        <v/>
      </c>
      <c r="P31" s="115">
        <f t="shared" si="2"/>
        <v>0</v>
      </c>
      <c r="R31" s="82"/>
    </row>
    <row r="32" ht="14.25" customHeight="1">
      <c r="A32" s="116">
        <v>44202.0</v>
      </c>
      <c r="B32" s="116">
        <v>44202.0</v>
      </c>
      <c r="C32" s="116">
        <v>44202.0</v>
      </c>
      <c r="D32" s="109">
        <v>0.0</v>
      </c>
      <c r="E32" s="109">
        <f t="shared" si="3"/>
        <v>100</v>
      </c>
      <c r="F32" s="110">
        <f t="shared" si="12"/>
        <v>0.06</v>
      </c>
      <c r="G32" s="109">
        <f t="shared" si="9"/>
        <v>3</v>
      </c>
      <c r="H32" s="109">
        <f t="shared" si="4"/>
        <v>0</v>
      </c>
      <c r="I32" s="111">
        <f t="shared" si="1"/>
        <v>-728</v>
      </c>
      <c r="J32" s="111">
        <f t="shared" si="5"/>
        <v>0</v>
      </c>
      <c r="K32" s="117" t="str">
        <f t="shared" si="10"/>
        <v/>
      </c>
      <c r="L32" s="112">
        <f t="shared" si="6"/>
        <v>0</v>
      </c>
      <c r="M32" s="112">
        <f t="shared" si="7"/>
        <v>0</v>
      </c>
      <c r="N32" s="113" t="str">
        <f t="shared" si="11"/>
        <v>FALSO</v>
      </c>
      <c r="O32" s="114" t="str">
        <f t="shared" si="8"/>
        <v/>
      </c>
      <c r="P32" s="115">
        <f t="shared" si="2"/>
        <v>0</v>
      </c>
      <c r="R32" s="82"/>
    </row>
    <row r="33" ht="14.25" customHeight="1">
      <c r="A33" s="116">
        <v>44383.0</v>
      </c>
      <c r="B33" s="116">
        <v>44383.0</v>
      </c>
      <c r="C33" s="116">
        <v>44383.0</v>
      </c>
      <c r="D33" s="109">
        <v>0.0</v>
      </c>
      <c r="E33" s="109">
        <f t="shared" si="3"/>
        <v>100</v>
      </c>
      <c r="F33" s="110">
        <f t="shared" si="12"/>
        <v>0.06</v>
      </c>
      <c r="G33" s="109">
        <f t="shared" si="9"/>
        <v>3</v>
      </c>
      <c r="H33" s="109">
        <f t="shared" si="4"/>
        <v>0</v>
      </c>
      <c r="I33" s="111">
        <f t="shared" si="1"/>
        <v>-547</v>
      </c>
      <c r="J33" s="111">
        <f t="shared" si="5"/>
        <v>0</v>
      </c>
      <c r="K33" s="117" t="str">
        <f t="shared" si="10"/>
        <v/>
      </c>
      <c r="L33" s="112">
        <f t="shared" si="6"/>
        <v>0</v>
      </c>
      <c r="M33" s="112">
        <f t="shared" si="7"/>
        <v>0</v>
      </c>
      <c r="N33" s="113" t="str">
        <f t="shared" si="11"/>
        <v>FALSO</v>
      </c>
      <c r="O33" s="114" t="str">
        <f t="shared" si="8"/>
        <v/>
      </c>
      <c r="P33" s="115">
        <f t="shared" si="2"/>
        <v>0</v>
      </c>
      <c r="R33" s="82"/>
    </row>
    <row r="34" ht="14.25" customHeight="1">
      <c r="A34" s="116">
        <v>44567.0</v>
      </c>
      <c r="B34" s="116">
        <v>44567.0</v>
      </c>
      <c r="C34" s="116">
        <v>44567.0</v>
      </c>
      <c r="D34" s="109">
        <v>0.0</v>
      </c>
      <c r="E34" s="109">
        <f t="shared" si="3"/>
        <v>100</v>
      </c>
      <c r="F34" s="110">
        <f t="shared" si="12"/>
        <v>0.06</v>
      </c>
      <c r="G34" s="109">
        <f t="shared" si="9"/>
        <v>3</v>
      </c>
      <c r="H34" s="109">
        <f t="shared" si="4"/>
        <v>0</v>
      </c>
      <c r="I34" s="111">
        <f t="shared" si="1"/>
        <v>-363</v>
      </c>
      <c r="J34" s="111">
        <f t="shared" si="5"/>
        <v>0</v>
      </c>
      <c r="K34" s="117" t="str">
        <f t="shared" si="10"/>
        <v/>
      </c>
      <c r="L34" s="112">
        <f t="shared" si="6"/>
        <v>0</v>
      </c>
      <c r="M34" s="112">
        <f t="shared" si="7"/>
        <v>0</v>
      </c>
      <c r="N34" s="113" t="str">
        <f t="shared" si="11"/>
        <v>FALSO</v>
      </c>
      <c r="O34" s="114" t="str">
        <f t="shared" si="8"/>
        <v/>
      </c>
      <c r="P34" s="115">
        <f t="shared" si="2"/>
        <v>0</v>
      </c>
      <c r="R34" s="82"/>
    </row>
    <row r="35" ht="14.25" customHeight="1">
      <c r="A35" s="116">
        <v>44748.0</v>
      </c>
      <c r="B35" s="116">
        <v>44748.0</v>
      </c>
      <c r="C35" s="116">
        <v>44748.0</v>
      </c>
      <c r="D35" s="109">
        <v>0.0</v>
      </c>
      <c r="E35" s="109">
        <f t="shared" si="3"/>
        <v>100</v>
      </c>
      <c r="F35" s="110">
        <f t="shared" si="12"/>
        <v>0.06</v>
      </c>
      <c r="G35" s="109">
        <f t="shared" si="9"/>
        <v>3</v>
      </c>
      <c r="H35" s="109">
        <f t="shared" si="4"/>
        <v>0</v>
      </c>
      <c r="I35" s="111">
        <f t="shared" si="1"/>
        <v>-182</v>
      </c>
      <c r="J35" s="111">
        <f t="shared" si="5"/>
        <v>0</v>
      </c>
      <c r="K35" s="117" t="str">
        <f t="shared" si="10"/>
        <v/>
      </c>
      <c r="L35" s="112">
        <f t="shared" si="6"/>
        <v>0</v>
      </c>
      <c r="M35" s="112">
        <f t="shared" si="7"/>
        <v>0</v>
      </c>
      <c r="N35" s="113" t="str">
        <f t="shared" si="11"/>
        <v>FALSO</v>
      </c>
      <c r="O35" s="114" t="str">
        <f t="shared" si="8"/>
        <v/>
      </c>
      <c r="P35" s="115">
        <f t="shared" si="2"/>
        <v>0</v>
      </c>
      <c r="R35" s="82"/>
    </row>
    <row r="36" ht="14.25" customHeight="1">
      <c r="A36" s="116">
        <v>44932.0</v>
      </c>
      <c r="B36" s="116">
        <v>44932.0</v>
      </c>
      <c r="C36" s="116">
        <v>44932.0</v>
      </c>
      <c r="D36" s="109">
        <v>0.0</v>
      </c>
      <c r="E36" s="109">
        <f t="shared" si="3"/>
        <v>100</v>
      </c>
      <c r="F36" s="110">
        <f t="shared" si="12"/>
        <v>0.06</v>
      </c>
      <c r="G36" s="109">
        <f t="shared" si="9"/>
        <v>3</v>
      </c>
      <c r="H36" s="109">
        <f t="shared" si="4"/>
        <v>3</v>
      </c>
      <c r="I36" s="111">
        <f t="shared" si="1"/>
        <v>2</v>
      </c>
      <c r="J36" s="111">
        <f t="shared" si="5"/>
        <v>3.000316701</v>
      </c>
      <c r="K36" s="117">
        <f t="shared" si="10"/>
        <v>100</v>
      </c>
      <c r="L36" s="112">
        <f t="shared" si="6"/>
        <v>0.0001644009151</v>
      </c>
      <c r="M36" s="112">
        <f t="shared" si="7"/>
        <v>0.0001550788317</v>
      </c>
      <c r="N36" s="111">
        <f t="shared" si="11"/>
        <v>182</v>
      </c>
      <c r="O36" s="114">
        <f t="shared" si="8"/>
        <v>44932</v>
      </c>
      <c r="P36" s="115">
        <f t="shared" si="2"/>
        <v>3</v>
      </c>
      <c r="R36" s="82"/>
    </row>
    <row r="37" ht="14.25" customHeight="1">
      <c r="A37" s="116">
        <v>45113.0</v>
      </c>
      <c r="B37" s="116">
        <v>45113.0</v>
      </c>
      <c r="C37" s="116">
        <v>45113.0</v>
      </c>
      <c r="D37" s="109">
        <v>100.0</v>
      </c>
      <c r="E37" s="109">
        <f t="shared" si="3"/>
        <v>0</v>
      </c>
      <c r="F37" s="110">
        <f t="shared" si="12"/>
        <v>0.06</v>
      </c>
      <c r="G37" s="109">
        <f t="shared" si="9"/>
        <v>3</v>
      </c>
      <c r="H37" s="109">
        <f t="shared" si="4"/>
        <v>103</v>
      </c>
      <c r="I37" s="111">
        <f t="shared" si="1"/>
        <v>183</v>
      </c>
      <c r="J37" s="111">
        <f t="shared" si="5"/>
        <v>103.9996833</v>
      </c>
      <c r="K37" s="117" t="str">
        <f t="shared" si="10"/>
        <v/>
      </c>
      <c r="L37" s="112">
        <f t="shared" si="6"/>
        <v>0.5214230697</v>
      </c>
      <c r="M37" s="112">
        <f t="shared" si="7"/>
        <v>0.4871801499</v>
      </c>
      <c r="N37" s="113">
        <f t="shared" si="11"/>
        <v>0</v>
      </c>
      <c r="O37" s="114">
        <f t="shared" si="8"/>
        <v>45113</v>
      </c>
      <c r="P37" s="115">
        <f t="shared" si="2"/>
        <v>103</v>
      </c>
      <c r="R37" s="82"/>
    </row>
    <row r="38" ht="14.25" customHeight="1">
      <c r="H38" s="118">
        <f>SUMIF(I22:I37,"&gt;0",H22:H37)</f>
        <v>106</v>
      </c>
      <c r="I38" s="119">
        <f>+H10</f>
        <v>-0.01917246335</v>
      </c>
      <c r="J38" s="119">
        <f>SUM(J22:J37)</f>
        <v>0.0000000001288071871</v>
      </c>
      <c r="K38" s="120">
        <f>SUM(K22:K37)/$E$22</f>
        <v>1</v>
      </c>
      <c r="L38" s="121">
        <f t="shared" ref="L38:M38" si="13">SUM(L22:L37)</f>
        <v>0.5215874706</v>
      </c>
      <c r="M38" s="119">
        <f t="shared" si="13"/>
        <v>0.4873352287</v>
      </c>
      <c r="N38" s="122">
        <f>SUM(N24:N37)</f>
        <v>182</v>
      </c>
      <c r="O38" s="123">
        <f>MIN(O24:O37)</f>
        <v>44932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73" t="s">
        <v>21</v>
      </c>
      <c r="D2" s="74">
        <v>45068.0</v>
      </c>
      <c r="E2" s="75">
        <v>0.0975</v>
      </c>
      <c r="G2" s="71" t="s">
        <v>142</v>
      </c>
      <c r="H2" s="76">
        <f>+E17*100+E11</f>
        <v>2.35625</v>
      </c>
      <c r="M2" s="77"/>
      <c r="N2" s="78"/>
    </row>
    <row r="3" ht="14.25" customHeight="1">
      <c r="C3" s="71" t="s">
        <v>143</v>
      </c>
      <c r="D3" s="71"/>
      <c r="E3" s="79">
        <v>44887.0</v>
      </c>
      <c r="F3" s="80"/>
      <c r="G3" s="71" t="s">
        <v>144</v>
      </c>
      <c r="H3" s="81" t="str">
        <f>IF(E1&gt;D2,E2*E17*E6/E12,"")</f>
        <v/>
      </c>
      <c r="I3" s="82"/>
      <c r="L3" s="83"/>
      <c r="M3" s="84"/>
      <c r="N3" s="85"/>
      <c r="P3" s="116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4498.67374</v>
      </c>
      <c r="L4" s="83"/>
      <c r="M4" s="84"/>
      <c r="N4" s="85"/>
      <c r="P4" s="116"/>
      <c r="Q4" s="109"/>
    </row>
    <row r="5" ht="14.25" customHeight="1">
      <c r="C5" s="71" t="s">
        <v>147</v>
      </c>
      <c r="D5" s="88"/>
      <c r="E5" s="79">
        <v>45068.0</v>
      </c>
      <c r="G5" s="71" t="s">
        <v>148</v>
      </c>
      <c r="H5" s="89">
        <f>MIN(O22:O27)</f>
        <v>45068</v>
      </c>
      <c r="L5" s="83"/>
      <c r="M5" s="84"/>
      <c r="N5" s="85"/>
      <c r="P5" s="116"/>
      <c r="Q5" s="109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MAX(C22:C27)</f>
        <v>45667</v>
      </c>
      <c r="L6" s="83"/>
      <c r="M6" s="84"/>
      <c r="N6" s="85"/>
      <c r="P6" s="116"/>
      <c r="Q6" s="109"/>
    </row>
    <row r="7" ht="14.25" customHeight="1">
      <c r="C7" s="91" t="s">
        <v>151</v>
      </c>
      <c r="D7" s="91"/>
      <c r="G7" s="71" t="s">
        <v>152</v>
      </c>
      <c r="H7" s="92">
        <f>+H6-E1</f>
        <v>737</v>
      </c>
      <c r="L7" s="83"/>
      <c r="M7" s="84"/>
      <c r="N7" s="85"/>
      <c r="P7" s="116"/>
      <c r="Q7" s="109"/>
    </row>
    <row r="8" ht="14.25" customHeight="1">
      <c r="L8" s="83"/>
      <c r="M8" s="84"/>
      <c r="N8" s="85"/>
      <c r="P8" s="116"/>
      <c r="Q8" s="109"/>
    </row>
    <row r="9" ht="14.25" customHeight="1">
      <c r="C9" s="71" t="s">
        <v>153</v>
      </c>
      <c r="D9" s="71"/>
      <c r="E9" s="93">
        <f>+Curva!C31</f>
        <v>106</v>
      </c>
      <c r="G9" s="94"/>
      <c r="H9" s="95" t="s">
        <v>154</v>
      </c>
      <c r="I9" s="95" t="s">
        <v>155</v>
      </c>
      <c r="J9" s="96" t="s">
        <v>156</v>
      </c>
      <c r="L9" s="83"/>
      <c r="M9" s="84"/>
      <c r="N9" s="85"/>
      <c r="P9" s="116"/>
      <c r="Q9" s="109"/>
    </row>
    <row r="10" ht="14.25" customHeight="1">
      <c r="C10" s="71" t="s">
        <v>157</v>
      </c>
      <c r="D10" s="71"/>
      <c r="E10" s="97">
        <f t="array" ref="E10">DAYS360(MAX(IF(C23:C27&lt;=E1,C23:C27)),E1,1)</f>
        <v>44284</v>
      </c>
      <c r="G10" s="98" t="s">
        <v>158</v>
      </c>
      <c r="H10" s="99">
        <f>+((XIRR(P22:P27,C22:C27)+1)^(1/2)-1)*2</f>
        <v>0.06534052661</v>
      </c>
      <c r="I10" s="99">
        <f>+((XIRR(P22:P27,A22:A27)+1)^(1/2)-1)*2</f>
        <v>0.06524395981</v>
      </c>
      <c r="J10" s="99">
        <f>+((XIRR(P22:P27,B22:B27)+1)^(1/2)-1)*2</f>
        <v>0.0651476787</v>
      </c>
      <c r="L10" s="83"/>
      <c r="M10" s="84"/>
      <c r="N10" s="85"/>
      <c r="P10" s="116"/>
    </row>
    <row r="11" ht="14.25" customHeight="1">
      <c r="C11" s="71" t="s">
        <v>159</v>
      </c>
      <c r="D11" s="71"/>
      <c r="E11" s="76">
        <f>+($E$2*$E$6/4)*$H$12/$H$13</f>
        <v>2.35625</v>
      </c>
      <c r="L11" s="116"/>
      <c r="M11" s="84"/>
      <c r="N11" s="85"/>
      <c r="P11" s="116"/>
    </row>
    <row r="12" ht="14.25" customHeight="1">
      <c r="C12" s="71" t="s">
        <v>160</v>
      </c>
      <c r="D12" s="71"/>
      <c r="E12" s="93">
        <f>+E9-E11</f>
        <v>103.64375</v>
      </c>
      <c r="G12" s="126" t="s">
        <v>187</v>
      </c>
      <c r="H12" s="127">
        <f>COUPDAYBS(C22,C27,2,0)</f>
        <v>174</v>
      </c>
      <c r="L12" s="116"/>
      <c r="M12" s="84"/>
      <c r="N12" s="85"/>
      <c r="P12" s="116"/>
    </row>
    <row r="13" ht="14.25" customHeight="1">
      <c r="C13" s="101"/>
      <c r="D13" s="101"/>
      <c r="G13" s="126" t="s">
        <v>188</v>
      </c>
      <c r="H13" s="128">
        <f>COUPDAYS(C22,C27,2)</f>
        <v>180</v>
      </c>
      <c r="L13" s="116"/>
      <c r="M13" s="84"/>
      <c r="N13" s="85"/>
      <c r="P13" s="116"/>
    </row>
    <row r="14" ht="14.25" customHeight="1">
      <c r="C14" s="71" t="s">
        <v>161</v>
      </c>
      <c r="D14" s="71"/>
      <c r="E14" s="100">
        <f>(L28*100)/SUM(J24:J27)</f>
        <v>1.947998586</v>
      </c>
      <c r="G14" s="126" t="s">
        <v>189</v>
      </c>
      <c r="H14" s="129">
        <f>+($E$2*$E$6/2)*$H$12/$H$13</f>
        <v>4.7125</v>
      </c>
      <c r="L14" s="116"/>
      <c r="M14" s="84"/>
      <c r="N14" s="85"/>
    </row>
    <row r="15" ht="14.25" customHeight="1">
      <c r="C15" s="71" t="s">
        <v>162</v>
      </c>
      <c r="D15" s="71"/>
      <c r="E15" s="100">
        <f>E14/(1+I28/2)</f>
        <v>1.886370369</v>
      </c>
      <c r="L15" s="116"/>
      <c r="M15" s="84"/>
      <c r="N15" s="85"/>
    </row>
    <row r="16" ht="14.25" customHeight="1">
      <c r="C16" s="71" t="s">
        <v>163</v>
      </c>
      <c r="D16" s="71"/>
      <c r="E16" s="100">
        <f>M28</f>
        <v>1.890124766</v>
      </c>
      <c r="L16" s="116"/>
      <c r="M16" s="84"/>
      <c r="N16" s="85"/>
    </row>
    <row r="17" ht="14.25" customHeight="1">
      <c r="C17" s="71" t="s">
        <v>164</v>
      </c>
      <c r="D17" s="71"/>
      <c r="E17" s="100">
        <f>K28</f>
        <v>0</v>
      </c>
      <c r="L17" s="116"/>
      <c r="M17" s="84"/>
      <c r="N17" s="85"/>
    </row>
    <row r="18" ht="14.25" customHeight="1">
      <c r="J18" s="102"/>
    </row>
    <row r="19" ht="14.25" customHeight="1"/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</row>
    <row r="21" ht="14.25" customHeight="1">
      <c r="A21" s="107" t="s">
        <v>155</v>
      </c>
      <c r="B21" s="107" t="s">
        <v>156</v>
      </c>
      <c r="C21" s="107" t="s">
        <v>154</v>
      </c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-106</v>
      </c>
      <c r="I22" s="111">
        <f t="shared" ref="I22:I27" si="1">+C22-$E$1</f>
        <v>0</v>
      </c>
      <c r="J22" s="111">
        <f>H22</f>
        <v>-106</v>
      </c>
      <c r="K22" s="117"/>
      <c r="L22" s="112"/>
      <c r="M22" s="112"/>
      <c r="N22" s="113"/>
      <c r="O22" s="114"/>
      <c r="P22" s="115">
        <f t="shared" ref="P22:P27" si="2">+H22</f>
        <v>-106</v>
      </c>
    </row>
    <row r="23" ht="14.25" customHeight="1">
      <c r="A23" s="116">
        <v>45068.0</v>
      </c>
      <c r="B23" s="116">
        <v>45068.0</v>
      </c>
      <c r="C23" s="116">
        <v>45068.0</v>
      </c>
      <c r="D23" s="109">
        <v>0.0</v>
      </c>
      <c r="E23" s="109">
        <f t="shared" ref="E23:E27" si="3">+E22-D23</f>
        <v>100</v>
      </c>
      <c r="F23" s="110">
        <f>IF(C23&gt;=$D$2,$E$2,"")</f>
        <v>0.0975</v>
      </c>
      <c r="G23" s="109">
        <f t="shared" ref="G23:G27" si="4">IF(F23="","",IF($E$4=365,E22*F23/365*(C23-C22),E22*F23/360*DAYS360(C22,C23)))</f>
        <v>3.7375</v>
      </c>
      <c r="H23" s="109">
        <f t="shared" ref="H23:H27" si="5">+IF(C23&gt;$C$22,D23+G23,0)</f>
        <v>3.7375</v>
      </c>
      <c r="I23" s="111">
        <f t="shared" si="1"/>
        <v>138</v>
      </c>
      <c r="J23" s="111">
        <f t="shared" ref="J23:J27" si="6">IF(I23&lt;=0,0,H23/(((1+$I$28/2)^2)^(I23/365)))</f>
        <v>3.647740061</v>
      </c>
      <c r="K23" s="117"/>
      <c r="L23" s="112">
        <f t="shared" ref="L23:L27" si="7">J23*(I23/365)/100</f>
        <v>0.01379145557</v>
      </c>
      <c r="M23" s="112">
        <f t="shared" ref="M23:M27" si="8">IF(I23&lt;0,0,(H23/$H$28)*I23/365)</f>
        <v>0.01180889746</v>
      </c>
      <c r="N23" s="113">
        <f>IF(I23&gt;=0,IF(I21&gt;0,0,-I21),"FALSO")</f>
        <v>0</v>
      </c>
      <c r="O23" s="114">
        <f t="shared" ref="O23:O27" si="9">+IF(C23&gt;$C$22,C23,"")</f>
        <v>45068</v>
      </c>
      <c r="P23" s="115">
        <f t="shared" si="2"/>
        <v>3.7375</v>
      </c>
    </row>
    <row r="24" ht="14.25" customHeight="1">
      <c r="A24" s="116">
        <v>45252.0</v>
      </c>
      <c r="B24" s="116">
        <v>45252.0</v>
      </c>
      <c r="C24" s="116">
        <v>45252.0</v>
      </c>
      <c r="D24" s="109">
        <v>0.0</v>
      </c>
      <c r="E24" s="109">
        <f t="shared" si="3"/>
        <v>100</v>
      </c>
      <c r="F24" s="110">
        <f t="shared" ref="F24:F27" si="10">IF(C24&gt;$D$2,$E$2,"")</f>
        <v>0.0975</v>
      </c>
      <c r="G24" s="109">
        <f t="shared" si="4"/>
        <v>4.875</v>
      </c>
      <c r="H24" s="109">
        <f t="shared" si="5"/>
        <v>4.875</v>
      </c>
      <c r="I24" s="111">
        <f t="shared" si="1"/>
        <v>322</v>
      </c>
      <c r="J24" s="111">
        <f t="shared" si="6"/>
        <v>4.606179697</v>
      </c>
      <c r="K24" s="112" t="str">
        <f t="shared" ref="K24:K27" si="11">IF(OR(N24="falso",N24=0),"",E23)</f>
        <v/>
      </c>
      <c r="L24" s="112">
        <f t="shared" si="7"/>
        <v>0.0406353387</v>
      </c>
      <c r="M24" s="112">
        <f t="shared" si="8"/>
        <v>0.03594012269</v>
      </c>
      <c r="N24" s="113">
        <f t="shared" ref="N24:N27" si="12">IF(I24&gt;=0,IF(I23&gt;0,0,-I23),"FALSO")</f>
        <v>0</v>
      </c>
      <c r="O24" s="114">
        <f t="shared" si="9"/>
        <v>45252</v>
      </c>
      <c r="P24" s="115">
        <f t="shared" si="2"/>
        <v>4.875</v>
      </c>
    </row>
    <row r="25" ht="14.25" customHeight="1">
      <c r="A25" s="116">
        <v>45434.0</v>
      </c>
      <c r="B25" s="116">
        <v>45434.0</v>
      </c>
      <c r="C25" s="116">
        <v>45434.0</v>
      </c>
      <c r="D25" s="109">
        <v>0.0</v>
      </c>
      <c r="E25" s="109">
        <f t="shared" si="3"/>
        <v>100</v>
      </c>
      <c r="F25" s="110">
        <f t="shared" si="10"/>
        <v>0.0975</v>
      </c>
      <c r="G25" s="109">
        <f t="shared" si="4"/>
        <v>4.875</v>
      </c>
      <c r="H25" s="109">
        <f t="shared" si="5"/>
        <v>4.875</v>
      </c>
      <c r="I25" s="111">
        <f t="shared" si="1"/>
        <v>504</v>
      </c>
      <c r="J25" s="111">
        <f t="shared" si="6"/>
        <v>4.460848322</v>
      </c>
      <c r="K25" s="117" t="str">
        <f t="shared" si="11"/>
        <v/>
      </c>
      <c r="L25" s="112">
        <f t="shared" si="7"/>
        <v>0.06159637135</v>
      </c>
      <c r="M25" s="112">
        <f t="shared" si="8"/>
        <v>0.05625410508</v>
      </c>
      <c r="N25" s="113">
        <f t="shared" si="12"/>
        <v>0</v>
      </c>
      <c r="O25" s="114">
        <f t="shared" si="9"/>
        <v>45434</v>
      </c>
      <c r="P25" s="115">
        <f t="shared" si="2"/>
        <v>4.875</v>
      </c>
      <c r="R25" s="82"/>
    </row>
    <row r="26" ht="14.25" customHeight="1">
      <c r="A26" s="116">
        <v>45618.0</v>
      </c>
      <c r="B26" s="116">
        <v>45618.0</v>
      </c>
      <c r="C26" s="116">
        <v>45618.0</v>
      </c>
      <c r="D26" s="109">
        <v>0.0</v>
      </c>
      <c r="E26" s="109">
        <f t="shared" si="3"/>
        <v>100</v>
      </c>
      <c r="F26" s="110">
        <f t="shared" si="10"/>
        <v>0.0975</v>
      </c>
      <c r="G26" s="109">
        <f t="shared" si="4"/>
        <v>4.875</v>
      </c>
      <c r="H26" s="109">
        <f t="shared" si="5"/>
        <v>4.875</v>
      </c>
      <c r="I26" s="111">
        <f t="shared" si="1"/>
        <v>688</v>
      </c>
      <c r="J26" s="111">
        <f t="shared" si="6"/>
        <v>4.318580623</v>
      </c>
      <c r="K26" s="117" t="str">
        <f t="shared" si="11"/>
        <v/>
      </c>
      <c r="L26" s="112">
        <f t="shared" si="7"/>
        <v>0.08140228682</v>
      </c>
      <c r="M26" s="112">
        <f t="shared" si="8"/>
        <v>0.07679131805</v>
      </c>
      <c r="N26" s="113">
        <f t="shared" si="12"/>
        <v>0</v>
      </c>
      <c r="O26" s="114">
        <f t="shared" si="9"/>
        <v>45618</v>
      </c>
      <c r="P26" s="115">
        <f t="shared" si="2"/>
        <v>4.875</v>
      </c>
      <c r="R26" s="82"/>
    </row>
    <row r="27" ht="14.25" customHeight="1">
      <c r="A27" s="116">
        <v>45667.0</v>
      </c>
      <c r="B27" s="116">
        <v>45667.0</v>
      </c>
      <c r="C27" s="116">
        <v>45667.0</v>
      </c>
      <c r="D27" s="109">
        <v>100.0</v>
      </c>
      <c r="E27" s="109">
        <f t="shared" si="3"/>
        <v>0</v>
      </c>
      <c r="F27" s="110">
        <f t="shared" si="10"/>
        <v>0.0975</v>
      </c>
      <c r="G27" s="109">
        <f t="shared" si="4"/>
        <v>1.3</v>
      </c>
      <c r="H27" s="109">
        <f t="shared" si="5"/>
        <v>101.3</v>
      </c>
      <c r="I27" s="111">
        <f t="shared" si="1"/>
        <v>737</v>
      </c>
      <c r="J27" s="111">
        <f t="shared" si="6"/>
        <v>88.9666513</v>
      </c>
      <c r="K27" s="117" t="str">
        <f t="shared" si="11"/>
        <v/>
      </c>
      <c r="L27" s="112">
        <f t="shared" si="7"/>
        <v>1.796395123</v>
      </c>
      <c r="M27" s="112">
        <f t="shared" si="8"/>
        <v>1.709330323</v>
      </c>
      <c r="N27" s="113">
        <f t="shared" si="12"/>
        <v>0</v>
      </c>
      <c r="O27" s="114">
        <f t="shared" si="9"/>
        <v>45667</v>
      </c>
      <c r="P27" s="115">
        <f t="shared" si="2"/>
        <v>101.3</v>
      </c>
      <c r="R27" s="82"/>
    </row>
    <row r="28" ht="14.25" customHeight="1">
      <c r="H28" s="118">
        <f>SUMIF(I22:I27,"&gt;0",H22:H27)</f>
        <v>119.6625</v>
      </c>
      <c r="I28" s="119">
        <f>+H10</f>
        <v>0.06534052661</v>
      </c>
      <c r="J28" s="119">
        <f>SUM(J22:J27)</f>
        <v>0</v>
      </c>
      <c r="K28" s="120">
        <f>SUM(K22:K27)/$E$22</f>
        <v>0</v>
      </c>
      <c r="L28" s="121">
        <f t="shared" ref="L28:M28" si="13">SUM(L22:L27)</f>
        <v>1.993820576</v>
      </c>
      <c r="M28" s="119">
        <f t="shared" si="13"/>
        <v>1.890124766</v>
      </c>
      <c r="N28" s="122">
        <f>SUM(N24:N27)</f>
        <v>0</v>
      </c>
      <c r="O28" s="123">
        <f>MIN(O24:O27)</f>
        <v>45252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7" width="16.86"/>
    <col customWidth="1" min="8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73" t="s">
        <v>21</v>
      </c>
      <c r="D2" s="74">
        <v>44947.0</v>
      </c>
      <c r="E2" s="75">
        <v>0.0725</v>
      </c>
      <c r="G2" s="71" t="s">
        <v>142</v>
      </c>
      <c r="H2" s="76">
        <f>+E17*100+E11</f>
        <v>101.6413194</v>
      </c>
      <c r="L2" s="85"/>
      <c r="M2" s="77"/>
      <c r="N2" s="78"/>
    </row>
    <row r="3" ht="14.25" customHeight="1">
      <c r="C3" s="71" t="s">
        <v>143</v>
      </c>
      <c r="D3" s="71"/>
      <c r="E3" s="79">
        <v>44763.0</v>
      </c>
      <c r="F3" s="80"/>
      <c r="G3" s="71" t="s">
        <v>144</v>
      </c>
      <c r="H3" s="81" t="str">
        <f>IF(E1&gt;D2,E2*E17*E6/E12,"")</f>
        <v/>
      </c>
      <c r="I3" s="82"/>
      <c r="L3" s="85"/>
      <c r="M3" s="84"/>
      <c r="N3" s="85"/>
      <c r="P3" s="137"/>
      <c r="Q3" s="116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104.2882959</v>
      </c>
      <c r="L4" s="85"/>
      <c r="M4" s="84"/>
      <c r="N4" s="85"/>
      <c r="P4" s="137"/>
      <c r="Q4" s="116"/>
    </row>
    <row r="5" ht="14.25" customHeight="1">
      <c r="C5" s="71" t="s">
        <v>147</v>
      </c>
      <c r="D5" s="88"/>
      <c r="E5" s="79">
        <v>44622.0</v>
      </c>
      <c r="G5" s="71" t="s">
        <v>148</v>
      </c>
      <c r="H5" s="89">
        <f>MIN(O22:O29)</f>
        <v>44947</v>
      </c>
      <c r="L5" s="85"/>
      <c r="M5" s="84"/>
      <c r="N5" s="85"/>
      <c r="P5" s="137"/>
      <c r="Q5" s="116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MAX(C22:C29)</f>
        <v>45859</v>
      </c>
      <c r="L6" s="85"/>
      <c r="M6" s="84"/>
      <c r="N6" s="85"/>
      <c r="P6" s="137"/>
      <c r="Q6" s="116"/>
    </row>
    <row r="7" ht="14.25" customHeight="1">
      <c r="C7" s="91" t="s">
        <v>151</v>
      </c>
      <c r="D7" s="91"/>
      <c r="G7" s="71" t="s">
        <v>152</v>
      </c>
      <c r="H7" s="92">
        <f>+H6-E1</f>
        <v>929</v>
      </c>
      <c r="L7" s="85"/>
      <c r="M7" s="84"/>
      <c r="N7" s="85"/>
      <c r="P7" s="137"/>
      <c r="Q7" s="116"/>
    </row>
    <row r="8" ht="14.25" customHeight="1">
      <c r="L8" s="85"/>
      <c r="M8" s="84"/>
      <c r="N8" s="85"/>
      <c r="P8" s="137"/>
      <c r="Q8" s="116"/>
    </row>
    <row r="9" ht="14.25" customHeight="1">
      <c r="C9" s="71" t="s">
        <v>153</v>
      </c>
      <c r="D9" s="71"/>
      <c r="E9" s="93">
        <f>+Curva!C33</f>
        <v>106</v>
      </c>
      <c r="G9" s="94"/>
      <c r="H9" s="95" t="s">
        <v>154</v>
      </c>
      <c r="I9" s="95" t="s">
        <v>155</v>
      </c>
      <c r="J9" s="96" t="s">
        <v>156</v>
      </c>
      <c r="L9" s="85"/>
      <c r="M9" s="84"/>
      <c r="N9" s="85"/>
      <c r="P9" s="137"/>
      <c r="Q9" s="116"/>
    </row>
    <row r="10" ht="14.25" customHeight="1">
      <c r="C10" s="71" t="s">
        <v>157</v>
      </c>
      <c r="D10" s="71"/>
      <c r="E10" s="97">
        <f t="array" ref="E10">DAYS360(MAX(IF(C23:C29&lt;=E1,C23:C29)),E1,1)</f>
        <v>163</v>
      </c>
      <c r="G10" s="98" t="s">
        <v>158</v>
      </c>
      <c r="H10" s="99">
        <f>+((XIRR(P22:P29,C22:C29)+1)^(1/2)-1)*2</f>
        <v>0.06085434888</v>
      </c>
      <c r="I10" s="99">
        <f>+((XIRR(P22:P29,A22:A29)+1)^(1/2)-1)*2</f>
        <v>0.06078083819</v>
      </c>
      <c r="J10" s="99">
        <f>+((XIRR(P22:P29,B22:B29)+1)^(1/2)-1)*2</f>
        <v>0.06070750577</v>
      </c>
      <c r="L10" s="85"/>
      <c r="M10" s="84"/>
      <c r="N10" s="85"/>
      <c r="P10" s="137"/>
      <c r="Q10" s="116"/>
    </row>
    <row r="11" ht="14.25" customHeight="1">
      <c r="C11" s="71" t="s">
        <v>159</v>
      </c>
      <c r="D11" s="71"/>
      <c r="E11" s="76">
        <f>+($E$2*$E$6/4)*$H$12/$H$13</f>
        <v>1.641319444</v>
      </c>
      <c r="L11" s="85"/>
      <c r="M11" s="84"/>
      <c r="N11" s="85"/>
      <c r="P11" s="137"/>
      <c r="Q11" s="116"/>
    </row>
    <row r="12" ht="14.25" customHeight="1">
      <c r="C12" s="71" t="s">
        <v>160</v>
      </c>
      <c r="D12" s="71"/>
      <c r="E12" s="93">
        <f>+E9-E11</f>
        <v>104.3586806</v>
      </c>
      <c r="G12" s="126" t="s">
        <v>187</v>
      </c>
      <c r="H12" s="127">
        <f>COUPDAYBS(C22,C29,2,0)</f>
        <v>163</v>
      </c>
      <c r="L12" s="85"/>
      <c r="M12" s="84"/>
      <c r="N12" s="85"/>
      <c r="P12" s="137"/>
      <c r="Q12" s="116"/>
    </row>
    <row r="13" ht="14.25" customHeight="1">
      <c r="C13" s="101"/>
      <c r="D13" s="101"/>
      <c r="G13" s="126" t="s">
        <v>188</v>
      </c>
      <c r="H13" s="128">
        <f>COUPDAYS(C22,C29,2)</f>
        <v>180</v>
      </c>
      <c r="L13" s="85"/>
      <c r="M13" s="84"/>
      <c r="N13" s="85"/>
      <c r="P13" s="137"/>
      <c r="Q13" s="116"/>
    </row>
    <row r="14" ht="14.25" customHeight="1">
      <c r="C14" s="71" t="s">
        <v>161</v>
      </c>
      <c r="D14" s="71"/>
      <c r="E14" s="100">
        <f>(L30*100)/SUM(J24:J29)</f>
        <v>2.299392385</v>
      </c>
      <c r="G14" s="126" t="s">
        <v>189</v>
      </c>
      <c r="H14" s="129">
        <f>+($E$2*$E$6/2)*$H$12/$H$13</f>
        <v>3.282638889</v>
      </c>
      <c r="L14" s="85"/>
      <c r="M14" s="84"/>
      <c r="N14" s="85"/>
      <c r="P14" s="137"/>
      <c r="Q14" s="116"/>
    </row>
    <row r="15" ht="14.25" customHeight="1">
      <c r="C15" s="71" t="s">
        <v>162</v>
      </c>
      <c r="D15" s="71"/>
      <c r="E15" s="100">
        <f>E14/(1+I30/2)</f>
        <v>2.231494318</v>
      </c>
      <c r="L15" s="85"/>
      <c r="M15" s="84"/>
      <c r="N15" s="85"/>
      <c r="P15" s="137"/>
      <c r="Q15" s="116"/>
    </row>
    <row r="16" ht="14.25" customHeight="1">
      <c r="C16" s="71" t="s">
        <v>163</v>
      </c>
      <c r="D16" s="71"/>
      <c r="E16" s="100">
        <f>M30</f>
        <v>2.322021884</v>
      </c>
      <c r="M16" s="84"/>
      <c r="N16" s="85"/>
      <c r="O16" s="116"/>
      <c r="P16" s="137"/>
    </row>
    <row r="17" ht="14.25" customHeight="1">
      <c r="C17" s="71" t="s">
        <v>164</v>
      </c>
      <c r="D17" s="71"/>
      <c r="E17" s="100">
        <f>K30</f>
        <v>1</v>
      </c>
      <c r="M17" s="84"/>
      <c r="N17" s="85"/>
    </row>
    <row r="18" ht="14.25" customHeight="1">
      <c r="J18" s="102"/>
    </row>
    <row r="19" ht="14.25" customHeight="1"/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</row>
    <row r="21" ht="14.25" customHeight="1">
      <c r="A21" s="107" t="s">
        <v>155</v>
      </c>
      <c r="B21" s="107" t="s">
        <v>156</v>
      </c>
      <c r="C21" s="107" t="s">
        <v>154</v>
      </c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-106</v>
      </c>
      <c r="I22" s="111">
        <f t="shared" ref="I22:I29" si="1">+C22-$E$1</f>
        <v>0</v>
      </c>
      <c r="J22" s="111">
        <f>H22</f>
        <v>-106</v>
      </c>
      <c r="K22" s="117"/>
      <c r="L22" s="112"/>
      <c r="M22" s="112"/>
      <c r="N22" s="113"/>
      <c r="O22" s="114"/>
      <c r="P22" s="115">
        <f t="shared" ref="P22:P29" si="2">+H22</f>
        <v>-106</v>
      </c>
    </row>
    <row r="23" ht="14.25" customHeight="1">
      <c r="A23" s="116">
        <v>44763.0</v>
      </c>
      <c r="B23" s="116">
        <v>44763.0</v>
      </c>
      <c r="C23" s="116">
        <v>44763.0</v>
      </c>
      <c r="D23" s="109">
        <v>0.0</v>
      </c>
      <c r="E23" s="109">
        <f t="shared" ref="E23:E29" si="3">+E22-D23</f>
        <v>100</v>
      </c>
      <c r="F23" s="110"/>
      <c r="G23" s="109"/>
      <c r="H23" s="109">
        <f t="shared" ref="H23:H29" si="4">+IF(C23&gt;$C$22,D23+G23,0)</f>
        <v>0</v>
      </c>
      <c r="I23" s="111">
        <f t="shared" si="1"/>
        <v>-167</v>
      </c>
      <c r="J23" s="111">
        <f t="shared" ref="J23:J29" si="5">IF(I23&lt;=0,0,H23/(((1+$I$30/2)^2)^(I23/365)))</f>
        <v>0</v>
      </c>
      <c r="K23" s="117"/>
      <c r="L23" s="112">
        <f t="shared" ref="L23:L29" si="6">J23*(I23/365)/100</f>
        <v>0</v>
      </c>
      <c r="M23" s="112">
        <f t="shared" ref="M23:M29" si="7">IF(I23&lt;0,0,(H23/$H$30)*I23/365)</f>
        <v>0</v>
      </c>
      <c r="N23" s="113" t="str">
        <f>IF(I23&gt;=0,IF(I21&gt;0,0,-I21),"FALSO")</f>
        <v>FALSO</v>
      </c>
      <c r="O23" s="114" t="str">
        <f t="shared" ref="O23:O29" si="8">+IF(C23&gt;$C$22,C23,"")</f>
        <v/>
      </c>
      <c r="P23" s="115">
        <f t="shared" si="2"/>
        <v>0</v>
      </c>
    </row>
    <row r="24" ht="14.25" customHeight="1">
      <c r="A24" s="116">
        <v>44947.0</v>
      </c>
      <c r="B24" s="116">
        <v>44947.0</v>
      </c>
      <c r="C24" s="116">
        <v>44947.0</v>
      </c>
      <c r="D24" s="109">
        <v>0.0</v>
      </c>
      <c r="E24" s="109">
        <f t="shared" si="3"/>
        <v>100</v>
      </c>
      <c r="F24" s="110">
        <f>IF(C24&gt;=$D$2,$E$2,"")</f>
        <v>0.0725</v>
      </c>
      <c r="G24" s="109">
        <f t="shared" ref="G24:G29" si="9">IF(F24="","",IF($E$4=365,E23*F24/365*(C24-C23),E23*F24/360*DAYS360(C23,C24)))</f>
        <v>3.625</v>
      </c>
      <c r="H24" s="109">
        <f t="shared" si="4"/>
        <v>3.625</v>
      </c>
      <c r="I24" s="111">
        <f t="shared" si="1"/>
        <v>17</v>
      </c>
      <c r="J24" s="111">
        <f t="shared" si="5"/>
        <v>3.614892945</v>
      </c>
      <c r="K24" s="112">
        <f t="shared" ref="K24:K29" si="10">IF(OR(N24="falso",N24=0),"",E23)</f>
        <v>100</v>
      </c>
      <c r="L24" s="112">
        <f t="shared" si="6"/>
        <v>0.001683648769</v>
      </c>
      <c r="M24" s="112">
        <f t="shared" si="7"/>
        <v>0.001386740176</v>
      </c>
      <c r="N24" s="111">
        <f t="shared" ref="N24:N29" si="11">IF(I24&gt;=0,IF(I23&gt;0,0,-I23),"FALSO")</f>
        <v>167</v>
      </c>
      <c r="O24" s="114">
        <f t="shared" si="8"/>
        <v>44947</v>
      </c>
      <c r="P24" s="115">
        <f t="shared" si="2"/>
        <v>3.625</v>
      </c>
    </row>
    <row r="25" ht="14.25" customHeight="1">
      <c r="A25" s="116">
        <v>45128.0</v>
      </c>
      <c r="B25" s="116">
        <v>45128.0</v>
      </c>
      <c r="C25" s="116">
        <v>45128.0</v>
      </c>
      <c r="D25" s="109">
        <v>0.0</v>
      </c>
      <c r="E25" s="109">
        <f t="shared" si="3"/>
        <v>100</v>
      </c>
      <c r="F25" s="110">
        <f t="shared" ref="F25:F29" si="12">IF(C25&gt;$D$2,$E$2,"")</f>
        <v>0.0725</v>
      </c>
      <c r="G25" s="109">
        <f t="shared" si="9"/>
        <v>3.625</v>
      </c>
      <c r="H25" s="109">
        <f t="shared" si="4"/>
        <v>3.625</v>
      </c>
      <c r="I25" s="111">
        <f t="shared" si="1"/>
        <v>198</v>
      </c>
      <c r="J25" s="111">
        <f t="shared" si="5"/>
        <v>3.509014221</v>
      </c>
      <c r="K25" s="117" t="str">
        <f t="shared" si="10"/>
        <v/>
      </c>
      <c r="L25" s="112">
        <f t="shared" si="6"/>
        <v>0.01903520043</v>
      </c>
      <c r="M25" s="112">
        <f t="shared" si="7"/>
        <v>0.0161514444</v>
      </c>
      <c r="N25" s="113">
        <f t="shared" si="11"/>
        <v>0</v>
      </c>
      <c r="O25" s="114">
        <f t="shared" si="8"/>
        <v>45128</v>
      </c>
      <c r="P25" s="115">
        <f t="shared" si="2"/>
        <v>3.625</v>
      </c>
      <c r="R25" s="82"/>
    </row>
    <row r="26" ht="14.25" customHeight="1">
      <c r="A26" s="116">
        <v>45312.0</v>
      </c>
      <c r="B26" s="116">
        <v>45312.0</v>
      </c>
      <c r="C26" s="116">
        <v>45312.0</v>
      </c>
      <c r="D26" s="109">
        <v>0.0</v>
      </c>
      <c r="E26" s="109">
        <f t="shared" si="3"/>
        <v>100</v>
      </c>
      <c r="F26" s="110">
        <f t="shared" si="12"/>
        <v>0.0725</v>
      </c>
      <c r="G26" s="109">
        <f t="shared" si="9"/>
        <v>3.625</v>
      </c>
      <c r="H26" s="109">
        <f t="shared" si="4"/>
        <v>3.625</v>
      </c>
      <c r="I26" s="111">
        <f t="shared" si="1"/>
        <v>382</v>
      </c>
      <c r="J26" s="111">
        <f t="shared" si="5"/>
        <v>3.404558754</v>
      </c>
      <c r="K26" s="117" t="str">
        <f t="shared" si="10"/>
        <v/>
      </c>
      <c r="L26" s="112">
        <f t="shared" si="6"/>
        <v>0.03563127244</v>
      </c>
      <c r="M26" s="112">
        <f t="shared" si="7"/>
        <v>0.03116086749</v>
      </c>
      <c r="N26" s="113">
        <f t="shared" si="11"/>
        <v>0</v>
      </c>
      <c r="O26" s="114">
        <f t="shared" si="8"/>
        <v>45312</v>
      </c>
      <c r="P26" s="115">
        <f t="shared" si="2"/>
        <v>3.625</v>
      </c>
      <c r="R26" s="82"/>
    </row>
    <row r="27" ht="14.25" customHeight="1">
      <c r="A27" s="116">
        <v>45494.0</v>
      </c>
      <c r="B27" s="116">
        <v>45494.0</v>
      </c>
      <c r="C27" s="116">
        <v>45494.0</v>
      </c>
      <c r="D27" s="109">
        <v>0.0</v>
      </c>
      <c r="E27" s="109">
        <f t="shared" si="3"/>
        <v>100</v>
      </c>
      <c r="F27" s="110">
        <f t="shared" si="12"/>
        <v>0.0725</v>
      </c>
      <c r="G27" s="109">
        <f t="shared" si="9"/>
        <v>3.625</v>
      </c>
      <c r="H27" s="109">
        <f t="shared" si="4"/>
        <v>3.625</v>
      </c>
      <c r="I27" s="111">
        <f t="shared" si="1"/>
        <v>564</v>
      </c>
      <c r="J27" s="111">
        <f t="shared" si="5"/>
        <v>3.304297896</v>
      </c>
      <c r="K27" s="117" t="str">
        <f t="shared" si="10"/>
        <v/>
      </c>
      <c r="L27" s="112">
        <f t="shared" si="6"/>
        <v>0.05105819215</v>
      </c>
      <c r="M27" s="112">
        <f t="shared" si="7"/>
        <v>0.04600714467</v>
      </c>
      <c r="N27" s="113">
        <f t="shared" si="11"/>
        <v>0</v>
      </c>
      <c r="O27" s="114">
        <f t="shared" si="8"/>
        <v>45494</v>
      </c>
      <c r="P27" s="115">
        <f t="shared" si="2"/>
        <v>3.625</v>
      </c>
      <c r="R27" s="82"/>
    </row>
    <row r="28" ht="14.25" customHeight="1">
      <c r="A28" s="116">
        <v>45678.0</v>
      </c>
      <c r="B28" s="116">
        <v>45678.0</v>
      </c>
      <c r="C28" s="116">
        <v>45678.0</v>
      </c>
      <c r="D28" s="109">
        <v>0.0</v>
      </c>
      <c r="E28" s="109">
        <f t="shared" si="3"/>
        <v>100</v>
      </c>
      <c r="F28" s="110">
        <f t="shared" si="12"/>
        <v>0.0725</v>
      </c>
      <c r="G28" s="109">
        <f t="shared" si="9"/>
        <v>3.625</v>
      </c>
      <c r="H28" s="109">
        <f t="shared" si="4"/>
        <v>3.625</v>
      </c>
      <c r="I28" s="111">
        <f t="shared" si="1"/>
        <v>748</v>
      </c>
      <c r="J28" s="111">
        <f t="shared" si="5"/>
        <v>3.205936374</v>
      </c>
      <c r="K28" s="117" t="str">
        <f t="shared" si="10"/>
        <v/>
      </c>
      <c r="L28" s="112">
        <f t="shared" si="6"/>
        <v>0.0656997372</v>
      </c>
      <c r="M28" s="112">
        <f t="shared" si="7"/>
        <v>0.06101656775</v>
      </c>
      <c r="N28" s="113">
        <f t="shared" si="11"/>
        <v>0</v>
      </c>
      <c r="O28" s="114">
        <f t="shared" si="8"/>
        <v>45678</v>
      </c>
      <c r="P28" s="115">
        <f t="shared" si="2"/>
        <v>3.625</v>
      </c>
      <c r="R28" s="82"/>
    </row>
    <row r="29" ht="14.25" customHeight="1">
      <c r="A29" s="116">
        <v>45859.0</v>
      </c>
      <c r="B29" s="116">
        <v>45859.0</v>
      </c>
      <c r="C29" s="116">
        <v>45859.0</v>
      </c>
      <c r="D29" s="109">
        <v>100.0</v>
      </c>
      <c r="E29" s="109">
        <f t="shared" si="3"/>
        <v>0</v>
      </c>
      <c r="F29" s="110">
        <f t="shared" si="12"/>
        <v>0.0725</v>
      </c>
      <c r="G29" s="109">
        <f t="shared" si="9"/>
        <v>3.625</v>
      </c>
      <c r="H29" s="109">
        <f t="shared" si="4"/>
        <v>103.625</v>
      </c>
      <c r="I29" s="111">
        <f t="shared" si="1"/>
        <v>929</v>
      </c>
      <c r="J29" s="111">
        <f t="shared" si="5"/>
        <v>88.96129981</v>
      </c>
      <c r="K29" s="117" t="str">
        <f t="shared" si="10"/>
        <v/>
      </c>
      <c r="L29" s="112">
        <f t="shared" si="6"/>
        <v>2.264247877</v>
      </c>
      <c r="M29" s="112">
        <f t="shared" si="7"/>
        <v>2.16629912</v>
      </c>
      <c r="N29" s="113">
        <f t="shared" si="11"/>
        <v>0</v>
      </c>
      <c r="O29" s="114">
        <f t="shared" si="8"/>
        <v>45859</v>
      </c>
      <c r="P29" s="115">
        <f t="shared" si="2"/>
        <v>103.625</v>
      </c>
      <c r="R29" s="82"/>
    </row>
    <row r="30" ht="14.25" customHeight="1">
      <c r="H30" s="118">
        <f>SUMIF(I22:I29,"&gt;0",H22:H29)</f>
        <v>121.75</v>
      </c>
      <c r="I30" s="119">
        <f>+H10</f>
        <v>0.06085434888</v>
      </c>
      <c r="J30" s="119">
        <f>SUM(J22:J29)</f>
        <v>0</v>
      </c>
      <c r="K30" s="120">
        <f>SUM(K22:K29)/$E$22</f>
        <v>1</v>
      </c>
      <c r="L30" s="121">
        <f t="shared" ref="L30:M30" si="13">SUM(L22:L29)</f>
        <v>2.437355928</v>
      </c>
      <c r="M30" s="119">
        <f t="shared" si="13"/>
        <v>2.322021884</v>
      </c>
      <c r="N30" s="141">
        <f>SUM(N24:N29)</f>
        <v>167</v>
      </c>
      <c r="O30" s="123">
        <f>MIN(O24:O29)</f>
        <v>44947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43"/>
    <col customWidth="1" min="4" max="5" width="10.71"/>
    <col customWidth="1" min="6" max="6" width="13.0"/>
    <col customWidth="1" min="7" max="8" width="14.43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130" t="s">
        <v>190</v>
      </c>
      <c r="D2" s="74">
        <v>44504.0</v>
      </c>
      <c r="E2" s="75">
        <v>0.085</v>
      </c>
      <c r="G2" s="71" t="s">
        <v>142</v>
      </c>
      <c r="H2" s="76">
        <f>+E18*100+E12</f>
        <v>101.4875</v>
      </c>
      <c r="M2" s="77"/>
      <c r="N2" s="78"/>
      <c r="P2" s="77"/>
      <c r="Q2" s="131"/>
      <c r="S2" s="116"/>
    </row>
    <row r="3" ht="14.25" customHeight="1">
      <c r="C3" s="132"/>
      <c r="D3" s="74">
        <v>44504.0</v>
      </c>
      <c r="E3" s="75">
        <v>0.085</v>
      </c>
      <c r="G3" s="71" t="s">
        <v>144</v>
      </c>
      <c r="H3" s="81">
        <f>IF(E1&gt;D3,E3*E18*E7/E13,IF(E1&gt;D2,E2*E18*E7/E13,""))</f>
        <v>0.09768711392</v>
      </c>
      <c r="I3" s="82"/>
      <c r="M3" s="84"/>
      <c r="N3" s="133"/>
      <c r="P3" s="78"/>
      <c r="Q3" s="77"/>
      <c r="S3" s="116"/>
    </row>
    <row r="4" ht="14.25" customHeight="1">
      <c r="C4" s="71" t="s">
        <v>143</v>
      </c>
      <c r="D4" s="71"/>
      <c r="E4" s="79">
        <v>44504.0</v>
      </c>
      <c r="G4" s="71" t="s">
        <v>146</v>
      </c>
      <c r="H4" s="76">
        <f>+E10/H2*100</f>
        <v>87.20285749</v>
      </c>
      <c r="M4" s="84"/>
      <c r="N4" s="133"/>
      <c r="P4" s="78"/>
      <c r="Q4" s="77"/>
      <c r="S4" s="116"/>
    </row>
    <row r="5" ht="14.25" customHeight="1">
      <c r="C5" s="86" t="s">
        <v>145</v>
      </c>
      <c r="D5" s="86"/>
      <c r="E5" s="87">
        <v>360.0</v>
      </c>
      <c r="G5" s="71" t="s">
        <v>148</v>
      </c>
      <c r="H5" s="89">
        <f>MIN(O23:O63)</f>
        <v>44958</v>
      </c>
      <c r="M5" s="84"/>
      <c r="N5" s="133"/>
      <c r="P5" s="78"/>
      <c r="Q5" s="77"/>
      <c r="S5" s="116"/>
    </row>
    <row r="6" ht="14.25" customHeight="1">
      <c r="C6" s="71" t="s">
        <v>147</v>
      </c>
      <c r="D6" s="88"/>
      <c r="E6" s="79">
        <v>44593.0</v>
      </c>
      <c r="G6" s="71" t="s">
        <v>150</v>
      </c>
      <c r="H6" s="89">
        <f>MAX(C23:C63)</f>
        <v>48061</v>
      </c>
      <c r="M6" s="84"/>
      <c r="N6" s="133"/>
      <c r="P6" s="78"/>
      <c r="Q6" s="77"/>
      <c r="S6" s="116"/>
    </row>
    <row r="7" ht="14.25" customHeight="1">
      <c r="C7" s="71" t="s">
        <v>149</v>
      </c>
      <c r="D7" s="71"/>
      <c r="E7" s="90">
        <v>100.0</v>
      </c>
      <c r="G7" s="71" t="s">
        <v>152</v>
      </c>
      <c r="H7" s="92">
        <f>+H6-E1</f>
        <v>3131</v>
      </c>
      <c r="M7" s="84"/>
      <c r="N7" s="133"/>
      <c r="P7" s="78"/>
      <c r="Q7" s="77"/>
      <c r="S7" s="116"/>
    </row>
    <row r="8" ht="14.25" customHeight="1">
      <c r="C8" s="134" t="s">
        <v>151</v>
      </c>
      <c r="D8" s="135"/>
      <c r="M8" s="84"/>
      <c r="N8" s="133"/>
      <c r="P8" s="78"/>
      <c r="Q8" s="77"/>
      <c r="S8" s="116"/>
    </row>
    <row r="9" ht="14.25" customHeight="1">
      <c r="G9" s="94"/>
      <c r="H9" s="95" t="s">
        <v>154</v>
      </c>
      <c r="I9" s="95" t="s">
        <v>155</v>
      </c>
      <c r="J9" s="96" t="s">
        <v>156</v>
      </c>
      <c r="M9" s="84"/>
      <c r="N9" s="133"/>
      <c r="P9" s="78"/>
      <c r="Q9" s="77"/>
      <c r="S9" s="116"/>
    </row>
    <row r="10" ht="14.25" customHeight="1">
      <c r="C10" s="71" t="s">
        <v>153</v>
      </c>
      <c r="D10" s="71"/>
      <c r="E10" s="93">
        <f>+Curva!C35</f>
        <v>88.5</v>
      </c>
      <c r="G10" s="98" t="s">
        <v>158</v>
      </c>
      <c r="H10" s="99">
        <f>+((XIRR(P23:P63,C23:C63)+1)^(1/2)-1)*2</f>
        <v>0.1182647209</v>
      </c>
      <c r="I10" s="99">
        <f>+((XIRR(P23:P63,A23:A63)+1)^(1/2)-1)*2</f>
        <v>0.1181883397</v>
      </c>
      <c r="J10" s="99">
        <f>+((XIRR(P23:P63,B23:B63)+1)^(1/2)-1)*2</f>
        <v>0.1181120634</v>
      </c>
      <c r="M10" s="84"/>
      <c r="N10" s="133"/>
      <c r="P10" s="78"/>
      <c r="Q10" s="77"/>
      <c r="S10" s="116"/>
    </row>
    <row r="11" ht="14.25" customHeight="1">
      <c r="C11" s="71" t="s">
        <v>157</v>
      </c>
      <c r="D11" s="71"/>
      <c r="E11" s="97">
        <f t="array" ref="E11">DAYS360(MAX(IF(C24:C63&lt;=E1,C24:C63)),E1,1)</f>
        <v>63</v>
      </c>
      <c r="M11" s="84"/>
      <c r="N11" s="133"/>
      <c r="P11" s="78"/>
      <c r="Q11" s="77"/>
      <c r="S11" s="116"/>
    </row>
    <row r="12" ht="14.25" customHeight="1">
      <c r="C12" s="71" t="s">
        <v>159</v>
      </c>
      <c r="D12" s="71"/>
      <c r="E12" s="100">
        <f>IF(E1&gt;D3,E3/360*E11*E7,IF(E1&gt;D2,E2/360*E11*E7,""))</f>
        <v>1.4875</v>
      </c>
      <c r="M12" s="84"/>
      <c r="N12" s="133"/>
      <c r="P12" s="78"/>
      <c r="S12" s="116"/>
    </row>
    <row r="13" ht="14.25" customHeight="1">
      <c r="C13" s="71" t="s">
        <v>160</v>
      </c>
      <c r="D13" s="71"/>
      <c r="E13" s="93">
        <f>+E10-E12</f>
        <v>87.0125</v>
      </c>
      <c r="M13" s="84"/>
      <c r="N13" s="133"/>
      <c r="P13" s="78"/>
      <c r="S13" s="116"/>
    </row>
    <row r="14" ht="14.25" customHeight="1">
      <c r="C14" s="101"/>
      <c r="D14" s="101"/>
      <c r="M14" s="84"/>
      <c r="N14" s="133"/>
      <c r="P14" s="78"/>
      <c r="S14" s="116"/>
    </row>
    <row r="15" ht="14.25" customHeight="1">
      <c r="C15" s="71" t="s">
        <v>161</v>
      </c>
      <c r="D15" s="71"/>
      <c r="E15" s="100">
        <f>(L64*100)/SUM(J25:J63)</f>
        <v>4.362066842</v>
      </c>
      <c r="M15" s="84"/>
      <c r="N15" s="133"/>
      <c r="P15" s="78"/>
      <c r="S15" s="116"/>
    </row>
    <row r="16" ht="14.25" customHeight="1">
      <c r="C16" s="71" t="s">
        <v>162</v>
      </c>
      <c r="D16" s="71"/>
      <c r="E16" s="100">
        <f>E15/(1+I64/4)</f>
        <v>4.236800826</v>
      </c>
      <c r="S16" s="116"/>
    </row>
    <row r="17" ht="14.25" customHeight="1">
      <c r="C17" s="71" t="s">
        <v>163</v>
      </c>
      <c r="D17" s="71"/>
      <c r="E17" s="100">
        <f>M64</f>
        <v>4.933809643</v>
      </c>
      <c r="S17" s="116"/>
    </row>
    <row r="18" ht="14.25" customHeight="1">
      <c r="C18" s="71" t="s">
        <v>164</v>
      </c>
      <c r="D18" s="71"/>
      <c r="E18" s="100">
        <f>K64</f>
        <v>1</v>
      </c>
      <c r="S18" s="116"/>
    </row>
    <row r="19" ht="14.25" customHeight="1">
      <c r="S19" s="116"/>
    </row>
    <row r="20" ht="14.25" customHeight="1">
      <c r="S20" s="116"/>
    </row>
    <row r="21" ht="14.25" customHeight="1">
      <c r="C21" s="103" t="s">
        <v>165</v>
      </c>
      <c r="D21" s="104" t="s">
        <v>191</v>
      </c>
      <c r="E21" s="104" t="s">
        <v>167</v>
      </c>
      <c r="F21" s="104" t="s">
        <v>168</v>
      </c>
      <c r="G21" s="104" t="s">
        <v>169</v>
      </c>
      <c r="H21" s="105" t="s">
        <v>170</v>
      </c>
      <c r="I21" s="104" t="s">
        <v>171</v>
      </c>
      <c r="J21" s="104" t="s">
        <v>172</v>
      </c>
      <c r="K21" s="104" t="s">
        <v>173</v>
      </c>
      <c r="L21" s="104" t="s">
        <v>174</v>
      </c>
      <c r="M21" s="104" t="s">
        <v>175</v>
      </c>
      <c r="N21" s="106" t="s">
        <v>176</v>
      </c>
      <c r="O21" s="104" t="s">
        <v>177</v>
      </c>
      <c r="S21" s="116"/>
    </row>
    <row r="22" ht="14.25" customHeight="1">
      <c r="A22" s="107" t="s">
        <v>155</v>
      </c>
      <c r="B22" s="107" t="s">
        <v>156</v>
      </c>
      <c r="C22" s="107" t="s">
        <v>154</v>
      </c>
      <c r="S22" s="116"/>
    </row>
    <row r="23" ht="14.25" customHeight="1">
      <c r="A23" s="108">
        <f>+TODAY()+1</f>
        <v>44929</v>
      </c>
      <c r="B23" s="108">
        <f>+TODAY()</f>
        <v>44928</v>
      </c>
      <c r="C23" s="108">
        <f>E1</f>
        <v>44930</v>
      </c>
      <c r="D23" s="109"/>
      <c r="E23" s="109">
        <f>+E7</f>
        <v>100</v>
      </c>
      <c r="F23" s="110"/>
      <c r="G23" s="109"/>
      <c r="H23" s="109">
        <f>-E10</f>
        <v>-88.5</v>
      </c>
      <c r="I23" s="111"/>
      <c r="J23" s="111">
        <f>H23</f>
        <v>-88.5</v>
      </c>
      <c r="K23" s="117"/>
      <c r="L23" s="112"/>
      <c r="M23" s="112"/>
      <c r="N23" s="113"/>
      <c r="O23" s="114"/>
      <c r="P23" s="115">
        <f t="shared" ref="P23:P63" si="1">+H23</f>
        <v>-88.5</v>
      </c>
      <c r="S23" s="116"/>
    </row>
    <row r="24" ht="14.25" customHeight="1">
      <c r="A24" s="116">
        <v>44504.0</v>
      </c>
      <c r="B24" s="116">
        <v>44504.0</v>
      </c>
      <c r="C24" s="116">
        <v>44504.0</v>
      </c>
      <c r="D24" s="109"/>
      <c r="E24" s="109">
        <f t="shared" ref="E24:E63" si="2">+E23-D24</f>
        <v>100</v>
      </c>
      <c r="F24" s="110" t="str">
        <f t="shared" ref="F24:F63" si="3">IF(C24&gt;$D$3,$E$3,IF(C24&gt;$D$2,$E$2,""))</f>
        <v/>
      </c>
      <c r="G24" s="109"/>
      <c r="H24" s="109">
        <f t="shared" ref="H24:H63" si="4">+IF(C24&gt;$C$23,D24+G24,0)</f>
        <v>0</v>
      </c>
      <c r="I24" s="111">
        <f t="shared" ref="I24:I63" si="5">+C24-$E$1</f>
        <v>-426</v>
      </c>
      <c r="J24" s="111">
        <f t="shared" ref="J24:J63" si="6">IF(I24&lt;=0,0,H24/(((1+$I$64/2)^2)^(I24/365)))</f>
        <v>0</v>
      </c>
      <c r="K24" s="117"/>
      <c r="L24" s="112">
        <f t="shared" ref="L24:L63" si="7">J24*(I24/365)/100</f>
        <v>0</v>
      </c>
      <c r="M24" s="112">
        <f t="shared" ref="M24:M63" si="8">IF(I24&lt;0,0,(H24/$H$64)*I24/365)</f>
        <v>0</v>
      </c>
      <c r="N24" s="113" t="str">
        <f t="shared" ref="N24:N63" si="9">IF(I24&gt;=0,IF(I23&gt;0,0,-I23),"FALSO")</f>
        <v>FALSO</v>
      </c>
      <c r="O24" s="114" t="str">
        <f t="shared" ref="O24:O63" si="10">+IF(C24&gt;$C$23,C24,"")</f>
        <v/>
      </c>
      <c r="P24" s="115">
        <f t="shared" si="1"/>
        <v>0</v>
      </c>
      <c r="S24" s="116"/>
    </row>
    <row r="25" ht="14.25" customHeight="1">
      <c r="A25" s="116">
        <v>44593.0</v>
      </c>
      <c r="B25" s="116">
        <v>44593.0</v>
      </c>
      <c r="C25" s="116">
        <v>44593.0</v>
      </c>
      <c r="D25" s="109"/>
      <c r="E25" s="109">
        <f t="shared" si="2"/>
        <v>100</v>
      </c>
      <c r="F25" s="110">
        <f t="shared" si="3"/>
        <v>0.085</v>
      </c>
      <c r="G25" s="109">
        <f t="shared" ref="G25:G63" si="11">IF(F25="","",IF($E$5=365,E24*F25/365*(C25-C24),E24*F25/360*DAYS360(C24,C25)))</f>
        <v>2.054166667</v>
      </c>
      <c r="H25" s="109">
        <f t="shared" si="4"/>
        <v>0</v>
      </c>
      <c r="I25" s="111">
        <f t="shared" si="5"/>
        <v>-337</v>
      </c>
      <c r="J25" s="111">
        <f t="shared" si="6"/>
        <v>0</v>
      </c>
      <c r="K25" s="117" t="str">
        <f t="shared" ref="K25:K63" si="12">IF(OR(N25="falso",N25=0),"",E24)</f>
        <v/>
      </c>
      <c r="L25" s="112">
        <f t="shared" si="7"/>
        <v>0</v>
      </c>
      <c r="M25" s="112">
        <f t="shared" si="8"/>
        <v>0</v>
      </c>
      <c r="N25" s="113" t="str">
        <f t="shared" si="9"/>
        <v>FALSO</v>
      </c>
      <c r="O25" s="114" t="str">
        <f t="shared" si="10"/>
        <v/>
      </c>
      <c r="P25" s="115">
        <f t="shared" si="1"/>
        <v>0</v>
      </c>
      <c r="S25" s="116"/>
    </row>
    <row r="26" ht="14.25" customHeight="1">
      <c r="A26" s="116">
        <v>44682.0</v>
      </c>
      <c r="B26" s="116">
        <v>44682.0</v>
      </c>
      <c r="C26" s="116">
        <v>44682.0</v>
      </c>
      <c r="D26" s="109"/>
      <c r="E26" s="109">
        <f t="shared" si="2"/>
        <v>100</v>
      </c>
      <c r="F26" s="110">
        <f t="shared" si="3"/>
        <v>0.085</v>
      </c>
      <c r="G26" s="109">
        <f t="shared" si="11"/>
        <v>2.125</v>
      </c>
      <c r="H26" s="109">
        <f t="shared" si="4"/>
        <v>0</v>
      </c>
      <c r="I26" s="111">
        <f t="shared" si="5"/>
        <v>-248</v>
      </c>
      <c r="J26" s="111">
        <f t="shared" si="6"/>
        <v>0</v>
      </c>
      <c r="K26" s="117" t="str">
        <f t="shared" si="12"/>
        <v/>
      </c>
      <c r="L26" s="112">
        <f t="shared" si="7"/>
        <v>0</v>
      </c>
      <c r="M26" s="112">
        <f t="shared" si="8"/>
        <v>0</v>
      </c>
      <c r="N26" s="113" t="str">
        <f t="shared" si="9"/>
        <v>FALSO</v>
      </c>
      <c r="O26" s="114" t="str">
        <f t="shared" si="10"/>
        <v/>
      </c>
      <c r="P26" s="115">
        <f t="shared" si="1"/>
        <v>0</v>
      </c>
      <c r="S26" s="116"/>
    </row>
    <row r="27" ht="14.25" customHeight="1">
      <c r="A27" s="116">
        <v>44774.0</v>
      </c>
      <c r="B27" s="116">
        <v>44774.0</v>
      </c>
      <c r="C27" s="116">
        <v>44774.0</v>
      </c>
      <c r="D27" s="109"/>
      <c r="E27" s="109">
        <f t="shared" si="2"/>
        <v>100</v>
      </c>
      <c r="F27" s="110">
        <f t="shared" si="3"/>
        <v>0.085</v>
      </c>
      <c r="G27" s="109">
        <f t="shared" si="11"/>
        <v>2.125</v>
      </c>
      <c r="H27" s="109">
        <f t="shared" si="4"/>
        <v>0</v>
      </c>
      <c r="I27" s="111">
        <f t="shared" si="5"/>
        <v>-156</v>
      </c>
      <c r="J27" s="111">
        <f t="shared" si="6"/>
        <v>0</v>
      </c>
      <c r="K27" s="117" t="str">
        <f t="shared" si="12"/>
        <v/>
      </c>
      <c r="L27" s="112">
        <f t="shared" si="7"/>
        <v>0</v>
      </c>
      <c r="M27" s="112">
        <f t="shared" si="8"/>
        <v>0</v>
      </c>
      <c r="N27" s="113" t="str">
        <f t="shared" si="9"/>
        <v>FALSO</v>
      </c>
      <c r="O27" s="114" t="str">
        <f t="shared" si="10"/>
        <v/>
      </c>
      <c r="P27" s="115">
        <f t="shared" si="1"/>
        <v>0</v>
      </c>
      <c r="R27" s="82"/>
      <c r="S27" s="116"/>
    </row>
    <row r="28" ht="14.25" customHeight="1">
      <c r="A28" s="116">
        <v>44866.0</v>
      </c>
      <c r="B28" s="116">
        <v>44866.0</v>
      </c>
      <c r="C28" s="116">
        <v>44866.0</v>
      </c>
      <c r="D28" s="109"/>
      <c r="E28" s="109">
        <f t="shared" si="2"/>
        <v>100</v>
      </c>
      <c r="F28" s="110">
        <f t="shared" si="3"/>
        <v>0.085</v>
      </c>
      <c r="G28" s="109">
        <f t="shared" si="11"/>
        <v>2.125</v>
      </c>
      <c r="H28" s="109">
        <f t="shared" si="4"/>
        <v>0</v>
      </c>
      <c r="I28" s="111">
        <f t="shared" si="5"/>
        <v>-64</v>
      </c>
      <c r="J28" s="111">
        <f t="shared" si="6"/>
        <v>0</v>
      </c>
      <c r="K28" s="117" t="str">
        <f t="shared" si="12"/>
        <v/>
      </c>
      <c r="L28" s="112">
        <f t="shared" si="7"/>
        <v>0</v>
      </c>
      <c r="M28" s="112">
        <f t="shared" si="8"/>
        <v>0</v>
      </c>
      <c r="N28" s="113" t="str">
        <f t="shared" si="9"/>
        <v>FALSO</v>
      </c>
      <c r="O28" s="114" t="str">
        <f t="shared" si="10"/>
        <v/>
      </c>
      <c r="P28" s="115">
        <f t="shared" si="1"/>
        <v>0</v>
      </c>
      <c r="R28" s="82"/>
      <c r="S28" s="116"/>
    </row>
    <row r="29" ht="14.25" customHeight="1">
      <c r="A29" s="116">
        <v>44958.0</v>
      </c>
      <c r="B29" s="116">
        <v>44958.0</v>
      </c>
      <c r="C29" s="116">
        <v>44958.0</v>
      </c>
      <c r="D29" s="109"/>
      <c r="E29" s="109">
        <f t="shared" si="2"/>
        <v>100</v>
      </c>
      <c r="F29" s="110">
        <f t="shared" si="3"/>
        <v>0.085</v>
      </c>
      <c r="G29" s="109">
        <f t="shared" si="11"/>
        <v>2.125</v>
      </c>
      <c r="H29" s="109">
        <f t="shared" si="4"/>
        <v>2.125</v>
      </c>
      <c r="I29" s="111">
        <f t="shared" si="5"/>
        <v>28</v>
      </c>
      <c r="J29" s="111">
        <f t="shared" si="6"/>
        <v>2.106352016</v>
      </c>
      <c r="K29" s="117">
        <f t="shared" si="12"/>
        <v>100</v>
      </c>
      <c r="L29" s="112">
        <f t="shared" si="7"/>
        <v>0.001615831684</v>
      </c>
      <c r="M29" s="112">
        <f t="shared" si="8"/>
        <v>0.001079560918</v>
      </c>
      <c r="N29" s="111">
        <f t="shared" si="9"/>
        <v>64</v>
      </c>
      <c r="O29" s="114">
        <f t="shared" si="10"/>
        <v>44958</v>
      </c>
      <c r="P29" s="115">
        <f t="shared" si="1"/>
        <v>2.125</v>
      </c>
      <c r="R29" s="82"/>
      <c r="S29" s="116"/>
    </row>
    <row r="30" ht="14.25" customHeight="1">
      <c r="A30" s="116">
        <v>45047.0</v>
      </c>
      <c r="B30" s="116">
        <v>45047.0</v>
      </c>
      <c r="C30" s="116">
        <v>45047.0</v>
      </c>
      <c r="D30" s="109"/>
      <c r="E30" s="109">
        <f t="shared" si="2"/>
        <v>100</v>
      </c>
      <c r="F30" s="110">
        <f t="shared" si="3"/>
        <v>0.085</v>
      </c>
      <c r="G30" s="109">
        <f t="shared" si="11"/>
        <v>2.125</v>
      </c>
      <c r="H30" s="109">
        <f t="shared" si="4"/>
        <v>2.125</v>
      </c>
      <c r="I30" s="111">
        <f t="shared" si="5"/>
        <v>117</v>
      </c>
      <c r="J30" s="111">
        <f t="shared" si="6"/>
        <v>2.048157922</v>
      </c>
      <c r="K30" s="117" t="str">
        <f t="shared" si="12"/>
        <v/>
      </c>
      <c r="L30" s="112">
        <f t="shared" si="7"/>
        <v>0.006565328134</v>
      </c>
      <c r="M30" s="112">
        <f t="shared" si="8"/>
        <v>0.004511022408</v>
      </c>
      <c r="N30" s="113">
        <f t="shared" si="9"/>
        <v>0</v>
      </c>
      <c r="O30" s="114">
        <f t="shared" si="10"/>
        <v>45047</v>
      </c>
      <c r="P30" s="115">
        <f t="shared" si="1"/>
        <v>2.125</v>
      </c>
      <c r="R30" s="82"/>
      <c r="S30" s="116"/>
    </row>
    <row r="31" ht="14.25" customHeight="1">
      <c r="A31" s="116">
        <v>45139.0</v>
      </c>
      <c r="B31" s="116">
        <v>45139.0</v>
      </c>
      <c r="C31" s="116">
        <v>45139.0</v>
      </c>
      <c r="D31" s="109"/>
      <c r="E31" s="109">
        <f t="shared" si="2"/>
        <v>100</v>
      </c>
      <c r="F31" s="110">
        <f t="shared" si="3"/>
        <v>0.085</v>
      </c>
      <c r="G31" s="109">
        <f t="shared" si="11"/>
        <v>2.125</v>
      </c>
      <c r="H31" s="109">
        <f t="shared" si="4"/>
        <v>2.125</v>
      </c>
      <c r="I31" s="111">
        <f t="shared" si="5"/>
        <v>209</v>
      </c>
      <c r="J31" s="111">
        <f t="shared" si="6"/>
        <v>1.989691688</v>
      </c>
      <c r="K31" s="117" t="str">
        <f t="shared" si="12"/>
        <v/>
      </c>
      <c r="L31" s="112">
        <f t="shared" si="7"/>
        <v>0.01139302912</v>
      </c>
      <c r="M31" s="112">
        <f t="shared" si="8"/>
        <v>0.008058151139</v>
      </c>
      <c r="N31" s="113">
        <f t="shared" si="9"/>
        <v>0</v>
      </c>
      <c r="O31" s="114">
        <f t="shared" si="10"/>
        <v>45139</v>
      </c>
      <c r="P31" s="115">
        <f t="shared" si="1"/>
        <v>2.125</v>
      </c>
      <c r="R31" s="82"/>
      <c r="S31" s="116"/>
    </row>
    <row r="32" ht="14.25" customHeight="1">
      <c r="A32" s="116">
        <v>45231.0</v>
      </c>
      <c r="B32" s="116">
        <v>45231.0</v>
      </c>
      <c r="C32" s="116">
        <v>45231.0</v>
      </c>
      <c r="D32" s="109"/>
      <c r="E32" s="109">
        <f t="shared" si="2"/>
        <v>100</v>
      </c>
      <c r="F32" s="110">
        <f t="shared" si="3"/>
        <v>0.085</v>
      </c>
      <c r="G32" s="109">
        <f t="shared" si="11"/>
        <v>2.125</v>
      </c>
      <c r="H32" s="109">
        <f t="shared" si="4"/>
        <v>2.125</v>
      </c>
      <c r="I32" s="111">
        <f t="shared" si="5"/>
        <v>301</v>
      </c>
      <c r="J32" s="111">
        <f t="shared" si="6"/>
        <v>1.932894417</v>
      </c>
      <c r="K32" s="117" t="str">
        <f t="shared" si="12"/>
        <v/>
      </c>
      <c r="L32" s="112">
        <f t="shared" si="7"/>
        <v>0.01593975944</v>
      </c>
      <c r="M32" s="112">
        <f t="shared" si="8"/>
        <v>0.01160527987</v>
      </c>
      <c r="N32" s="113">
        <f t="shared" si="9"/>
        <v>0</v>
      </c>
      <c r="O32" s="114">
        <f t="shared" si="10"/>
        <v>45231</v>
      </c>
      <c r="P32" s="115">
        <f t="shared" si="1"/>
        <v>2.125</v>
      </c>
      <c r="R32" s="82"/>
      <c r="S32" s="116"/>
    </row>
    <row r="33" ht="14.25" customHeight="1">
      <c r="A33" s="116">
        <v>45323.0</v>
      </c>
      <c r="B33" s="116">
        <v>45323.0</v>
      </c>
      <c r="C33" s="116">
        <v>45323.0</v>
      </c>
      <c r="D33" s="109"/>
      <c r="E33" s="109">
        <f t="shared" si="2"/>
        <v>100</v>
      </c>
      <c r="F33" s="110">
        <f t="shared" si="3"/>
        <v>0.085</v>
      </c>
      <c r="G33" s="109">
        <f t="shared" si="11"/>
        <v>2.125</v>
      </c>
      <c r="H33" s="109">
        <f t="shared" si="4"/>
        <v>2.125</v>
      </c>
      <c r="I33" s="111">
        <f t="shared" si="5"/>
        <v>393</v>
      </c>
      <c r="J33" s="111">
        <f t="shared" si="6"/>
        <v>1.877718467</v>
      </c>
      <c r="K33" s="117" t="str">
        <f t="shared" si="12"/>
        <v/>
      </c>
      <c r="L33" s="112">
        <f t="shared" si="7"/>
        <v>0.02021762624</v>
      </c>
      <c r="M33" s="112">
        <f t="shared" si="8"/>
        <v>0.0151524086</v>
      </c>
      <c r="N33" s="113">
        <f t="shared" si="9"/>
        <v>0</v>
      </c>
      <c r="O33" s="114">
        <f t="shared" si="10"/>
        <v>45323</v>
      </c>
      <c r="P33" s="115">
        <f t="shared" si="1"/>
        <v>2.125</v>
      </c>
      <c r="R33" s="82"/>
      <c r="S33" s="116"/>
    </row>
    <row r="34" ht="14.25" customHeight="1">
      <c r="A34" s="116">
        <v>45413.0</v>
      </c>
      <c r="B34" s="116">
        <v>45413.0</v>
      </c>
      <c r="C34" s="116">
        <v>45413.0</v>
      </c>
      <c r="D34" s="109"/>
      <c r="E34" s="109">
        <f t="shared" si="2"/>
        <v>100</v>
      </c>
      <c r="F34" s="110">
        <f t="shared" si="3"/>
        <v>0.085</v>
      </c>
      <c r="G34" s="109">
        <f t="shared" si="11"/>
        <v>2.125</v>
      </c>
      <c r="H34" s="109">
        <f t="shared" si="4"/>
        <v>2.125</v>
      </c>
      <c r="I34" s="111">
        <f t="shared" si="5"/>
        <v>483</v>
      </c>
      <c r="J34" s="111">
        <f t="shared" si="6"/>
        <v>1.825266365</v>
      </c>
      <c r="K34" s="117" t="str">
        <f t="shared" si="12"/>
        <v/>
      </c>
      <c r="L34" s="112">
        <f t="shared" si="7"/>
        <v>0.02415352477</v>
      </c>
      <c r="M34" s="112">
        <f t="shared" si="8"/>
        <v>0.01862242584</v>
      </c>
      <c r="N34" s="113">
        <f t="shared" si="9"/>
        <v>0</v>
      </c>
      <c r="O34" s="114">
        <f t="shared" si="10"/>
        <v>45413</v>
      </c>
      <c r="P34" s="115">
        <f t="shared" si="1"/>
        <v>2.125</v>
      </c>
      <c r="R34" s="82"/>
      <c r="S34" s="116"/>
    </row>
    <row r="35" ht="14.25" customHeight="1">
      <c r="A35" s="116">
        <v>45505.0</v>
      </c>
      <c r="B35" s="116">
        <v>45505.0</v>
      </c>
      <c r="C35" s="116">
        <v>45505.0</v>
      </c>
      <c r="D35" s="109"/>
      <c r="E35" s="109">
        <f t="shared" si="2"/>
        <v>100</v>
      </c>
      <c r="F35" s="110">
        <f t="shared" si="3"/>
        <v>0.085</v>
      </c>
      <c r="G35" s="109">
        <f t="shared" si="11"/>
        <v>2.125</v>
      </c>
      <c r="H35" s="109">
        <f t="shared" si="4"/>
        <v>2.125</v>
      </c>
      <c r="I35" s="111">
        <f t="shared" si="5"/>
        <v>575</v>
      </c>
      <c r="J35" s="111">
        <f t="shared" si="6"/>
        <v>1.77316274</v>
      </c>
      <c r="K35" s="117" t="str">
        <f t="shared" si="12"/>
        <v/>
      </c>
      <c r="L35" s="112">
        <f t="shared" si="7"/>
        <v>0.02793338564</v>
      </c>
      <c r="M35" s="112">
        <f t="shared" si="8"/>
        <v>0.02216955457</v>
      </c>
      <c r="N35" s="113">
        <f t="shared" si="9"/>
        <v>0</v>
      </c>
      <c r="O35" s="114">
        <f t="shared" si="10"/>
        <v>45505</v>
      </c>
      <c r="P35" s="115">
        <f t="shared" si="1"/>
        <v>2.125</v>
      </c>
      <c r="R35" s="82"/>
      <c r="S35" s="116"/>
    </row>
    <row r="36" ht="14.25" customHeight="1">
      <c r="A36" s="116">
        <v>45597.0</v>
      </c>
      <c r="B36" s="116">
        <v>45597.0</v>
      </c>
      <c r="C36" s="116">
        <v>45597.0</v>
      </c>
      <c r="D36" s="109"/>
      <c r="E36" s="109">
        <f t="shared" si="2"/>
        <v>100</v>
      </c>
      <c r="F36" s="110">
        <f t="shared" si="3"/>
        <v>0.085</v>
      </c>
      <c r="G36" s="109">
        <f t="shared" si="11"/>
        <v>2.125</v>
      </c>
      <c r="H36" s="109">
        <f t="shared" si="4"/>
        <v>2.125</v>
      </c>
      <c r="I36" s="111">
        <f t="shared" si="5"/>
        <v>667</v>
      </c>
      <c r="J36" s="111">
        <f t="shared" si="6"/>
        <v>1.722546454</v>
      </c>
      <c r="K36" s="117" t="str">
        <f t="shared" si="12"/>
        <v/>
      </c>
      <c r="L36" s="112">
        <f t="shared" si="7"/>
        <v>0.0314777667</v>
      </c>
      <c r="M36" s="112">
        <f t="shared" si="8"/>
        <v>0.0257166833</v>
      </c>
      <c r="N36" s="113">
        <f t="shared" si="9"/>
        <v>0</v>
      </c>
      <c r="O36" s="114">
        <f t="shared" si="10"/>
        <v>45597</v>
      </c>
      <c r="P36" s="115">
        <f t="shared" si="1"/>
        <v>2.125</v>
      </c>
      <c r="R36" s="82"/>
      <c r="S36" s="116"/>
    </row>
    <row r="37" ht="14.25" customHeight="1">
      <c r="A37" s="116">
        <v>45689.0</v>
      </c>
      <c r="B37" s="116">
        <v>45689.0</v>
      </c>
      <c r="C37" s="116">
        <v>45689.0</v>
      </c>
      <c r="D37" s="109"/>
      <c r="E37" s="109">
        <f t="shared" si="2"/>
        <v>100</v>
      </c>
      <c r="F37" s="110">
        <f t="shared" si="3"/>
        <v>0.085</v>
      </c>
      <c r="G37" s="109">
        <f t="shared" si="11"/>
        <v>2.125</v>
      </c>
      <c r="H37" s="109">
        <f t="shared" si="4"/>
        <v>2.125</v>
      </c>
      <c r="I37" s="111">
        <f t="shared" si="5"/>
        <v>759</v>
      </c>
      <c r="J37" s="111">
        <f t="shared" si="6"/>
        <v>1.673375048</v>
      </c>
      <c r="K37" s="117" t="str">
        <f t="shared" si="12"/>
        <v/>
      </c>
      <c r="L37" s="112">
        <f t="shared" si="7"/>
        <v>0.03479703182</v>
      </c>
      <c r="M37" s="112">
        <f t="shared" si="8"/>
        <v>0.02926381203</v>
      </c>
      <c r="N37" s="113">
        <f t="shared" si="9"/>
        <v>0</v>
      </c>
      <c r="O37" s="114">
        <f t="shared" si="10"/>
        <v>45689</v>
      </c>
      <c r="P37" s="115">
        <f t="shared" si="1"/>
        <v>2.125</v>
      </c>
      <c r="R37" s="82"/>
      <c r="S37" s="116"/>
    </row>
    <row r="38" ht="14.25" customHeight="1">
      <c r="A38" s="116">
        <v>45778.0</v>
      </c>
      <c r="B38" s="116">
        <v>45778.0</v>
      </c>
      <c r="C38" s="116">
        <v>45778.0</v>
      </c>
      <c r="D38" s="109"/>
      <c r="E38" s="109">
        <f t="shared" si="2"/>
        <v>100</v>
      </c>
      <c r="F38" s="110">
        <f t="shared" si="3"/>
        <v>0.085</v>
      </c>
      <c r="G38" s="109">
        <f t="shared" si="11"/>
        <v>2.125</v>
      </c>
      <c r="H38" s="109">
        <f t="shared" si="4"/>
        <v>2.125</v>
      </c>
      <c r="I38" s="111">
        <f t="shared" si="5"/>
        <v>848</v>
      </c>
      <c r="J38" s="111">
        <f t="shared" si="6"/>
        <v>1.627143201</v>
      </c>
      <c r="K38" s="117" t="str">
        <f t="shared" si="12"/>
        <v/>
      </c>
      <c r="L38" s="112">
        <f t="shared" si="7"/>
        <v>0.03780321737</v>
      </c>
      <c r="M38" s="112">
        <f t="shared" si="8"/>
        <v>0.03269527352</v>
      </c>
      <c r="N38" s="113">
        <f t="shared" si="9"/>
        <v>0</v>
      </c>
      <c r="O38" s="114">
        <f t="shared" si="10"/>
        <v>45778</v>
      </c>
      <c r="P38" s="115">
        <f t="shared" si="1"/>
        <v>2.125</v>
      </c>
      <c r="R38" s="82"/>
      <c r="S38" s="116"/>
    </row>
    <row r="39" ht="14.25" customHeight="1">
      <c r="A39" s="116">
        <v>45870.0</v>
      </c>
      <c r="B39" s="116">
        <v>45870.0</v>
      </c>
      <c r="C39" s="116">
        <v>45870.0</v>
      </c>
      <c r="D39" s="109"/>
      <c r="E39" s="109">
        <f t="shared" si="2"/>
        <v>100</v>
      </c>
      <c r="F39" s="110">
        <f t="shared" si="3"/>
        <v>0.085</v>
      </c>
      <c r="G39" s="109">
        <f t="shared" si="11"/>
        <v>2.125</v>
      </c>
      <c r="H39" s="109">
        <f t="shared" si="4"/>
        <v>2.125</v>
      </c>
      <c r="I39" s="111">
        <f t="shared" si="5"/>
        <v>940</v>
      </c>
      <c r="J39" s="111">
        <f t="shared" si="6"/>
        <v>1.580695153</v>
      </c>
      <c r="K39" s="117" t="str">
        <f t="shared" si="12"/>
        <v/>
      </c>
      <c r="L39" s="112">
        <f t="shared" si="7"/>
        <v>0.04070831354</v>
      </c>
      <c r="M39" s="112">
        <f t="shared" si="8"/>
        <v>0.03624240225</v>
      </c>
      <c r="N39" s="113">
        <f t="shared" si="9"/>
        <v>0</v>
      </c>
      <c r="O39" s="114">
        <f t="shared" si="10"/>
        <v>45870</v>
      </c>
      <c r="P39" s="115">
        <f t="shared" si="1"/>
        <v>2.125</v>
      </c>
      <c r="R39" s="82"/>
      <c r="S39" s="116"/>
    </row>
    <row r="40" ht="14.25" customHeight="1">
      <c r="A40" s="116">
        <v>45962.0</v>
      </c>
      <c r="B40" s="116">
        <v>45962.0</v>
      </c>
      <c r="C40" s="116">
        <v>45962.0</v>
      </c>
      <c r="D40" s="109"/>
      <c r="E40" s="109">
        <f t="shared" si="2"/>
        <v>100</v>
      </c>
      <c r="F40" s="110">
        <f t="shared" si="3"/>
        <v>0.085</v>
      </c>
      <c r="G40" s="109">
        <f t="shared" si="11"/>
        <v>2.125</v>
      </c>
      <c r="H40" s="109">
        <f t="shared" si="4"/>
        <v>2.125</v>
      </c>
      <c r="I40" s="111">
        <f t="shared" si="5"/>
        <v>1032</v>
      </c>
      <c r="J40" s="111">
        <f t="shared" si="6"/>
        <v>1.535573001</v>
      </c>
      <c r="K40" s="117" t="str">
        <f t="shared" si="12"/>
        <v/>
      </c>
      <c r="L40" s="112">
        <f t="shared" si="7"/>
        <v>0.04341674897</v>
      </c>
      <c r="M40" s="112">
        <f t="shared" si="8"/>
        <v>0.03978953098</v>
      </c>
      <c r="N40" s="113">
        <f t="shared" si="9"/>
        <v>0</v>
      </c>
      <c r="O40" s="114">
        <f t="shared" si="10"/>
        <v>45962</v>
      </c>
      <c r="P40" s="115">
        <f t="shared" si="1"/>
        <v>2.125</v>
      </c>
      <c r="R40" s="82"/>
      <c r="S40" s="116"/>
    </row>
    <row r="41" ht="14.25" customHeight="1">
      <c r="A41" s="116">
        <v>46054.0</v>
      </c>
      <c r="B41" s="116">
        <v>46054.0</v>
      </c>
      <c r="C41" s="116">
        <v>46054.0</v>
      </c>
      <c r="D41" s="109">
        <v>4.3478260869565215</v>
      </c>
      <c r="E41" s="109">
        <f t="shared" si="2"/>
        <v>95.65217391</v>
      </c>
      <c r="F41" s="110">
        <f t="shared" si="3"/>
        <v>0.085</v>
      </c>
      <c r="G41" s="109">
        <f t="shared" si="11"/>
        <v>2.125</v>
      </c>
      <c r="H41" s="109">
        <f t="shared" si="4"/>
        <v>6.472826087</v>
      </c>
      <c r="I41" s="111">
        <f t="shared" si="5"/>
        <v>1124</v>
      </c>
      <c r="J41" s="111">
        <f t="shared" si="6"/>
        <v>4.543890089</v>
      </c>
      <c r="K41" s="117" t="str">
        <f t="shared" si="12"/>
        <v/>
      </c>
      <c r="L41" s="112">
        <f t="shared" si="7"/>
        <v>0.1399269167</v>
      </c>
      <c r="M41" s="112">
        <f t="shared" si="8"/>
        <v>0.1320050172</v>
      </c>
      <c r="N41" s="113">
        <f t="shared" si="9"/>
        <v>0</v>
      </c>
      <c r="O41" s="114">
        <f t="shared" si="10"/>
        <v>46054</v>
      </c>
      <c r="P41" s="115">
        <f t="shared" si="1"/>
        <v>6.472826087</v>
      </c>
      <c r="R41" s="82"/>
      <c r="S41" s="116"/>
    </row>
    <row r="42" ht="14.25" customHeight="1">
      <c r="A42" s="116">
        <v>46143.0</v>
      </c>
      <c r="B42" s="116">
        <v>46143.0</v>
      </c>
      <c r="C42" s="116">
        <v>46143.0</v>
      </c>
      <c r="D42" s="109">
        <v>4.3478260869565215</v>
      </c>
      <c r="E42" s="109">
        <f t="shared" si="2"/>
        <v>91.30434783</v>
      </c>
      <c r="F42" s="110">
        <f t="shared" si="3"/>
        <v>0.085</v>
      </c>
      <c r="G42" s="109">
        <f t="shared" si="11"/>
        <v>2.032608696</v>
      </c>
      <c r="H42" s="109">
        <f t="shared" si="4"/>
        <v>6.380434783</v>
      </c>
      <c r="I42" s="111">
        <f t="shared" si="5"/>
        <v>1213</v>
      </c>
      <c r="J42" s="111">
        <f t="shared" si="6"/>
        <v>4.355285608</v>
      </c>
      <c r="K42" s="117" t="str">
        <f t="shared" si="12"/>
        <v/>
      </c>
      <c r="L42" s="112">
        <f t="shared" si="7"/>
        <v>0.1447386696</v>
      </c>
      <c r="M42" s="112">
        <f t="shared" si="8"/>
        <v>0.1404239752</v>
      </c>
      <c r="N42" s="113">
        <f t="shared" si="9"/>
        <v>0</v>
      </c>
      <c r="O42" s="114">
        <f t="shared" si="10"/>
        <v>46143</v>
      </c>
      <c r="P42" s="115">
        <f t="shared" si="1"/>
        <v>6.380434783</v>
      </c>
      <c r="R42" s="82"/>
      <c r="S42" s="116"/>
    </row>
    <row r="43" ht="14.25" customHeight="1">
      <c r="A43" s="116">
        <v>46235.0</v>
      </c>
      <c r="B43" s="116">
        <v>46235.0</v>
      </c>
      <c r="C43" s="116">
        <v>46235.0</v>
      </c>
      <c r="D43" s="109">
        <v>4.3478260869565215</v>
      </c>
      <c r="E43" s="109">
        <f t="shared" si="2"/>
        <v>86.95652174</v>
      </c>
      <c r="F43" s="110">
        <f t="shared" si="3"/>
        <v>0.085</v>
      </c>
      <c r="G43" s="109">
        <f t="shared" si="11"/>
        <v>1.940217391</v>
      </c>
      <c r="H43" s="109">
        <f t="shared" si="4"/>
        <v>6.288043478</v>
      </c>
      <c r="I43" s="111">
        <f t="shared" si="5"/>
        <v>1305</v>
      </c>
      <c r="J43" s="111">
        <f t="shared" si="6"/>
        <v>4.169694609</v>
      </c>
      <c r="K43" s="117" t="str">
        <f t="shared" si="12"/>
        <v/>
      </c>
      <c r="L43" s="112">
        <f t="shared" si="7"/>
        <v>0.149080862</v>
      </c>
      <c r="M43" s="112">
        <f t="shared" si="8"/>
        <v>0.1488868137</v>
      </c>
      <c r="N43" s="113">
        <f t="shared" si="9"/>
        <v>0</v>
      </c>
      <c r="O43" s="114">
        <f t="shared" si="10"/>
        <v>46235</v>
      </c>
      <c r="P43" s="115">
        <f t="shared" si="1"/>
        <v>6.288043478</v>
      </c>
      <c r="R43" s="82"/>
    </row>
    <row r="44" ht="14.25" customHeight="1">
      <c r="A44" s="116">
        <v>46327.0</v>
      </c>
      <c r="B44" s="116">
        <v>46327.0</v>
      </c>
      <c r="C44" s="116">
        <v>46327.0</v>
      </c>
      <c r="D44" s="109">
        <v>4.3478260869565215</v>
      </c>
      <c r="E44" s="109">
        <f t="shared" si="2"/>
        <v>82.60869565</v>
      </c>
      <c r="F44" s="110">
        <f t="shared" si="3"/>
        <v>0.085</v>
      </c>
      <c r="G44" s="109">
        <f t="shared" si="11"/>
        <v>1.847826087</v>
      </c>
      <c r="H44" s="109">
        <f t="shared" si="4"/>
        <v>6.195652174</v>
      </c>
      <c r="I44" s="111">
        <f t="shared" si="5"/>
        <v>1397</v>
      </c>
      <c r="J44" s="111">
        <f t="shared" si="6"/>
        <v>3.991150333</v>
      </c>
      <c r="K44" s="117" t="str">
        <f t="shared" si="12"/>
        <v/>
      </c>
      <c r="L44" s="112">
        <f t="shared" si="7"/>
        <v>0.1527571785</v>
      </c>
      <c r="M44" s="112">
        <f t="shared" si="8"/>
        <v>0.1570412063</v>
      </c>
      <c r="N44" s="113">
        <f t="shared" si="9"/>
        <v>0</v>
      </c>
      <c r="O44" s="114">
        <f t="shared" si="10"/>
        <v>46327</v>
      </c>
      <c r="P44" s="115">
        <f t="shared" si="1"/>
        <v>6.195652174</v>
      </c>
      <c r="R44" s="82"/>
    </row>
    <row r="45" ht="14.25" customHeight="1">
      <c r="A45" s="116">
        <v>46419.0</v>
      </c>
      <c r="B45" s="116">
        <v>46419.0</v>
      </c>
      <c r="C45" s="116">
        <v>46419.0</v>
      </c>
      <c r="D45" s="109">
        <v>4.3478260869565215</v>
      </c>
      <c r="E45" s="109">
        <f t="shared" si="2"/>
        <v>78.26086957</v>
      </c>
      <c r="F45" s="110">
        <f t="shared" si="3"/>
        <v>0.085</v>
      </c>
      <c r="G45" s="109">
        <f t="shared" si="11"/>
        <v>1.755434783</v>
      </c>
      <c r="H45" s="109">
        <f t="shared" si="4"/>
        <v>6.10326087</v>
      </c>
      <c r="I45" s="111">
        <f t="shared" si="5"/>
        <v>1489</v>
      </c>
      <c r="J45" s="111">
        <f t="shared" si="6"/>
        <v>3.819401703</v>
      </c>
      <c r="K45" s="117" t="str">
        <f t="shared" si="12"/>
        <v/>
      </c>
      <c r="L45" s="112">
        <f t="shared" si="7"/>
        <v>0.1558106613</v>
      </c>
      <c r="M45" s="112">
        <f t="shared" si="8"/>
        <v>0.1648871529</v>
      </c>
      <c r="N45" s="113">
        <f t="shared" si="9"/>
        <v>0</v>
      </c>
      <c r="O45" s="114">
        <f t="shared" si="10"/>
        <v>46419</v>
      </c>
      <c r="P45" s="115">
        <f t="shared" si="1"/>
        <v>6.10326087</v>
      </c>
    </row>
    <row r="46" ht="14.25" customHeight="1">
      <c r="A46" s="116">
        <v>46508.0</v>
      </c>
      <c r="B46" s="116">
        <v>46508.0</v>
      </c>
      <c r="C46" s="116">
        <v>46508.0</v>
      </c>
      <c r="D46" s="109">
        <v>4.3478260869565215</v>
      </c>
      <c r="E46" s="109">
        <f t="shared" si="2"/>
        <v>73.91304348</v>
      </c>
      <c r="F46" s="110">
        <f t="shared" si="3"/>
        <v>0.085</v>
      </c>
      <c r="G46" s="109">
        <f t="shared" si="11"/>
        <v>1.663043478</v>
      </c>
      <c r="H46" s="109">
        <f t="shared" si="4"/>
        <v>6.010869565</v>
      </c>
      <c r="I46" s="111">
        <f t="shared" si="5"/>
        <v>1578</v>
      </c>
      <c r="J46" s="111">
        <f t="shared" si="6"/>
        <v>3.657658839</v>
      </c>
      <c r="K46" s="117" t="str">
        <f t="shared" si="12"/>
        <v/>
      </c>
      <c r="L46" s="112">
        <f t="shared" si="7"/>
        <v>0.1581311136</v>
      </c>
      <c r="M46" s="112">
        <f t="shared" si="8"/>
        <v>0.1720974721</v>
      </c>
      <c r="N46" s="113">
        <f t="shared" si="9"/>
        <v>0</v>
      </c>
      <c r="O46" s="114">
        <f t="shared" si="10"/>
        <v>46508</v>
      </c>
      <c r="P46" s="115">
        <f t="shared" si="1"/>
        <v>6.010869565</v>
      </c>
    </row>
    <row r="47" ht="14.25" customHeight="1">
      <c r="A47" s="116">
        <v>46600.0</v>
      </c>
      <c r="B47" s="116">
        <v>46600.0</v>
      </c>
      <c r="C47" s="116">
        <v>46600.0</v>
      </c>
      <c r="D47" s="109">
        <v>4.3478260869565215</v>
      </c>
      <c r="E47" s="109">
        <f t="shared" si="2"/>
        <v>69.56521739</v>
      </c>
      <c r="F47" s="110">
        <f t="shared" si="3"/>
        <v>0.085</v>
      </c>
      <c r="G47" s="109">
        <f t="shared" si="11"/>
        <v>1.570652174</v>
      </c>
      <c r="H47" s="109">
        <f t="shared" si="4"/>
        <v>5.918478261</v>
      </c>
      <c r="I47" s="111">
        <f t="shared" si="5"/>
        <v>1670</v>
      </c>
      <c r="J47" s="111">
        <f t="shared" si="6"/>
        <v>3.49863224</v>
      </c>
      <c r="K47" s="117" t="str">
        <f t="shared" si="12"/>
        <v/>
      </c>
      <c r="L47" s="112">
        <f t="shared" si="7"/>
        <v>0.1600744066</v>
      </c>
      <c r="M47" s="112">
        <f t="shared" si="8"/>
        <v>0.1793315558</v>
      </c>
      <c r="N47" s="113">
        <f t="shared" si="9"/>
        <v>0</v>
      </c>
      <c r="O47" s="114">
        <f t="shared" si="10"/>
        <v>46600</v>
      </c>
      <c r="P47" s="115">
        <f t="shared" si="1"/>
        <v>5.918478261</v>
      </c>
    </row>
    <row r="48" ht="14.25" customHeight="1">
      <c r="A48" s="116">
        <v>46692.0</v>
      </c>
      <c r="B48" s="116">
        <v>46692.0</v>
      </c>
      <c r="C48" s="116">
        <v>46692.0</v>
      </c>
      <c r="D48" s="109">
        <v>4.3478260869565215</v>
      </c>
      <c r="E48" s="109">
        <f t="shared" si="2"/>
        <v>65.2173913</v>
      </c>
      <c r="F48" s="110">
        <f t="shared" si="3"/>
        <v>0.085</v>
      </c>
      <c r="G48" s="109">
        <f t="shared" si="11"/>
        <v>1.47826087</v>
      </c>
      <c r="H48" s="109">
        <f t="shared" si="4"/>
        <v>5.826086957</v>
      </c>
      <c r="I48" s="111">
        <f t="shared" si="5"/>
        <v>1762</v>
      </c>
      <c r="J48" s="111">
        <f t="shared" si="6"/>
        <v>3.34570423</v>
      </c>
      <c r="K48" s="117" t="str">
        <f t="shared" si="12"/>
        <v/>
      </c>
      <c r="L48" s="112">
        <f t="shared" si="7"/>
        <v>0.1615104343</v>
      </c>
      <c r="M48" s="112">
        <f t="shared" si="8"/>
        <v>0.1862571935</v>
      </c>
      <c r="N48" s="113">
        <f t="shared" si="9"/>
        <v>0</v>
      </c>
      <c r="O48" s="114">
        <f t="shared" si="10"/>
        <v>46692</v>
      </c>
      <c r="P48" s="115">
        <f t="shared" si="1"/>
        <v>5.826086957</v>
      </c>
    </row>
    <row r="49" ht="14.25" customHeight="1">
      <c r="A49" s="116">
        <v>46784.0</v>
      </c>
      <c r="B49" s="116">
        <v>46784.0</v>
      </c>
      <c r="C49" s="116">
        <v>46784.0</v>
      </c>
      <c r="D49" s="109">
        <v>4.3478260869565215</v>
      </c>
      <c r="E49" s="109">
        <f t="shared" si="2"/>
        <v>60.86956522</v>
      </c>
      <c r="F49" s="110">
        <f t="shared" si="3"/>
        <v>0.085</v>
      </c>
      <c r="G49" s="109">
        <f t="shared" si="11"/>
        <v>1.385869565</v>
      </c>
      <c r="H49" s="109">
        <f t="shared" si="4"/>
        <v>5.733695652</v>
      </c>
      <c r="I49" s="111">
        <f t="shared" si="5"/>
        <v>1854</v>
      </c>
      <c r="J49" s="111">
        <f t="shared" si="6"/>
        <v>3.198656216</v>
      </c>
      <c r="K49" s="117" t="str">
        <f t="shared" si="12"/>
        <v/>
      </c>
      <c r="L49" s="112">
        <f t="shared" si="7"/>
        <v>0.1624742089</v>
      </c>
      <c r="M49" s="112">
        <f t="shared" si="8"/>
        <v>0.1928743852</v>
      </c>
      <c r="N49" s="113">
        <f t="shared" si="9"/>
        <v>0</v>
      </c>
      <c r="O49" s="114">
        <f t="shared" si="10"/>
        <v>46784</v>
      </c>
      <c r="P49" s="115">
        <f t="shared" si="1"/>
        <v>5.733695652</v>
      </c>
    </row>
    <row r="50" ht="14.25" customHeight="1">
      <c r="A50" s="116">
        <v>46874.0</v>
      </c>
      <c r="B50" s="116">
        <v>46874.0</v>
      </c>
      <c r="C50" s="116">
        <v>46874.0</v>
      </c>
      <c r="D50" s="109">
        <v>4.3478260869565215</v>
      </c>
      <c r="E50" s="109">
        <f t="shared" si="2"/>
        <v>56.52173913</v>
      </c>
      <c r="F50" s="110">
        <f t="shared" si="3"/>
        <v>0.085</v>
      </c>
      <c r="G50" s="109">
        <f t="shared" si="11"/>
        <v>1.293478261</v>
      </c>
      <c r="H50" s="109">
        <f t="shared" si="4"/>
        <v>5.641304348</v>
      </c>
      <c r="I50" s="111">
        <f t="shared" si="5"/>
        <v>1944</v>
      </c>
      <c r="J50" s="111">
        <f t="shared" si="6"/>
        <v>3.059202551</v>
      </c>
      <c r="K50" s="117" t="str">
        <f t="shared" si="12"/>
        <v/>
      </c>
      <c r="L50" s="112">
        <f t="shared" si="7"/>
        <v>0.162933966</v>
      </c>
      <c r="M50" s="112">
        <f t="shared" si="8"/>
        <v>0.1989784206</v>
      </c>
      <c r="N50" s="113">
        <f t="shared" si="9"/>
        <v>0</v>
      </c>
      <c r="O50" s="114">
        <f t="shared" si="10"/>
        <v>46874</v>
      </c>
      <c r="P50" s="115">
        <f t="shared" si="1"/>
        <v>5.641304348</v>
      </c>
    </row>
    <row r="51" ht="14.25" customHeight="1">
      <c r="A51" s="116">
        <v>46966.0</v>
      </c>
      <c r="B51" s="116">
        <v>46966.0</v>
      </c>
      <c r="C51" s="116">
        <v>46966.0</v>
      </c>
      <c r="D51" s="109">
        <v>4.3478260869565215</v>
      </c>
      <c r="E51" s="109">
        <f t="shared" si="2"/>
        <v>52.17391304</v>
      </c>
      <c r="F51" s="110">
        <f t="shared" si="3"/>
        <v>0.085</v>
      </c>
      <c r="G51" s="109">
        <f t="shared" si="11"/>
        <v>1.201086957</v>
      </c>
      <c r="H51" s="109">
        <f t="shared" si="4"/>
        <v>5.548913043</v>
      </c>
      <c r="I51" s="111">
        <f t="shared" si="5"/>
        <v>2036</v>
      </c>
      <c r="J51" s="111">
        <f t="shared" si="6"/>
        <v>2.923202944</v>
      </c>
      <c r="K51" s="117" t="str">
        <f t="shared" si="12"/>
        <v/>
      </c>
      <c r="L51" s="112">
        <f t="shared" si="7"/>
        <v>0.1630586628</v>
      </c>
      <c r="M51" s="112">
        <f t="shared" si="8"/>
        <v>0.2049820731</v>
      </c>
      <c r="N51" s="113">
        <f t="shared" si="9"/>
        <v>0</v>
      </c>
      <c r="O51" s="114">
        <f t="shared" si="10"/>
        <v>46966</v>
      </c>
      <c r="P51" s="115">
        <f t="shared" si="1"/>
        <v>5.548913043</v>
      </c>
    </row>
    <row r="52" ht="14.25" customHeight="1">
      <c r="A52" s="116">
        <v>47058.0</v>
      </c>
      <c r="B52" s="116">
        <v>47058.0</v>
      </c>
      <c r="C52" s="116">
        <v>47058.0</v>
      </c>
      <c r="D52" s="109">
        <v>4.3478260869565215</v>
      </c>
      <c r="E52" s="109">
        <f t="shared" si="2"/>
        <v>47.82608696</v>
      </c>
      <c r="F52" s="110">
        <f t="shared" si="3"/>
        <v>0.085</v>
      </c>
      <c r="G52" s="109">
        <f t="shared" si="11"/>
        <v>1.108695652</v>
      </c>
      <c r="H52" s="109">
        <f t="shared" si="4"/>
        <v>5.456521739</v>
      </c>
      <c r="I52" s="111">
        <f t="shared" si="5"/>
        <v>2128</v>
      </c>
      <c r="J52" s="111">
        <f t="shared" si="6"/>
        <v>2.792474938</v>
      </c>
      <c r="K52" s="117" t="str">
        <f t="shared" si="12"/>
        <v/>
      </c>
      <c r="L52" s="112">
        <f t="shared" si="7"/>
        <v>0.1628051142</v>
      </c>
      <c r="M52" s="112">
        <f t="shared" si="8"/>
        <v>0.2106772795</v>
      </c>
      <c r="N52" s="113">
        <f t="shared" si="9"/>
        <v>0</v>
      </c>
      <c r="O52" s="114">
        <f t="shared" si="10"/>
        <v>47058</v>
      </c>
      <c r="P52" s="115">
        <f t="shared" si="1"/>
        <v>5.456521739</v>
      </c>
    </row>
    <row r="53" ht="14.25" customHeight="1">
      <c r="A53" s="116">
        <v>47150.0</v>
      </c>
      <c r="B53" s="116">
        <v>47150.0</v>
      </c>
      <c r="C53" s="116">
        <v>47150.0</v>
      </c>
      <c r="D53" s="109">
        <v>4.3478260869565215</v>
      </c>
      <c r="E53" s="109">
        <f t="shared" si="2"/>
        <v>43.47826087</v>
      </c>
      <c r="F53" s="110">
        <f t="shared" si="3"/>
        <v>0.085</v>
      </c>
      <c r="G53" s="109">
        <f t="shared" si="11"/>
        <v>1.016304348</v>
      </c>
      <c r="H53" s="109">
        <f t="shared" si="4"/>
        <v>5.364130435</v>
      </c>
      <c r="I53" s="111">
        <f t="shared" si="5"/>
        <v>2220</v>
      </c>
      <c r="J53" s="111">
        <f t="shared" si="6"/>
        <v>2.666828391</v>
      </c>
      <c r="K53" s="117" t="str">
        <f t="shared" si="12"/>
        <v/>
      </c>
      <c r="L53" s="112">
        <f t="shared" si="7"/>
        <v>0.1622016172</v>
      </c>
      <c r="M53" s="112">
        <f t="shared" si="8"/>
        <v>0.21606404</v>
      </c>
      <c r="N53" s="113">
        <f t="shared" si="9"/>
        <v>0</v>
      </c>
      <c r="O53" s="114">
        <f t="shared" si="10"/>
        <v>47150</v>
      </c>
      <c r="P53" s="115">
        <f t="shared" si="1"/>
        <v>5.364130435</v>
      </c>
    </row>
    <row r="54" ht="14.25" customHeight="1">
      <c r="A54" s="116">
        <v>47239.0</v>
      </c>
      <c r="B54" s="116">
        <v>47239.0</v>
      </c>
      <c r="C54" s="116">
        <v>47239.0</v>
      </c>
      <c r="D54" s="109">
        <v>4.3478260869565215</v>
      </c>
      <c r="E54" s="109">
        <f t="shared" si="2"/>
        <v>39.13043478</v>
      </c>
      <c r="F54" s="110">
        <f t="shared" si="3"/>
        <v>0.085</v>
      </c>
      <c r="G54" s="109">
        <f t="shared" si="11"/>
        <v>0.9239130435</v>
      </c>
      <c r="H54" s="109">
        <f t="shared" si="4"/>
        <v>5.27173913</v>
      </c>
      <c r="I54" s="111">
        <f t="shared" si="5"/>
        <v>2309</v>
      </c>
      <c r="J54" s="111">
        <f t="shared" si="6"/>
        <v>2.548485333</v>
      </c>
      <c r="K54" s="117" t="str">
        <f t="shared" si="12"/>
        <v/>
      </c>
      <c r="L54" s="112">
        <f t="shared" si="7"/>
        <v>0.1612178804</v>
      </c>
      <c r="M54" s="112">
        <f t="shared" si="8"/>
        <v>0.2208554051</v>
      </c>
      <c r="N54" s="113">
        <f t="shared" si="9"/>
        <v>0</v>
      </c>
      <c r="O54" s="114">
        <f t="shared" si="10"/>
        <v>47239</v>
      </c>
      <c r="P54" s="115">
        <f t="shared" si="1"/>
        <v>5.27173913</v>
      </c>
    </row>
    <row r="55" ht="14.25" customHeight="1">
      <c r="A55" s="116">
        <v>47331.0</v>
      </c>
      <c r="B55" s="116">
        <v>47331.0</v>
      </c>
      <c r="C55" s="116">
        <v>47331.0</v>
      </c>
      <c r="D55" s="109">
        <v>4.3478260869565215</v>
      </c>
      <c r="E55" s="109">
        <f t="shared" si="2"/>
        <v>34.7826087</v>
      </c>
      <c r="F55" s="110">
        <f t="shared" si="3"/>
        <v>0.085</v>
      </c>
      <c r="G55" s="109">
        <f t="shared" si="11"/>
        <v>0.8315217391</v>
      </c>
      <c r="H55" s="109">
        <f t="shared" si="4"/>
        <v>5.179347826</v>
      </c>
      <c r="I55" s="111">
        <f t="shared" si="5"/>
        <v>2401</v>
      </c>
      <c r="J55" s="111">
        <f t="shared" si="6"/>
        <v>2.432347667</v>
      </c>
      <c r="K55" s="117" t="str">
        <f t="shared" si="12"/>
        <v/>
      </c>
      <c r="L55" s="112">
        <f t="shared" si="7"/>
        <v>0.1600018287</v>
      </c>
      <c r="M55" s="112">
        <f t="shared" si="8"/>
        <v>0.2256303026</v>
      </c>
      <c r="N55" s="113">
        <f t="shared" si="9"/>
        <v>0</v>
      </c>
      <c r="O55" s="114">
        <f t="shared" si="10"/>
        <v>47331</v>
      </c>
      <c r="P55" s="115">
        <f t="shared" si="1"/>
        <v>5.179347826</v>
      </c>
    </row>
    <row r="56" ht="14.25" customHeight="1">
      <c r="A56" s="116">
        <v>47423.0</v>
      </c>
      <c r="B56" s="116">
        <v>47423.0</v>
      </c>
      <c r="C56" s="116">
        <v>47423.0</v>
      </c>
      <c r="D56" s="109">
        <v>4.3478260869565215</v>
      </c>
      <c r="E56" s="109">
        <f t="shared" si="2"/>
        <v>30.43478261</v>
      </c>
      <c r="F56" s="110">
        <f t="shared" si="3"/>
        <v>0.085</v>
      </c>
      <c r="G56" s="109">
        <f t="shared" si="11"/>
        <v>0.7391304348</v>
      </c>
      <c r="H56" s="109">
        <f t="shared" si="4"/>
        <v>5.086956522</v>
      </c>
      <c r="I56" s="111">
        <f t="shared" si="5"/>
        <v>2493</v>
      </c>
      <c r="J56" s="111">
        <f t="shared" si="6"/>
        <v>2.320763818</v>
      </c>
      <c r="K56" s="117" t="str">
        <f t="shared" si="12"/>
        <v/>
      </c>
      <c r="L56" s="112">
        <f t="shared" si="7"/>
        <v>0.1585113479</v>
      </c>
      <c r="M56" s="112">
        <f t="shared" si="8"/>
        <v>0.2300967542</v>
      </c>
      <c r="N56" s="113">
        <f t="shared" si="9"/>
        <v>0</v>
      </c>
      <c r="O56" s="114">
        <f t="shared" si="10"/>
        <v>47423</v>
      </c>
      <c r="P56" s="115">
        <f t="shared" si="1"/>
        <v>5.086956522</v>
      </c>
    </row>
    <row r="57" ht="14.25" customHeight="1">
      <c r="A57" s="116">
        <v>47515.0</v>
      </c>
      <c r="B57" s="116">
        <v>47515.0</v>
      </c>
      <c r="C57" s="116">
        <v>47515.0</v>
      </c>
      <c r="D57" s="109">
        <v>4.3478260869565215</v>
      </c>
      <c r="E57" s="109">
        <f t="shared" si="2"/>
        <v>26.08695652</v>
      </c>
      <c r="F57" s="110">
        <f t="shared" si="3"/>
        <v>0.085</v>
      </c>
      <c r="G57" s="109">
        <f t="shared" si="11"/>
        <v>0.6467391304</v>
      </c>
      <c r="H57" s="109">
        <f t="shared" si="4"/>
        <v>4.994565217</v>
      </c>
      <c r="I57" s="111">
        <f t="shared" si="5"/>
        <v>2585</v>
      </c>
      <c r="J57" s="111">
        <f t="shared" si="6"/>
        <v>2.213568436</v>
      </c>
      <c r="K57" s="117" t="str">
        <f t="shared" si="12"/>
        <v/>
      </c>
      <c r="L57" s="112">
        <f t="shared" si="7"/>
        <v>0.1567691619</v>
      </c>
      <c r="M57" s="112">
        <f t="shared" si="8"/>
        <v>0.2342547598</v>
      </c>
      <c r="N57" s="113">
        <f t="shared" si="9"/>
        <v>0</v>
      </c>
      <c r="O57" s="114">
        <f t="shared" si="10"/>
        <v>47515</v>
      </c>
      <c r="P57" s="115">
        <f t="shared" si="1"/>
        <v>4.994565217</v>
      </c>
    </row>
    <row r="58" ht="14.25" customHeight="1">
      <c r="A58" s="116">
        <v>47604.0</v>
      </c>
      <c r="B58" s="116">
        <v>47604.0</v>
      </c>
      <c r="C58" s="116">
        <v>47604.0</v>
      </c>
      <c r="D58" s="109">
        <v>4.3478260869565215</v>
      </c>
      <c r="E58" s="109">
        <f t="shared" si="2"/>
        <v>21.73913043</v>
      </c>
      <c r="F58" s="110">
        <f t="shared" si="3"/>
        <v>0.085</v>
      </c>
      <c r="G58" s="109">
        <f t="shared" si="11"/>
        <v>0.5543478261</v>
      </c>
      <c r="H58" s="109">
        <f t="shared" si="4"/>
        <v>4.902173913</v>
      </c>
      <c r="I58" s="111">
        <f t="shared" si="5"/>
        <v>2674</v>
      </c>
      <c r="J58" s="111">
        <f t="shared" si="6"/>
        <v>2.112596065</v>
      </c>
      <c r="K58" s="117" t="str">
        <f t="shared" si="12"/>
        <v/>
      </c>
      <c r="L58" s="112">
        <f t="shared" si="7"/>
        <v>0.1547693665</v>
      </c>
      <c r="M58" s="112">
        <f t="shared" si="8"/>
        <v>0.237837486</v>
      </c>
      <c r="N58" s="113">
        <f t="shared" si="9"/>
        <v>0</v>
      </c>
      <c r="O58" s="114">
        <f t="shared" si="10"/>
        <v>47604</v>
      </c>
      <c r="P58" s="115">
        <f t="shared" si="1"/>
        <v>4.902173913</v>
      </c>
    </row>
    <row r="59" ht="14.25" customHeight="1">
      <c r="A59" s="116">
        <v>47696.0</v>
      </c>
      <c r="B59" s="116">
        <v>47696.0</v>
      </c>
      <c r="C59" s="116">
        <v>47696.0</v>
      </c>
      <c r="D59" s="109">
        <v>4.3478260869565215</v>
      </c>
      <c r="E59" s="109">
        <f t="shared" si="2"/>
        <v>17.39130435</v>
      </c>
      <c r="F59" s="110">
        <f t="shared" si="3"/>
        <v>0.085</v>
      </c>
      <c r="G59" s="109">
        <f t="shared" si="11"/>
        <v>0.4619565217</v>
      </c>
      <c r="H59" s="109">
        <f t="shared" si="4"/>
        <v>4.809782609</v>
      </c>
      <c r="I59" s="111">
        <f t="shared" si="5"/>
        <v>2766</v>
      </c>
      <c r="J59" s="111">
        <f t="shared" si="6"/>
        <v>2.013610864</v>
      </c>
      <c r="K59" s="117" t="str">
        <f t="shared" si="12"/>
        <v/>
      </c>
      <c r="L59" s="112">
        <f t="shared" si="7"/>
        <v>0.1525930863</v>
      </c>
      <c r="M59" s="112">
        <f t="shared" si="8"/>
        <v>0.2413836287</v>
      </c>
      <c r="N59" s="113">
        <f t="shared" si="9"/>
        <v>0</v>
      </c>
      <c r="O59" s="114">
        <f t="shared" si="10"/>
        <v>47696</v>
      </c>
      <c r="P59" s="115">
        <f t="shared" si="1"/>
        <v>4.809782609</v>
      </c>
    </row>
    <row r="60" ht="14.25" customHeight="1">
      <c r="A60" s="116">
        <v>47788.0</v>
      </c>
      <c r="B60" s="116">
        <v>47788.0</v>
      </c>
      <c r="C60" s="116">
        <v>47788.0</v>
      </c>
      <c r="D60" s="109">
        <v>4.3478260869565215</v>
      </c>
      <c r="E60" s="109">
        <f t="shared" si="2"/>
        <v>13.04347826</v>
      </c>
      <c r="F60" s="110">
        <f t="shared" si="3"/>
        <v>0.085</v>
      </c>
      <c r="G60" s="109">
        <f t="shared" si="11"/>
        <v>0.3695652174</v>
      </c>
      <c r="H60" s="109">
        <f t="shared" si="4"/>
        <v>4.717391304</v>
      </c>
      <c r="I60" s="111">
        <f t="shared" si="5"/>
        <v>2858</v>
      </c>
      <c r="J60" s="111">
        <f t="shared" si="6"/>
        <v>1.918555408</v>
      </c>
      <c r="K60" s="117" t="str">
        <f t="shared" si="12"/>
        <v/>
      </c>
      <c r="L60" s="112">
        <f t="shared" si="7"/>
        <v>0.1502255166</v>
      </c>
      <c r="M60" s="112">
        <f t="shared" si="8"/>
        <v>0.2446213254</v>
      </c>
      <c r="N60" s="113">
        <f t="shared" si="9"/>
        <v>0</v>
      </c>
      <c r="O60" s="114">
        <f t="shared" si="10"/>
        <v>47788</v>
      </c>
      <c r="P60" s="115">
        <f t="shared" si="1"/>
        <v>4.717391304</v>
      </c>
    </row>
    <row r="61" ht="14.25" customHeight="1">
      <c r="A61" s="116">
        <v>47880.0</v>
      </c>
      <c r="B61" s="116">
        <v>47880.0</v>
      </c>
      <c r="C61" s="116">
        <v>47880.0</v>
      </c>
      <c r="D61" s="109">
        <v>4.3478260869565215</v>
      </c>
      <c r="E61" s="109">
        <f t="shared" si="2"/>
        <v>8.695652174</v>
      </c>
      <c r="F61" s="110">
        <f t="shared" si="3"/>
        <v>0.085</v>
      </c>
      <c r="G61" s="109">
        <f t="shared" si="11"/>
        <v>0.277173913</v>
      </c>
      <c r="H61" s="109">
        <f t="shared" si="4"/>
        <v>4.625</v>
      </c>
      <c r="I61" s="111">
        <f t="shared" si="5"/>
        <v>2950</v>
      </c>
      <c r="J61" s="111">
        <f t="shared" si="6"/>
        <v>1.827286001</v>
      </c>
      <c r="K61" s="117" t="str">
        <f t="shared" si="12"/>
        <v/>
      </c>
      <c r="L61" s="112">
        <f t="shared" si="7"/>
        <v>0.147684759</v>
      </c>
      <c r="M61" s="112">
        <f t="shared" si="8"/>
        <v>0.2475505761</v>
      </c>
      <c r="N61" s="113">
        <f t="shared" si="9"/>
        <v>0</v>
      </c>
      <c r="O61" s="114">
        <f t="shared" si="10"/>
        <v>47880</v>
      </c>
      <c r="P61" s="115">
        <f t="shared" si="1"/>
        <v>4.625</v>
      </c>
    </row>
    <row r="62" ht="14.25" customHeight="1">
      <c r="A62" s="116">
        <v>47969.0</v>
      </c>
      <c r="B62" s="116">
        <v>47969.0</v>
      </c>
      <c r="C62" s="116">
        <v>47969.0</v>
      </c>
      <c r="D62" s="109">
        <v>4.3478260869565215</v>
      </c>
      <c r="E62" s="109">
        <f t="shared" si="2"/>
        <v>4.347826087</v>
      </c>
      <c r="F62" s="110">
        <f t="shared" si="3"/>
        <v>0.085</v>
      </c>
      <c r="G62" s="109">
        <f t="shared" si="11"/>
        <v>0.1847826087</v>
      </c>
      <c r="H62" s="109">
        <f t="shared" si="4"/>
        <v>4.532608696</v>
      </c>
      <c r="I62" s="111">
        <f t="shared" si="5"/>
        <v>3039</v>
      </c>
      <c r="J62" s="111">
        <f t="shared" si="6"/>
        <v>1.741307636</v>
      </c>
      <c r="K62" s="117" t="str">
        <f t="shared" si="12"/>
        <v/>
      </c>
      <c r="L62" s="112">
        <f t="shared" si="7"/>
        <v>0.1449817509</v>
      </c>
      <c r="M62" s="112">
        <f t="shared" si="8"/>
        <v>0.2499246635</v>
      </c>
      <c r="N62" s="113">
        <f t="shared" si="9"/>
        <v>0</v>
      </c>
      <c r="O62" s="114">
        <f t="shared" si="10"/>
        <v>47969</v>
      </c>
      <c r="P62" s="115">
        <f t="shared" si="1"/>
        <v>4.532608696</v>
      </c>
    </row>
    <row r="63" ht="14.25" customHeight="1">
      <c r="A63" s="116">
        <v>48061.0</v>
      </c>
      <c r="B63" s="116">
        <v>48061.0</v>
      </c>
      <c r="C63" s="116">
        <v>48061.0</v>
      </c>
      <c r="D63" s="109">
        <v>4.3478260869565215</v>
      </c>
      <c r="E63" s="109">
        <f t="shared" si="2"/>
        <v>0</v>
      </c>
      <c r="F63" s="110">
        <f t="shared" si="3"/>
        <v>0.085</v>
      </c>
      <c r="G63" s="109">
        <f t="shared" si="11"/>
        <v>0.09239130435</v>
      </c>
      <c r="H63" s="109">
        <f t="shared" si="4"/>
        <v>4.440217391</v>
      </c>
      <c r="I63" s="111">
        <f t="shared" si="5"/>
        <v>3131</v>
      </c>
      <c r="J63" s="111">
        <f t="shared" si="6"/>
        <v>1.657119609</v>
      </c>
      <c r="K63" s="117" t="str">
        <f t="shared" si="12"/>
        <v/>
      </c>
      <c r="L63" s="112">
        <f t="shared" si="7"/>
        <v>0.1421490821</v>
      </c>
      <c r="M63" s="112">
        <f t="shared" si="8"/>
        <v>0.2522420512</v>
      </c>
      <c r="N63" s="113">
        <f t="shared" si="9"/>
        <v>0</v>
      </c>
      <c r="O63" s="114">
        <f t="shared" si="10"/>
        <v>48061</v>
      </c>
      <c r="P63" s="115">
        <f t="shared" si="1"/>
        <v>4.440217391</v>
      </c>
    </row>
    <row r="64" ht="14.25" customHeight="1">
      <c r="H64" s="118">
        <f>SUMIF(I23:I63,"&gt;0",H23:H63)</f>
        <v>151</v>
      </c>
      <c r="I64" s="119">
        <f>+H10</f>
        <v>0.1182647209</v>
      </c>
      <c r="J64" s="119">
        <f>SUM(J23:J63)</f>
        <v>0</v>
      </c>
      <c r="K64" s="119">
        <f>SUM(K23:K63)/$E$23</f>
        <v>1</v>
      </c>
      <c r="L64" s="121">
        <f t="shared" ref="L64:M64" si="13">SUM(L23:L63)</f>
        <v>3.860429155</v>
      </c>
      <c r="M64" s="119">
        <f t="shared" si="13"/>
        <v>4.933809643</v>
      </c>
      <c r="N64" s="122">
        <f>SUM(N25:N63)</f>
        <v>64</v>
      </c>
      <c r="O64" s="123">
        <f>MIN(O25:O63)</f>
        <v>44958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C2:C3"/>
    <mergeCell ref="C8:D8"/>
  </mergeCells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7" width="16.86"/>
    <col customWidth="1" min="8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73" t="s">
        <v>21</v>
      </c>
      <c r="D2" s="74">
        <v>45260.0</v>
      </c>
      <c r="E2" s="75">
        <v>0.09</v>
      </c>
      <c r="G2" s="71" t="s">
        <v>142</v>
      </c>
      <c r="H2" s="76">
        <f>+E17*100+E11</f>
        <v>100.375</v>
      </c>
      <c r="M2" s="77"/>
      <c r="N2" s="78"/>
    </row>
    <row r="3" ht="14.25" customHeight="1">
      <c r="C3" s="71" t="s">
        <v>143</v>
      </c>
      <c r="D3" s="71"/>
      <c r="E3" s="79">
        <v>44863.0</v>
      </c>
      <c r="F3" s="80"/>
      <c r="G3" s="71" t="s">
        <v>144</v>
      </c>
      <c r="H3" s="81" t="str">
        <f>IF(E1&gt;D2,E2*E17*E6/E12,"")</f>
        <v/>
      </c>
      <c r="I3" s="82"/>
      <c r="L3" s="83"/>
      <c r="M3" s="84"/>
      <c r="N3" s="85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102.615193</v>
      </c>
      <c r="L4" s="83"/>
      <c r="M4" s="84"/>
      <c r="N4" s="85"/>
    </row>
    <row r="5" ht="14.25" customHeight="1">
      <c r="C5" s="71" t="s">
        <v>147</v>
      </c>
      <c r="D5" s="88"/>
      <c r="E5" s="79">
        <v>44239.0</v>
      </c>
      <c r="G5" s="71" t="s">
        <v>148</v>
      </c>
      <c r="H5" s="89">
        <f>MIN(O22:O26)</f>
        <v>45260</v>
      </c>
      <c r="L5" s="83"/>
      <c r="M5" s="84"/>
      <c r="N5" s="85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MAX(C22:C26)</f>
        <v>45600</v>
      </c>
      <c r="L6" s="83"/>
      <c r="M6" s="84"/>
      <c r="N6" s="85"/>
    </row>
    <row r="7" ht="14.25" customHeight="1">
      <c r="C7" s="91" t="s">
        <v>151</v>
      </c>
      <c r="D7" s="91"/>
      <c r="G7" s="71" t="s">
        <v>152</v>
      </c>
      <c r="H7" s="92">
        <f>+H6-E1</f>
        <v>670</v>
      </c>
      <c r="L7" s="83"/>
      <c r="M7" s="84"/>
      <c r="N7" s="85"/>
    </row>
    <row r="8" ht="14.25" customHeight="1">
      <c r="L8" s="83"/>
      <c r="M8" s="84"/>
      <c r="N8" s="85"/>
    </row>
    <row r="9" ht="14.25" customHeight="1">
      <c r="C9" s="71" t="s">
        <v>153</v>
      </c>
      <c r="D9" s="71"/>
      <c r="E9" s="93">
        <f>+Curva!C36</f>
        <v>103</v>
      </c>
      <c r="G9" s="94"/>
      <c r="H9" s="95" t="s">
        <v>154</v>
      </c>
      <c r="I9" s="95" t="s">
        <v>155</v>
      </c>
      <c r="J9" s="96" t="s">
        <v>156</v>
      </c>
      <c r="L9" s="83"/>
      <c r="M9" s="84"/>
      <c r="N9" s="85"/>
    </row>
    <row r="10" ht="14.25" customHeight="1">
      <c r="C10" s="71" t="s">
        <v>157</v>
      </c>
      <c r="D10" s="71"/>
      <c r="E10" s="97">
        <f t="array" ref="E10">DAYS360(MAX(IF(C23:C26&lt;=E1,C23:C26)),E1,1)</f>
        <v>65</v>
      </c>
      <c r="G10" s="98" t="s">
        <v>158</v>
      </c>
      <c r="H10" s="99">
        <f>+((XIRR(P22:P26,C22:C26)+1)^(1/2)-1)*2</f>
        <v>0.08035533908</v>
      </c>
      <c r="I10" s="99">
        <f>+((XIRR(P22:P26,A22:A26)+1)^(1/2)-1)*2</f>
        <v>0.08022623546</v>
      </c>
      <c r="J10" s="99">
        <f>+((XIRR(P22:P26,B22:B26)+1)^(1/2)-1)*2</f>
        <v>0.08009754666</v>
      </c>
      <c r="L10" s="83"/>
      <c r="M10" s="84"/>
      <c r="N10" s="85"/>
    </row>
    <row r="11" ht="14.25" customHeight="1">
      <c r="C11" s="71" t="s">
        <v>159</v>
      </c>
      <c r="D11" s="71"/>
      <c r="E11" s="76">
        <f>+($E$2*$E$6/4)*$H$12/$H$13</f>
        <v>0.375</v>
      </c>
      <c r="L11" s="83"/>
      <c r="M11" s="84"/>
      <c r="N11" s="85"/>
    </row>
    <row r="12" ht="14.25" customHeight="1">
      <c r="C12" s="71" t="s">
        <v>160</v>
      </c>
      <c r="D12" s="71"/>
      <c r="E12" s="93">
        <f>+E9-E11</f>
        <v>102.625</v>
      </c>
      <c r="G12" s="126" t="s">
        <v>187</v>
      </c>
      <c r="H12" s="127">
        <f>COUPDAYBS(C22,C26,4,0)</f>
        <v>60</v>
      </c>
      <c r="L12" s="83"/>
      <c r="M12" s="84"/>
      <c r="N12" s="85"/>
    </row>
    <row r="13" ht="14.25" customHeight="1">
      <c r="C13" s="101"/>
      <c r="D13" s="101"/>
      <c r="G13" s="126" t="s">
        <v>188</v>
      </c>
      <c r="H13" s="128">
        <f>COUPDAYS(C22,C26,1)</f>
        <v>360</v>
      </c>
      <c r="L13" s="83"/>
      <c r="M13" s="84"/>
      <c r="N13" s="85"/>
    </row>
    <row r="14" ht="14.25" customHeight="1">
      <c r="C14" s="71" t="s">
        <v>161</v>
      </c>
      <c r="D14" s="71"/>
      <c r="E14" s="100">
        <f>(L27*100)/SUM(J24:J26)</f>
        <v>1.73623994</v>
      </c>
      <c r="G14" s="126" t="s">
        <v>189</v>
      </c>
      <c r="H14" s="129">
        <f>+($E$2*$E$6/4)*$H$12/$H$13</f>
        <v>0.375</v>
      </c>
      <c r="L14" s="83"/>
      <c r="M14" s="84"/>
      <c r="N14" s="85"/>
    </row>
    <row r="15" ht="14.25" customHeight="1">
      <c r="C15" s="71" t="s">
        <v>162</v>
      </c>
      <c r="D15" s="71"/>
      <c r="E15" s="100">
        <f>E14/(1+I27/2)</f>
        <v>1.669176325</v>
      </c>
      <c r="M15" s="84"/>
      <c r="N15" s="85"/>
    </row>
    <row r="16" ht="14.25" customHeight="1">
      <c r="C16" s="71" t="s">
        <v>163</v>
      </c>
      <c r="D16" s="71"/>
      <c r="E16" s="100">
        <f>M27</f>
        <v>1.741977531</v>
      </c>
      <c r="M16" s="84"/>
      <c r="N16" s="85"/>
      <c r="O16" s="116"/>
    </row>
    <row r="17" ht="14.25" customHeight="1">
      <c r="C17" s="71" t="s">
        <v>164</v>
      </c>
      <c r="D17" s="71"/>
      <c r="E17" s="100">
        <f>K27</f>
        <v>1</v>
      </c>
      <c r="M17" s="84"/>
      <c r="N17" s="85"/>
    </row>
    <row r="18" ht="14.25" customHeight="1">
      <c r="J18" s="102"/>
    </row>
    <row r="19" ht="14.25" customHeight="1"/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</row>
    <row r="21" ht="14.25" customHeight="1">
      <c r="A21" s="107" t="s">
        <v>155</v>
      </c>
      <c r="B21" s="107" t="s">
        <v>156</v>
      </c>
      <c r="C21" s="107" t="s">
        <v>154</v>
      </c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-103</v>
      </c>
      <c r="I22" s="111">
        <f t="shared" ref="I22:I26" si="1">+C22-$E$1</f>
        <v>0</v>
      </c>
      <c r="J22" s="111">
        <f>H22</f>
        <v>-103</v>
      </c>
      <c r="K22" s="117"/>
      <c r="L22" s="112"/>
      <c r="M22" s="112"/>
      <c r="N22" s="113"/>
      <c r="O22" s="114"/>
      <c r="P22" s="115">
        <f t="shared" ref="P22:P26" si="2">+H22</f>
        <v>-103</v>
      </c>
    </row>
    <row r="23" ht="14.25" customHeight="1">
      <c r="A23" s="116">
        <v>44863.0</v>
      </c>
      <c r="B23" s="116">
        <v>44863.0</v>
      </c>
      <c r="C23" s="116">
        <v>44863.0</v>
      </c>
      <c r="D23" s="109">
        <v>0.0</v>
      </c>
      <c r="E23" s="109">
        <f t="shared" ref="E23:E26" si="3">+E22-D23</f>
        <v>100</v>
      </c>
      <c r="F23" s="110" t="str">
        <f>IF(C23&gt;$D$2,$E$2,"")</f>
        <v/>
      </c>
      <c r="G23" s="109"/>
      <c r="H23" s="109">
        <f t="shared" ref="H23:H26" si="4">+IF(C23&gt;$C$22,D23+G23,0)</f>
        <v>0</v>
      </c>
      <c r="I23" s="111">
        <f t="shared" si="1"/>
        <v>-67</v>
      </c>
      <c r="J23" s="111">
        <f t="shared" ref="J23:J26" si="5">IF(I23&lt;=0,0,H23/(((1+$I$27/2)^2)^(I23/365)))</f>
        <v>0</v>
      </c>
      <c r="K23" s="117"/>
      <c r="L23" s="112">
        <f t="shared" ref="L23:L26" si="6">J23*(I23/365)/100</f>
        <v>0</v>
      </c>
      <c r="M23" s="112">
        <f t="shared" ref="M23:M26" si="7">IF(I23&lt;0,0,(H23/$H$27)*I23/365)</f>
        <v>0</v>
      </c>
      <c r="N23" s="113" t="str">
        <f>IF(I23&gt;=0,IF(I21&gt;0,0,-I21),"FALSO")</f>
        <v>FALSO</v>
      </c>
      <c r="O23" s="114" t="str">
        <f t="shared" ref="O23:O26" si="8">+IF(C23&gt;$C$22,C23,"")</f>
        <v/>
      </c>
      <c r="P23" s="115">
        <f t="shared" si="2"/>
        <v>0</v>
      </c>
    </row>
    <row r="24" ht="14.25" customHeight="1">
      <c r="A24" s="116">
        <v>45260.0</v>
      </c>
      <c r="B24" s="116">
        <v>45260.0</v>
      </c>
      <c r="C24" s="116">
        <v>45260.0</v>
      </c>
      <c r="D24" s="109">
        <v>0.0</v>
      </c>
      <c r="E24" s="109">
        <f t="shared" si="3"/>
        <v>100</v>
      </c>
      <c r="F24" s="110">
        <f>IF(C24&gt;=$D$2,$E$2,"")</f>
        <v>0.09</v>
      </c>
      <c r="G24" s="109">
        <f t="shared" ref="G24:G26" si="9">IF(F24="","",IF($E$4=365,E23*F24/365*(C24-C23),E23*F24/360*DAYS360(C23,C24)))</f>
        <v>9.775</v>
      </c>
      <c r="H24" s="109">
        <f t="shared" si="4"/>
        <v>9.775</v>
      </c>
      <c r="I24" s="111">
        <f t="shared" si="1"/>
        <v>330</v>
      </c>
      <c r="J24" s="111">
        <f t="shared" si="5"/>
        <v>9.102959473</v>
      </c>
      <c r="K24" s="112">
        <f t="shared" ref="K24:K26" si="10">IF(OR(N24="falso",N24=0),"",E23)</f>
        <v>100</v>
      </c>
      <c r="L24" s="112">
        <f t="shared" si="6"/>
        <v>0.08230072948</v>
      </c>
      <c r="M24" s="112">
        <f t="shared" si="7"/>
        <v>0.07481626441</v>
      </c>
      <c r="N24" s="111">
        <f t="shared" ref="N24:N26" si="11">IF(I24&gt;=0,IF(I23&gt;0,0,-I23),"FALSO")</f>
        <v>67</v>
      </c>
      <c r="O24" s="114">
        <f t="shared" si="8"/>
        <v>45260</v>
      </c>
      <c r="P24" s="115">
        <f t="shared" si="2"/>
        <v>9.775</v>
      </c>
    </row>
    <row r="25" ht="14.25" customHeight="1">
      <c r="A25" s="116">
        <v>45428.0</v>
      </c>
      <c r="B25" s="116">
        <v>45428.0</v>
      </c>
      <c r="C25" s="116">
        <v>45428.0</v>
      </c>
      <c r="D25" s="109">
        <v>0.0</v>
      </c>
      <c r="E25" s="109">
        <f t="shared" si="3"/>
        <v>100</v>
      </c>
      <c r="F25" s="110">
        <f t="shared" ref="F25:F26" si="12">IF(C25&gt;$D$2,$E$2,"")</f>
        <v>0.09</v>
      </c>
      <c r="G25" s="109">
        <f t="shared" si="9"/>
        <v>4.15</v>
      </c>
      <c r="H25" s="109">
        <f t="shared" si="4"/>
        <v>4.15</v>
      </c>
      <c r="I25" s="111">
        <f t="shared" si="1"/>
        <v>498</v>
      </c>
      <c r="J25" s="111">
        <f t="shared" si="5"/>
        <v>3.727053628</v>
      </c>
      <c r="K25" s="117" t="str">
        <f t="shared" si="10"/>
        <v/>
      </c>
      <c r="L25" s="112">
        <f t="shared" si="6"/>
        <v>0.05085130704</v>
      </c>
      <c r="M25" s="112">
        <f t="shared" si="7"/>
        <v>0.04793389867</v>
      </c>
      <c r="N25" s="113">
        <f t="shared" si="11"/>
        <v>0</v>
      </c>
      <c r="O25" s="114">
        <f t="shared" si="8"/>
        <v>45428</v>
      </c>
      <c r="P25" s="115">
        <f t="shared" si="2"/>
        <v>4.15</v>
      </c>
      <c r="R25" s="82"/>
    </row>
    <row r="26" ht="14.25" customHeight="1">
      <c r="A26" s="116">
        <v>45600.0</v>
      </c>
      <c r="B26" s="116">
        <v>45600.0</v>
      </c>
      <c r="C26" s="116">
        <v>45600.0</v>
      </c>
      <c r="D26" s="109">
        <v>100.0</v>
      </c>
      <c r="E26" s="109">
        <f t="shared" si="3"/>
        <v>0</v>
      </c>
      <c r="F26" s="110">
        <f t="shared" si="12"/>
        <v>0.09</v>
      </c>
      <c r="G26" s="109">
        <f t="shared" si="9"/>
        <v>4.2</v>
      </c>
      <c r="H26" s="109">
        <f t="shared" si="4"/>
        <v>104.2</v>
      </c>
      <c r="I26" s="111">
        <f t="shared" si="1"/>
        <v>670</v>
      </c>
      <c r="J26" s="111">
        <f t="shared" si="5"/>
        <v>90.1699869</v>
      </c>
      <c r="K26" s="117" t="str">
        <f t="shared" si="10"/>
        <v/>
      </c>
      <c r="L26" s="112">
        <f t="shared" si="6"/>
        <v>1.655175102</v>
      </c>
      <c r="M26" s="112">
        <f t="shared" si="7"/>
        <v>1.619227368</v>
      </c>
      <c r="N26" s="113">
        <f t="shared" si="11"/>
        <v>0</v>
      </c>
      <c r="O26" s="114">
        <f t="shared" si="8"/>
        <v>45600</v>
      </c>
      <c r="P26" s="115">
        <f t="shared" si="2"/>
        <v>104.2</v>
      </c>
      <c r="R26" s="82"/>
    </row>
    <row r="27" ht="14.25" customHeight="1">
      <c r="H27" s="118">
        <f>SUMIF(I22:I26,"&gt;0",H22:H26)</f>
        <v>118.125</v>
      </c>
      <c r="I27" s="119">
        <f>+H10</f>
        <v>0.08035533908</v>
      </c>
      <c r="J27" s="119">
        <f>SUM(J22:J26)</f>
        <v>0</v>
      </c>
      <c r="K27" s="120">
        <f>SUM(K22:K26)/$E$22</f>
        <v>1</v>
      </c>
      <c r="L27" s="121">
        <f t="shared" ref="L27:M27" si="13">SUM(L22:L26)</f>
        <v>1.788327138</v>
      </c>
      <c r="M27" s="119">
        <f t="shared" si="13"/>
        <v>1.741977531</v>
      </c>
      <c r="N27" s="141">
        <f>SUM(N24:N26)</f>
        <v>67</v>
      </c>
      <c r="O27" s="123">
        <f>MIN(O24:O26)</f>
        <v>45260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73" t="s">
        <v>21</v>
      </c>
      <c r="D2" s="74">
        <v>45053.0</v>
      </c>
      <c r="E2" s="75">
        <v>0.08</v>
      </c>
      <c r="G2" s="71" t="s">
        <v>142</v>
      </c>
      <c r="H2" s="76">
        <f>+E17*100+E11</f>
        <v>100.6333333</v>
      </c>
      <c r="M2" s="77"/>
      <c r="N2" s="78"/>
    </row>
    <row r="3" ht="14.25" customHeight="1">
      <c r="A3" s="142"/>
      <c r="C3" s="71" t="s">
        <v>143</v>
      </c>
      <c r="D3" s="71"/>
      <c r="E3" s="79">
        <v>44866.0</v>
      </c>
      <c r="F3" s="80"/>
      <c r="G3" s="71" t="s">
        <v>144</v>
      </c>
      <c r="H3" s="81" t="str">
        <f>IF(E1&gt;D2,E2*E17*E6/E12,"")</f>
        <v/>
      </c>
      <c r="I3" s="82"/>
      <c r="L3" s="83"/>
      <c r="M3" s="84"/>
      <c r="N3" s="85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98.37694601</v>
      </c>
      <c r="L4" s="83"/>
      <c r="M4" s="84"/>
      <c r="N4" s="85"/>
    </row>
    <row r="5" ht="14.25" customHeight="1">
      <c r="C5" s="71" t="s">
        <v>147</v>
      </c>
      <c r="D5" s="88"/>
      <c r="E5" s="79">
        <v>45056.0</v>
      </c>
      <c r="G5" s="71" t="s">
        <v>148</v>
      </c>
      <c r="H5" s="89">
        <f>MIN(O24:O27)</f>
        <v>45053</v>
      </c>
      <c r="L5" s="83"/>
      <c r="M5" s="84"/>
      <c r="N5" s="85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MAX(C22:C27)</f>
        <v>45603</v>
      </c>
      <c r="L6" s="83"/>
      <c r="M6" s="84"/>
      <c r="N6" s="85"/>
    </row>
    <row r="7" ht="14.25" customHeight="1">
      <c r="C7" s="91" t="s">
        <v>151</v>
      </c>
      <c r="D7" s="91"/>
      <c r="G7" s="71" t="s">
        <v>152</v>
      </c>
      <c r="H7" s="92">
        <f>+H6-E1</f>
        <v>673</v>
      </c>
      <c r="L7" s="83"/>
      <c r="M7" s="84"/>
      <c r="N7" s="85"/>
      <c r="Q7" s="137"/>
    </row>
    <row r="8" ht="14.25" customHeight="1">
      <c r="L8" s="83"/>
      <c r="M8" s="84"/>
      <c r="N8" s="85"/>
      <c r="Q8" s="137"/>
    </row>
    <row r="9" ht="14.25" customHeight="1">
      <c r="C9" s="71" t="s">
        <v>153</v>
      </c>
      <c r="D9" s="71"/>
      <c r="E9" s="93">
        <f>+Curva!C38</f>
        <v>99</v>
      </c>
      <c r="G9" s="94"/>
      <c r="H9" s="95" t="s">
        <v>154</v>
      </c>
      <c r="I9" s="95" t="s">
        <v>155</v>
      </c>
      <c r="J9" s="96" t="s">
        <v>156</v>
      </c>
      <c r="L9" s="83"/>
      <c r="M9" s="84"/>
      <c r="N9" s="85"/>
    </row>
    <row r="10" ht="14.25" customHeight="1">
      <c r="C10" s="71" t="s">
        <v>157</v>
      </c>
      <c r="D10" s="71"/>
      <c r="E10" s="97">
        <f t="array" ref="E10">DAYS360(MAX(IF(C23:C27&lt;=E1,C23:C27)),E1,1)</f>
        <v>57</v>
      </c>
      <c r="G10" s="98" t="s">
        <v>158</v>
      </c>
      <c r="H10" s="99">
        <f>+((XIRR(P22:P27,C22:C27)+1)^(1/2)-1)*2</f>
        <v>0.09347302227</v>
      </c>
      <c r="I10" s="99">
        <f>+((XIRR(P22:P27,A22:A27)+1)^(1/2)-1)*2</f>
        <v>0.09287093483</v>
      </c>
      <c r="J10" s="99">
        <f>+((XIRR(P22:P27,B22:B27)+1)^(1/2)-1)*2</f>
        <v>0.09272162653</v>
      </c>
      <c r="L10" s="83"/>
      <c r="M10" s="84"/>
      <c r="N10" s="85"/>
    </row>
    <row r="11" ht="14.25" customHeight="1">
      <c r="C11" s="71" t="s">
        <v>159</v>
      </c>
      <c r="D11" s="71"/>
      <c r="E11" s="76">
        <f>+($E$2*$E$6/4)*$H$12/$H$13</f>
        <v>0.6333333333</v>
      </c>
      <c r="L11" s="83"/>
      <c r="M11" s="84"/>
      <c r="N11" s="85"/>
    </row>
    <row r="12" ht="14.25" customHeight="1">
      <c r="C12" s="71" t="s">
        <v>160</v>
      </c>
      <c r="D12" s="71"/>
      <c r="E12" s="93">
        <f>+E9-E11</f>
        <v>98.36666667</v>
      </c>
      <c r="G12" s="126" t="s">
        <v>187</v>
      </c>
      <c r="H12" s="127">
        <f>COUPDAYBS(C22,C27,4,0)</f>
        <v>57</v>
      </c>
      <c r="L12" s="83"/>
      <c r="M12" s="84"/>
      <c r="N12" s="85"/>
    </row>
    <row r="13" ht="14.25" customHeight="1">
      <c r="C13" s="101"/>
      <c r="D13" s="101"/>
      <c r="G13" s="126" t="s">
        <v>188</v>
      </c>
      <c r="H13" s="128">
        <f>COUPDAYS(C22,C27,2)</f>
        <v>180</v>
      </c>
      <c r="L13" s="83"/>
      <c r="M13" s="84"/>
      <c r="N13" s="85"/>
    </row>
    <row r="14" ht="14.25" customHeight="1">
      <c r="C14" s="71" t="s">
        <v>161</v>
      </c>
      <c r="D14" s="71"/>
      <c r="E14" s="100">
        <f>(L28*100)/SUM(J24:J27)</f>
        <v>1.729258554</v>
      </c>
      <c r="G14" s="126" t="s">
        <v>189</v>
      </c>
      <c r="H14" s="129">
        <f>+($E$2*$E$6/2)*$H$12/$H$13</f>
        <v>1.266666667</v>
      </c>
      <c r="L14" s="83"/>
      <c r="M14" s="84"/>
      <c r="N14" s="85"/>
    </row>
    <row r="15" ht="14.25" customHeight="1">
      <c r="C15" s="71" t="s">
        <v>162</v>
      </c>
      <c r="D15" s="71"/>
      <c r="E15" s="100">
        <f>E14/(1+I28/2)</f>
        <v>1.652047613</v>
      </c>
      <c r="M15" s="84"/>
      <c r="N15" s="85"/>
    </row>
    <row r="16" ht="14.25" customHeight="1">
      <c r="C16" s="71" t="s">
        <v>163</v>
      </c>
      <c r="D16" s="71"/>
      <c r="E16" s="100">
        <f>M28</f>
        <v>1.739914974</v>
      </c>
      <c r="M16" s="84"/>
      <c r="N16" s="85"/>
    </row>
    <row r="17" ht="14.25" customHeight="1">
      <c r="C17" s="71" t="s">
        <v>164</v>
      </c>
      <c r="D17" s="71"/>
      <c r="E17" s="100">
        <f>K28</f>
        <v>1</v>
      </c>
      <c r="M17" s="84"/>
      <c r="N17" s="85"/>
    </row>
    <row r="18" ht="14.25" customHeight="1">
      <c r="J18" s="102"/>
    </row>
    <row r="19" ht="14.25" customHeight="1"/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</row>
    <row r="21" ht="14.25" customHeight="1">
      <c r="A21" s="107" t="s">
        <v>155</v>
      </c>
      <c r="B21" s="107" t="s">
        <v>156</v>
      </c>
      <c r="C21" s="107" t="s">
        <v>154</v>
      </c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-99</v>
      </c>
      <c r="I22" s="111">
        <f t="shared" ref="I22:I27" si="1">+C22-$E$1</f>
        <v>0</v>
      </c>
      <c r="J22" s="111">
        <f>H22</f>
        <v>-99</v>
      </c>
      <c r="K22" s="117"/>
      <c r="L22" s="112"/>
      <c r="M22" s="112"/>
      <c r="N22" s="113"/>
      <c r="O22" s="114"/>
      <c r="P22" s="115">
        <f t="shared" ref="P22:P27" si="2">+H22</f>
        <v>-99</v>
      </c>
    </row>
    <row r="23" ht="14.25" customHeight="1">
      <c r="A23" s="116">
        <v>44875.0</v>
      </c>
      <c r="B23" s="116">
        <v>44875.0</v>
      </c>
      <c r="C23" s="116">
        <v>44872.0</v>
      </c>
      <c r="D23" s="109">
        <v>0.0</v>
      </c>
      <c r="E23" s="109">
        <f t="shared" ref="E23:E27" si="3">+E22-D23</f>
        <v>100</v>
      </c>
      <c r="F23" s="110" t="str">
        <f>IF(C23&gt;$D$2,$E$2,"")</f>
        <v/>
      </c>
      <c r="G23" s="109"/>
      <c r="H23" s="109">
        <f t="shared" ref="H23:H27" si="4">+IF(C23&gt;$C$22,D23+G23,0)</f>
        <v>0</v>
      </c>
      <c r="I23" s="111">
        <f t="shared" si="1"/>
        <v>-58</v>
      </c>
      <c r="J23" s="111">
        <f t="shared" ref="J23:J27" si="5">IF(I23&lt;=0,0,H23/(((1+$I$28/2)^2)^(I23/365)))</f>
        <v>0</v>
      </c>
      <c r="K23" s="117"/>
      <c r="L23" s="112">
        <f t="shared" ref="L23:L27" si="6">J23*(I23/365)/100</f>
        <v>0</v>
      </c>
      <c r="M23" s="112">
        <f t="shared" ref="M23:M27" si="7">IF(I23&lt;0,0,(H23/$H$28)*I23/365)</f>
        <v>0</v>
      </c>
      <c r="N23" s="113" t="str">
        <f>IF(I23&gt;=0,IF(I21&gt;0,0,-I21),"FALSO")</f>
        <v>FALSO</v>
      </c>
      <c r="O23" s="114" t="str">
        <f t="shared" ref="O23:O27" si="8">+IF(C23&gt;$C$22,C23,"")</f>
        <v/>
      </c>
      <c r="P23" s="115">
        <f t="shared" si="2"/>
        <v>0</v>
      </c>
    </row>
    <row r="24" ht="14.25" customHeight="1">
      <c r="A24" s="116">
        <v>45056.0</v>
      </c>
      <c r="B24" s="116">
        <v>45056.0</v>
      </c>
      <c r="C24" s="116">
        <v>45053.0</v>
      </c>
      <c r="D24" s="109">
        <v>0.0</v>
      </c>
      <c r="E24" s="109">
        <f t="shared" si="3"/>
        <v>100</v>
      </c>
      <c r="F24" s="110">
        <f>IF(C24&gt;=$D$2,$E$2,"")</f>
        <v>0.08</v>
      </c>
      <c r="G24" s="109">
        <f t="shared" ref="G24:G27" si="9">IF(F24="","",IF($E$4=365,E23*F24/365*(C24-C23),E23*F24/360*DAYS360(C23,C24)))</f>
        <v>4</v>
      </c>
      <c r="H24" s="109">
        <f t="shared" si="4"/>
        <v>4</v>
      </c>
      <c r="I24" s="111">
        <f t="shared" si="1"/>
        <v>123</v>
      </c>
      <c r="J24" s="111">
        <f t="shared" si="5"/>
        <v>3.878735324</v>
      </c>
      <c r="K24" s="112">
        <f t="shared" ref="K24:K27" si="10">IF(OR(N24="falso",N24=0),"",E23)</f>
        <v>100</v>
      </c>
      <c r="L24" s="112">
        <f t="shared" si="6"/>
        <v>0.01307080671</v>
      </c>
      <c r="M24" s="112">
        <f t="shared" si="7"/>
        <v>0.01162021729</v>
      </c>
      <c r="N24" s="111">
        <f t="shared" ref="N24:N27" si="11">IF(I24&gt;=0,IF(I23&gt;0,0,-I23),"FALSO")</f>
        <v>58</v>
      </c>
      <c r="O24" s="114">
        <f t="shared" si="8"/>
        <v>45053</v>
      </c>
      <c r="P24" s="115">
        <f t="shared" si="2"/>
        <v>4</v>
      </c>
    </row>
    <row r="25" ht="14.25" customHeight="1">
      <c r="A25" s="116">
        <v>45240.0</v>
      </c>
      <c r="B25" s="116">
        <v>45240.0</v>
      </c>
      <c r="C25" s="116">
        <v>45237.0</v>
      </c>
      <c r="D25" s="109">
        <v>0.0</v>
      </c>
      <c r="E25" s="109">
        <f t="shared" si="3"/>
        <v>100</v>
      </c>
      <c r="F25" s="110">
        <f t="shared" ref="F25:F27" si="12">IF(C25&gt;$D$2,$E$2,"")</f>
        <v>0.08</v>
      </c>
      <c r="G25" s="109">
        <f t="shared" si="9"/>
        <v>4</v>
      </c>
      <c r="H25" s="109">
        <f t="shared" si="4"/>
        <v>4</v>
      </c>
      <c r="I25" s="111">
        <f t="shared" si="1"/>
        <v>307</v>
      </c>
      <c r="J25" s="111">
        <f t="shared" si="5"/>
        <v>3.704159896</v>
      </c>
      <c r="K25" s="117" t="str">
        <f t="shared" si="10"/>
        <v/>
      </c>
      <c r="L25" s="112">
        <f t="shared" si="6"/>
        <v>0.03115553666</v>
      </c>
      <c r="M25" s="112">
        <f t="shared" si="7"/>
        <v>0.02900330657</v>
      </c>
      <c r="N25" s="113">
        <f t="shared" si="11"/>
        <v>0</v>
      </c>
      <c r="O25" s="114">
        <f t="shared" si="8"/>
        <v>45237</v>
      </c>
      <c r="P25" s="115">
        <f t="shared" si="2"/>
        <v>4</v>
      </c>
      <c r="R25" s="82"/>
    </row>
    <row r="26" ht="14.25" customHeight="1">
      <c r="A26" s="116">
        <v>45422.0</v>
      </c>
      <c r="B26" s="116">
        <v>45422.0</v>
      </c>
      <c r="C26" s="116">
        <v>45419.0</v>
      </c>
      <c r="D26" s="109">
        <v>0.0</v>
      </c>
      <c r="E26" s="109">
        <f t="shared" si="3"/>
        <v>100</v>
      </c>
      <c r="F26" s="110">
        <f t="shared" si="12"/>
        <v>0.08</v>
      </c>
      <c r="G26" s="109">
        <f t="shared" si="9"/>
        <v>4</v>
      </c>
      <c r="H26" s="109">
        <f t="shared" si="4"/>
        <v>4</v>
      </c>
      <c r="I26" s="111">
        <f t="shared" si="1"/>
        <v>489</v>
      </c>
      <c r="J26" s="111">
        <f t="shared" si="5"/>
        <v>3.539213007</v>
      </c>
      <c r="K26" s="117" t="str">
        <f t="shared" si="10"/>
        <v/>
      </c>
      <c r="L26" s="112">
        <f t="shared" si="6"/>
        <v>0.04741575782</v>
      </c>
      <c r="M26" s="112">
        <f t="shared" si="7"/>
        <v>0.04619744922</v>
      </c>
      <c r="N26" s="113">
        <f t="shared" si="11"/>
        <v>0</v>
      </c>
      <c r="O26" s="114">
        <f t="shared" si="8"/>
        <v>45419</v>
      </c>
      <c r="P26" s="115">
        <f t="shared" si="2"/>
        <v>4</v>
      </c>
      <c r="R26" s="82"/>
    </row>
    <row r="27" ht="14.25" customHeight="1">
      <c r="A27" s="116">
        <v>45606.0</v>
      </c>
      <c r="B27" s="116">
        <v>45606.0</v>
      </c>
      <c r="C27" s="116">
        <v>45603.0</v>
      </c>
      <c r="D27" s="109">
        <v>100.0</v>
      </c>
      <c r="E27" s="109">
        <f t="shared" si="3"/>
        <v>0</v>
      </c>
      <c r="F27" s="110">
        <f t="shared" si="12"/>
        <v>0.08</v>
      </c>
      <c r="G27" s="109">
        <f t="shared" si="9"/>
        <v>4</v>
      </c>
      <c r="H27" s="109">
        <f t="shared" si="4"/>
        <v>104</v>
      </c>
      <c r="I27" s="111">
        <f t="shared" si="1"/>
        <v>673</v>
      </c>
      <c r="J27" s="111">
        <f t="shared" si="5"/>
        <v>87.87789177</v>
      </c>
      <c r="K27" s="117" t="str">
        <f t="shared" si="10"/>
        <v/>
      </c>
      <c r="L27" s="112">
        <f t="shared" si="6"/>
        <v>1.620323867</v>
      </c>
      <c r="M27" s="112">
        <f t="shared" si="7"/>
        <v>1.653094001</v>
      </c>
      <c r="N27" s="113">
        <f t="shared" si="11"/>
        <v>0</v>
      </c>
      <c r="O27" s="114">
        <f t="shared" si="8"/>
        <v>45603</v>
      </c>
      <c r="P27" s="115">
        <f t="shared" si="2"/>
        <v>104</v>
      </c>
      <c r="R27" s="82"/>
    </row>
    <row r="28" ht="14.25" customHeight="1">
      <c r="H28" s="118">
        <f>SUMIF(I22:I27,"&gt;0",H22:H27)</f>
        <v>116</v>
      </c>
      <c r="I28" s="119">
        <f>+H10</f>
        <v>0.09347302227</v>
      </c>
      <c r="J28" s="119">
        <f>SUM(J22:J27)</f>
        <v>0</v>
      </c>
      <c r="K28" s="120">
        <f>SUM(K22:K27)/$E$22</f>
        <v>1</v>
      </c>
      <c r="L28" s="121">
        <f t="shared" ref="L28:M28" si="13">SUM(L22:L27)</f>
        <v>1.711965969</v>
      </c>
      <c r="M28" s="119">
        <f t="shared" si="13"/>
        <v>1.739914974</v>
      </c>
      <c r="N28" s="141">
        <f>SUM(N24:N27)</f>
        <v>58</v>
      </c>
      <c r="O28" s="123">
        <f>MIN(O24:O27)</f>
        <v>45053</v>
      </c>
    </row>
    <row r="29" ht="14.25" customHeight="1">
      <c r="A29" s="124" t="s">
        <v>178</v>
      </c>
      <c r="B29" s="124" t="s">
        <v>179</v>
      </c>
      <c r="D29" s="124" t="s">
        <v>181</v>
      </c>
      <c r="E29" s="124" t="s">
        <v>182</v>
      </c>
      <c r="F29" s="124" t="s">
        <v>183</v>
      </c>
      <c r="G29" s="124" t="s">
        <v>184</v>
      </c>
    </row>
    <row r="30" ht="14.25" customHeight="1">
      <c r="A30" s="125">
        <v>44033.0</v>
      </c>
      <c r="B30" s="124"/>
      <c r="C30" s="124"/>
      <c r="D30" s="124"/>
      <c r="E30" s="124">
        <v>0.0</v>
      </c>
      <c r="F30" s="124"/>
      <c r="G30" s="124"/>
    </row>
    <row r="31" ht="14.25" customHeight="1">
      <c r="A31" s="125">
        <v>44217.0</v>
      </c>
      <c r="B31" s="124" t="s">
        <v>192</v>
      </c>
      <c r="C31" s="124" t="s">
        <v>193</v>
      </c>
      <c r="D31" s="124">
        <v>36.88</v>
      </c>
      <c r="E31" s="124">
        <v>0.0</v>
      </c>
      <c r="F31" s="124">
        <v>36.88</v>
      </c>
      <c r="G31" s="124" t="s">
        <v>186</v>
      </c>
    </row>
    <row r="32" ht="14.25" customHeight="1">
      <c r="A32" s="125">
        <v>44398.0</v>
      </c>
      <c r="B32" s="124" t="s">
        <v>192</v>
      </c>
      <c r="C32" s="124" t="s">
        <v>193</v>
      </c>
      <c r="D32" s="124">
        <v>36.88</v>
      </c>
      <c r="E32" s="124">
        <v>0.0</v>
      </c>
      <c r="F32" s="124">
        <v>36.88</v>
      </c>
      <c r="G32" s="124" t="s">
        <v>186</v>
      </c>
    </row>
    <row r="33" ht="14.25" customHeight="1">
      <c r="A33" s="125">
        <v>44582.0</v>
      </c>
      <c r="B33" s="124" t="s">
        <v>192</v>
      </c>
      <c r="C33" s="124" t="s">
        <v>193</v>
      </c>
      <c r="D33" s="124">
        <v>36.88</v>
      </c>
      <c r="E33" s="124">
        <v>0.0</v>
      </c>
      <c r="F33" s="124">
        <v>36.88</v>
      </c>
      <c r="G33" s="124" t="s">
        <v>186</v>
      </c>
    </row>
    <row r="34" ht="14.25" customHeight="1">
      <c r="A34" s="125">
        <v>44763.0</v>
      </c>
      <c r="B34" s="124" t="s">
        <v>192</v>
      </c>
      <c r="C34" s="124" t="s">
        <v>193</v>
      </c>
      <c r="D34" s="124">
        <v>36.88</v>
      </c>
      <c r="E34" s="124">
        <v>0.0</v>
      </c>
      <c r="F34" s="124">
        <v>36.88</v>
      </c>
      <c r="G34" s="124" t="s">
        <v>186</v>
      </c>
    </row>
    <row r="35" ht="14.25" customHeight="1">
      <c r="A35" s="125">
        <v>44947.0</v>
      </c>
      <c r="B35" s="124" t="s">
        <v>192</v>
      </c>
      <c r="C35" s="124" t="s">
        <v>193</v>
      </c>
      <c r="D35" s="124">
        <v>36.88</v>
      </c>
      <c r="E35" s="124">
        <v>0.0</v>
      </c>
      <c r="F35" s="124">
        <v>36.88</v>
      </c>
      <c r="G35" s="124" t="s">
        <v>186</v>
      </c>
    </row>
    <row r="36" ht="14.25" customHeight="1">
      <c r="A36" s="125">
        <v>45128.0</v>
      </c>
      <c r="B36" s="124" t="s">
        <v>192</v>
      </c>
      <c r="C36" s="124" t="s">
        <v>193</v>
      </c>
      <c r="D36" s="124">
        <v>36.88</v>
      </c>
      <c r="E36" s="124">
        <v>1000.0</v>
      </c>
      <c r="F36" s="124">
        <v>1036.88</v>
      </c>
      <c r="G36" s="124" t="s">
        <v>186</v>
      </c>
    </row>
    <row r="37" ht="14.25" customHeight="1">
      <c r="A37" s="124"/>
      <c r="B37" s="124"/>
      <c r="C37" s="124"/>
      <c r="D37" s="124"/>
      <c r="E37" s="124"/>
      <c r="F37" s="124"/>
      <c r="G37" s="124"/>
    </row>
    <row r="38" ht="14.25" customHeight="1">
      <c r="A38" s="124"/>
      <c r="B38" s="124"/>
      <c r="C38" s="124"/>
      <c r="D38" s="124"/>
      <c r="E38" s="124"/>
      <c r="F38" s="124"/>
      <c r="G38" s="124"/>
    </row>
    <row r="39" ht="14.25" customHeight="1">
      <c r="A39" s="124"/>
      <c r="B39" s="124"/>
      <c r="C39" s="124"/>
      <c r="D39" s="124"/>
      <c r="E39" s="124"/>
      <c r="F39" s="124"/>
      <c r="G39" s="124"/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73" t="s">
        <v>21</v>
      </c>
      <c r="D2" s="74">
        <v>45025.0</v>
      </c>
      <c r="E2" s="75">
        <v>0.0825</v>
      </c>
      <c r="G2" s="71" t="s">
        <v>142</v>
      </c>
      <c r="H2" s="76">
        <f>+E17*100+E11</f>
        <v>101.9479167</v>
      </c>
      <c r="M2" s="77"/>
      <c r="N2" s="78"/>
    </row>
    <row r="3" ht="14.25" customHeight="1">
      <c r="C3" s="71" t="s">
        <v>143</v>
      </c>
      <c r="D3" s="71"/>
      <c r="E3" s="79">
        <v>44874.0</v>
      </c>
      <c r="F3" s="80"/>
      <c r="G3" s="71" t="s">
        <v>144</v>
      </c>
      <c r="H3" s="81" t="str">
        <f>IF(E1&gt;D2,E2*E17*E6/E12,"")</f>
        <v/>
      </c>
      <c r="I3" s="82"/>
      <c r="L3" s="83"/>
      <c r="M3" s="84"/>
      <c r="N3" s="85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107.8982323</v>
      </c>
      <c r="L4" s="83"/>
      <c r="M4" s="84"/>
      <c r="N4" s="85"/>
    </row>
    <row r="5" ht="14.25" customHeight="1">
      <c r="C5" s="71" t="s">
        <v>147</v>
      </c>
      <c r="D5" s="88"/>
      <c r="E5" s="79">
        <v>45025.0</v>
      </c>
      <c r="G5" s="71" t="s">
        <v>148</v>
      </c>
      <c r="H5" s="89">
        <f>MIN(O24:O33)</f>
        <v>45025</v>
      </c>
      <c r="L5" s="83"/>
      <c r="M5" s="84"/>
      <c r="N5" s="85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MAX(C22:C33)</f>
        <v>46669</v>
      </c>
      <c r="L6" s="83"/>
      <c r="M6" s="84"/>
      <c r="N6" s="85"/>
    </row>
    <row r="7" ht="14.25" customHeight="1">
      <c r="C7" s="91" t="s">
        <v>151</v>
      </c>
      <c r="D7" s="91"/>
      <c r="G7" s="71" t="s">
        <v>152</v>
      </c>
      <c r="H7" s="92">
        <f>+H6-E1</f>
        <v>1739</v>
      </c>
      <c r="L7" s="83"/>
      <c r="M7" s="84"/>
      <c r="N7" s="85"/>
    </row>
    <row r="8" ht="14.25" customHeight="1">
      <c r="L8" s="83"/>
      <c r="M8" s="84"/>
      <c r="N8" s="85"/>
    </row>
    <row r="9" ht="14.25" customHeight="1">
      <c r="C9" s="71" t="s">
        <v>153</v>
      </c>
      <c r="D9" s="71"/>
      <c r="E9" s="93">
        <f>+Curva!C34</f>
        <v>110</v>
      </c>
      <c r="G9" s="94"/>
      <c r="H9" s="95" t="s">
        <v>154</v>
      </c>
      <c r="I9" s="95" t="s">
        <v>155</v>
      </c>
      <c r="J9" s="96" t="s">
        <v>156</v>
      </c>
      <c r="L9" s="83"/>
      <c r="M9" s="84"/>
      <c r="N9" s="85"/>
    </row>
    <row r="10" ht="14.25" customHeight="1">
      <c r="C10" s="71" t="s">
        <v>157</v>
      </c>
      <c r="D10" s="71"/>
      <c r="E10" s="97">
        <f t="array" ref="E10">DAYS360(MAX(IF(C23:C33&lt;=E1,C23:C33)),E1,1)</f>
        <v>55</v>
      </c>
      <c r="G10" s="98" t="s">
        <v>158</v>
      </c>
      <c r="H10" s="99">
        <f>+((XIRR(P22:P33,C22:C33)+1)^(1/2)-1)*2</f>
        <v>0.05277547982</v>
      </c>
      <c r="I10" s="99">
        <f>+((XIRR(P22:P33,A22:A33)+1)^(1/2)-1)*2</f>
        <v>0.05272503216</v>
      </c>
      <c r="J10" s="99">
        <f>+((XIRR(P22:P33,B22:B33)+1)^(1/2)-1)*2</f>
        <v>0.05267468205</v>
      </c>
      <c r="L10" s="83"/>
      <c r="M10" s="84"/>
      <c r="N10" s="85"/>
    </row>
    <row r="11" ht="14.25" customHeight="1">
      <c r="C11" s="71" t="s">
        <v>159</v>
      </c>
      <c r="D11" s="71"/>
      <c r="E11" s="76">
        <f>+($E$2*$E$6/2)*$H$12/$H$13</f>
        <v>1.947916667</v>
      </c>
      <c r="L11" s="83"/>
      <c r="M11" s="84"/>
      <c r="N11" s="85"/>
    </row>
    <row r="12" ht="14.25" customHeight="1">
      <c r="C12" s="71" t="s">
        <v>160</v>
      </c>
      <c r="D12" s="71"/>
      <c r="E12" s="93">
        <f>+E9-E11</f>
        <v>108.0520833</v>
      </c>
      <c r="G12" s="126" t="s">
        <v>187</v>
      </c>
      <c r="H12" s="127">
        <f>COUPDAYBS(C22,C33,2,0)</f>
        <v>85</v>
      </c>
      <c r="L12" s="83"/>
      <c r="M12" s="84"/>
      <c r="N12" s="85"/>
    </row>
    <row r="13" ht="14.25" customHeight="1">
      <c r="C13" s="101"/>
      <c r="D13" s="101"/>
      <c r="G13" s="126" t="s">
        <v>188</v>
      </c>
      <c r="H13" s="128">
        <f>COUPDAYS(C22,C33,2)</f>
        <v>180</v>
      </c>
      <c r="L13" s="83"/>
      <c r="M13" s="84"/>
      <c r="N13" s="85"/>
    </row>
    <row r="14" ht="14.25" customHeight="1">
      <c r="C14" s="71" t="s">
        <v>161</v>
      </c>
      <c r="D14" s="71"/>
      <c r="E14" s="100">
        <f>(L34*100)/SUM(J24:J33)</f>
        <v>2.900822944</v>
      </c>
      <c r="G14" s="126" t="s">
        <v>189</v>
      </c>
      <c r="H14" s="129">
        <f>+($E$2*$E$6/2)*$H$12/$H$13</f>
        <v>1.947916667</v>
      </c>
      <c r="L14" s="83"/>
      <c r="M14" s="84"/>
      <c r="N14" s="85"/>
    </row>
    <row r="15" ht="14.25" customHeight="1">
      <c r="C15" s="71" t="s">
        <v>162</v>
      </c>
      <c r="D15" s="71"/>
      <c r="E15" s="100">
        <f>E14/(1+I34/2)</f>
        <v>2.826244733</v>
      </c>
      <c r="M15" s="84"/>
      <c r="N15" s="85"/>
    </row>
    <row r="16" ht="14.25" customHeight="1">
      <c r="C16" s="71" t="s">
        <v>163</v>
      </c>
      <c r="D16" s="71"/>
      <c r="E16" s="100">
        <f>M34</f>
        <v>2.974055883</v>
      </c>
      <c r="M16" s="84"/>
      <c r="N16" s="85"/>
    </row>
    <row r="17" ht="14.25" customHeight="1">
      <c r="C17" s="71" t="s">
        <v>164</v>
      </c>
      <c r="D17" s="71"/>
      <c r="E17" s="100">
        <f>K34</f>
        <v>1</v>
      </c>
      <c r="M17" s="84"/>
      <c r="N17" s="85"/>
    </row>
    <row r="18" ht="14.25" customHeight="1">
      <c r="J18" s="102"/>
    </row>
    <row r="19" ht="14.25" customHeight="1"/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</row>
    <row r="21" ht="14.25" customHeight="1">
      <c r="A21" s="107" t="s">
        <v>155</v>
      </c>
      <c r="B21" s="107" t="s">
        <v>156</v>
      </c>
      <c r="C21" s="107" t="s">
        <v>154</v>
      </c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-110</v>
      </c>
      <c r="I22" s="111">
        <f t="shared" ref="I22:I33" si="1">+C22-$E$1</f>
        <v>0</v>
      </c>
      <c r="J22" s="111">
        <f>H22</f>
        <v>-110</v>
      </c>
      <c r="K22" s="117"/>
      <c r="L22" s="112"/>
      <c r="M22" s="112"/>
      <c r="N22" s="113"/>
      <c r="O22" s="114"/>
      <c r="P22" s="115">
        <f t="shared" ref="P22:P33" si="2">+H22</f>
        <v>-110</v>
      </c>
    </row>
    <row r="23" ht="14.25" customHeight="1">
      <c r="A23" s="116">
        <v>42557.0</v>
      </c>
      <c r="B23" s="116">
        <v>42557.0</v>
      </c>
      <c r="C23" s="116">
        <v>44874.0</v>
      </c>
      <c r="D23" s="109">
        <v>0.0</v>
      </c>
      <c r="E23" s="109">
        <f t="shared" ref="E23:E33" si="3">+E22-D23</f>
        <v>100</v>
      </c>
      <c r="F23" s="110" t="str">
        <f>IF(C23&gt;$D$2,$E$2,"")</f>
        <v/>
      </c>
      <c r="G23" s="109"/>
      <c r="H23" s="109">
        <f t="shared" ref="H23:H33" si="4">+IF(C23&gt;$C$22,D23+G23,0)</f>
        <v>0</v>
      </c>
      <c r="I23" s="111">
        <f t="shared" si="1"/>
        <v>-56</v>
      </c>
      <c r="J23" s="111">
        <f t="shared" ref="J23:J33" si="5">IF(I23&lt;=0,0,H23/(((1+$I$34/2)^2)^(I23/365)))</f>
        <v>0</v>
      </c>
      <c r="K23" s="117"/>
      <c r="L23" s="112">
        <f t="shared" ref="L23:L33" si="6">J23*(I23/365)/100</f>
        <v>0</v>
      </c>
      <c r="M23" s="112">
        <f t="shared" ref="M23:M33" si="7">IF(I23&lt;0,0,(H23/$H$34)*I23/365)</f>
        <v>0</v>
      </c>
      <c r="N23" s="113" t="str">
        <f>IF(I23&gt;=0,IF(I21&gt;0,0,-I21),"FALSO")</f>
        <v>FALSO</v>
      </c>
      <c r="O23" s="114" t="str">
        <f t="shared" ref="O23:O33" si="8">+IF(C23&gt;$C$22,C23,"")</f>
        <v/>
      </c>
      <c r="P23" s="115">
        <f t="shared" si="2"/>
        <v>0</v>
      </c>
    </row>
    <row r="24" ht="14.25" customHeight="1">
      <c r="A24" s="116">
        <v>45025.0</v>
      </c>
      <c r="B24" s="116">
        <v>45025.0</v>
      </c>
      <c r="C24" s="116">
        <v>45025.0</v>
      </c>
      <c r="D24" s="109">
        <v>0.0</v>
      </c>
      <c r="E24" s="109">
        <f t="shared" si="3"/>
        <v>100</v>
      </c>
      <c r="F24" s="110">
        <f>IF(C24&gt;=$D$2,$E$2,"")</f>
        <v>0.0825</v>
      </c>
      <c r="G24" s="109">
        <f t="shared" ref="G24:G33" si="9">IF(F24="","",IF($E$4=365,E23*F24/365*(C24-C23),E23*F24/360*DAYS360(C23,C24)))</f>
        <v>3.4375</v>
      </c>
      <c r="H24" s="109">
        <f t="shared" si="4"/>
        <v>3.4375</v>
      </c>
      <c r="I24" s="111">
        <f t="shared" si="1"/>
        <v>95</v>
      </c>
      <c r="J24" s="111">
        <f t="shared" si="5"/>
        <v>3.391208966</v>
      </c>
      <c r="K24" s="112">
        <f t="shared" ref="K24:K33" si="10">IF(OR(N24="falso",N24=0),"",E23)</f>
        <v>100</v>
      </c>
      <c r="L24" s="112">
        <f t="shared" si="6"/>
        <v>0.008826434295</v>
      </c>
      <c r="M24" s="112">
        <f t="shared" si="7"/>
        <v>0.00697952189</v>
      </c>
      <c r="N24" s="111">
        <f t="shared" ref="N24:N33" si="11">IF(I24&gt;=0,IF(I23&gt;0,0,-I23),"FALSO")</f>
        <v>56</v>
      </c>
      <c r="O24" s="114">
        <f t="shared" si="8"/>
        <v>45025</v>
      </c>
      <c r="P24" s="115">
        <f t="shared" si="2"/>
        <v>3.4375</v>
      </c>
    </row>
    <row r="25" ht="14.25" customHeight="1">
      <c r="A25" s="116">
        <v>45208.0</v>
      </c>
      <c r="B25" s="116">
        <v>45208.0</v>
      </c>
      <c r="C25" s="116">
        <v>45208.0</v>
      </c>
      <c r="D25" s="109">
        <v>0.0</v>
      </c>
      <c r="E25" s="109">
        <f t="shared" si="3"/>
        <v>100</v>
      </c>
      <c r="F25" s="110">
        <f t="shared" ref="F25:F33" si="12">IF(C25&gt;$D$2,$E$2,"")</f>
        <v>0.0825</v>
      </c>
      <c r="G25" s="109">
        <f t="shared" si="9"/>
        <v>4.125</v>
      </c>
      <c r="H25" s="109">
        <f t="shared" si="4"/>
        <v>4.125</v>
      </c>
      <c r="I25" s="111">
        <f t="shared" si="1"/>
        <v>278</v>
      </c>
      <c r="J25" s="111">
        <f t="shared" si="5"/>
        <v>3.964545</v>
      </c>
      <c r="K25" s="117" t="str">
        <f t="shared" si="10"/>
        <v/>
      </c>
      <c r="L25" s="112">
        <f t="shared" si="6"/>
        <v>0.0301957126</v>
      </c>
      <c r="M25" s="112">
        <f t="shared" si="7"/>
        <v>0.02450914213</v>
      </c>
      <c r="N25" s="113">
        <f t="shared" si="11"/>
        <v>0</v>
      </c>
      <c r="O25" s="114">
        <f t="shared" si="8"/>
        <v>45208</v>
      </c>
      <c r="P25" s="115">
        <f t="shared" si="2"/>
        <v>4.125</v>
      </c>
      <c r="R25" s="82"/>
    </row>
    <row r="26" ht="14.25" customHeight="1">
      <c r="A26" s="116">
        <v>45391.0</v>
      </c>
      <c r="B26" s="116">
        <v>45391.0</v>
      </c>
      <c r="C26" s="116">
        <v>45391.0</v>
      </c>
      <c r="D26" s="109">
        <v>0.0</v>
      </c>
      <c r="E26" s="109">
        <f t="shared" si="3"/>
        <v>100</v>
      </c>
      <c r="F26" s="110">
        <f t="shared" si="12"/>
        <v>0.0825</v>
      </c>
      <c r="G26" s="109">
        <f t="shared" si="9"/>
        <v>4.125</v>
      </c>
      <c r="H26" s="109">
        <f t="shared" si="4"/>
        <v>4.125</v>
      </c>
      <c r="I26" s="111">
        <f t="shared" si="1"/>
        <v>461</v>
      </c>
      <c r="J26" s="111">
        <f t="shared" si="5"/>
        <v>3.862343591</v>
      </c>
      <c r="K26" s="117" t="str">
        <f t="shared" si="10"/>
        <v/>
      </c>
      <c r="L26" s="112">
        <f t="shared" si="6"/>
        <v>0.04878192864</v>
      </c>
      <c r="M26" s="112">
        <f t="shared" si="7"/>
        <v>0.04064285799</v>
      </c>
      <c r="N26" s="113">
        <f t="shared" si="11"/>
        <v>0</v>
      </c>
      <c r="O26" s="114">
        <f t="shared" si="8"/>
        <v>45391</v>
      </c>
      <c r="P26" s="115">
        <f t="shared" si="2"/>
        <v>4.125</v>
      </c>
      <c r="R26" s="82"/>
    </row>
    <row r="27" ht="14.25" customHeight="1">
      <c r="A27" s="116">
        <v>45574.0</v>
      </c>
      <c r="B27" s="116">
        <v>45574.0</v>
      </c>
      <c r="C27" s="116">
        <v>45574.0</v>
      </c>
      <c r="D27" s="109">
        <v>14.285</v>
      </c>
      <c r="E27" s="109">
        <f t="shared" si="3"/>
        <v>85.715</v>
      </c>
      <c r="F27" s="110">
        <f t="shared" si="12"/>
        <v>0.0825</v>
      </c>
      <c r="G27" s="109">
        <f t="shared" si="9"/>
        <v>4.125</v>
      </c>
      <c r="H27" s="109">
        <f t="shared" si="4"/>
        <v>18.41</v>
      </c>
      <c r="I27" s="111">
        <f t="shared" si="1"/>
        <v>644</v>
      </c>
      <c r="J27" s="111">
        <f t="shared" si="5"/>
        <v>16.79338696</v>
      </c>
      <c r="K27" s="117" t="str">
        <f t="shared" si="10"/>
        <v/>
      </c>
      <c r="L27" s="112">
        <f t="shared" si="6"/>
        <v>0.2962997589</v>
      </c>
      <c r="M27" s="112">
        <f t="shared" si="7"/>
        <v>0.2533955696</v>
      </c>
      <c r="N27" s="113">
        <f t="shared" si="11"/>
        <v>0</v>
      </c>
      <c r="O27" s="114">
        <f t="shared" si="8"/>
        <v>45574</v>
      </c>
      <c r="P27" s="115">
        <f t="shared" si="2"/>
        <v>18.41</v>
      </c>
      <c r="R27" s="82"/>
    </row>
    <row r="28" ht="14.25" customHeight="1">
      <c r="A28" s="116">
        <v>45756.0</v>
      </c>
      <c r="B28" s="116">
        <v>45756.0</v>
      </c>
      <c r="C28" s="116">
        <v>45756.0</v>
      </c>
      <c r="D28" s="109">
        <v>14.285</v>
      </c>
      <c r="E28" s="109">
        <f t="shared" si="3"/>
        <v>71.43</v>
      </c>
      <c r="F28" s="110">
        <f t="shared" si="12"/>
        <v>0.0825</v>
      </c>
      <c r="G28" s="109">
        <f t="shared" si="9"/>
        <v>3.53574375</v>
      </c>
      <c r="H28" s="109">
        <f t="shared" si="4"/>
        <v>17.82074375</v>
      </c>
      <c r="I28" s="111">
        <f t="shared" si="1"/>
        <v>826</v>
      </c>
      <c r="J28" s="111">
        <f t="shared" si="5"/>
        <v>15.83907687</v>
      </c>
      <c r="K28" s="117" t="str">
        <f t="shared" si="10"/>
        <v/>
      </c>
      <c r="L28" s="112">
        <f t="shared" si="6"/>
        <v>0.3584404793</v>
      </c>
      <c r="M28" s="112">
        <f t="shared" si="7"/>
        <v>0.3146047202</v>
      </c>
      <c r="N28" s="113">
        <f t="shared" si="11"/>
        <v>0</v>
      </c>
      <c r="O28" s="114">
        <f t="shared" si="8"/>
        <v>45756</v>
      </c>
      <c r="P28" s="115">
        <f t="shared" si="2"/>
        <v>17.82074375</v>
      </c>
      <c r="R28" s="82"/>
    </row>
    <row r="29" ht="14.25" customHeight="1">
      <c r="A29" s="116">
        <v>45939.0</v>
      </c>
      <c r="B29" s="116">
        <v>45939.0</v>
      </c>
      <c r="C29" s="116">
        <v>45939.0</v>
      </c>
      <c r="D29" s="109">
        <v>14.285</v>
      </c>
      <c r="E29" s="109">
        <f t="shared" si="3"/>
        <v>57.145</v>
      </c>
      <c r="F29" s="110">
        <f t="shared" si="12"/>
        <v>0.0825</v>
      </c>
      <c r="G29" s="109">
        <f t="shared" si="9"/>
        <v>2.9464875</v>
      </c>
      <c r="H29" s="109">
        <f t="shared" si="4"/>
        <v>17.2314875</v>
      </c>
      <c r="I29" s="111">
        <f t="shared" si="1"/>
        <v>1009</v>
      </c>
      <c r="J29" s="111">
        <f t="shared" si="5"/>
        <v>14.92053392</v>
      </c>
      <c r="K29" s="117" t="str">
        <f t="shared" si="10"/>
        <v/>
      </c>
      <c r="L29" s="112">
        <f t="shared" si="6"/>
        <v>0.4124607871</v>
      </c>
      <c r="M29" s="112">
        <f t="shared" si="7"/>
        <v>0.3715979394</v>
      </c>
      <c r="N29" s="113">
        <f t="shared" si="11"/>
        <v>0</v>
      </c>
      <c r="O29" s="114">
        <f t="shared" si="8"/>
        <v>45939</v>
      </c>
      <c r="P29" s="115">
        <f t="shared" si="2"/>
        <v>17.2314875</v>
      </c>
      <c r="R29" s="82"/>
    </row>
    <row r="30" ht="14.25" customHeight="1">
      <c r="A30" s="116">
        <v>46121.0</v>
      </c>
      <c r="B30" s="116">
        <v>46121.0</v>
      </c>
      <c r="C30" s="116">
        <v>46121.0</v>
      </c>
      <c r="D30" s="109">
        <v>14.285</v>
      </c>
      <c r="E30" s="109">
        <f t="shared" si="3"/>
        <v>42.86</v>
      </c>
      <c r="F30" s="110">
        <f t="shared" si="12"/>
        <v>0.0825</v>
      </c>
      <c r="G30" s="109">
        <f t="shared" si="9"/>
        <v>2.35723125</v>
      </c>
      <c r="H30" s="109">
        <f t="shared" si="4"/>
        <v>16.64223125</v>
      </c>
      <c r="I30" s="111">
        <f t="shared" si="1"/>
        <v>1191</v>
      </c>
      <c r="J30" s="111">
        <f t="shared" si="5"/>
        <v>14.04082679</v>
      </c>
      <c r="K30" s="117" t="str">
        <f t="shared" si="10"/>
        <v/>
      </c>
      <c r="L30" s="112">
        <f t="shared" si="6"/>
        <v>0.4581541017</v>
      </c>
      <c r="M30" s="112">
        <f t="shared" si="7"/>
        <v>0.4236260667</v>
      </c>
      <c r="N30" s="113">
        <f t="shared" si="11"/>
        <v>0</v>
      </c>
      <c r="O30" s="114">
        <f t="shared" si="8"/>
        <v>46121</v>
      </c>
      <c r="P30" s="115">
        <f t="shared" si="2"/>
        <v>16.64223125</v>
      </c>
      <c r="R30" s="82"/>
    </row>
    <row r="31" ht="14.25" customHeight="1">
      <c r="A31" s="116">
        <v>46304.0</v>
      </c>
      <c r="B31" s="116">
        <v>46304.0</v>
      </c>
      <c r="C31" s="116">
        <v>46304.0</v>
      </c>
      <c r="D31" s="109">
        <v>14.285</v>
      </c>
      <c r="E31" s="109">
        <f t="shared" si="3"/>
        <v>28.575</v>
      </c>
      <c r="F31" s="110">
        <f t="shared" si="12"/>
        <v>0.0825</v>
      </c>
      <c r="G31" s="109">
        <f t="shared" si="9"/>
        <v>1.767975</v>
      </c>
      <c r="H31" s="109">
        <f t="shared" si="4"/>
        <v>16.052975</v>
      </c>
      <c r="I31" s="111">
        <f t="shared" si="1"/>
        <v>1374</v>
      </c>
      <c r="J31" s="111">
        <f t="shared" si="5"/>
        <v>13.19453875</v>
      </c>
      <c r="K31" s="117" t="str">
        <f t="shared" si="10"/>
        <v/>
      </c>
      <c r="L31" s="112">
        <f t="shared" si="6"/>
        <v>0.4966930476</v>
      </c>
      <c r="M31" s="112">
        <f t="shared" si="7"/>
        <v>0.4714130747</v>
      </c>
      <c r="N31" s="113">
        <f t="shared" si="11"/>
        <v>0</v>
      </c>
      <c r="O31" s="114">
        <f t="shared" si="8"/>
        <v>46304</v>
      </c>
      <c r="P31" s="115">
        <f t="shared" si="2"/>
        <v>16.052975</v>
      </c>
      <c r="R31" s="82"/>
    </row>
    <row r="32" ht="14.25" customHeight="1">
      <c r="A32" s="116">
        <v>46486.0</v>
      </c>
      <c r="B32" s="116">
        <v>46486.0</v>
      </c>
      <c r="C32" s="116">
        <v>46486.0</v>
      </c>
      <c r="D32" s="109">
        <v>14.285</v>
      </c>
      <c r="E32" s="109">
        <f t="shared" si="3"/>
        <v>14.29</v>
      </c>
      <c r="F32" s="110">
        <f t="shared" si="12"/>
        <v>0.0825</v>
      </c>
      <c r="G32" s="109">
        <f t="shared" si="9"/>
        <v>1.17871875</v>
      </c>
      <c r="H32" s="109">
        <f t="shared" si="4"/>
        <v>15.46371875</v>
      </c>
      <c r="I32" s="111">
        <f t="shared" si="1"/>
        <v>1556</v>
      </c>
      <c r="J32" s="111">
        <f t="shared" si="5"/>
        <v>12.38431986</v>
      </c>
      <c r="K32" s="117" t="str">
        <f t="shared" si="10"/>
        <v/>
      </c>
      <c r="L32" s="112">
        <f t="shared" si="6"/>
        <v>0.5279452519</v>
      </c>
      <c r="M32" s="112">
        <f t="shared" si="7"/>
        <v>0.5142601788</v>
      </c>
      <c r="N32" s="113">
        <f t="shared" si="11"/>
        <v>0</v>
      </c>
      <c r="O32" s="114">
        <f t="shared" si="8"/>
        <v>46486</v>
      </c>
      <c r="P32" s="115">
        <f t="shared" si="2"/>
        <v>15.46371875</v>
      </c>
      <c r="R32" s="82"/>
    </row>
    <row r="33" ht="14.25" customHeight="1">
      <c r="A33" s="116">
        <v>46669.0</v>
      </c>
      <c r="B33" s="116">
        <v>46669.0</v>
      </c>
      <c r="C33" s="116">
        <v>46669.0</v>
      </c>
      <c r="D33" s="109">
        <v>14.29</v>
      </c>
      <c r="E33" s="109">
        <f t="shared" si="3"/>
        <v>0</v>
      </c>
      <c r="F33" s="110">
        <f t="shared" si="12"/>
        <v>0.0825</v>
      </c>
      <c r="G33" s="109">
        <f t="shared" si="9"/>
        <v>0.5894625</v>
      </c>
      <c r="H33" s="109">
        <f t="shared" si="4"/>
        <v>14.8794625</v>
      </c>
      <c r="I33" s="111">
        <f t="shared" si="1"/>
        <v>1739</v>
      </c>
      <c r="J33" s="111">
        <f t="shared" si="5"/>
        <v>11.6092193</v>
      </c>
      <c r="K33" s="117" t="str">
        <f t="shared" si="10"/>
        <v/>
      </c>
      <c r="L33" s="112">
        <f t="shared" si="6"/>
        <v>0.5531077359</v>
      </c>
      <c r="M33" s="112">
        <f t="shared" si="7"/>
        <v>0.5530268112</v>
      </c>
      <c r="N33" s="113">
        <f t="shared" si="11"/>
        <v>0</v>
      </c>
      <c r="O33" s="114">
        <f t="shared" si="8"/>
        <v>46669</v>
      </c>
      <c r="P33" s="115">
        <f t="shared" si="2"/>
        <v>14.8794625</v>
      </c>
      <c r="R33" s="82"/>
    </row>
    <row r="34" ht="14.25" customHeight="1">
      <c r="H34" s="118">
        <f>SUMIF(I22:I33,"&gt;0",H22:H33)</f>
        <v>128.1881188</v>
      </c>
      <c r="I34" s="119">
        <f>+H10</f>
        <v>0.05277547982</v>
      </c>
      <c r="J34" s="119">
        <f>SUM(J22:J33)</f>
        <v>0</v>
      </c>
      <c r="K34" s="120">
        <f>SUM(K22:K33)/$E$22</f>
        <v>1</v>
      </c>
      <c r="L34" s="121">
        <f t="shared" ref="L34:M34" si="13">SUM(L22:L33)</f>
        <v>3.190905238</v>
      </c>
      <c r="M34" s="119">
        <f t="shared" si="13"/>
        <v>2.974055883</v>
      </c>
      <c r="N34" s="141">
        <f>SUM(N24:N33)</f>
        <v>56</v>
      </c>
      <c r="O34" s="123">
        <f>MIN(O24:O33)</f>
        <v>45025</v>
      </c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2.29"/>
    <col customWidth="1" min="4" max="4" width="10.86"/>
    <col customWidth="1" min="5" max="5" width="10.71"/>
    <col customWidth="1" min="6" max="6" width="13.0"/>
    <col customWidth="1" min="7" max="8" width="14.29"/>
    <col customWidth="1" min="9" max="26" width="10.71"/>
  </cols>
  <sheetData>
    <row r="1" ht="14.25" customHeight="1">
      <c r="C1" s="71" t="s">
        <v>141</v>
      </c>
      <c r="D1" s="71"/>
      <c r="E1" s="72">
        <f>WORKDAY(TODAY(),2,DATA!$B$5:$B$1000)</f>
        <v>44930</v>
      </c>
    </row>
    <row r="2" ht="14.25" customHeight="1">
      <c r="C2" s="73" t="s">
        <v>21</v>
      </c>
      <c r="D2" s="74">
        <v>45056.0</v>
      </c>
      <c r="E2" s="75">
        <v>0.0625</v>
      </c>
      <c r="G2" s="71" t="s">
        <v>142</v>
      </c>
      <c r="H2" s="76">
        <f>+E17*100+E11</f>
        <v>100.46875</v>
      </c>
      <c r="M2" s="77"/>
      <c r="N2" s="78"/>
    </row>
    <row r="3" ht="14.25" customHeight="1">
      <c r="A3" s="142"/>
      <c r="C3" s="71" t="s">
        <v>143</v>
      </c>
      <c r="D3" s="71"/>
      <c r="E3" s="79">
        <v>44875.0</v>
      </c>
      <c r="F3" s="80"/>
      <c r="G3" s="71" t="s">
        <v>144</v>
      </c>
      <c r="H3" s="81" t="str">
        <f>IF(E1&gt;D2,E2*E17*E6/E12,"")</f>
        <v/>
      </c>
      <c r="I3" s="82"/>
      <c r="L3" s="83"/>
      <c r="M3" s="84"/>
      <c r="N3" s="85"/>
    </row>
    <row r="4" ht="14.25" customHeight="1">
      <c r="C4" s="86" t="s">
        <v>145</v>
      </c>
      <c r="D4" s="86"/>
      <c r="E4" s="87">
        <v>360.0</v>
      </c>
      <c r="G4" s="71" t="s">
        <v>146</v>
      </c>
      <c r="H4" s="76">
        <f>+E9/H2*100</f>
        <v>104.311042</v>
      </c>
      <c r="L4" s="83"/>
      <c r="M4" s="84"/>
      <c r="N4" s="85"/>
    </row>
    <row r="5" ht="14.25" customHeight="1">
      <c r="C5" s="71" t="s">
        <v>147</v>
      </c>
      <c r="D5" s="88"/>
      <c r="E5" s="79">
        <v>45056.0</v>
      </c>
      <c r="G5" s="71" t="s">
        <v>148</v>
      </c>
      <c r="H5" s="89">
        <f>MIN(O24:O29)</f>
        <v>45056</v>
      </c>
      <c r="L5" s="83"/>
      <c r="M5" s="84"/>
      <c r="N5" s="85"/>
    </row>
    <row r="6" ht="14.25" customHeight="1">
      <c r="C6" s="71" t="s">
        <v>149</v>
      </c>
      <c r="D6" s="71"/>
      <c r="E6" s="90">
        <v>100.0</v>
      </c>
      <c r="G6" s="71" t="s">
        <v>150</v>
      </c>
      <c r="H6" s="89">
        <f>MAX(C22:C29)</f>
        <v>45971</v>
      </c>
      <c r="L6" s="83"/>
      <c r="M6" s="84"/>
      <c r="N6" s="85"/>
    </row>
    <row r="7" ht="14.25" customHeight="1">
      <c r="C7" s="91" t="s">
        <v>151</v>
      </c>
      <c r="D7" s="91"/>
      <c r="G7" s="71" t="s">
        <v>152</v>
      </c>
      <c r="H7" s="92">
        <f>+H6-E1</f>
        <v>1041</v>
      </c>
      <c r="L7" s="83"/>
      <c r="M7" s="84"/>
      <c r="N7" s="85"/>
      <c r="Q7" s="137"/>
    </row>
    <row r="8" ht="14.25" customHeight="1">
      <c r="L8" s="83"/>
      <c r="M8" s="84"/>
      <c r="N8" s="85"/>
      <c r="Q8" s="137"/>
    </row>
    <row r="9" ht="14.25" customHeight="1">
      <c r="C9" s="71" t="s">
        <v>153</v>
      </c>
      <c r="D9" s="71"/>
      <c r="E9" s="93">
        <f>+Curva!C37</f>
        <v>104.8</v>
      </c>
      <c r="G9" s="94"/>
      <c r="H9" s="95" t="s">
        <v>154</v>
      </c>
      <c r="I9" s="95" t="s">
        <v>155</v>
      </c>
      <c r="J9" s="96" t="s">
        <v>156</v>
      </c>
      <c r="L9" s="83"/>
      <c r="M9" s="84"/>
      <c r="N9" s="85"/>
    </row>
    <row r="10" ht="14.25" customHeight="1">
      <c r="C10" s="71" t="s">
        <v>157</v>
      </c>
      <c r="D10" s="71"/>
      <c r="E10" s="97">
        <f t="array" ref="E10">DAYS360(MAX(IF(C23:C29&lt;=E1,C23:C29)),E1,1)</f>
        <v>54</v>
      </c>
      <c r="G10" s="98" t="s">
        <v>158</v>
      </c>
      <c r="H10" s="99">
        <f>+((XIRR(P22:P29,C22:C29)+1)^(1/2)-1)*2</f>
        <v>0.04778410389</v>
      </c>
      <c r="I10" s="99">
        <f>+((XIRR(P22:P29,A22:A29)+1)^(1/2)-1)*2</f>
        <v>0.04773394717</v>
      </c>
      <c r="J10" s="99">
        <f>+((XIRR(P22:P29,B22:B29)+1)^(1/2)-1)*2</f>
        <v>0.04768389596</v>
      </c>
      <c r="L10" s="83"/>
      <c r="M10" s="84"/>
      <c r="N10" s="85"/>
    </row>
    <row r="11" ht="14.25" customHeight="1">
      <c r="C11" s="71" t="s">
        <v>159</v>
      </c>
      <c r="D11" s="71"/>
      <c r="E11" s="76">
        <f>+($E$2*$E$6/4)*$H$12/$H$13</f>
        <v>0.46875</v>
      </c>
      <c r="L11" s="83"/>
      <c r="M11" s="84"/>
      <c r="N11" s="85"/>
    </row>
    <row r="12" ht="14.25" customHeight="1">
      <c r="C12" s="71" t="s">
        <v>160</v>
      </c>
      <c r="D12" s="71"/>
      <c r="E12" s="93">
        <f>+E9-E11</f>
        <v>104.33125</v>
      </c>
      <c r="G12" s="126" t="s">
        <v>187</v>
      </c>
      <c r="H12" s="127">
        <f>COUPDAYBS(C22,C29,4,0)</f>
        <v>54</v>
      </c>
      <c r="L12" s="83"/>
      <c r="M12" s="84"/>
      <c r="N12" s="85"/>
    </row>
    <row r="13" ht="14.25" customHeight="1">
      <c r="C13" s="101"/>
      <c r="D13" s="101"/>
      <c r="G13" s="126" t="s">
        <v>188</v>
      </c>
      <c r="H13" s="128">
        <f>COUPDAYS(C22,C29,2)</f>
        <v>180</v>
      </c>
      <c r="L13" s="83"/>
      <c r="M13" s="84"/>
      <c r="N13" s="85"/>
    </row>
    <row r="14" ht="14.25" customHeight="1">
      <c r="C14" s="71" t="s">
        <v>161</v>
      </c>
      <c r="D14" s="71"/>
      <c r="E14" s="100">
        <f>(L30*100)/SUM(J24:J29)</f>
        <v>2.638280506</v>
      </c>
      <c r="G14" s="126" t="s">
        <v>189</v>
      </c>
      <c r="H14" s="129">
        <f>+($E$2*$E$6/2)*$H$12/$H$13</f>
        <v>0.9375</v>
      </c>
      <c r="L14" s="83"/>
      <c r="M14" s="84"/>
      <c r="N14" s="85"/>
    </row>
    <row r="15" ht="14.25" customHeight="1">
      <c r="C15" s="71" t="s">
        <v>162</v>
      </c>
      <c r="D15" s="71"/>
      <c r="E15" s="100">
        <f>E14/(1+I30/2)</f>
        <v>2.576717439</v>
      </c>
      <c r="M15" s="84"/>
      <c r="N15" s="85"/>
    </row>
    <row r="16" ht="14.25" customHeight="1">
      <c r="C16" s="71" t="s">
        <v>163</v>
      </c>
      <c r="D16" s="71"/>
      <c r="E16" s="100">
        <f>M30</f>
        <v>2.654217736</v>
      </c>
      <c r="M16" s="84"/>
      <c r="N16" s="85"/>
    </row>
    <row r="17" ht="14.25" customHeight="1">
      <c r="C17" s="71" t="s">
        <v>164</v>
      </c>
      <c r="D17" s="71"/>
      <c r="E17" s="100">
        <f>K30</f>
        <v>1</v>
      </c>
      <c r="M17" s="84"/>
      <c r="N17" s="85"/>
    </row>
    <row r="18" ht="14.25" customHeight="1">
      <c r="J18" s="102"/>
    </row>
    <row r="19" ht="14.25" customHeight="1"/>
    <row r="20" ht="14.25" customHeight="1">
      <c r="C20" s="103" t="s">
        <v>165</v>
      </c>
      <c r="D20" s="104" t="s">
        <v>166</v>
      </c>
      <c r="E20" s="104" t="s">
        <v>167</v>
      </c>
      <c r="F20" s="104" t="s">
        <v>168</v>
      </c>
      <c r="G20" s="104" t="s">
        <v>169</v>
      </c>
      <c r="H20" s="105" t="s">
        <v>170</v>
      </c>
      <c r="I20" s="104" t="s">
        <v>171</v>
      </c>
      <c r="J20" s="104" t="s">
        <v>172</v>
      </c>
      <c r="K20" s="104" t="s">
        <v>173</v>
      </c>
      <c r="L20" s="104" t="s">
        <v>174</v>
      </c>
      <c r="M20" s="104" t="s">
        <v>175</v>
      </c>
      <c r="N20" s="106" t="s">
        <v>176</v>
      </c>
      <c r="O20" s="104" t="s">
        <v>177</v>
      </c>
    </row>
    <row r="21" ht="14.25" customHeight="1">
      <c r="A21" s="107" t="s">
        <v>155</v>
      </c>
      <c r="B21" s="107" t="s">
        <v>156</v>
      </c>
      <c r="C21" s="107" t="s">
        <v>154</v>
      </c>
    </row>
    <row r="22" ht="14.25" customHeight="1">
      <c r="A22" s="108">
        <f>+TODAY()+1</f>
        <v>44929</v>
      </c>
      <c r="B22" s="108">
        <f>+TODAY()</f>
        <v>44928</v>
      </c>
      <c r="C22" s="108">
        <f>E1</f>
        <v>44930</v>
      </c>
      <c r="D22" s="109"/>
      <c r="E22" s="109">
        <f>+E6</f>
        <v>100</v>
      </c>
      <c r="F22" s="110"/>
      <c r="G22" s="109"/>
      <c r="H22" s="109">
        <f>-E9</f>
        <v>-104.8</v>
      </c>
      <c r="I22" s="111">
        <f t="shared" ref="I22:I29" si="1">+C22-$E$1</f>
        <v>0</v>
      </c>
      <c r="J22" s="111">
        <f>H22</f>
        <v>-104.8</v>
      </c>
      <c r="K22" s="117"/>
      <c r="L22" s="112"/>
      <c r="M22" s="112"/>
      <c r="N22" s="113"/>
      <c r="O22" s="114"/>
      <c r="P22" s="115">
        <f t="shared" ref="P22:P29" si="2">+H22</f>
        <v>-104.8</v>
      </c>
    </row>
    <row r="23" ht="14.25" customHeight="1">
      <c r="A23" s="116">
        <v>44875.0</v>
      </c>
      <c r="B23" s="116">
        <v>44875.0</v>
      </c>
      <c r="C23" s="116">
        <v>44875.0</v>
      </c>
      <c r="D23" s="109">
        <v>0.0</v>
      </c>
      <c r="E23" s="109">
        <f t="shared" ref="E23:E29" si="3">+E22-D23</f>
        <v>100</v>
      </c>
      <c r="F23" s="110" t="str">
        <f>IF(C23&gt;$D$2,$E$2,"")</f>
        <v/>
      </c>
      <c r="G23" s="109"/>
      <c r="H23" s="109">
        <f t="shared" ref="H23:H29" si="4">+IF(C23&gt;$C$22,D23+G23,0)</f>
        <v>0</v>
      </c>
      <c r="I23" s="111">
        <f t="shared" si="1"/>
        <v>-55</v>
      </c>
      <c r="J23" s="111">
        <f t="shared" ref="J23:J29" si="5">IF(I23&lt;=0,0,H23/(((1+$I$30/2)^2)^(I23/365)))</f>
        <v>0</v>
      </c>
      <c r="K23" s="117"/>
      <c r="L23" s="112">
        <f t="shared" ref="L23:L29" si="6">J23*(I23/365)/100</f>
        <v>0</v>
      </c>
      <c r="M23" s="112">
        <f t="shared" ref="M23:M29" si="7">IF(I23&lt;0,0,(H23/$H$30)*I23/365)</f>
        <v>0</v>
      </c>
      <c r="N23" s="113" t="str">
        <f>IF(I23&gt;=0,IF(I21&gt;0,0,-I21),"FALSO")</f>
        <v>FALSO</v>
      </c>
      <c r="O23" s="114" t="str">
        <f t="shared" ref="O23:O29" si="8">+IF(C23&gt;$C$22,C23,"")</f>
        <v/>
      </c>
      <c r="P23" s="115">
        <f t="shared" si="2"/>
        <v>0</v>
      </c>
    </row>
    <row r="24" ht="14.25" customHeight="1">
      <c r="A24" s="116">
        <v>45056.0</v>
      </c>
      <c r="B24" s="116">
        <v>45056.0</v>
      </c>
      <c r="C24" s="116">
        <v>45056.0</v>
      </c>
      <c r="D24" s="109">
        <v>0.0</v>
      </c>
      <c r="E24" s="109">
        <f t="shared" si="3"/>
        <v>100</v>
      </c>
      <c r="F24" s="110">
        <f>IF(C24&gt;=$D$2,$E$2,"")</f>
        <v>0.0625</v>
      </c>
      <c r="G24" s="109">
        <f t="shared" ref="G24:G29" si="9">IF(F24="","",IF($E$4=365,E23*F24/365*(C24-C23),E23*F24/360*DAYS360(C23,C24)))</f>
        <v>3.125</v>
      </c>
      <c r="H24" s="109">
        <f t="shared" si="4"/>
        <v>3.125</v>
      </c>
      <c r="I24" s="111">
        <f t="shared" si="1"/>
        <v>126</v>
      </c>
      <c r="J24" s="111">
        <f t="shared" si="5"/>
        <v>3.0744712</v>
      </c>
      <c r="K24" s="112">
        <f t="shared" ref="K24:K29" si="10">IF(OR(N24="falso",N24=0),"",E23)</f>
        <v>100</v>
      </c>
      <c r="L24" s="112">
        <f t="shared" si="6"/>
        <v>0.01061324305</v>
      </c>
      <c r="M24" s="112">
        <f t="shared" si="7"/>
        <v>0.009084354722</v>
      </c>
      <c r="N24" s="111">
        <f t="shared" ref="N24:N29" si="11">IF(I24&gt;=0,IF(I23&gt;0,0,-I23),"FALSO")</f>
        <v>55</v>
      </c>
      <c r="O24" s="114">
        <f t="shared" si="8"/>
        <v>45056</v>
      </c>
      <c r="P24" s="115">
        <f t="shared" si="2"/>
        <v>3.125</v>
      </c>
    </row>
    <row r="25" ht="14.25" customHeight="1">
      <c r="A25" s="116">
        <v>45240.0</v>
      </c>
      <c r="B25" s="116">
        <v>45240.0</v>
      </c>
      <c r="C25" s="116">
        <v>45240.0</v>
      </c>
      <c r="D25" s="109">
        <v>0.0</v>
      </c>
      <c r="E25" s="109">
        <f t="shared" si="3"/>
        <v>100</v>
      </c>
      <c r="F25" s="110">
        <f t="shared" ref="F25:F29" si="12">IF(C25&gt;$D$2,$E$2,"")</f>
        <v>0.0625</v>
      </c>
      <c r="G25" s="109">
        <f t="shared" si="9"/>
        <v>3.125</v>
      </c>
      <c r="H25" s="109">
        <f t="shared" si="4"/>
        <v>3.125</v>
      </c>
      <c r="I25" s="111">
        <f t="shared" si="1"/>
        <v>310</v>
      </c>
      <c r="J25" s="111">
        <f t="shared" si="5"/>
        <v>3.002147158</v>
      </c>
      <c r="K25" s="117" t="str">
        <f t="shared" si="10"/>
        <v/>
      </c>
      <c r="L25" s="112">
        <f t="shared" si="6"/>
        <v>0.02549768819</v>
      </c>
      <c r="M25" s="112">
        <f t="shared" si="7"/>
        <v>0.02235039654</v>
      </c>
      <c r="N25" s="113">
        <f t="shared" si="11"/>
        <v>0</v>
      </c>
      <c r="O25" s="114">
        <f t="shared" si="8"/>
        <v>45240</v>
      </c>
      <c r="P25" s="115">
        <f t="shared" si="2"/>
        <v>3.125</v>
      </c>
      <c r="R25" s="82"/>
    </row>
    <row r="26" ht="14.25" customHeight="1">
      <c r="A26" s="116">
        <v>45422.0</v>
      </c>
      <c r="B26" s="116">
        <v>45422.0</v>
      </c>
      <c r="C26" s="116">
        <v>45422.0</v>
      </c>
      <c r="D26" s="109">
        <v>0.0</v>
      </c>
      <c r="E26" s="109">
        <f t="shared" si="3"/>
        <v>100</v>
      </c>
      <c r="F26" s="110">
        <f t="shared" si="12"/>
        <v>0.0625</v>
      </c>
      <c r="G26" s="109">
        <f t="shared" si="9"/>
        <v>3.125</v>
      </c>
      <c r="H26" s="109">
        <f t="shared" si="4"/>
        <v>3.125</v>
      </c>
      <c r="I26" s="111">
        <f t="shared" si="1"/>
        <v>492</v>
      </c>
      <c r="J26" s="111">
        <f t="shared" si="5"/>
        <v>2.932283107</v>
      </c>
      <c r="K26" s="117" t="str">
        <f t="shared" si="10"/>
        <v/>
      </c>
      <c r="L26" s="112">
        <f t="shared" si="6"/>
        <v>0.03952556955</v>
      </c>
      <c r="M26" s="112">
        <f t="shared" si="7"/>
        <v>0.03547224225</v>
      </c>
      <c r="N26" s="113">
        <f t="shared" si="11"/>
        <v>0</v>
      </c>
      <c r="O26" s="114">
        <f t="shared" si="8"/>
        <v>45422</v>
      </c>
      <c r="P26" s="115">
        <f t="shared" si="2"/>
        <v>3.125</v>
      </c>
      <c r="R26" s="82"/>
    </row>
    <row r="27" ht="14.25" customHeight="1">
      <c r="A27" s="116">
        <v>45606.0</v>
      </c>
      <c r="B27" s="116">
        <v>45606.0</v>
      </c>
      <c r="C27" s="116">
        <v>45606.0</v>
      </c>
      <c r="D27" s="109">
        <v>0.0</v>
      </c>
      <c r="E27" s="109">
        <f t="shared" si="3"/>
        <v>100</v>
      </c>
      <c r="F27" s="110">
        <f t="shared" si="12"/>
        <v>0.0625</v>
      </c>
      <c r="G27" s="109">
        <f t="shared" si="9"/>
        <v>3.125</v>
      </c>
      <c r="H27" s="109">
        <f t="shared" si="4"/>
        <v>3.125</v>
      </c>
      <c r="I27" s="111">
        <f t="shared" si="1"/>
        <v>676</v>
      </c>
      <c r="J27" s="111">
        <f t="shared" si="5"/>
        <v>2.863303906</v>
      </c>
      <c r="K27" s="117" t="str">
        <f t="shared" si="10"/>
        <v/>
      </c>
      <c r="L27" s="112">
        <f t="shared" si="6"/>
        <v>0.05302995728</v>
      </c>
      <c r="M27" s="112">
        <f t="shared" si="7"/>
        <v>0.04873828407</v>
      </c>
      <c r="N27" s="113">
        <f t="shared" si="11"/>
        <v>0</v>
      </c>
      <c r="O27" s="114">
        <f t="shared" si="8"/>
        <v>45606</v>
      </c>
      <c r="P27" s="115">
        <f t="shared" si="2"/>
        <v>3.125</v>
      </c>
      <c r="R27" s="82"/>
    </row>
    <row r="28" ht="14.25" customHeight="1">
      <c r="A28" s="116">
        <v>45787.0</v>
      </c>
      <c r="B28" s="116">
        <v>45787.0</v>
      </c>
      <c r="C28" s="116">
        <v>45787.0</v>
      </c>
      <c r="D28" s="109">
        <v>0.0</v>
      </c>
      <c r="E28" s="109">
        <f t="shared" si="3"/>
        <v>100</v>
      </c>
      <c r="F28" s="110">
        <f t="shared" si="12"/>
        <v>0.0625</v>
      </c>
      <c r="G28" s="109">
        <f t="shared" si="9"/>
        <v>3.125</v>
      </c>
      <c r="H28" s="109">
        <f t="shared" si="4"/>
        <v>3.125</v>
      </c>
      <c r="I28" s="111">
        <f t="shared" si="1"/>
        <v>857</v>
      </c>
      <c r="J28" s="111">
        <f t="shared" si="5"/>
        <v>2.797032772</v>
      </c>
      <c r="K28" s="117" t="str">
        <f t="shared" si="10"/>
        <v/>
      </c>
      <c r="L28" s="112">
        <f t="shared" si="6"/>
        <v>0.06567279686</v>
      </c>
      <c r="M28" s="112">
        <f t="shared" si="7"/>
        <v>0.06178803172</v>
      </c>
      <c r="N28" s="113">
        <f t="shared" si="11"/>
        <v>0</v>
      </c>
      <c r="O28" s="114">
        <f t="shared" si="8"/>
        <v>45787</v>
      </c>
      <c r="P28" s="115">
        <f t="shared" si="2"/>
        <v>3.125</v>
      </c>
      <c r="R28" s="82"/>
    </row>
    <row r="29" ht="14.25" customHeight="1">
      <c r="A29" s="116">
        <v>45971.0</v>
      </c>
      <c r="B29" s="116">
        <v>45971.0</v>
      </c>
      <c r="C29" s="116">
        <v>45971.0</v>
      </c>
      <c r="D29" s="109">
        <v>100.0</v>
      </c>
      <c r="E29" s="109">
        <f t="shared" si="3"/>
        <v>0</v>
      </c>
      <c r="F29" s="110">
        <f t="shared" si="12"/>
        <v>0.0625</v>
      </c>
      <c r="G29" s="109">
        <f t="shared" si="9"/>
        <v>3.125</v>
      </c>
      <c r="H29" s="109">
        <f t="shared" si="4"/>
        <v>103.125</v>
      </c>
      <c r="I29" s="111">
        <f t="shared" si="1"/>
        <v>1041</v>
      </c>
      <c r="J29" s="111">
        <f t="shared" si="5"/>
        <v>90.13076186</v>
      </c>
      <c r="K29" s="117" t="str">
        <f t="shared" si="10"/>
        <v/>
      </c>
      <c r="L29" s="112">
        <f t="shared" si="6"/>
        <v>2.570578715</v>
      </c>
      <c r="M29" s="112">
        <f t="shared" si="7"/>
        <v>2.476784427</v>
      </c>
      <c r="N29" s="113">
        <f t="shared" si="11"/>
        <v>0</v>
      </c>
      <c r="O29" s="114">
        <f t="shared" si="8"/>
        <v>45971</v>
      </c>
      <c r="P29" s="115">
        <f t="shared" si="2"/>
        <v>103.125</v>
      </c>
      <c r="R29" s="82"/>
    </row>
    <row r="30" ht="14.25" customHeight="1">
      <c r="H30" s="118">
        <f>SUMIF(I22:I29,"&gt;0",H22:H29)</f>
        <v>118.75</v>
      </c>
      <c r="I30" s="119">
        <f>+H10</f>
        <v>0.04778410389</v>
      </c>
      <c r="J30" s="119">
        <f>SUM(J22:J29)</f>
        <v>0</v>
      </c>
      <c r="K30" s="120">
        <f>SUM(K22:K29)/$E$22</f>
        <v>1</v>
      </c>
      <c r="L30" s="121">
        <f t="shared" ref="L30:M30" si="13">SUM(L22:L29)</f>
        <v>2.76491797</v>
      </c>
      <c r="M30" s="119">
        <f t="shared" si="13"/>
        <v>2.654217736</v>
      </c>
      <c r="N30" s="141">
        <f>SUM(N24:N29)</f>
        <v>55</v>
      </c>
      <c r="O30" s="123">
        <f>MIN(O24:O29)</f>
        <v>45056</v>
      </c>
    </row>
    <row r="31" ht="14.25" customHeight="1">
      <c r="A31" s="124" t="s">
        <v>178</v>
      </c>
      <c r="B31" s="124" t="s">
        <v>179</v>
      </c>
      <c r="D31" s="124" t="s">
        <v>181</v>
      </c>
      <c r="E31" s="124" t="s">
        <v>182</v>
      </c>
      <c r="F31" s="124" t="s">
        <v>183</v>
      </c>
      <c r="G31" s="124" t="s">
        <v>184</v>
      </c>
    </row>
    <row r="32" ht="14.25" customHeight="1">
      <c r="A32" s="125">
        <v>44033.0</v>
      </c>
      <c r="B32" s="124"/>
      <c r="C32" s="124"/>
      <c r="D32" s="124"/>
      <c r="E32" s="124">
        <v>0.0</v>
      </c>
      <c r="F32" s="124"/>
      <c r="G32" s="124"/>
    </row>
    <row r="33" ht="14.25" customHeight="1">
      <c r="A33" s="125">
        <v>44217.0</v>
      </c>
      <c r="B33" s="124" t="s">
        <v>192</v>
      </c>
      <c r="C33" s="124" t="s">
        <v>193</v>
      </c>
      <c r="D33" s="124">
        <v>36.88</v>
      </c>
      <c r="E33" s="124">
        <v>0.0</v>
      </c>
      <c r="F33" s="124">
        <v>36.88</v>
      </c>
      <c r="G33" s="124" t="s">
        <v>186</v>
      </c>
    </row>
    <row r="34" ht="14.25" customHeight="1">
      <c r="A34" s="125">
        <v>44398.0</v>
      </c>
      <c r="B34" s="124" t="s">
        <v>192</v>
      </c>
      <c r="C34" s="124" t="s">
        <v>193</v>
      </c>
      <c r="D34" s="124">
        <v>36.88</v>
      </c>
      <c r="E34" s="124">
        <v>0.0</v>
      </c>
      <c r="F34" s="124">
        <v>36.88</v>
      </c>
      <c r="G34" s="124" t="s">
        <v>186</v>
      </c>
    </row>
    <row r="35" ht="14.25" customHeight="1">
      <c r="A35" s="125">
        <v>44582.0</v>
      </c>
      <c r="B35" s="124" t="s">
        <v>192</v>
      </c>
      <c r="C35" s="124" t="s">
        <v>193</v>
      </c>
      <c r="D35" s="124">
        <v>36.88</v>
      </c>
      <c r="E35" s="124">
        <v>0.0</v>
      </c>
      <c r="F35" s="124">
        <v>36.88</v>
      </c>
      <c r="G35" s="124" t="s">
        <v>186</v>
      </c>
    </row>
    <row r="36" ht="14.25" customHeight="1">
      <c r="A36" s="125">
        <v>44763.0</v>
      </c>
      <c r="B36" s="124" t="s">
        <v>192</v>
      </c>
      <c r="C36" s="124" t="s">
        <v>193</v>
      </c>
      <c r="D36" s="124">
        <v>36.88</v>
      </c>
      <c r="E36" s="124">
        <v>0.0</v>
      </c>
      <c r="F36" s="124">
        <v>36.88</v>
      </c>
      <c r="G36" s="124" t="s">
        <v>186</v>
      </c>
    </row>
    <row r="37" ht="14.25" customHeight="1">
      <c r="A37" s="125">
        <v>44947.0</v>
      </c>
      <c r="B37" s="124" t="s">
        <v>192</v>
      </c>
      <c r="C37" s="124" t="s">
        <v>193</v>
      </c>
      <c r="D37" s="124">
        <v>36.88</v>
      </c>
      <c r="E37" s="124">
        <v>0.0</v>
      </c>
      <c r="F37" s="124">
        <v>36.88</v>
      </c>
      <c r="G37" s="124" t="s">
        <v>186</v>
      </c>
    </row>
    <row r="38" ht="14.25" customHeight="1">
      <c r="A38" s="125">
        <v>45128.0</v>
      </c>
      <c r="B38" s="124" t="s">
        <v>192</v>
      </c>
      <c r="C38" s="124" t="s">
        <v>193</v>
      </c>
      <c r="D38" s="124">
        <v>36.88</v>
      </c>
      <c r="E38" s="124">
        <v>1000.0</v>
      </c>
      <c r="F38" s="124">
        <v>1036.88</v>
      </c>
      <c r="G38" s="124" t="s">
        <v>186</v>
      </c>
    </row>
    <row r="39" ht="14.25" customHeight="1">
      <c r="A39" s="124"/>
      <c r="B39" s="124"/>
      <c r="C39" s="124"/>
      <c r="D39" s="124"/>
      <c r="E39" s="124"/>
      <c r="F39" s="124"/>
      <c r="G39" s="124"/>
    </row>
    <row r="40" ht="14.25" customHeight="1">
      <c r="A40" s="124"/>
      <c r="B40" s="124"/>
      <c r="C40" s="124"/>
      <c r="D40" s="124"/>
      <c r="E40" s="124"/>
      <c r="F40" s="124"/>
      <c r="G40" s="124"/>
    </row>
    <row r="41" ht="14.25" customHeight="1">
      <c r="A41" s="124"/>
      <c r="B41" s="124"/>
      <c r="C41" s="124"/>
      <c r="D41" s="124"/>
      <c r="E41" s="124"/>
      <c r="F41" s="124"/>
      <c r="G41" s="124"/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