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4800" windowWidth="32000" windowHeight="14150" tabRatio="795" activeTab="6"/>
  </bookViews>
  <sheets>
    <sheet name="lab2" sheetId="1" r:id="rId1"/>
    <sheet name="lab3" sheetId="2" r:id="rId2"/>
    <sheet name="lab4_ПоправкаШироты" sheetId="3" r:id="rId3"/>
    <sheet name="lab4_ПоправкаДолготы" sheetId="4" r:id="rId4"/>
    <sheet name="lab4_ПоправкаВысоты" sheetId="5" r:id="rId5"/>
    <sheet name="lab4_Ведомость(Каталог)" sheetId="6" r:id="rId6"/>
    <sheet name="lab5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7" l="1"/>
  <c r="F5" i="7" l="1"/>
  <c r="J17" i="7"/>
  <c r="C33" i="7"/>
  <c r="C31" i="7"/>
  <c r="C9" i="7"/>
  <c r="C27" i="7" l="1"/>
  <c r="C30" i="7" s="1"/>
  <c r="C14" i="7"/>
  <c r="C32" i="7" s="1"/>
  <c r="C13" i="7"/>
  <c r="B1" i="7"/>
  <c r="C7" i="7"/>
  <c r="C8" i="7" s="1"/>
  <c r="C15" i="7" l="1"/>
  <c r="C16" i="7" s="1"/>
  <c r="C17" i="7" s="1"/>
  <c r="C25" i="7" s="1"/>
  <c r="C29" i="7" s="1"/>
  <c r="C10" i="7"/>
  <c r="C24" i="7" s="1"/>
  <c r="C11" i="7"/>
  <c r="C12" i="7" s="1"/>
  <c r="C33" i="1"/>
  <c r="C30" i="1"/>
  <c r="C31" i="1"/>
  <c r="B5" i="1"/>
  <c r="B5" i="6"/>
  <c r="B4" i="6"/>
  <c r="B3" i="6"/>
  <c r="C25" i="5"/>
  <c r="C24" i="5"/>
  <c r="C21" i="5"/>
  <c r="C18" i="5"/>
  <c r="C17" i="5"/>
  <c r="C14" i="5"/>
  <c r="C15" i="5" s="1"/>
  <c r="C13" i="5"/>
  <c r="C22" i="4"/>
  <c r="C17" i="4"/>
  <c r="C16" i="4"/>
  <c r="C13" i="4"/>
  <c r="C14" i="4" s="1"/>
  <c r="C12" i="4"/>
  <c r="C28" i="3"/>
  <c r="C24" i="3"/>
  <c r="C23" i="3"/>
  <c r="C22" i="3"/>
  <c r="C21" i="3"/>
  <c r="C20" i="3"/>
  <c r="C19" i="3"/>
  <c r="C15" i="3"/>
  <c r="C27" i="3" s="1"/>
  <c r="C14" i="3"/>
  <c r="C26" i="7" l="1"/>
  <c r="C28" i="7"/>
  <c r="J8" i="7" s="1"/>
  <c r="C23" i="7"/>
  <c r="C18" i="7"/>
  <c r="C21" i="7"/>
  <c r="C19" i="7"/>
  <c r="C20" i="7"/>
  <c r="C22" i="7"/>
  <c r="C19" i="5"/>
  <c r="C20" i="5" s="1"/>
  <c r="C22" i="5" s="1"/>
  <c r="C16" i="5"/>
  <c r="C23" i="5" s="1"/>
  <c r="C26" i="5" s="1"/>
  <c r="C18" i="4"/>
  <c r="C21" i="4"/>
  <c r="C23" i="4" s="1"/>
  <c r="C15" i="4"/>
  <c r="C19" i="4" s="1"/>
  <c r="C16" i="3"/>
  <c r="C18" i="3" s="1"/>
  <c r="C11" i="2"/>
  <c r="C12" i="2" s="1"/>
  <c r="C10" i="2"/>
  <c r="C8" i="2"/>
  <c r="C9" i="2"/>
  <c r="J9" i="7" l="1"/>
  <c r="C27" i="5"/>
  <c r="D5" i="6" s="1"/>
  <c r="E5" i="6" s="1"/>
  <c r="C20" i="4"/>
  <c r="C24" i="4" s="1"/>
  <c r="C25" i="4" s="1"/>
  <c r="D4" i="6" s="1"/>
  <c r="E4" i="6" s="1"/>
  <c r="C17" i="3"/>
  <c r="C25" i="3" s="1"/>
  <c r="C26" i="3" s="1"/>
  <c r="C29" i="3" s="1"/>
  <c r="C30" i="3" s="1"/>
  <c r="D3" i="6" s="1"/>
  <c r="E3" i="6" s="1"/>
  <c r="C18" i="1"/>
  <c r="B16" i="1"/>
  <c r="B15" i="1"/>
  <c r="B14" i="1"/>
  <c r="B13" i="1"/>
  <c r="C11" i="1"/>
  <c r="C13" i="1" s="1"/>
  <c r="C12" i="1"/>
  <c r="C25" i="1" s="1"/>
  <c r="C10" i="1"/>
  <c r="C15" i="1" s="1"/>
  <c r="J11" i="7" l="1"/>
  <c r="J12" i="7" s="1"/>
  <c r="J10" i="7"/>
  <c r="J7" i="7"/>
  <c r="C14" i="1"/>
  <c r="C16" i="1"/>
  <c r="C17" i="1"/>
  <c r="C20" i="1" s="1"/>
  <c r="C29" i="1" s="1"/>
  <c r="C24" i="1"/>
  <c r="J14" i="7" l="1"/>
  <c r="J15" i="7" s="1"/>
  <c r="C34" i="1"/>
  <c r="C23" i="1"/>
  <c r="C7" i="2"/>
  <c r="C15" i="2"/>
  <c r="C4" i="6" s="1"/>
  <c r="F4" i="6" s="1"/>
  <c r="J13" i="7" l="1"/>
  <c r="J18" i="7"/>
  <c r="J16" i="7"/>
  <c r="C35" i="1"/>
  <c r="E36" i="1" s="1"/>
  <c r="C13" i="2"/>
  <c r="J21" i="7" l="1"/>
  <c r="J20" i="7"/>
  <c r="J23" i="7"/>
  <c r="J19" i="7"/>
  <c r="J24" i="7" s="1"/>
  <c r="J22" i="7"/>
  <c r="C36" i="1"/>
  <c r="C17" i="2"/>
  <c r="C14" i="2"/>
  <c r="C16" i="2"/>
  <c r="J25" i="7" l="1"/>
  <c r="J26" i="7" s="1"/>
  <c r="J30" i="7" s="1"/>
  <c r="C19" i="2"/>
  <c r="C3" i="6"/>
  <c r="F3" i="6" s="1"/>
  <c r="C18" i="2"/>
  <c r="C20" i="2"/>
  <c r="J31" i="7" l="1"/>
  <c r="J32" i="7" s="1"/>
  <c r="J29" i="7"/>
  <c r="J27" i="7"/>
  <c r="J28" i="7" s="1"/>
  <c r="C21" i="2"/>
  <c r="C5" i="6" s="1"/>
  <c r="F5" i="6" s="1"/>
</calcChain>
</file>

<file path=xl/sharedStrings.xml><?xml version="1.0" encoding="utf-8"?>
<sst xmlns="http://schemas.openxmlformats.org/spreadsheetml/2006/main" count="274" uniqueCount="185">
  <si>
    <t>X=</t>
  </si>
  <si>
    <t>Y=</t>
  </si>
  <si>
    <t>Z=</t>
  </si>
  <si>
    <t>№</t>
  </si>
  <si>
    <t>формула, обозначение</t>
  </si>
  <si>
    <t>результат вычисления</t>
  </si>
  <si>
    <t>Примечание</t>
  </si>
  <si>
    <t>Xск-42</t>
  </si>
  <si>
    <t>Yск - 42</t>
  </si>
  <si>
    <t>Zск-42</t>
  </si>
  <si>
    <t>исходные координаты СК-42</t>
  </si>
  <si>
    <t>Элементы Матраицы Преобразования</t>
  </si>
  <si>
    <t>Координаты ПЗ-90</t>
  </si>
  <si>
    <t>Координаты СК-95</t>
  </si>
  <si>
    <t>Разности исходных и Преобразованииых координат</t>
  </si>
  <si>
    <t>Xпз-90 = (1)+(4)+(7)+25</t>
  </si>
  <si>
    <t>Yпз-90 = (2)+(5)-141</t>
  </si>
  <si>
    <t>Zпз-90 = (9)+130.94</t>
  </si>
  <si>
    <t>Xпз-95 = (8)-25.90</t>
  </si>
  <si>
    <t>Yпз-95 = (9) +130.94</t>
  </si>
  <si>
    <t>Zпз-95 = (10)81.76</t>
  </si>
  <si>
    <t>D =</t>
  </si>
  <si>
    <r>
      <t xml:space="preserve">L </t>
    </r>
    <r>
      <rPr>
        <sz val="11"/>
        <color theme="1"/>
        <rFont val="Calibri"/>
        <family val="2"/>
      </rPr>
      <t>ᵅ</t>
    </r>
    <r>
      <rPr>
        <sz val="11"/>
        <color theme="1"/>
        <rFont val="Calibri"/>
        <family val="2"/>
        <scheme val="minor"/>
      </rPr>
      <t xml:space="preserve"> =</t>
    </r>
  </si>
  <si>
    <t>e^2 =</t>
  </si>
  <si>
    <t>B =</t>
  </si>
  <si>
    <t>a =</t>
  </si>
  <si>
    <t>N =</t>
  </si>
  <si>
    <t>H =</t>
  </si>
  <si>
    <t>Xск-95</t>
  </si>
  <si>
    <t>Yск-95</t>
  </si>
  <si>
    <t>Zск-95</t>
  </si>
  <si>
    <t>Прямоугольная абсцисса</t>
  </si>
  <si>
    <t>Прямоугольная ордината</t>
  </si>
  <si>
    <t>Прямоугольная аппликата</t>
  </si>
  <si>
    <t>a</t>
  </si>
  <si>
    <t>e^2</t>
  </si>
  <si>
    <t>1-e^2</t>
  </si>
  <si>
    <t>Большая полуось эллипсоида</t>
  </si>
  <si>
    <t>Квадрат первого эксцентриситета</t>
  </si>
  <si>
    <t>Полярное Расстояние</t>
  </si>
  <si>
    <t>D</t>
  </si>
  <si>
    <t>D(1-e^2)</t>
  </si>
  <si>
    <t>L</t>
  </si>
  <si>
    <t>B</t>
  </si>
  <si>
    <t>sin B</t>
  </si>
  <si>
    <t>cos B</t>
  </si>
  <si>
    <t>N</t>
  </si>
  <si>
    <t>Радиус кривизны первого вертикала</t>
  </si>
  <si>
    <t>H</t>
  </si>
  <si>
    <t>Высота Hск-95</t>
  </si>
  <si>
    <t>Долгота Lск-95</t>
  </si>
  <si>
    <t>Долгота (контроль) Lск-95</t>
  </si>
  <si>
    <t>Широта Lск-95</t>
  </si>
  <si>
    <t>Bск-42</t>
  </si>
  <si>
    <t>Lск-42</t>
  </si>
  <si>
    <t>Hск-42</t>
  </si>
  <si>
    <t>Широта СК-42</t>
  </si>
  <si>
    <t>Долгота СК-42</t>
  </si>
  <si>
    <t>Высота СК-42</t>
  </si>
  <si>
    <t>Δx</t>
  </si>
  <si>
    <t>Δy</t>
  </si>
  <si>
    <t>Δz</t>
  </si>
  <si>
    <t>ΔX(ск95-42)</t>
  </si>
  <si>
    <t>ΔY(ск95-42)</t>
  </si>
  <si>
    <t>ΔZ(ск95-42)</t>
  </si>
  <si>
    <t>Смещение абсциссы</t>
  </si>
  <si>
    <t>Смещение ординаты</t>
  </si>
  <si>
    <t>Смещение аппликаты</t>
  </si>
  <si>
    <t>ξy</t>
  </si>
  <si>
    <t>ξz</t>
  </si>
  <si>
    <t>Поворот относительно оси Z</t>
  </si>
  <si>
    <t>поворт относительно оси Y</t>
  </si>
  <si>
    <t>Квадрат первого Эксцентриситета</t>
  </si>
  <si>
    <t>W = sqrt(1-e^2*sin^2*B)</t>
  </si>
  <si>
    <t>Сфероидическая функция</t>
  </si>
  <si>
    <t>M = a(1-e^2)/W^3</t>
  </si>
  <si>
    <t>Δx*cosL</t>
  </si>
  <si>
    <t>Δy*sinL</t>
  </si>
  <si>
    <t>N = a/W</t>
  </si>
  <si>
    <t>Радиус кривизны мерирдианного эллипса</t>
  </si>
  <si>
    <t>sinB</t>
  </si>
  <si>
    <t>.-((14)+(15))*(16)</t>
  </si>
  <si>
    <t>Δz*cosB</t>
  </si>
  <si>
    <t>(17)+(18)</t>
  </si>
  <si>
    <t>ρ=</t>
  </si>
  <si>
    <t>ρ/(M+H)</t>
  </si>
  <si>
    <t>(19)*(20)</t>
  </si>
  <si>
    <t>1+e^2*cos2B</t>
  </si>
  <si>
    <t>ξy*cosL*(15)</t>
  </si>
  <si>
    <t>ΔB = (23)+(21)</t>
  </si>
  <si>
    <t>Поправка широты</t>
  </si>
  <si>
    <t>ΔB</t>
  </si>
  <si>
    <t>2.1*10^-5</t>
  </si>
  <si>
    <t>Δy*cosL</t>
  </si>
  <si>
    <t>.-Δx*sinL</t>
  </si>
  <si>
    <t>(12)+(13)</t>
  </si>
  <si>
    <t>ρ/((M+H)cosB)</t>
  </si>
  <si>
    <t>(14)*(15)</t>
  </si>
  <si>
    <t>(1-e^2)tgB</t>
  </si>
  <si>
    <t>ξy*sinL</t>
  </si>
  <si>
    <t>(17)*(18)</t>
  </si>
  <si>
    <r>
      <t xml:space="preserve">(16)+(19)-(7) = </t>
    </r>
    <r>
      <rPr>
        <sz val="11"/>
        <color theme="1"/>
        <rFont val="Calibri"/>
        <family val="2"/>
      </rPr>
      <t>ΔL</t>
    </r>
  </si>
  <si>
    <t>ΔL</t>
  </si>
  <si>
    <t>Поправка Долготы</t>
  </si>
  <si>
    <t>Поправка Высоты</t>
  </si>
  <si>
    <t>(14)+(15)</t>
  </si>
  <si>
    <t>(16)*cosB</t>
  </si>
  <si>
    <t>Δz*sinB</t>
  </si>
  <si>
    <t>N*e^2</t>
  </si>
  <si>
    <t>sinBcosB</t>
  </si>
  <si>
    <r>
      <t>.-</t>
    </r>
    <r>
      <rPr>
        <sz val="11"/>
        <color theme="1"/>
        <rFont val="Calibri"/>
        <family val="2"/>
      </rPr>
      <t>ξycosL/ρ</t>
    </r>
  </si>
  <si>
    <t>(20)*(21)*(22)</t>
  </si>
  <si>
    <t>ΔH = (19)-(23)</t>
  </si>
  <si>
    <t>Широта</t>
  </si>
  <si>
    <t>Долгота</t>
  </si>
  <si>
    <t>Высота</t>
  </si>
  <si>
    <t>Система СК-42 (исходные координаты)</t>
  </si>
  <si>
    <t>Система СК-95 (последовательное преобразование)(1)</t>
  </si>
  <si>
    <t>Поправка</t>
  </si>
  <si>
    <t>Система СК-95 (контрольное преобразование)(2)</t>
  </si>
  <si>
    <t>Δ = (2)-(1)</t>
  </si>
  <si>
    <t>Ведомость (каталог)</t>
  </si>
  <si>
    <t xml:space="preserve">1-e^2 = </t>
  </si>
  <si>
    <r>
      <t>B</t>
    </r>
    <r>
      <rPr>
        <sz val="11"/>
        <color theme="1"/>
        <rFont val="Calibri"/>
        <family val="2"/>
      </rPr>
      <t>◦</t>
    </r>
  </si>
  <si>
    <t>B"</t>
  </si>
  <si>
    <t>ρ" =</t>
  </si>
  <si>
    <r>
      <t>B"/</t>
    </r>
    <r>
      <rPr>
        <sz val="11"/>
        <color theme="1"/>
        <rFont val="Calibri"/>
        <family val="2"/>
      </rPr>
      <t>ρ"</t>
    </r>
  </si>
  <si>
    <t>Sin B</t>
  </si>
  <si>
    <t>Исходная широта (ск-95)</t>
  </si>
  <si>
    <t>Cos B</t>
  </si>
  <si>
    <t>Cos^2 (B)</t>
  </si>
  <si>
    <t>L◦</t>
  </si>
  <si>
    <r>
      <t>L</t>
    </r>
    <r>
      <rPr>
        <sz val="11"/>
        <color theme="1"/>
        <rFont val="Calibri"/>
        <family val="2"/>
      </rPr>
      <t>ₒ</t>
    </r>
  </si>
  <si>
    <t>n =</t>
  </si>
  <si>
    <t>Lₒ = 6n-3◦</t>
  </si>
  <si>
    <t>Исходная долгота (ск-95)</t>
  </si>
  <si>
    <t>долгота осевого меридиана зоны</t>
  </si>
  <si>
    <r>
      <t>I</t>
    </r>
    <r>
      <rPr>
        <sz val="11"/>
        <color theme="1"/>
        <rFont val="Calibri"/>
        <family val="2"/>
      </rPr>
      <t>◦ = L-Lₒ</t>
    </r>
  </si>
  <si>
    <t>I"</t>
  </si>
  <si>
    <r>
      <t>I = I"/</t>
    </r>
    <r>
      <rPr>
        <sz val="11"/>
        <color theme="1"/>
        <rFont val="Calibri"/>
        <family val="2"/>
      </rPr>
      <t>ρ"</t>
    </r>
  </si>
  <si>
    <t>aₒ</t>
  </si>
  <si>
    <t>a4</t>
  </si>
  <si>
    <t>a6</t>
  </si>
  <si>
    <t>a3</t>
  </si>
  <si>
    <t>a5</t>
  </si>
  <si>
    <t xml:space="preserve">sin B cos B </t>
  </si>
  <si>
    <t>I^2</t>
  </si>
  <si>
    <t>6 367 558.4969*(B"/ρ")</t>
  </si>
  <si>
    <t>N*I^2</t>
  </si>
  <si>
    <t>X</t>
  </si>
  <si>
    <t>1+(a3+a5*l^2)*l^2</t>
  </si>
  <si>
    <t>(21)/cos B</t>
  </si>
  <si>
    <t>Yест</t>
  </si>
  <si>
    <t>n =(Lₒ+3◦)/6</t>
  </si>
  <si>
    <t>естественная ордината</t>
  </si>
  <si>
    <t>Номер зоны</t>
  </si>
  <si>
    <t>Условная ордината</t>
  </si>
  <si>
    <t>Yусл</t>
  </si>
  <si>
    <t>Исходнные is the result from СК-95  (табл. 9)</t>
  </si>
  <si>
    <t>(табл. 10)</t>
  </si>
  <si>
    <t>β, рад</t>
  </si>
  <si>
    <t>β"</t>
  </si>
  <si>
    <t>Sin β</t>
  </si>
  <si>
    <r>
      <t xml:space="preserve">Cos </t>
    </r>
    <r>
      <rPr>
        <sz val="11"/>
        <color theme="1"/>
        <rFont val="Calibri"/>
        <family val="2"/>
      </rPr>
      <t>β</t>
    </r>
  </si>
  <si>
    <r>
      <t xml:space="preserve">Cos^2 </t>
    </r>
    <r>
      <rPr>
        <sz val="11"/>
        <color theme="1"/>
        <rFont val="Calibri"/>
        <family val="2"/>
      </rPr>
      <t>β</t>
    </r>
  </si>
  <si>
    <t>Bx, рад.</t>
  </si>
  <si>
    <t>Bx"</t>
  </si>
  <si>
    <r>
      <t>Bx</t>
    </r>
    <r>
      <rPr>
        <sz val="11"/>
        <color theme="1"/>
        <rFont val="Calibri"/>
        <family val="2"/>
      </rPr>
      <t>◦</t>
    </r>
  </si>
  <si>
    <t>Sin Bx</t>
  </si>
  <si>
    <t>Cos Bx</t>
  </si>
  <si>
    <t>Cos^2 Bx</t>
  </si>
  <si>
    <t>z</t>
  </si>
  <si>
    <t>z^2</t>
  </si>
  <si>
    <t>[1-(b4-0.12*z^2)*z^2]*z^2*b2</t>
  </si>
  <si>
    <t>ρ"[21]</t>
  </si>
  <si>
    <t>[1-(b3-b5*z^2)*z^2]*z</t>
  </si>
  <si>
    <t>l = [24]*ρ"</t>
  </si>
  <si>
    <t>L = Lₒ + L</t>
  </si>
  <si>
    <t>β◦</t>
  </si>
  <si>
    <t>Nx</t>
  </si>
  <si>
    <t>Nx Cos Bx</t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</si>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</sst>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00000"/>
    <numFmt numFmtId="167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7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166" fontId="0" fillId="3" borderId="1" xfId="0" applyNumberFormat="1" applyFill="1" applyBorder="1"/>
    <xf numFmtId="167" fontId="0" fillId="3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readingOrder="1"/>
    </xf>
    <xf numFmtId="0" fontId="0" fillId="5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C35" sqref="C35"/>
    </sheetView>
  </sheetViews>
  <sheetFormatPr defaultRowHeight="14.5" x14ac:dyDescent="0.35"/>
  <cols>
    <col min="2" max="2" width="22.81640625" bestFit="1" customWidth="1"/>
    <col min="3" max="3" width="22" bestFit="1" customWidth="1"/>
    <col min="4" max="4" width="20.1796875" bestFit="1" customWidth="1"/>
    <col min="5" max="5" width="11.7265625" bestFit="1" customWidth="1"/>
  </cols>
  <sheetData>
    <row r="1" spans="1:4" x14ac:dyDescent="0.35">
      <c r="A1" t="s">
        <v>0</v>
      </c>
      <c r="B1">
        <v>3130733.49</v>
      </c>
    </row>
    <row r="2" spans="1:4" x14ac:dyDescent="0.35">
      <c r="A2" t="s">
        <v>1</v>
      </c>
      <c r="B2">
        <v>3714026.62</v>
      </c>
    </row>
    <row r="3" spans="1:4" x14ac:dyDescent="0.35">
      <c r="A3" t="s">
        <v>2</v>
      </c>
      <c r="B3">
        <v>4106038.14</v>
      </c>
    </row>
    <row r="4" spans="1:4" x14ac:dyDescent="0.35">
      <c r="A4" t="s">
        <v>23</v>
      </c>
      <c r="B4">
        <v>6.6934300000000002E-3</v>
      </c>
    </row>
    <row r="5" spans="1:4" x14ac:dyDescent="0.35">
      <c r="A5" t="s">
        <v>122</v>
      </c>
      <c r="B5">
        <f>1-B4</f>
        <v>0.99330657</v>
      </c>
    </row>
    <row r="6" spans="1:4" x14ac:dyDescent="0.35">
      <c r="A6" t="s">
        <v>25</v>
      </c>
      <c r="B6">
        <v>6378245</v>
      </c>
    </row>
    <row r="8" spans="1:4" x14ac:dyDescent="0.35">
      <c r="A8" s="1" t="s">
        <v>3</v>
      </c>
      <c r="B8" s="1" t="s">
        <v>4</v>
      </c>
      <c r="C8" s="1" t="s">
        <v>5</v>
      </c>
      <c r="D8" s="1" t="s">
        <v>6</v>
      </c>
    </row>
    <row r="9" spans="1:4" x14ac:dyDescent="0.35">
      <c r="A9" s="1">
        <v>1</v>
      </c>
      <c r="B9" s="1">
        <v>2</v>
      </c>
      <c r="C9" s="1">
        <v>3</v>
      </c>
      <c r="D9" s="1">
        <v>4</v>
      </c>
    </row>
    <row r="10" spans="1:4" x14ac:dyDescent="0.35">
      <c r="A10" s="2">
        <v>1</v>
      </c>
      <c r="B10" s="2" t="s">
        <v>7</v>
      </c>
      <c r="C10" s="2">
        <f>B1</f>
        <v>3130733.49</v>
      </c>
      <c r="D10" s="32" t="s">
        <v>10</v>
      </c>
    </row>
    <row r="11" spans="1:4" x14ac:dyDescent="0.35">
      <c r="A11" s="2">
        <v>2</v>
      </c>
      <c r="B11" s="2" t="s">
        <v>8</v>
      </c>
      <c r="C11" s="2">
        <f>B2</f>
        <v>3714026.62</v>
      </c>
      <c r="D11" s="32"/>
    </row>
    <row r="12" spans="1:4" x14ac:dyDescent="0.35">
      <c r="A12" s="2">
        <v>3</v>
      </c>
      <c r="B12" s="2" t="s">
        <v>9</v>
      </c>
      <c r="C12" s="2">
        <f>B3</f>
        <v>4106038.14</v>
      </c>
      <c r="D12" s="32"/>
    </row>
    <row r="13" spans="1:4" x14ac:dyDescent="0.35">
      <c r="A13" s="2">
        <v>4</v>
      </c>
      <c r="B13" s="2" t="str">
        <f>"-Yск-42*3.3*10^-6"</f>
        <v>-Yск-42*3.3*10^-6</v>
      </c>
      <c r="C13" s="2">
        <f>-C11*(3.3*10^(-6))</f>
        <v>-12.256287845999999</v>
      </c>
      <c r="D13" s="32" t="s">
        <v>11</v>
      </c>
    </row>
    <row r="14" spans="1:4" x14ac:dyDescent="0.35">
      <c r="A14" s="2">
        <v>5</v>
      </c>
      <c r="B14" s="2" t="str">
        <f>"Xск-42*3.3*10^-6"</f>
        <v>Xск-42*3.3*10^-6</v>
      </c>
      <c r="C14" s="2">
        <f>C10*(3.3*10^(-6))</f>
        <v>10.331420517</v>
      </c>
      <c r="D14" s="32"/>
    </row>
    <row r="15" spans="1:4" x14ac:dyDescent="0.35">
      <c r="A15" s="2">
        <v>6</v>
      </c>
      <c r="B15" s="2" t="str">
        <f>"-Xск-42*1.8*10^-6"</f>
        <v>-Xск-42*1.8*10^-6</v>
      </c>
      <c r="C15" s="2">
        <f>-C10*(1.8*(10^-6))</f>
        <v>-5.6353202820000003</v>
      </c>
      <c r="D15" s="32"/>
    </row>
    <row r="16" spans="1:4" x14ac:dyDescent="0.35">
      <c r="A16" s="2">
        <v>7</v>
      </c>
      <c r="B16" s="2" t="str">
        <f>"Zск-42*1.8*10^-6"</f>
        <v>Zск-42*1.8*10^-6</v>
      </c>
      <c r="C16" s="2">
        <f>C12*(1.8*(10^-6))</f>
        <v>7.390868652</v>
      </c>
      <c r="D16" s="32"/>
    </row>
    <row r="17" spans="1:4" x14ac:dyDescent="0.35">
      <c r="A17" s="2">
        <v>8</v>
      </c>
      <c r="B17" s="2" t="s">
        <v>15</v>
      </c>
      <c r="C17" s="2">
        <f>C10+C13+C16+25</f>
        <v>3130753.6245808066</v>
      </c>
      <c r="D17" s="32" t="s">
        <v>12</v>
      </c>
    </row>
    <row r="18" spans="1:4" x14ac:dyDescent="0.35">
      <c r="A18" s="2">
        <v>9</v>
      </c>
      <c r="B18" s="2" t="s">
        <v>16</v>
      </c>
      <c r="C18" s="2">
        <f>3713895.9314205</f>
        <v>3713895.9314204999</v>
      </c>
      <c r="D18" s="32"/>
    </row>
    <row r="19" spans="1:4" x14ac:dyDescent="0.35">
      <c r="A19" s="2">
        <v>10</v>
      </c>
      <c r="B19" s="2" t="s">
        <v>17</v>
      </c>
      <c r="C19" s="2">
        <v>4105952.4646796999</v>
      </c>
      <c r="D19" s="32"/>
    </row>
    <row r="20" spans="1:4" x14ac:dyDescent="0.35">
      <c r="A20" s="2">
        <v>11</v>
      </c>
      <c r="B20" s="2" t="s">
        <v>18</v>
      </c>
      <c r="C20" s="2">
        <f>C17-25.9</f>
        <v>3130727.7245808067</v>
      </c>
      <c r="D20" s="32" t="s">
        <v>13</v>
      </c>
    </row>
    <row r="21" spans="1:4" x14ac:dyDescent="0.35">
      <c r="A21" s="2">
        <v>12</v>
      </c>
      <c r="B21" s="2" t="s">
        <v>19</v>
      </c>
      <c r="C21" s="2">
        <v>3714026.8714204999</v>
      </c>
      <c r="D21" s="32"/>
    </row>
    <row r="22" spans="1:4" x14ac:dyDescent="0.35">
      <c r="A22" s="2">
        <v>13</v>
      </c>
      <c r="B22" s="2" t="s">
        <v>20</v>
      </c>
      <c r="C22" s="2">
        <v>4106034.2246797001</v>
      </c>
      <c r="D22" s="32"/>
    </row>
    <row r="23" spans="1:4" x14ac:dyDescent="0.35">
      <c r="A23" s="2">
        <v>14</v>
      </c>
      <c r="B23" s="2" t="s">
        <v>62</v>
      </c>
      <c r="C23" s="2">
        <f>C20-C10</f>
        <v>-5.7654191935434937</v>
      </c>
      <c r="D23" s="32" t="s">
        <v>14</v>
      </c>
    </row>
    <row r="24" spans="1:4" x14ac:dyDescent="0.35">
      <c r="A24" s="2">
        <v>15</v>
      </c>
      <c r="B24" s="2" t="s">
        <v>63</v>
      </c>
      <c r="C24" s="2">
        <f>C21-C11</f>
        <v>0.25142049975693226</v>
      </c>
      <c r="D24" s="32"/>
    </row>
    <row r="25" spans="1:4" x14ac:dyDescent="0.35">
      <c r="A25" s="2">
        <v>16</v>
      </c>
      <c r="B25" s="2" t="s">
        <v>64</v>
      </c>
      <c r="C25" s="2">
        <f>C22-C12</f>
        <v>-3.9153203000314534</v>
      </c>
      <c r="D25" s="32"/>
    </row>
    <row r="29" spans="1:4" x14ac:dyDescent="0.35">
      <c r="B29" s="2" t="s">
        <v>18</v>
      </c>
      <c r="C29" s="5">
        <f>C20</f>
        <v>3130727.7245808067</v>
      </c>
    </row>
    <row r="30" spans="1:4" x14ac:dyDescent="0.35">
      <c r="B30" s="2" t="s">
        <v>19</v>
      </c>
      <c r="C30" s="5">
        <f>C21</f>
        <v>3714026.8714204999</v>
      </c>
    </row>
    <row r="31" spans="1:4" x14ac:dyDescent="0.35">
      <c r="B31" s="2" t="s">
        <v>20</v>
      </c>
      <c r="C31" s="5">
        <f>C22</f>
        <v>4106034.2246797001</v>
      </c>
    </row>
    <row r="32" spans="1:4" x14ac:dyDescent="0.35">
      <c r="B32" s="5"/>
      <c r="C32" s="5"/>
    </row>
    <row r="33" spans="2:5" x14ac:dyDescent="0.35">
      <c r="B33" s="6" t="s">
        <v>21</v>
      </c>
      <c r="C33" s="5">
        <f>SQRT(C29^2+C30^2)</f>
        <v>4857514.9703415697</v>
      </c>
    </row>
    <row r="34" spans="2:5" x14ac:dyDescent="0.35">
      <c r="B34" s="6" t="s">
        <v>22</v>
      </c>
      <c r="C34" s="5">
        <f>DEGREES(ATAN(C30/C29))</f>
        <v>49.870887256233118</v>
      </c>
    </row>
    <row r="35" spans="2:5" x14ac:dyDescent="0.35">
      <c r="B35" s="6" t="s">
        <v>24</v>
      </c>
      <c r="C35" s="5">
        <f>DEGREES(ATAN((C31)/(C33*(1-B4))))</f>
        <v>40.397493499544744</v>
      </c>
    </row>
    <row r="36" spans="2:5" x14ac:dyDescent="0.35">
      <c r="B36" s="6" t="s">
        <v>27</v>
      </c>
      <c r="C36" s="5">
        <f>(C33/COS(RADIANS(C35)))-E36</f>
        <v>-3496440.2957393732</v>
      </c>
      <c r="D36" s="6" t="s">
        <v>26</v>
      </c>
      <c r="E36" s="5">
        <f>B6/SQRT(B5*(SIN(RADIANS(C35))^2))</f>
        <v>9874759.1298959423</v>
      </c>
    </row>
  </sheetData>
  <mergeCells count="5">
    <mergeCell ref="D10:D12"/>
    <mergeCell ref="D13:D16"/>
    <mergeCell ref="D17:D19"/>
    <mergeCell ref="D20:D22"/>
    <mergeCell ref="D23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1"/>
  <sheetViews>
    <sheetView workbookViewId="0">
      <selection activeCell="C16" sqref="C16"/>
    </sheetView>
  </sheetViews>
  <sheetFormatPr defaultRowHeight="14.5" x14ac:dyDescent="0.35"/>
  <cols>
    <col min="2" max="2" width="22.81640625" bestFit="1" customWidth="1"/>
    <col min="3" max="3" width="22" bestFit="1" customWidth="1"/>
    <col min="4" max="4" width="47" bestFit="1" customWidth="1"/>
  </cols>
  <sheetData>
    <row r="6" spans="1:4" x14ac:dyDescent="0.35">
      <c r="A6" s="1" t="s">
        <v>3</v>
      </c>
      <c r="B6" s="1" t="s">
        <v>4</v>
      </c>
      <c r="C6" s="1" t="s">
        <v>5</v>
      </c>
      <c r="D6" s="1" t="s">
        <v>6</v>
      </c>
    </row>
    <row r="7" spans="1:4" x14ac:dyDescent="0.35">
      <c r="A7" s="1">
        <v>1</v>
      </c>
      <c r="B7" s="1" t="s">
        <v>28</v>
      </c>
      <c r="C7" s="1">
        <f>'lab2'!C29</f>
        <v>3130727.7245808067</v>
      </c>
      <c r="D7" s="7" t="s">
        <v>31</v>
      </c>
    </row>
    <row r="8" spans="1:4" x14ac:dyDescent="0.35">
      <c r="A8" s="2">
        <v>2</v>
      </c>
      <c r="B8" s="1" t="s">
        <v>29</v>
      </c>
      <c r="C8" s="2">
        <f>'lab2'!C30</f>
        <v>3714026.8714204999</v>
      </c>
      <c r="D8" s="7" t="s">
        <v>32</v>
      </c>
    </row>
    <row r="9" spans="1:4" x14ac:dyDescent="0.35">
      <c r="A9" s="1">
        <v>3</v>
      </c>
      <c r="B9" s="1" t="s">
        <v>30</v>
      </c>
      <c r="C9" s="2">
        <f>'lab2'!C31</f>
        <v>4106034.2246797001</v>
      </c>
      <c r="D9" s="7" t="s">
        <v>33</v>
      </c>
    </row>
    <row r="10" spans="1:4" x14ac:dyDescent="0.35">
      <c r="A10" s="2">
        <v>4</v>
      </c>
      <c r="B10" s="2" t="s">
        <v>34</v>
      </c>
      <c r="C10" s="2">
        <f>'lab2'!$B$6</f>
        <v>6378245</v>
      </c>
      <c r="D10" s="3" t="s">
        <v>37</v>
      </c>
    </row>
    <row r="11" spans="1:4" x14ac:dyDescent="0.35">
      <c r="A11" s="1">
        <v>5</v>
      </c>
      <c r="B11" s="2" t="s">
        <v>35</v>
      </c>
      <c r="C11" s="2">
        <f>'lab2'!$B$4</f>
        <v>6.6934300000000002E-3</v>
      </c>
      <c r="D11" s="3" t="s">
        <v>38</v>
      </c>
    </row>
    <row r="12" spans="1:4" x14ac:dyDescent="0.35">
      <c r="A12" s="2">
        <v>6</v>
      </c>
      <c r="B12" s="2" t="s">
        <v>36</v>
      </c>
      <c r="C12" s="2">
        <f>1-C11</f>
        <v>0.99330657</v>
      </c>
      <c r="D12" s="3"/>
    </row>
    <row r="13" spans="1:4" x14ac:dyDescent="0.35">
      <c r="A13" s="1">
        <v>7</v>
      </c>
      <c r="B13" s="2" t="s">
        <v>40</v>
      </c>
      <c r="C13" s="2">
        <f>'lab2'!$C$33</f>
        <v>4857514.9703415697</v>
      </c>
      <c r="D13" s="3" t="s">
        <v>39</v>
      </c>
    </row>
    <row r="14" spans="1:4" x14ac:dyDescent="0.35">
      <c r="A14" s="2">
        <v>8</v>
      </c>
      <c r="B14" s="2" t="s">
        <v>41</v>
      </c>
      <c r="C14" s="2">
        <f>C13*C12</f>
        <v>4825001.5339136366</v>
      </c>
      <c r="D14" s="3"/>
    </row>
    <row r="15" spans="1:4" x14ac:dyDescent="0.35">
      <c r="A15" s="1">
        <v>9</v>
      </c>
      <c r="B15" s="2" t="s">
        <v>42</v>
      </c>
      <c r="C15" s="8">
        <f>'lab2'!$C$34</f>
        <v>49.870887256233118</v>
      </c>
      <c r="D15" s="3" t="s">
        <v>50</v>
      </c>
    </row>
    <row r="16" spans="1:4" x14ac:dyDescent="0.35">
      <c r="A16" s="2">
        <v>10</v>
      </c>
      <c r="B16" s="2" t="s">
        <v>42</v>
      </c>
      <c r="C16" s="2">
        <f>DEGREES(ASIN(C8/C13))</f>
        <v>49.870887256233118</v>
      </c>
      <c r="D16" s="3" t="s">
        <v>51</v>
      </c>
    </row>
    <row r="17" spans="1:4" x14ac:dyDescent="0.35">
      <c r="A17" s="1">
        <v>11</v>
      </c>
      <c r="B17" s="2" t="s">
        <v>43</v>
      </c>
      <c r="C17" s="2">
        <f>'lab2'!$C$35</f>
        <v>40.397493499544744</v>
      </c>
      <c r="D17" s="3" t="s">
        <v>52</v>
      </c>
    </row>
    <row r="18" spans="1:4" x14ac:dyDescent="0.35">
      <c r="A18" s="2">
        <v>12</v>
      </c>
      <c r="B18" s="2" t="s">
        <v>44</v>
      </c>
      <c r="C18" s="2">
        <f>SIN(RADIANS(C17))</f>
        <v>0.64808658566601662</v>
      </c>
      <c r="D18" s="3"/>
    </row>
    <row r="19" spans="1:4" x14ac:dyDescent="0.35">
      <c r="A19" s="1">
        <v>13</v>
      </c>
      <c r="B19" s="2" t="s">
        <v>45</v>
      </c>
      <c r="C19" s="2">
        <f>COS(RADIANS(C17))</f>
        <v>0.76156665990559547</v>
      </c>
      <c r="D19" s="3"/>
    </row>
    <row r="20" spans="1:4" x14ac:dyDescent="0.35">
      <c r="A20" s="2">
        <v>14</v>
      </c>
      <c r="B20" s="2" t="s">
        <v>46</v>
      </c>
      <c r="C20" s="2">
        <f>'lab2'!$E$36</f>
        <v>9874759.1298959423</v>
      </c>
      <c r="D20" s="3" t="s">
        <v>47</v>
      </c>
    </row>
    <row r="21" spans="1:4" x14ac:dyDescent="0.35">
      <c r="A21" s="1">
        <v>15</v>
      </c>
      <c r="B21" s="2" t="s">
        <v>48</v>
      </c>
      <c r="C21" s="2">
        <f>C13/C19-C20</f>
        <v>-3496440.2957393732</v>
      </c>
      <c r="D21" s="3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0" workbookViewId="0">
      <selection activeCell="D29" sqref="A4:D31"/>
    </sheetView>
  </sheetViews>
  <sheetFormatPr defaultRowHeight="14.5" x14ac:dyDescent="0.35"/>
  <cols>
    <col min="2" max="2" width="22.81640625" bestFit="1" customWidth="1"/>
    <col min="3" max="3" width="22" bestFit="1" customWidth="1"/>
    <col min="4" max="4" width="49.7265625" bestFit="1" customWidth="1"/>
    <col min="7" max="7" width="12" bestFit="1" customWidth="1"/>
  </cols>
  <sheetData>
    <row r="1" spans="1:11" x14ac:dyDescent="0.35">
      <c r="A1" s="36" t="s">
        <v>90</v>
      </c>
      <c r="B1" s="36"/>
      <c r="C1" s="36"/>
      <c r="D1" s="36"/>
    </row>
    <row r="2" spans="1:11" x14ac:dyDescent="0.35">
      <c r="A2" s="10" t="s">
        <v>84</v>
      </c>
      <c r="B2" s="5">
        <v>206265</v>
      </c>
    </row>
    <row r="4" spans="1:11" x14ac:dyDescent="0.35">
      <c r="A4" s="1" t="s">
        <v>3</v>
      </c>
      <c r="B4" s="1" t="s">
        <v>4</v>
      </c>
      <c r="C4" s="1" t="s">
        <v>5</v>
      </c>
      <c r="D4" s="1" t="s">
        <v>6</v>
      </c>
    </row>
    <row r="5" spans="1:11" x14ac:dyDescent="0.35">
      <c r="A5" s="1">
        <v>1</v>
      </c>
      <c r="B5" s="1">
        <v>2</v>
      </c>
      <c r="C5" s="1">
        <v>3</v>
      </c>
      <c r="D5" s="1">
        <v>4</v>
      </c>
    </row>
    <row r="6" spans="1:11" x14ac:dyDescent="0.35">
      <c r="A6" s="2">
        <v>1</v>
      </c>
      <c r="B6" s="2" t="s">
        <v>53</v>
      </c>
      <c r="C6" s="2">
        <v>40.397500000000001</v>
      </c>
      <c r="D6" s="4" t="s">
        <v>56</v>
      </c>
    </row>
    <row r="7" spans="1:11" x14ac:dyDescent="0.35">
      <c r="A7" s="2">
        <v>2</v>
      </c>
      <c r="B7" s="2" t="s">
        <v>54</v>
      </c>
      <c r="C7" s="2">
        <v>49.870800000000003</v>
      </c>
      <c r="D7" s="4" t="s">
        <v>57</v>
      </c>
    </row>
    <row r="8" spans="1:11" x14ac:dyDescent="0.35">
      <c r="A8" s="2">
        <v>3</v>
      </c>
      <c r="B8" s="2" t="s">
        <v>55</v>
      </c>
      <c r="C8" s="2">
        <v>19.059000000000001</v>
      </c>
      <c r="D8" s="4" t="s">
        <v>58</v>
      </c>
    </row>
    <row r="9" spans="1:11" x14ac:dyDescent="0.35">
      <c r="A9" s="2">
        <v>4</v>
      </c>
      <c r="B9" s="9" t="s">
        <v>59</v>
      </c>
      <c r="C9" s="2">
        <v>-5.9</v>
      </c>
      <c r="D9" s="4" t="s">
        <v>65</v>
      </c>
    </row>
    <row r="10" spans="1:11" x14ac:dyDescent="0.35">
      <c r="A10" s="2">
        <v>5</v>
      </c>
      <c r="B10" s="2" t="s">
        <v>60</v>
      </c>
      <c r="C10" s="2">
        <v>-10.06</v>
      </c>
      <c r="D10" s="4" t="s">
        <v>66</v>
      </c>
    </row>
    <row r="11" spans="1:11" x14ac:dyDescent="0.35">
      <c r="A11" s="2">
        <v>6</v>
      </c>
      <c r="B11" s="2" t="s">
        <v>61</v>
      </c>
      <c r="C11" s="2">
        <v>1.76</v>
      </c>
      <c r="D11" s="4" t="s">
        <v>67</v>
      </c>
    </row>
    <row r="12" spans="1:11" x14ac:dyDescent="0.35">
      <c r="A12" s="2">
        <v>7</v>
      </c>
      <c r="B12" s="9" t="s">
        <v>68</v>
      </c>
      <c r="C12" s="2">
        <v>-1.9999999999999999E-6</v>
      </c>
      <c r="D12" s="4" t="s">
        <v>71</v>
      </c>
    </row>
    <row r="13" spans="1:11" x14ac:dyDescent="0.35">
      <c r="A13" s="2">
        <v>8</v>
      </c>
      <c r="B13" s="2" t="s">
        <v>69</v>
      </c>
      <c r="C13" s="2">
        <v>3.0000000000000001E-6</v>
      </c>
      <c r="D13" s="4" t="s">
        <v>70</v>
      </c>
    </row>
    <row r="14" spans="1:11" x14ac:dyDescent="0.35">
      <c r="A14" s="2">
        <v>9</v>
      </c>
      <c r="B14" s="2" t="s">
        <v>34</v>
      </c>
      <c r="C14" s="2">
        <f>'lab2'!$B$6</f>
        <v>6378245</v>
      </c>
      <c r="D14" s="4" t="s">
        <v>37</v>
      </c>
    </row>
    <row r="15" spans="1:11" x14ac:dyDescent="0.35">
      <c r="A15" s="2">
        <v>10</v>
      </c>
      <c r="B15" s="2" t="s">
        <v>35</v>
      </c>
      <c r="C15" s="2">
        <f>'lab2'!$B$4</f>
        <v>6.6934300000000002E-3</v>
      </c>
      <c r="D15" s="4" t="s">
        <v>72</v>
      </c>
      <c r="G15" s="11"/>
      <c r="H15" s="11"/>
      <c r="I15" s="11"/>
      <c r="J15" s="11"/>
      <c r="K15" s="11"/>
    </row>
    <row r="16" spans="1:11" x14ac:dyDescent="0.35">
      <c r="A16" s="2">
        <v>11</v>
      </c>
      <c r="B16" s="2" t="s">
        <v>73</v>
      </c>
      <c r="C16" s="2">
        <f>SQRT((1-C15)*(SIN(RADIANS(C6))^2))</f>
        <v>0.64591406903676207</v>
      </c>
      <c r="D16" s="4" t="s">
        <v>74</v>
      </c>
      <c r="G16" s="11"/>
      <c r="H16" s="11"/>
      <c r="I16" s="11"/>
      <c r="J16" s="11"/>
      <c r="K16" s="11"/>
    </row>
    <row r="17" spans="1:11" x14ac:dyDescent="0.35">
      <c r="A17" s="2">
        <v>12</v>
      </c>
      <c r="B17" s="2" t="s">
        <v>75</v>
      </c>
      <c r="C17" s="2">
        <f>(C14*(1-C15))/(C16^3)</f>
        <v>23510413.767187726</v>
      </c>
      <c r="D17" s="4" t="s">
        <v>79</v>
      </c>
      <c r="G17" s="11"/>
      <c r="H17" s="11"/>
      <c r="I17" s="11"/>
      <c r="J17" s="11"/>
      <c r="K17" s="11"/>
    </row>
    <row r="18" spans="1:11" x14ac:dyDescent="0.35">
      <c r="A18" s="2">
        <v>13</v>
      </c>
      <c r="B18" s="9" t="s">
        <v>78</v>
      </c>
      <c r="C18" s="2">
        <f>C14/C16</f>
        <v>9874757.8133910932</v>
      </c>
      <c r="D18" s="4" t="s">
        <v>47</v>
      </c>
      <c r="G18" s="11"/>
      <c r="H18" s="11"/>
      <c r="I18" s="11"/>
      <c r="J18" s="11"/>
      <c r="K18" s="11"/>
    </row>
    <row r="19" spans="1:11" x14ac:dyDescent="0.35">
      <c r="A19" s="2">
        <v>14</v>
      </c>
      <c r="B19" s="9" t="s">
        <v>76</v>
      </c>
      <c r="C19" s="2">
        <f>C9*COS(RADIANS(C7))</f>
        <v>-3.8026289283538839</v>
      </c>
      <c r="D19" s="4"/>
      <c r="G19" s="11"/>
      <c r="H19" s="11"/>
      <c r="I19" s="11"/>
      <c r="J19" s="11"/>
      <c r="K19" s="11"/>
    </row>
    <row r="20" spans="1:11" x14ac:dyDescent="0.35">
      <c r="A20" s="2">
        <v>15</v>
      </c>
      <c r="B20" s="9" t="s">
        <v>77</v>
      </c>
      <c r="C20" s="2">
        <f>C10*SIN(RADIANS(C7))</f>
        <v>-7.6918059111262735</v>
      </c>
      <c r="D20" s="4"/>
      <c r="G20" s="11"/>
      <c r="H20" s="11"/>
      <c r="I20" s="11"/>
      <c r="J20" s="11"/>
      <c r="K20" s="11"/>
    </row>
    <row r="21" spans="1:11" x14ac:dyDescent="0.35">
      <c r="A21" s="2">
        <v>16</v>
      </c>
      <c r="B21" s="2" t="s">
        <v>80</v>
      </c>
      <c r="C21" s="2">
        <f>SIN(RADIANS(C6))</f>
        <v>0.64808667206906057</v>
      </c>
      <c r="D21" s="4"/>
      <c r="G21" s="11"/>
      <c r="H21" s="11"/>
      <c r="I21" s="11"/>
      <c r="J21" s="11"/>
      <c r="K21" s="11"/>
    </row>
    <row r="22" spans="1:11" x14ac:dyDescent="0.35">
      <c r="A22" s="2">
        <v>17</v>
      </c>
      <c r="B22" s="2" t="s">
        <v>81</v>
      </c>
      <c r="C22" s="2">
        <f>-((C19)+(C20))*(C21)</f>
        <v>7.4493900224333611</v>
      </c>
      <c r="D22" s="4"/>
      <c r="G22" s="11"/>
      <c r="H22" s="11"/>
      <c r="I22" s="11"/>
      <c r="J22" s="11"/>
      <c r="K22" s="11"/>
    </row>
    <row r="23" spans="1:11" x14ac:dyDescent="0.35">
      <c r="A23" s="2">
        <v>18</v>
      </c>
      <c r="B23" s="9" t="s">
        <v>82</v>
      </c>
      <c r="C23" s="2">
        <f>C11*COS(RADIANS(C6))</f>
        <v>1.3403571920241364</v>
      </c>
      <c r="D23" s="4"/>
      <c r="G23" s="11"/>
      <c r="H23" s="11"/>
      <c r="I23" s="11"/>
      <c r="J23" s="11"/>
      <c r="K23" s="11"/>
    </row>
    <row r="24" spans="1:11" x14ac:dyDescent="0.35">
      <c r="A24" s="2">
        <v>19</v>
      </c>
      <c r="B24" s="2" t="s">
        <v>83</v>
      </c>
      <c r="C24" s="2">
        <f>C22+C23</f>
        <v>8.7897472144574973</v>
      </c>
      <c r="D24" s="4"/>
      <c r="G24" s="11"/>
      <c r="H24" s="11"/>
      <c r="I24" s="11"/>
      <c r="J24" s="11"/>
      <c r="K24" s="11"/>
    </row>
    <row r="25" spans="1:11" x14ac:dyDescent="0.35">
      <c r="A25" s="2">
        <v>20</v>
      </c>
      <c r="B25" s="9" t="s">
        <v>85</v>
      </c>
      <c r="C25" s="2">
        <f>B2/(C17+C8)</f>
        <v>8.7733391182082451E-3</v>
      </c>
      <c r="D25" s="4"/>
      <c r="G25" s="11"/>
      <c r="H25" s="11"/>
      <c r="I25" s="11"/>
      <c r="J25" s="11"/>
      <c r="K25" s="11"/>
    </row>
    <row r="26" spans="1:11" x14ac:dyDescent="0.35">
      <c r="A26" s="2">
        <v>21</v>
      </c>
      <c r="B26" s="2" t="s">
        <v>86</v>
      </c>
      <c r="C26" s="2">
        <f>C24*C25</f>
        <v>7.7115433075761922E-2</v>
      </c>
      <c r="D26" s="4"/>
      <c r="G26" s="11"/>
      <c r="H26" s="11"/>
      <c r="I26" s="11"/>
      <c r="J26" s="11"/>
      <c r="K26" s="11"/>
    </row>
    <row r="27" spans="1:11" x14ac:dyDescent="0.35">
      <c r="A27" s="2">
        <v>22</v>
      </c>
      <c r="B27" s="2" t="s">
        <v>87</v>
      </c>
      <c r="C27" s="2">
        <f>(1+C15)*(COS(RADIANS(C6))^2-(SIN(RADIANS(C6)))^2)</f>
        <v>0.16103806110505386</v>
      </c>
      <c r="D27" s="4"/>
      <c r="G27" s="11"/>
      <c r="H27" s="11"/>
      <c r="I27" s="11"/>
      <c r="J27" s="11"/>
      <c r="K27" s="11"/>
    </row>
    <row r="28" spans="1:11" x14ac:dyDescent="0.35">
      <c r="A28" s="2">
        <v>23</v>
      </c>
      <c r="B28" s="2" t="s">
        <v>88</v>
      </c>
      <c r="C28" s="2">
        <f>C12*COS(RADIANS(C7))*C20</f>
        <v>9.9149436165871763E-6</v>
      </c>
      <c r="D28" s="4"/>
      <c r="G28" s="11"/>
      <c r="H28" s="11"/>
      <c r="I28" s="11"/>
      <c r="J28" s="11"/>
      <c r="K28" s="11"/>
    </row>
    <row r="29" spans="1:11" x14ac:dyDescent="0.35">
      <c r="A29" s="2">
        <v>24</v>
      </c>
      <c r="B29" s="9" t="s">
        <v>89</v>
      </c>
      <c r="C29" s="2">
        <f>C28+C26</f>
        <v>7.7125348019378509E-2</v>
      </c>
      <c r="D29" s="33" t="s">
        <v>90</v>
      </c>
      <c r="G29" s="11"/>
      <c r="H29" s="11"/>
      <c r="I29" s="11"/>
      <c r="J29" s="11"/>
      <c r="K29" s="11"/>
    </row>
    <row r="30" spans="1:11" x14ac:dyDescent="0.35">
      <c r="A30" s="2">
        <v>25</v>
      </c>
      <c r="B30" s="9" t="s">
        <v>91</v>
      </c>
      <c r="C30" s="15">
        <f>C29/3600</f>
        <v>2.1423707783160699E-5</v>
      </c>
      <c r="D30" s="34"/>
      <c r="G30" s="11"/>
      <c r="H30" s="11"/>
      <c r="I30" s="11"/>
      <c r="J30" s="11"/>
      <c r="K30" s="11"/>
    </row>
    <row r="31" spans="1:11" x14ac:dyDescent="0.35">
      <c r="A31" s="2">
        <v>26</v>
      </c>
      <c r="B31" s="9" t="s">
        <v>91</v>
      </c>
      <c r="C31" s="2" t="s">
        <v>92</v>
      </c>
      <c r="D31" s="35"/>
      <c r="G31" s="11"/>
      <c r="H31" s="11"/>
      <c r="I31" s="11"/>
      <c r="J31" s="11"/>
      <c r="K31" s="11"/>
    </row>
    <row r="32" spans="1:11" x14ac:dyDescent="0.35">
      <c r="A32" s="13"/>
      <c r="B32" s="13"/>
      <c r="C32" s="13"/>
      <c r="D32" s="14"/>
    </row>
  </sheetData>
  <mergeCells count="2">
    <mergeCell ref="D29:D3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C5" sqref="C5"/>
    </sheetView>
  </sheetViews>
  <sheetFormatPr defaultRowHeight="14.5" x14ac:dyDescent="0.35"/>
  <cols>
    <col min="1" max="1" width="16" customWidth="1"/>
    <col min="2" max="2" width="22.81640625" bestFit="1" customWidth="1"/>
    <col min="3" max="3" width="22" bestFit="1" customWidth="1"/>
    <col min="4" max="4" width="40" customWidth="1"/>
  </cols>
  <sheetData>
    <row r="1" spans="1:4" x14ac:dyDescent="0.35">
      <c r="A1" s="36" t="s">
        <v>103</v>
      </c>
      <c r="B1" s="36"/>
      <c r="C1" s="36"/>
      <c r="D1" s="36"/>
    </row>
    <row r="2" spans="1:4" x14ac:dyDescent="0.35">
      <c r="A2" s="10" t="s">
        <v>84</v>
      </c>
      <c r="B2" s="5">
        <v>206265</v>
      </c>
    </row>
    <row r="4" spans="1:4" x14ac:dyDescent="0.35">
      <c r="A4" s="1" t="s">
        <v>3</v>
      </c>
      <c r="B4" s="1" t="s">
        <v>4</v>
      </c>
      <c r="C4" s="1" t="s">
        <v>5</v>
      </c>
      <c r="D4" s="1" t="s">
        <v>6</v>
      </c>
    </row>
    <row r="5" spans="1:4" x14ac:dyDescent="0.35">
      <c r="A5" s="2">
        <v>1</v>
      </c>
      <c r="B5" s="2" t="s">
        <v>53</v>
      </c>
      <c r="C5" s="2">
        <v>40.397500000000001</v>
      </c>
      <c r="D5" s="4" t="s">
        <v>56</v>
      </c>
    </row>
    <row r="6" spans="1:4" x14ac:dyDescent="0.35">
      <c r="A6" s="2">
        <v>2</v>
      </c>
      <c r="B6" s="2" t="s">
        <v>54</v>
      </c>
      <c r="C6" s="2">
        <v>49.870800000000003</v>
      </c>
      <c r="D6" s="4" t="s">
        <v>57</v>
      </c>
    </row>
    <row r="7" spans="1:4" x14ac:dyDescent="0.35">
      <c r="A7" s="2">
        <v>3</v>
      </c>
      <c r="B7" s="2" t="s">
        <v>55</v>
      </c>
      <c r="C7" s="2">
        <v>19.059000000000001</v>
      </c>
      <c r="D7" s="4" t="s">
        <v>58</v>
      </c>
    </row>
    <row r="8" spans="1:4" x14ac:dyDescent="0.35">
      <c r="A8" s="2">
        <v>4</v>
      </c>
      <c r="B8" s="9" t="s">
        <v>59</v>
      </c>
      <c r="C8" s="2">
        <v>-5.9</v>
      </c>
      <c r="D8" s="4" t="s">
        <v>65</v>
      </c>
    </row>
    <row r="9" spans="1:4" x14ac:dyDescent="0.35">
      <c r="A9" s="2">
        <v>5</v>
      </c>
      <c r="B9" s="2" t="s">
        <v>60</v>
      </c>
      <c r="C9" s="2">
        <v>-10.06</v>
      </c>
      <c r="D9" s="4" t="s">
        <v>66</v>
      </c>
    </row>
    <row r="10" spans="1:4" x14ac:dyDescent="0.35">
      <c r="A10" s="2">
        <v>6</v>
      </c>
      <c r="B10" s="9" t="s">
        <v>68</v>
      </c>
      <c r="C10" s="2">
        <v>-1.9999999999999999E-6</v>
      </c>
      <c r="D10" s="4" t="s">
        <v>71</v>
      </c>
    </row>
    <row r="11" spans="1:4" x14ac:dyDescent="0.35">
      <c r="A11" s="2">
        <v>7</v>
      </c>
      <c r="B11" s="2" t="s">
        <v>69</v>
      </c>
      <c r="C11" s="2">
        <v>3.0000000000000001E-6</v>
      </c>
      <c r="D11" s="4" t="s">
        <v>70</v>
      </c>
    </row>
    <row r="12" spans="1:4" x14ac:dyDescent="0.35">
      <c r="A12" s="2">
        <v>8</v>
      </c>
      <c r="B12" s="2" t="s">
        <v>34</v>
      </c>
      <c r="C12" s="2">
        <f>'lab2'!$B$6</f>
        <v>6378245</v>
      </c>
      <c r="D12" s="4" t="s">
        <v>37</v>
      </c>
    </row>
    <row r="13" spans="1:4" x14ac:dyDescent="0.35">
      <c r="A13" s="2">
        <v>9</v>
      </c>
      <c r="B13" s="2" t="s">
        <v>35</v>
      </c>
      <c r="C13" s="2">
        <f>'lab2'!$B$4</f>
        <v>6.6934300000000002E-3</v>
      </c>
      <c r="D13" s="4" t="s">
        <v>72</v>
      </c>
    </row>
    <row r="14" spans="1:4" x14ac:dyDescent="0.35">
      <c r="A14" s="2">
        <v>10</v>
      </c>
      <c r="B14" s="2" t="s">
        <v>73</v>
      </c>
      <c r="C14" s="2">
        <f>SQRT((1-C13)*(SIN(RADIANS(C5))^2))</f>
        <v>0.64591406903676207</v>
      </c>
      <c r="D14" s="4" t="s">
        <v>74</v>
      </c>
    </row>
    <row r="15" spans="1:4" x14ac:dyDescent="0.35">
      <c r="A15" s="2">
        <v>11</v>
      </c>
      <c r="B15" s="9" t="s">
        <v>78</v>
      </c>
      <c r="C15" s="2">
        <f>C12/C14</f>
        <v>9874757.8133910932</v>
      </c>
      <c r="D15" s="4" t="s">
        <v>47</v>
      </c>
    </row>
    <row r="16" spans="1:4" x14ac:dyDescent="0.35">
      <c r="A16" s="2">
        <v>12</v>
      </c>
      <c r="B16" s="9" t="s">
        <v>93</v>
      </c>
      <c r="C16" s="2">
        <f>C9*COS(RADIANS(C6))</f>
        <v>-6.4838045795322152</v>
      </c>
      <c r="D16" s="4"/>
    </row>
    <row r="17" spans="1:4" x14ac:dyDescent="0.35">
      <c r="A17" s="2">
        <v>13</v>
      </c>
      <c r="B17" s="9" t="s">
        <v>94</v>
      </c>
      <c r="C17" s="2">
        <f>-C8*SIN(RADIANS(C6))</f>
        <v>4.5110988941993053</v>
      </c>
      <c r="D17" s="4"/>
    </row>
    <row r="18" spans="1:4" x14ac:dyDescent="0.35">
      <c r="A18" s="2">
        <v>14</v>
      </c>
      <c r="B18" s="2" t="s">
        <v>95</v>
      </c>
      <c r="C18" s="2">
        <f>C16+C17</f>
        <v>-1.9727056853329099</v>
      </c>
      <c r="D18" s="4"/>
    </row>
    <row r="19" spans="1:4" x14ac:dyDescent="0.35">
      <c r="A19" s="2">
        <v>15</v>
      </c>
      <c r="B19" s="9" t="s">
        <v>96</v>
      </c>
      <c r="C19" s="2">
        <f>B2/((C15+C7)*COS(RADIANS(C5)))</f>
        <v>2.742776177476253E-2</v>
      </c>
      <c r="D19" s="4"/>
    </row>
    <row r="20" spans="1:4" x14ac:dyDescent="0.35">
      <c r="A20" s="2">
        <v>16</v>
      </c>
      <c r="B20" s="9" t="s">
        <v>97</v>
      </c>
      <c r="C20" s="2">
        <f>C18*C19</f>
        <v>-5.4106901589030705E-2</v>
      </c>
      <c r="D20" s="4"/>
    </row>
    <row r="21" spans="1:4" x14ac:dyDescent="0.35">
      <c r="A21" s="2">
        <v>17</v>
      </c>
      <c r="B21" s="2" t="s">
        <v>98</v>
      </c>
      <c r="C21" s="2">
        <f>(1-C13^2)*TAN(RADIANS(C5))</f>
        <v>0.85095334811015966</v>
      </c>
      <c r="D21" s="4"/>
    </row>
    <row r="22" spans="1:4" x14ac:dyDescent="0.35">
      <c r="A22" s="2">
        <v>18</v>
      </c>
      <c r="B22" s="9" t="s">
        <v>99</v>
      </c>
      <c r="C22" s="2">
        <f>C10*SIN(RADIANS(C6))</f>
        <v>-1.5291860658302728E-6</v>
      </c>
      <c r="D22" s="4"/>
    </row>
    <row r="23" spans="1:4" x14ac:dyDescent="0.35">
      <c r="A23" s="2">
        <v>19</v>
      </c>
      <c r="B23" s="2" t="s">
        <v>100</v>
      </c>
      <c r="C23" s="2">
        <f>C21*C22</f>
        <v>-1.3012660026016736E-6</v>
      </c>
      <c r="D23" s="4"/>
    </row>
    <row r="24" spans="1:4" x14ac:dyDescent="0.35">
      <c r="A24" s="2">
        <v>20</v>
      </c>
      <c r="B24" s="2" t="s">
        <v>101</v>
      </c>
      <c r="C24" s="2">
        <f>C20+C23-C11</f>
        <v>-5.4111202855033312E-2</v>
      </c>
      <c r="D24" s="33" t="s">
        <v>103</v>
      </c>
    </row>
    <row r="25" spans="1:4" x14ac:dyDescent="0.35">
      <c r="A25" s="2">
        <v>21</v>
      </c>
      <c r="B25" s="9" t="s">
        <v>102</v>
      </c>
      <c r="C25" s="15">
        <f>C24/3600</f>
        <v>-1.5030889681953699E-5</v>
      </c>
      <c r="D25" s="35"/>
    </row>
  </sheetData>
  <mergeCells count="2">
    <mergeCell ref="A1:D1"/>
    <mergeCell ref="D24:D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2" sqref="B2"/>
    </sheetView>
  </sheetViews>
  <sheetFormatPr defaultRowHeight="14.5" x14ac:dyDescent="0.35"/>
  <cols>
    <col min="1" max="1" width="12.54296875" customWidth="1"/>
    <col min="2" max="2" width="26" customWidth="1"/>
    <col min="3" max="3" width="23.81640625" customWidth="1"/>
    <col min="4" max="4" width="42.26953125" customWidth="1"/>
  </cols>
  <sheetData>
    <row r="1" spans="1:4" x14ac:dyDescent="0.35">
      <c r="A1" s="36" t="s">
        <v>104</v>
      </c>
      <c r="B1" s="36"/>
      <c r="C1" s="36"/>
      <c r="D1" s="36"/>
    </row>
    <row r="2" spans="1:4" x14ac:dyDescent="0.35">
      <c r="A2" s="10" t="s">
        <v>84</v>
      </c>
      <c r="B2" s="5">
        <v>206265</v>
      </c>
    </row>
    <row r="4" spans="1:4" x14ac:dyDescent="0.35">
      <c r="A4" s="1" t="s">
        <v>3</v>
      </c>
      <c r="B4" s="1" t="s">
        <v>4</v>
      </c>
      <c r="C4" s="1" t="s">
        <v>5</v>
      </c>
      <c r="D4" s="1" t="s">
        <v>6</v>
      </c>
    </row>
    <row r="5" spans="1:4" x14ac:dyDescent="0.35">
      <c r="A5" s="2">
        <v>1</v>
      </c>
      <c r="B5" s="2" t="s">
        <v>53</v>
      </c>
      <c r="C5" s="2">
        <v>40.397500000000001</v>
      </c>
      <c r="D5" s="4" t="s">
        <v>56</v>
      </c>
    </row>
    <row r="6" spans="1:4" x14ac:dyDescent="0.35">
      <c r="A6" s="2">
        <v>2</v>
      </c>
      <c r="B6" s="2" t="s">
        <v>54</v>
      </c>
      <c r="C6" s="2">
        <v>49.870800000000003</v>
      </c>
      <c r="D6" s="4" t="s">
        <v>57</v>
      </c>
    </row>
    <row r="7" spans="1:4" x14ac:dyDescent="0.35">
      <c r="A7" s="2">
        <v>3</v>
      </c>
      <c r="B7" s="2" t="s">
        <v>55</v>
      </c>
      <c r="C7" s="2">
        <v>19.059000000000001</v>
      </c>
      <c r="D7" s="4" t="s">
        <v>58</v>
      </c>
    </row>
    <row r="8" spans="1:4" x14ac:dyDescent="0.35">
      <c r="A8" s="2">
        <v>4</v>
      </c>
      <c r="B8" s="9" t="s">
        <v>59</v>
      </c>
      <c r="C8" s="2">
        <v>-5.9</v>
      </c>
      <c r="D8" s="4" t="s">
        <v>65</v>
      </c>
    </row>
    <row r="9" spans="1:4" x14ac:dyDescent="0.35">
      <c r="A9" s="2">
        <v>5</v>
      </c>
      <c r="B9" s="2" t="s">
        <v>60</v>
      </c>
      <c r="C9" s="2">
        <v>-10.06</v>
      </c>
      <c r="D9" s="4" t="s">
        <v>66</v>
      </c>
    </row>
    <row r="10" spans="1:4" x14ac:dyDescent="0.35">
      <c r="A10" s="2">
        <v>6</v>
      </c>
      <c r="B10" s="2" t="s">
        <v>61</v>
      </c>
      <c r="C10" s="2">
        <v>1.76</v>
      </c>
      <c r="D10" s="4" t="s">
        <v>67</v>
      </c>
    </row>
    <row r="11" spans="1:4" x14ac:dyDescent="0.35">
      <c r="A11" s="2">
        <v>7</v>
      </c>
      <c r="B11" s="9" t="s">
        <v>68</v>
      </c>
      <c r="C11" s="2">
        <v>-1.9999999999999999E-6</v>
      </c>
      <c r="D11" s="4" t="s">
        <v>71</v>
      </c>
    </row>
    <row r="12" spans="1:4" x14ac:dyDescent="0.35">
      <c r="A12" s="2">
        <v>8</v>
      </c>
      <c r="B12" s="2" t="s">
        <v>69</v>
      </c>
      <c r="C12" s="2">
        <v>3.0000000000000001E-6</v>
      </c>
      <c r="D12" s="4" t="s">
        <v>70</v>
      </c>
    </row>
    <row r="13" spans="1:4" x14ac:dyDescent="0.35">
      <c r="A13" s="2">
        <v>9</v>
      </c>
      <c r="B13" s="2" t="s">
        <v>34</v>
      </c>
      <c r="C13" s="2">
        <f>'lab2'!$B$6</f>
        <v>6378245</v>
      </c>
      <c r="D13" s="4" t="s">
        <v>37</v>
      </c>
    </row>
    <row r="14" spans="1:4" x14ac:dyDescent="0.35">
      <c r="A14" s="2">
        <v>10</v>
      </c>
      <c r="B14" s="2" t="s">
        <v>35</v>
      </c>
      <c r="C14" s="2">
        <f>'lab2'!$B$4</f>
        <v>6.6934300000000002E-3</v>
      </c>
      <c r="D14" s="4" t="s">
        <v>72</v>
      </c>
    </row>
    <row r="15" spans="1:4" x14ac:dyDescent="0.35">
      <c r="A15" s="2">
        <v>11</v>
      </c>
      <c r="B15" s="2" t="s">
        <v>73</v>
      </c>
      <c r="C15" s="2">
        <f>SQRT((1-C14)*(SIN(RADIANS(C5))^2))</f>
        <v>0.64591406903676207</v>
      </c>
      <c r="D15" s="4" t="s">
        <v>74</v>
      </c>
    </row>
    <row r="16" spans="1:4" x14ac:dyDescent="0.35">
      <c r="A16" s="2">
        <v>13</v>
      </c>
      <c r="B16" s="9" t="s">
        <v>78</v>
      </c>
      <c r="C16" s="2">
        <f>C13/C15</f>
        <v>9874757.8133910932</v>
      </c>
      <c r="D16" s="4" t="s">
        <v>47</v>
      </c>
    </row>
    <row r="17" spans="1:4" x14ac:dyDescent="0.35">
      <c r="A17" s="2">
        <v>14</v>
      </c>
      <c r="B17" s="9" t="s">
        <v>76</v>
      </c>
      <c r="C17" s="2">
        <f>C8*COS(RADIANS(C6))</f>
        <v>-3.8026289283538839</v>
      </c>
      <c r="D17" s="4"/>
    </row>
    <row r="18" spans="1:4" x14ac:dyDescent="0.35">
      <c r="A18" s="2">
        <v>15</v>
      </c>
      <c r="B18" s="9" t="s">
        <v>77</v>
      </c>
      <c r="C18" s="2">
        <f>C9*SIN(RADIANS(C6))</f>
        <v>-7.6918059111262735</v>
      </c>
      <c r="D18" s="4"/>
    </row>
    <row r="19" spans="1:4" x14ac:dyDescent="0.35">
      <c r="A19" s="2">
        <v>16</v>
      </c>
      <c r="B19" s="2" t="s">
        <v>105</v>
      </c>
      <c r="C19" s="2">
        <f>C17+C18</f>
        <v>-11.494434839480157</v>
      </c>
      <c r="D19" s="4"/>
    </row>
    <row r="20" spans="1:4" x14ac:dyDescent="0.35">
      <c r="A20" s="2">
        <v>17</v>
      </c>
      <c r="B20" s="2" t="s">
        <v>106</v>
      </c>
      <c r="C20" s="2">
        <f>C19*COS(RADIANS(C5))</f>
        <v>-8.7537775030397889</v>
      </c>
      <c r="D20" s="4"/>
    </row>
    <row r="21" spans="1:4" x14ac:dyDescent="0.35">
      <c r="A21" s="2">
        <v>18</v>
      </c>
      <c r="B21" s="9" t="s">
        <v>107</v>
      </c>
      <c r="C21" s="2">
        <f>C10*SIN(RADIANS(C5))</f>
        <v>1.1406325428415467</v>
      </c>
      <c r="D21" s="4"/>
    </row>
    <row r="22" spans="1:4" x14ac:dyDescent="0.35">
      <c r="A22" s="2">
        <v>19</v>
      </c>
      <c r="B22" s="2" t="s">
        <v>83</v>
      </c>
      <c r="C22" s="2">
        <f>C20+C21</f>
        <v>-7.6131449601982419</v>
      </c>
      <c r="D22" s="4"/>
    </row>
    <row r="23" spans="1:4" x14ac:dyDescent="0.35">
      <c r="A23" s="2">
        <v>20</v>
      </c>
      <c r="B23" s="9" t="s">
        <v>108</v>
      </c>
      <c r="C23" s="2">
        <f>C16*C14</f>
        <v>66096.000190886349</v>
      </c>
      <c r="D23" s="4"/>
    </row>
    <row r="24" spans="1:4" x14ac:dyDescent="0.35">
      <c r="A24" s="2">
        <v>21</v>
      </c>
      <c r="B24" s="2" t="s">
        <v>109</v>
      </c>
      <c r="C24" s="2">
        <f>SIN(RADIANS(C5))*COS(RADIANS(C5))</f>
        <v>0.49356115452429167</v>
      </c>
      <c r="D24" s="4"/>
    </row>
    <row r="25" spans="1:4" x14ac:dyDescent="0.35">
      <c r="A25" s="2">
        <v>22</v>
      </c>
      <c r="B25" s="2" t="s">
        <v>110</v>
      </c>
      <c r="C25" s="2">
        <f>-C11*COS(RADIANS(C6))/B2</f>
        <v>6.2493721929275344E-12</v>
      </c>
      <c r="D25" s="4"/>
    </row>
    <row r="26" spans="1:4" x14ac:dyDescent="0.35">
      <c r="A26" s="2">
        <v>23</v>
      </c>
      <c r="B26" s="2" t="s">
        <v>111</v>
      </c>
      <c r="C26" s="2">
        <f>C23*C24*C25</f>
        <v>2.0386963293797888E-7</v>
      </c>
      <c r="D26" s="4"/>
    </row>
    <row r="27" spans="1:4" x14ac:dyDescent="0.35">
      <c r="A27" s="2">
        <v>24</v>
      </c>
      <c r="B27" s="9" t="s">
        <v>112</v>
      </c>
      <c r="C27" s="2">
        <f>C22-C26</f>
        <v>-7.6131451640678751</v>
      </c>
      <c r="D27" s="12" t="s">
        <v>104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F5"/>
    </sheetView>
  </sheetViews>
  <sheetFormatPr defaultRowHeight="14.5" x14ac:dyDescent="0.35"/>
  <cols>
    <col min="2" max="2" width="18.26953125" customWidth="1"/>
    <col min="3" max="3" width="20.81640625" customWidth="1"/>
    <col min="4" max="4" width="12.7265625" customWidth="1"/>
    <col min="5" max="5" width="19.81640625" customWidth="1"/>
    <col min="6" max="6" width="11" customWidth="1"/>
  </cols>
  <sheetData>
    <row r="1" spans="1:10" x14ac:dyDescent="0.35">
      <c r="A1" s="37" t="s">
        <v>121</v>
      </c>
      <c r="B1" s="37"/>
      <c r="C1" s="37"/>
      <c r="D1" s="37"/>
      <c r="E1" s="37"/>
      <c r="F1" s="37"/>
    </row>
    <row r="2" spans="1:10" ht="72.75" customHeight="1" x14ac:dyDescent="0.35">
      <c r="A2" s="17"/>
      <c r="B2" s="17" t="s">
        <v>116</v>
      </c>
      <c r="C2" s="17" t="s">
        <v>117</v>
      </c>
      <c r="D2" s="17" t="s">
        <v>118</v>
      </c>
      <c r="E2" s="17" t="s">
        <v>119</v>
      </c>
      <c r="F2" s="18" t="s">
        <v>120</v>
      </c>
      <c r="G2" s="16"/>
      <c r="H2" s="16"/>
      <c r="I2" s="16"/>
      <c r="J2" s="16"/>
    </row>
    <row r="3" spans="1:10" x14ac:dyDescent="0.35">
      <c r="A3" s="19" t="s">
        <v>113</v>
      </c>
      <c r="B3" s="19">
        <f>lab4_ПоправкаВысоты!$C$5</f>
        <v>40.397500000000001</v>
      </c>
      <c r="C3" s="19">
        <f>'lab3'!$C$17</f>
        <v>40.397493499544744</v>
      </c>
      <c r="D3" s="22">
        <f>lab4_ПоправкаШироты!$C$30</f>
        <v>2.1423707783160699E-5</v>
      </c>
      <c r="E3" s="19">
        <f>B3+D3</f>
        <v>40.397521423707786</v>
      </c>
      <c r="F3" s="21">
        <f>E3-C3</f>
        <v>2.7924163042314376E-5</v>
      </c>
    </row>
    <row r="4" spans="1:10" x14ac:dyDescent="0.35">
      <c r="A4" s="19" t="s">
        <v>114</v>
      </c>
      <c r="B4" s="19">
        <f>lab4_ПоправкаВысоты!$C$6</f>
        <v>49.870800000000003</v>
      </c>
      <c r="C4" s="19">
        <f>'lab3'!$C$15</f>
        <v>49.870887256233118</v>
      </c>
      <c r="D4" s="22">
        <f>lab4_ПоправкаДолготы!$C$25</f>
        <v>-1.5030889681953699E-5</v>
      </c>
      <c r="E4" s="19">
        <f t="shared" ref="E4:E5" si="0">B4+D4</f>
        <v>49.870784969110318</v>
      </c>
      <c r="F4" s="21">
        <f>E4-C4</f>
        <v>-1.0228712280024865E-4</v>
      </c>
    </row>
    <row r="5" spans="1:10" x14ac:dyDescent="0.35">
      <c r="A5" s="19" t="s">
        <v>115</v>
      </c>
      <c r="B5" s="19">
        <f>lab4_ПоправкаВысоты!$C$7</f>
        <v>19.059000000000001</v>
      </c>
      <c r="C5" s="19">
        <f>'lab3'!$C$21</f>
        <v>-3496440.2957393732</v>
      </c>
      <c r="D5" s="22">
        <f>lab4_ПоправкаВысоты!$C$27</f>
        <v>-7.6131451640678751</v>
      </c>
      <c r="E5" s="19">
        <f t="shared" si="0"/>
        <v>11.445854835932126</v>
      </c>
      <c r="F5" s="20">
        <f>E5-C5</f>
        <v>3496451.7415942093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89" zoomScaleNormal="89" workbookViewId="0">
      <selection activeCell="K40" sqref="K40"/>
    </sheetView>
  </sheetViews>
  <sheetFormatPr defaultRowHeight="14.5" x14ac:dyDescent="0.35"/>
  <cols>
    <col min="1" max="1" width="10.453125" bestFit="1" customWidth="1"/>
    <col min="2" max="2" width="22.81640625" bestFit="1" customWidth="1"/>
    <col min="3" max="3" width="22" bestFit="1" customWidth="1"/>
    <col min="4" max="4" width="33.26953125" customWidth="1"/>
    <col min="8" max="8" width="16.7265625" customWidth="1"/>
    <col min="9" max="9" width="27.26953125" bestFit="1" customWidth="1"/>
    <col min="10" max="10" width="22" bestFit="1" customWidth="1"/>
    <col min="11" max="11" width="22.7265625" bestFit="1" customWidth="1"/>
  </cols>
  <sheetData>
    <row r="1" spans="1:11" x14ac:dyDescent="0.35">
      <c r="A1" s="25" t="s">
        <v>125</v>
      </c>
      <c r="B1">
        <f>lab4_ПоправкаВысоты!$B$2</f>
        <v>206265</v>
      </c>
    </row>
    <row r="2" spans="1:11" x14ac:dyDescent="0.35">
      <c r="A2" s="25" t="s">
        <v>133</v>
      </c>
      <c r="B2">
        <v>4</v>
      </c>
    </row>
    <row r="3" spans="1:11" x14ac:dyDescent="0.35">
      <c r="A3" s="25" t="s">
        <v>134</v>
      </c>
    </row>
    <row r="4" spans="1:11" x14ac:dyDescent="0.35">
      <c r="A4" s="38" t="s">
        <v>158</v>
      </c>
      <c r="B4" s="38"/>
      <c r="C4" s="38"/>
      <c r="D4" s="38"/>
      <c r="H4" s="38" t="s">
        <v>159</v>
      </c>
      <c r="I4" s="38"/>
      <c r="J4" s="38"/>
      <c r="K4" s="38"/>
    </row>
    <row r="5" spans="1:11" x14ac:dyDescent="0.35">
      <c r="A5" s="1" t="s">
        <v>3</v>
      </c>
      <c r="B5" s="1" t="s">
        <v>4</v>
      </c>
      <c r="C5" s="1" t="s">
        <v>5</v>
      </c>
      <c r="D5" s="1" t="s">
        <v>6</v>
      </c>
      <c r="F5">
        <f>1300+(12+1)*18*0.013</f>
        <v>1303.0419999999999</v>
      </c>
      <c r="H5" s="1" t="s">
        <v>3</v>
      </c>
      <c r="I5" s="1" t="s">
        <v>4</v>
      </c>
      <c r="J5" s="1" t="s">
        <v>5</v>
      </c>
      <c r="K5" s="1" t="s">
        <v>6</v>
      </c>
    </row>
    <row r="6" spans="1:11" x14ac:dyDescent="0.35">
      <c r="A6" s="1">
        <v>1</v>
      </c>
      <c r="B6" s="1">
        <v>2</v>
      </c>
      <c r="C6" s="1">
        <v>3</v>
      </c>
      <c r="D6" s="1">
        <v>4</v>
      </c>
      <c r="H6" s="1">
        <v>1</v>
      </c>
      <c r="I6" s="1">
        <v>2</v>
      </c>
      <c r="J6" s="1">
        <v>3</v>
      </c>
      <c r="K6" s="1">
        <v>4</v>
      </c>
    </row>
    <row r="7" spans="1:11" x14ac:dyDescent="0.35">
      <c r="A7" s="2">
        <v>1</v>
      </c>
      <c r="B7" s="2" t="s">
        <v>123</v>
      </c>
      <c r="C7" s="39">
        <f>'lab3'!$C$17</f>
        <v>40.397493499544744</v>
      </c>
      <c r="D7" s="23" t="s">
        <v>128</v>
      </c>
      <c r="H7" s="2">
        <v>1</v>
      </c>
      <c r="I7" s="9" t="s">
        <v>160</v>
      </c>
      <c r="J7" s="2">
        <f>RADIANS(J9)</f>
        <v>0.7688974485211989</v>
      </c>
      <c r="K7" s="23"/>
    </row>
    <row r="8" spans="1:11" x14ac:dyDescent="0.35">
      <c r="A8" s="2">
        <v>2</v>
      </c>
      <c r="B8" s="2" t="s">
        <v>124</v>
      </c>
      <c r="C8" s="2">
        <f>C7*3600</f>
        <v>145430.97659836107</v>
      </c>
      <c r="D8" s="23"/>
      <c r="H8" s="2">
        <v>2</v>
      </c>
      <c r="I8" s="9" t="s">
        <v>161</v>
      </c>
      <c r="J8" s="2">
        <f>(C28/6367558.4969)*B1</f>
        <v>158596.48324311184</v>
      </c>
      <c r="K8" s="23"/>
    </row>
    <row r="9" spans="1:11" x14ac:dyDescent="0.35">
      <c r="A9" s="2">
        <v>3</v>
      </c>
      <c r="B9" s="2" t="s">
        <v>126</v>
      </c>
      <c r="C9" s="2">
        <f>C8/B1</f>
        <v>0.70506860882050304</v>
      </c>
      <c r="D9" s="23"/>
      <c r="H9" s="2">
        <v>3</v>
      </c>
      <c r="I9" s="9" t="s">
        <v>178</v>
      </c>
      <c r="J9" s="2">
        <f>J8/3600</f>
        <v>44.05457867864218</v>
      </c>
      <c r="K9" s="23"/>
    </row>
    <row r="10" spans="1:11" x14ac:dyDescent="0.35">
      <c r="A10" s="2">
        <v>4</v>
      </c>
      <c r="B10" s="9" t="s">
        <v>127</v>
      </c>
      <c r="C10" s="2">
        <f>SIN(RADIANS(C7))</f>
        <v>0.64808658566601662</v>
      </c>
      <c r="D10" s="23"/>
      <c r="H10" s="2">
        <v>4</v>
      </c>
      <c r="I10" s="9" t="s">
        <v>162</v>
      </c>
      <c r="J10" s="2">
        <f>SIN(RADIANS(J9))</f>
        <v>0.69534328219946318</v>
      </c>
      <c r="K10" s="23"/>
    </row>
    <row r="11" spans="1:11" x14ac:dyDescent="0.35">
      <c r="A11" s="2">
        <v>5</v>
      </c>
      <c r="B11" s="2" t="s">
        <v>129</v>
      </c>
      <c r="C11" s="2">
        <f>COS(RADIANS(C7))</f>
        <v>0.76156665990559547</v>
      </c>
      <c r="D11" s="23"/>
      <c r="H11" s="2">
        <v>5</v>
      </c>
      <c r="I11" s="2" t="s">
        <v>163</v>
      </c>
      <c r="J11" s="2">
        <f>COS(RADIANS(J9))</f>
        <v>0.71867775803907952</v>
      </c>
      <c r="K11" s="23"/>
    </row>
    <row r="12" spans="1:11" x14ac:dyDescent="0.35">
      <c r="A12" s="2">
        <v>6</v>
      </c>
      <c r="B12" s="2" t="s">
        <v>130</v>
      </c>
      <c r="C12" s="2">
        <f>C11^2</f>
        <v>0.57998377747976493</v>
      </c>
      <c r="D12" s="23"/>
      <c r="H12" s="2">
        <v>6</v>
      </c>
      <c r="I12" s="2" t="s">
        <v>164</v>
      </c>
      <c r="J12" s="2">
        <f>J11^2</f>
        <v>0.51649771990007776</v>
      </c>
      <c r="K12" s="23"/>
    </row>
    <row r="13" spans="1:11" x14ac:dyDescent="0.35">
      <c r="A13" s="2">
        <v>7</v>
      </c>
      <c r="B13" s="9" t="s">
        <v>131</v>
      </c>
      <c r="C13" s="41">
        <f>'lab3'!$C$16</f>
        <v>49.870887256233118</v>
      </c>
      <c r="D13" s="23" t="s">
        <v>135</v>
      </c>
      <c r="F13" s="28"/>
      <c r="H13" s="2">
        <v>7</v>
      </c>
      <c r="I13" s="9" t="s">
        <v>165</v>
      </c>
      <c r="J13" s="2">
        <f>RADIANS(J15)</f>
        <v>0.77141477101560796</v>
      </c>
      <c r="K13" s="23"/>
    </row>
    <row r="14" spans="1:11" x14ac:dyDescent="0.35">
      <c r="A14" s="2">
        <v>8</v>
      </c>
      <c r="B14" s="2" t="s">
        <v>132</v>
      </c>
      <c r="C14" s="2">
        <f>6*B2-3</f>
        <v>21</v>
      </c>
      <c r="D14" s="23" t="s">
        <v>136</v>
      </c>
      <c r="H14" s="2">
        <v>8</v>
      </c>
      <c r="I14" s="2" t="s">
        <v>166</v>
      </c>
      <c r="J14" s="2">
        <f>(J8+(50221546+(293622+(2350+22*J12)*J12)*J12)*(10^(-10))*J10*J11*B1)</f>
        <v>159115.71827968257</v>
      </c>
      <c r="K14" s="23"/>
    </row>
    <row r="15" spans="1:11" x14ac:dyDescent="0.35">
      <c r="A15" s="2">
        <v>9</v>
      </c>
      <c r="B15" s="2" t="s">
        <v>137</v>
      </c>
      <c r="C15" s="2">
        <f>C13-C14</f>
        <v>28.870887256233118</v>
      </c>
      <c r="D15" s="23"/>
      <c r="H15" s="2">
        <v>9</v>
      </c>
      <c r="I15" s="2" t="s">
        <v>167</v>
      </c>
      <c r="J15" s="2">
        <f>J14/3600</f>
        <v>44.198810633245159</v>
      </c>
      <c r="K15" s="23"/>
    </row>
    <row r="16" spans="1:11" x14ac:dyDescent="0.35">
      <c r="A16" s="2">
        <v>10</v>
      </c>
      <c r="B16" s="2" t="s">
        <v>138</v>
      </c>
      <c r="C16" s="2">
        <f>C15*3600</f>
        <v>103935.19412243922</v>
      </c>
      <c r="D16" s="23"/>
      <c r="H16" s="2">
        <v>10</v>
      </c>
      <c r="I16" s="2" t="s">
        <v>168</v>
      </c>
      <c r="J16" s="2">
        <f>SIN(RADIANS(J15))</f>
        <v>0.69715022081165701</v>
      </c>
      <c r="K16" s="23"/>
    </row>
    <row r="17" spans="1:11" x14ac:dyDescent="0.35">
      <c r="A17" s="2">
        <v>11</v>
      </c>
      <c r="B17" s="2" t="s">
        <v>139</v>
      </c>
      <c r="C17" s="2">
        <f>C16/B1</f>
        <v>0.50389156726754036</v>
      </c>
      <c r="D17" s="23"/>
      <c r="H17" s="2">
        <v>11</v>
      </c>
      <c r="I17" s="2" t="s">
        <v>169</v>
      </c>
      <c r="J17" s="2">
        <f>COS(RADIANS(J15))</f>
        <v>0.71692507950430762</v>
      </c>
      <c r="K17" s="23"/>
    </row>
    <row r="18" spans="1:11" x14ac:dyDescent="0.35">
      <c r="A18" s="2">
        <v>12</v>
      </c>
      <c r="B18" s="2" t="s">
        <v>46</v>
      </c>
      <c r="C18" s="2">
        <f>6399698.902-(21562.267-(108.973-0.612*C12)*C12)*C12</f>
        <v>6387229.6740023494</v>
      </c>
      <c r="D18" s="23"/>
      <c r="H18" s="2">
        <v>12</v>
      </c>
      <c r="I18" s="2" t="s">
        <v>170</v>
      </c>
      <c r="J18" s="2">
        <f>J17^2</f>
        <v>0.51398156962225783</v>
      </c>
      <c r="K18" s="23"/>
    </row>
    <row r="19" spans="1:11" x14ac:dyDescent="0.35">
      <c r="A19" s="2">
        <v>13</v>
      </c>
      <c r="B19" s="9" t="s">
        <v>140</v>
      </c>
      <c r="C19" s="2">
        <f>31140.404-(135.3302-(0.7092-0.004*C12)*C12)*C12</f>
        <v>31062.152460548765</v>
      </c>
      <c r="D19" s="23"/>
      <c r="H19" s="2">
        <v>13</v>
      </c>
      <c r="I19" s="9" t="s">
        <v>179</v>
      </c>
      <c r="J19" s="2">
        <f>6399698.902-(21562.267-(108973-0.612*J18)*J18)*J18</f>
        <v>6417404.3771599401</v>
      </c>
      <c r="K19" s="23"/>
    </row>
    <row r="20" spans="1:11" x14ac:dyDescent="0.35">
      <c r="A20" s="2">
        <v>14</v>
      </c>
      <c r="B20" s="9" t="s">
        <v>141</v>
      </c>
      <c r="C20" s="2">
        <f>(0.25+0.00252*C12)*C12-0.04166</f>
        <v>0.10418362494893327</v>
      </c>
      <c r="D20" s="23"/>
      <c r="H20" s="2">
        <v>14</v>
      </c>
      <c r="I20" s="9" t="s">
        <v>181</v>
      </c>
      <c r="J20" s="2">
        <f>(0.5+0.003369*J18)*J16*J17</f>
        <v>0.25076770212739352</v>
      </c>
      <c r="K20" s="23"/>
    </row>
    <row r="21" spans="1:11" x14ac:dyDescent="0.35">
      <c r="A21" s="2">
        <v>15</v>
      </c>
      <c r="B21" s="9" t="s">
        <v>142</v>
      </c>
      <c r="C21" s="2">
        <f>(0.166*C12-0.084)*C12</f>
        <v>7.1206389268895238E-3</v>
      </c>
      <c r="D21" s="23"/>
      <c r="H21" s="2">
        <v>15</v>
      </c>
      <c r="I21" s="9" t="s">
        <v>182</v>
      </c>
      <c r="J21" s="2">
        <f>0.3333333-(0.1666667-0.001123*J18)*J18</f>
        <v>0.2479663587617805</v>
      </c>
      <c r="K21" s="23"/>
    </row>
    <row r="22" spans="1:11" x14ac:dyDescent="0.35">
      <c r="A22" s="2">
        <v>16</v>
      </c>
      <c r="B22" s="2" t="s">
        <v>143</v>
      </c>
      <c r="C22" s="2">
        <f>(0.3333333+0.1123*C12)*C12-0.1666667</f>
        <v>6.4436813248083757E-2</v>
      </c>
      <c r="D22" s="23"/>
      <c r="H22" s="2">
        <v>16</v>
      </c>
      <c r="I22" s="2" t="s">
        <v>183</v>
      </c>
      <c r="J22" s="2">
        <f>0.25+(0.16161+0.00562*J18)*J18</f>
        <v>0.33454923650963492</v>
      </c>
      <c r="K22" s="23"/>
    </row>
    <row r="23" spans="1:11" x14ac:dyDescent="0.35">
      <c r="A23" s="2">
        <v>17</v>
      </c>
      <c r="B23" s="2" t="s">
        <v>144</v>
      </c>
      <c r="C23" s="2">
        <f>0.0083-(0.1667-(0.1968+0.004*C12)*C12)*C12</f>
        <v>-2.1403096546022377E-2</v>
      </c>
      <c r="D23" s="23"/>
      <c r="H23" s="2">
        <v>17</v>
      </c>
      <c r="I23" s="2" t="s">
        <v>184</v>
      </c>
      <c r="J23" s="2">
        <f>0.2-(0.1667-0.0088*J18)*J18</f>
        <v>0.11664403041838961</v>
      </c>
      <c r="K23" s="23"/>
    </row>
    <row r="24" spans="1:11" x14ac:dyDescent="0.35">
      <c r="A24" s="2">
        <v>18</v>
      </c>
      <c r="B24" s="9" t="s">
        <v>145</v>
      </c>
      <c r="C24" s="2">
        <f>C10*C11</f>
        <v>0.49356113637528987</v>
      </c>
      <c r="D24" s="23"/>
      <c r="H24" s="2">
        <v>18</v>
      </c>
      <c r="I24" s="9" t="s">
        <v>180</v>
      </c>
      <c r="J24" s="2">
        <f>J19*J17</f>
        <v>4600798.1433066819</v>
      </c>
      <c r="K24" s="23"/>
    </row>
    <row r="25" spans="1:11" x14ac:dyDescent="0.35">
      <c r="A25" s="2">
        <v>19</v>
      </c>
      <c r="B25" s="2" t="s">
        <v>146</v>
      </c>
      <c r="C25" s="2">
        <f>C17^2</f>
        <v>0.25390671156333816</v>
      </c>
      <c r="D25" s="23"/>
      <c r="H25" s="2">
        <v>19</v>
      </c>
      <c r="I25" s="2" t="s">
        <v>171</v>
      </c>
      <c r="J25" s="29">
        <f>(C33)/(J24)</f>
        <v>0.5407323185070011</v>
      </c>
      <c r="K25" s="23"/>
    </row>
    <row r="26" spans="1:11" x14ac:dyDescent="0.35">
      <c r="A26" s="2">
        <v>20</v>
      </c>
      <c r="B26" s="9" t="s">
        <v>148</v>
      </c>
      <c r="C26" s="2">
        <f>C18*C25</f>
        <v>1621760.4825257089</v>
      </c>
      <c r="D26" s="23"/>
      <c r="H26" s="2">
        <v>20</v>
      </c>
      <c r="I26" s="9" t="s">
        <v>172</v>
      </c>
      <c r="J26" s="2">
        <f>J25^2</f>
        <v>0.29239144027795688</v>
      </c>
      <c r="K26" s="23"/>
    </row>
    <row r="27" spans="1:11" x14ac:dyDescent="0.35">
      <c r="A27" s="2">
        <v>21</v>
      </c>
      <c r="B27" s="9" t="s">
        <v>147</v>
      </c>
      <c r="C27" s="2">
        <f>6367558.4969*C9</f>
        <v>4489565.6109924559</v>
      </c>
      <c r="D27" s="23"/>
      <c r="H27" s="2">
        <v>21</v>
      </c>
      <c r="I27" s="9" t="s">
        <v>173</v>
      </c>
      <c r="J27" s="2">
        <f>(1-(J22-0.12*J26)*J26)*J26*J20</f>
        <v>6.6902211566407646E-2</v>
      </c>
      <c r="K27" s="23"/>
    </row>
    <row r="28" spans="1:11" x14ac:dyDescent="0.35">
      <c r="A28" s="2">
        <v>22</v>
      </c>
      <c r="B28" s="2" t="s">
        <v>149</v>
      </c>
      <c r="C28" s="2">
        <f>6367558.4969*C9-(C19-(0.5+(C20+C21*C25)*C25)*C25*C18)*C24</f>
        <v>4895994.8825691957</v>
      </c>
      <c r="D28" s="23"/>
      <c r="H28" s="2">
        <v>22</v>
      </c>
      <c r="I28" s="9" t="s">
        <v>174</v>
      </c>
      <c r="J28" s="2">
        <f>J27*B1</f>
        <v>13799.584668745074</v>
      </c>
      <c r="K28" s="23"/>
    </row>
    <row r="29" spans="1:11" x14ac:dyDescent="0.35">
      <c r="A29" s="2">
        <v>23</v>
      </c>
      <c r="B29" s="2" t="s">
        <v>150</v>
      </c>
      <c r="C29" s="2">
        <f>1+(C22+C23*C25)*C25</f>
        <v>1.0149811112964129</v>
      </c>
      <c r="D29" s="23"/>
      <c r="H29" s="2">
        <v>23</v>
      </c>
      <c r="I29" s="1" t="s">
        <v>43</v>
      </c>
      <c r="J29" s="39">
        <f>(J14-(1-(J22-0.12*J26)*J26)*J26*J20*B1)/3600</f>
        <v>40.365592669704853</v>
      </c>
      <c r="K29" s="23"/>
    </row>
    <row r="30" spans="1:11" x14ac:dyDescent="0.35">
      <c r="A30" s="2">
        <v>24</v>
      </c>
      <c r="B30" s="9" t="s">
        <v>151</v>
      </c>
      <c r="C30" s="29">
        <f>C27/C11</f>
        <v>5895170.8988271449</v>
      </c>
      <c r="D30" s="24"/>
      <c r="H30" s="2">
        <v>24</v>
      </c>
      <c r="I30" s="9" t="s">
        <v>175</v>
      </c>
      <c r="J30" s="2">
        <f>(1-(J21-J23*J26)*J26)*J25</f>
        <v>0.50691977435913704</v>
      </c>
      <c r="K30" s="24"/>
    </row>
    <row r="31" spans="1:11" x14ac:dyDescent="0.35">
      <c r="A31" s="2">
        <v>25</v>
      </c>
      <c r="B31" s="9" t="s">
        <v>152</v>
      </c>
      <c r="C31" s="15">
        <f>(C29)*C17*C18*C11</f>
        <v>2487800.2470129281</v>
      </c>
      <c r="D31" s="24" t="s">
        <v>154</v>
      </c>
      <c r="H31" s="2">
        <v>25</v>
      </c>
      <c r="I31" s="9" t="s">
        <v>176</v>
      </c>
      <c r="J31" s="31">
        <f>B1*J30/3600</f>
        <v>29.044390905052055</v>
      </c>
      <c r="K31" s="24"/>
    </row>
    <row r="32" spans="1:11" x14ac:dyDescent="0.35">
      <c r="A32" s="2">
        <v>26</v>
      </c>
      <c r="B32" s="9" t="s">
        <v>153</v>
      </c>
      <c r="C32" s="2">
        <f>(C14+3)/6</f>
        <v>4</v>
      </c>
      <c r="D32" s="24" t="s">
        <v>155</v>
      </c>
      <c r="H32" s="2">
        <v>26</v>
      </c>
      <c r="I32" s="9" t="s">
        <v>177</v>
      </c>
      <c r="J32" s="40">
        <f>C14+J31</f>
        <v>50.044390905052055</v>
      </c>
      <c r="K32" s="24"/>
    </row>
    <row r="33" spans="1:11" x14ac:dyDescent="0.35">
      <c r="A33" s="2">
        <v>27</v>
      </c>
      <c r="B33" s="9" t="s">
        <v>157</v>
      </c>
      <c r="C33" s="30">
        <f>$C$31</f>
        <v>2487800.2470129281</v>
      </c>
      <c r="D33" s="24" t="s">
        <v>156</v>
      </c>
      <c r="H33" s="13"/>
      <c r="I33" s="26"/>
      <c r="J33" s="13"/>
      <c r="K33" s="27"/>
    </row>
    <row r="40" spans="1:11" x14ac:dyDescent="0.35">
      <c r="K40">
        <f>1300+(12+501)*19.0123</f>
        <v>11053.3099</v>
      </c>
    </row>
  </sheetData>
  <mergeCells count="2">
    <mergeCell ref="A4:D4"/>
    <mergeCell ref="H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lab2</vt:lpstr>
      <vt:lpstr>lab3</vt:lpstr>
      <vt:lpstr>lab4_ПоправкаШироты</vt:lpstr>
      <vt:lpstr>lab4_ПоправкаДолготы</vt:lpstr>
      <vt:lpstr>lab4_ПоправкаВысоты</vt:lpstr>
      <vt:lpstr>lab4_Ведомость(Каталог)</vt:lpstr>
      <vt:lpstr>lab5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Ufeli E.</dc:creator>
  <cp:lastModifiedBy>Kelvin Ufeli E.</cp:lastModifiedBy>
  <dcterms:created xsi:type="dcterms:W3CDTF">2017-03-09T07:42:27Z</dcterms:created>
  <dcterms:modified xsi:type="dcterms:W3CDTF">2017-04-20T08:02:12Z</dcterms:modified>
</cp:coreProperties>
</file>