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Thesis/Code/QEC_MI_MonteCarlo/Results/"/>
    </mc:Choice>
  </mc:AlternateContent>
  <xr:revisionPtr revIDLastSave="309" documentId="8_{37C975EC-68C0-4461-8484-C69199F9AA68}" xr6:coauthVersionLast="47" xr6:coauthVersionMax="47" xr10:uidLastSave="{BCA5A3C7-647E-4084-B806-FBCECEA95534}"/>
  <bookViews>
    <workbookView xWindow="19110" yWindow="0" windowWidth="19380" windowHeight="20970" xr2:uid="{94697D34-D1B1-456B-BE2C-8BF5654D9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E41" i="1"/>
  <c r="E40" i="1"/>
  <c r="E39" i="1"/>
  <c r="E38" i="1"/>
  <c r="D41" i="1"/>
  <c r="D40" i="1"/>
  <c r="D39" i="1"/>
  <c r="D38" i="1"/>
  <c r="E37" i="1"/>
  <c r="E36" i="1"/>
  <c r="E35" i="1"/>
  <c r="E34" i="1"/>
  <c r="E33" i="1"/>
  <c r="D37" i="1"/>
  <c r="D36" i="1"/>
  <c r="D35" i="1"/>
  <c r="D34" i="1"/>
  <c r="D33" i="1"/>
  <c r="E31" i="1"/>
  <c r="E32" i="1"/>
  <c r="E30" i="1"/>
  <c r="E29" i="1"/>
  <c r="D32" i="1"/>
  <c r="D31" i="1"/>
  <c r="D30" i="1"/>
  <c r="D29" i="1"/>
  <c r="E28" i="1"/>
  <c r="D28" i="1"/>
  <c r="E27" i="1"/>
  <c r="E26" i="1"/>
  <c r="E25" i="1"/>
  <c r="E24" i="1"/>
  <c r="E23" i="1"/>
  <c r="D27" i="1"/>
  <c r="D26" i="1"/>
  <c r="D25" i="1"/>
  <c r="D24" i="1"/>
  <c r="D23" i="1"/>
  <c r="E21" i="1"/>
  <c r="E20" i="1"/>
  <c r="E19" i="1"/>
  <c r="E18" i="1"/>
  <c r="E17" i="1"/>
  <c r="D21" i="1"/>
  <c r="D20" i="1"/>
  <c r="D19" i="1"/>
  <c r="D18" i="1"/>
  <c r="D17" i="1"/>
  <c r="E16" i="1"/>
  <c r="E15" i="1"/>
  <c r="E14" i="1"/>
  <c r="E13" i="1"/>
  <c r="E12" i="1"/>
  <c r="D16" i="1"/>
  <c r="D15" i="1"/>
  <c r="D14" i="1"/>
  <c r="D13" i="1"/>
  <c r="D12" i="1"/>
  <c r="E6" i="1"/>
  <c r="E5" i="1"/>
  <c r="E4" i="1"/>
  <c r="E3" i="1"/>
  <c r="E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<sst xmlns="http://schemas.openxmlformats.org/spreadsheetml/2006/main" count="48" uniqueCount="16">
  <si>
    <t>p</t>
  </si>
  <si>
    <t>Code</t>
  </si>
  <si>
    <t>I_{tot}</t>
  </si>
  <si>
    <t>P_{fail,tot}</t>
  </si>
  <si>
    <t>9C3,2</t>
  </si>
  <si>
    <t>C9,4</t>
  </si>
  <si>
    <t>9C5,2</t>
  </si>
  <si>
    <t>2C7,3+C11,2</t>
  </si>
  <si>
    <t>k=9</t>
  </si>
  <si>
    <t>k=16</t>
  </si>
  <si>
    <t>16C3,2</t>
  </si>
  <si>
    <t>C9,4+7C3,2</t>
  </si>
  <si>
    <t>3C5,3+4C7,2</t>
  </si>
  <si>
    <t>3C9,3+4C3,2</t>
  </si>
  <si>
    <t>n=208</t>
  </si>
  <si>
    <t>n=442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</si>
</sst>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9C3,2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0.130216374</c:v>
                </c:pt>
                <c:pt idx="1">
                  <c:v>0.36360916887987632</c:v>
                </c:pt>
                <c:pt idx="2">
                  <c:v>0.61858929428626852</c:v>
                </c:pt>
                <c:pt idx="3">
                  <c:v>0.85715247974316755</c:v>
                </c:pt>
                <c:pt idx="4">
                  <c:v>1.064956500389826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B-4074-BE11-89D0CF0380FE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C9,4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Sheet1!$C$7:$C$11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6.8586197000000002E-2</c:v>
                </c:pt>
                <c:pt idx="1">
                  <c:v>0.17766725464415001</c:v>
                </c:pt>
                <c:pt idx="2">
                  <c:v>0.16594784715495001</c:v>
                </c:pt>
                <c:pt idx="3">
                  <c:v>0.52169520408172099</c:v>
                </c:pt>
                <c:pt idx="4">
                  <c:v>0.68032250068811195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B-4074-BE11-89D0CF03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11663"/>
        <c:axId val="661667455"/>
      </c:scatterChart>
      <c:valAx>
        <c:axId val="7962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7455"/>
        <c:crosses val="autoZero"/>
        <c:crossBetween val="midCat"/>
      </c:valAx>
      <c:valAx>
        <c:axId val="6616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I(tot)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1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9C3,2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2.1275486851813463E-2</c:v>
                </c:pt>
                <c:pt idx="1">
                  <c:v>7.896037029220393E-2</c:v>
                </c:pt>
                <c:pt idx="2">
                  <c:v>0.16243750847571681</c:v>
                </c:pt>
                <c:pt idx="3">
                  <c:v>0.26043198786926935</c:v>
                </c:pt>
                <c:pt idx="4">
                  <c:v>0.36433541922561774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6-49C9-B80C-AD61E0E2E9E0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C9,4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Sheet1!$C$7:$C$11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9.9234000000000006E-3</c:v>
                </c:pt>
                <c:pt idx="1">
                  <c:v>3.9716899999999999E-2</c:v>
                </c:pt>
                <c:pt idx="2">
                  <c:v>8.8947799999999994E-2</c:v>
                </c:pt>
                <c:pt idx="3">
                  <c:v>0.157495</c:v>
                </c:pt>
                <c:pt idx="4">
                  <c:v>0.2425196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6-49C9-B80C-AD61E0E2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96959"/>
        <c:axId val="661693855"/>
      </c:scatterChart>
      <c:valAx>
        <c:axId val="8033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3855"/>
        <c:crosses val="autoZero"/>
        <c:crossBetween val="midCat"/>
      </c:valAx>
      <c:valAx>
        <c:axId val="661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Pfail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9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9C5,2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Sheet1!$C$12:$C$16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2.6221068E-2</c:v>
                </c:pt>
                <c:pt idx="1">
                  <c:v>0.13765254932798102</c:v>
                </c:pt>
                <c:pt idx="2">
                  <c:v>0.34357873190230348</c:v>
                </c:pt>
                <c:pt idx="3">
                  <c:v>0.59680149698059926</c:v>
                </c:pt>
                <c:pt idx="4">
                  <c:v>0.84604647408945122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A-4222-A288-D56EAA1AD29C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2C7,3+C11,2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Sheet1!$C$17:$C$21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7.3778148000000002E-2</c:v>
                </c:pt>
                <c:pt idx="1">
                  <c:v>0.21944829226061341</c:v>
                </c:pt>
                <c:pt idx="2">
                  <c:v>0.46672404970592529</c:v>
                </c:pt>
                <c:pt idx="3">
                  <c:v>0.5852917942296546</c:v>
                </c:pt>
                <c:pt idx="4">
                  <c:v>0.56988858037110535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A-4222-A288-D56EAA1A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943119"/>
        <c:axId val="702772015"/>
      </c:scatterChart>
      <c:valAx>
        <c:axId val="8069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72015"/>
        <c:crosses val="autoZero"/>
        <c:crossBetween val="midCat"/>
      </c:valAx>
      <c:valAx>
        <c:axId val="7027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I(tot)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4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9C5,2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Sheet1!$C$12:$C$16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2.4983215792782065E-3</c:v>
                </c:pt>
                <c:pt idx="1">
                  <c:v>1.9311802366079878E-2</c:v>
                </c:pt>
                <c:pt idx="2">
                  <c:v>6.0515526576178869E-2</c:v>
                </c:pt>
                <c:pt idx="3">
                  <c:v>0.13151161865183592</c:v>
                </c:pt>
                <c:pt idx="4">
                  <c:v>0.22892488261964716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3-4698-8285-B4FE4A3D3A60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2C7,3+C11,2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Sheet1!$C$17:$C$21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8.7522638870499714E-3</c:v>
                </c:pt>
                <c:pt idx="1">
                  <c:v>3.5137059386173952E-2</c:v>
                </c:pt>
                <c:pt idx="2">
                  <c:v>8.2542656092172706E-2</c:v>
                </c:pt>
                <c:pt idx="3">
                  <c:v>0.14119101107745058</c:v>
                </c:pt>
                <c:pt idx="4">
                  <c:v>0.22129109250680223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3-4698-8285-B4FE4A3D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82047"/>
        <c:axId val="702777775"/>
      </c:scatterChart>
      <c:valAx>
        <c:axId val="84478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77775"/>
        <c:crosses val="autoZero"/>
        <c:crossBetween val="midCat"/>
      </c:valAx>
      <c:valAx>
        <c:axId val="7027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8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12700</xdr:rowOff>
    </xdr:from>
    <xdr:to>
      <xdr:col>16</xdr:col>
      <xdr:colOff>333375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D7655-075E-422F-92E3-A13C242C3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</xdr:row>
      <xdr:rowOff>0</xdr:rowOff>
    </xdr:from>
    <xdr:to>
      <xdr:col>24</xdr:col>
      <xdr:colOff>314325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F1B4C-502A-2D3F-5C52-A6F38583E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396875</xdr:colOff>
      <xdr:row>18</xdr:row>
      <xdr:rowOff>19050</xdr:rowOff>
    </xdr:from>
    <xdr:to>
      <xdr:col>16</xdr:col>
      <xdr:colOff>92075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3DC5D-5BBC-1F12-C42F-B45F6A01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403225</xdr:colOff>
      <xdr:row>18</xdr:row>
      <xdr:rowOff>0</xdr:rowOff>
    </xdr:from>
    <xdr:to>
      <xdr:col>24</xdr:col>
      <xdr:colOff>98425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CB9CF-3C23-5E7F-3A1B-273C579FD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1DBE-8A24-4F40-B090-D2265F61026A}">
  <dimension ref="A1:H42"/>
  <sheetViews>
    <sheetView tabSelected="1" workbookViewId="0">
      <selection activeCell="E42" sqref="E42"/>
    </sheetView>
  </sheetViews>
  <sheetFormatPr defaultRowHeight="14.5" x14ac:dyDescent="0.35"/>
  <cols>
    <col min="1" max="2" width="10.90625" bestFit="1" customWidth="1"/>
  </cols>
  <sheetData>
    <row r="1" spans="1:5" x14ac:dyDescent="0.35">
      <c r="A1" t="s">
        <v>8</v>
      </c>
      <c r="B1" t="s">
        <v>1</v>
      </c>
      <c r="C1" t="s">
        <v>0</v>
      </c>
      <c r="D1" t="s">
        <v>2</v>
      </c>
      <c r="E1" t="s">
        <v>3</v>
      </c>
    </row>
    <row r="2" spans="1:5" x14ac:dyDescent="0.35">
      <c r="B2" t="s">
        <v>4</v>
      </c>
      <c r="C2">
        <v>0.01</v>
      </c>
      <c r="D2" s="1">
        <f>9*0.014468486</f>
        <v>0.130216374</v>
      </c>
      <c r="E2" s="2">
        <f>1-(1-0.0023866)^9</f>
        <v>2.1275486851813463E-2</v>
      </c>
    </row>
    <row r="3" spans="1:5" x14ac:dyDescent="0.35">
      <c r="B3" t="s">
        <v>4</v>
      </c>
      <c r="C3">
        <v>0.02</v>
      </c>
      <c r="D3" s="1">
        <f>9*0.0404010187644307</f>
        <v>0.36360916887987632</v>
      </c>
      <c r="E3" s="2">
        <f>1-(1-0.0090975)^(9)</f>
        <v>7.896037029220393E-2</v>
      </c>
    </row>
    <row r="4" spans="1:5" x14ac:dyDescent="0.35">
      <c r="B4" t="s">
        <v>4</v>
      </c>
      <c r="C4">
        <v>0.03</v>
      </c>
      <c r="D4" s="1">
        <f>9*0.0687321438095854</f>
        <v>0.61858929428626852</v>
      </c>
      <c r="E4" s="2">
        <f>1-(1-0.0195028)^(9)</f>
        <v>0.16243750847571681</v>
      </c>
    </row>
    <row r="5" spans="1:5" x14ac:dyDescent="0.35">
      <c r="B5" t="s">
        <v>4</v>
      </c>
      <c r="C5">
        <v>0.04</v>
      </c>
      <c r="D5" s="1">
        <f>9*0.0952391644159075</f>
        <v>0.85715247974316755</v>
      </c>
      <c r="E5" s="2">
        <f>1-(1-0.0329654)^(9)</f>
        <v>0.26043198786926935</v>
      </c>
    </row>
    <row r="6" spans="1:5" x14ac:dyDescent="0.35">
      <c r="B6" t="s">
        <v>4</v>
      </c>
      <c r="C6">
        <v>0.05</v>
      </c>
      <c r="D6" s="1">
        <f>9*0.118328500043314</f>
        <v>1.064956500389826</v>
      </c>
      <c r="E6" s="2">
        <f>1-(1-0.0490965)^(9)</f>
        <v>0.36433541922561774</v>
      </c>
    </row>
    <row r="7" spans="1:5" x14ac:dyDescent="0.35">
      <c r="B7" t="s">
        <v>5</v>
      </c>
      <c r="C7">
        <v>0.01</v>
      </c>
      <c r="D7">
        <v>6.8586197000000002E-2</v>
      </c>
      <c r="E7" s="3">
        <v>9.9234000000000006E-3</v>
      </c>
    </row>
    <row r="8" spans="1:5" x14ac:dyDescent="0.35">
      <c r="B8" t="s">
        <v>5</v>
      </c>
      <c r="C8">
        <v>0.02</v>
      </c>
      <c r="D8">
        <v>0.17766725464415001</v>
      </c>
      <c r="E8" s="3">
        <v>3.9716899999999999E-2</v>
      </c>
    </row>
    <row r="9" spans="1:5" x14ac:dyDescent="0.35">
      <c r="B9" t="s">
        <v>5</v>
      </c>
      <c r="C9">
        <v>0.03</v>
      </c>
      <c r="D9">
        <v>0.16594784715495001</v>
      </c>
      <c r="E9" s="3">
        <v>8.8947799999999994E-2</v>
      </c>
    </row>
    <row r="10" spans="1:5" x14ac:dyDescent="0.35">
      <c r="B10" t="s">
        <v>5</v>
      </c>
      <c r="C10">
        <v>0.04</v>
      </c>
      <c r="D10">
        <v>0.52169520408172099</v>
      </c>
      <c r="E10" s="3">
        <v>0.157495</v>
      </c>
    </row>
    <row r="11" spans="1:5" x14ac:dyDescent="0.35">
      <c r="B11" t="s">
        <v>5</v>
      </c>
      <c r="C11">
        <v>0.05</v>
      </c>
      <c r="D11">
        <v>0.68032250068811195</v>
      </c>
      <c r="E11" s="3">
        <v>0.2425196</v>
      </c>
    </row>
    <row r="12" spans="1:5" x14ac:dyDescent="0.35">
      <c r="B12" t="s">
        <v>6</v>
      </c>
      <c r="C12">
        <v>0.01</v>
      </c>
      <c r="D12">
        <f>9*0.002913452</f>
        <v>2.6221068E-2</v>
      </c>
      <c r="E12" s="3">
        <f>1-(1-0.0002779)^(9)</f>
        <v>2.4983215792782065E-3</v>
      </c>
    </row>
    <row r="13" spans="1:5" x14ac:dyDescent="0.35">
      <c r="B13" t="s">
        <v>6</v>
      </c>
      <c r="C13">
        <v>0.02</v>
      </c>
      <c r="D13">
        <f>9*0.015294727703109</f>
        <v>0.13765254932798102</v>
      </c>
      <c r="E13" s="3">
        <f>1-(1-0.0021644)^(9)</f>
        <v>1.9311802366079878E-2</v>
      </c>
    </row>
    <row r="14" spans="1:5" x14ac:dyDescent="0.35">
      <c r="B14" t="s">
        <v>6</v>
      </c>
      <c r="C14">
        <v>0.03</v>
      </c>
      <c r="D14">
        <f>9*0.0381754146558115</f>
        <v>0.34357873190230348</v>
      </c>
      <c r="E14" s="3">
        <f>1-(1-0.006912)^(9)</f>
        <v>6.0515526576178869E-2</v>
      </c>
    </row>
    <row r="15" spans="1:5" x14ac:dyDescent="0.35">
      <c r="B15" t="s">
        <v>6</v>
      </c>
      <c r="C15">
        <v>0.04</v>
      </c>
      <c r="D15">
        <f>9*0.0663112774422888</f>
        <v>0.59680149698059926</v>
      </c>
      <c r="E15" s="3">
        <f>1-(1-0.0155447)^(9)</f>
        <v>0.13151161865183592</v>
      </c>
    </row>
    <row r="16" spans="1:5" x14ac:dyDescent="0.35">
      <c r="B16" t="s">
        <v>6</v>
      </c>
      <c r="C16">
        <v>0.05</v>
      </c>
      <c r="D16">
        <f>9*0.0940051637877168</f>
        <v>0.84604647408945122</v>
      </c>
      <c r="E16" s="3">
        <f>1-(1-0.0284723)^(9)</f>
        <v>0.22892488261964716</v>
      </c>
    </row>
    <row r="17" spans="1:8" x14ac:dyDescent="0.35">
      <c r="B17" t="s">
        <v>7</v>
      </c>
      <c r="C17">
        <v>0.01</v>
      </c>
      <c r="D17">
        <f>2*0.036885414+0.00000732</f>
        <v>7.3778148000000002E-2</v>
      </c>
      <c r="E17">
        <f>1-(1-0.0043856)^(2)*(1-0.0000003)</f>
        <v>8.7522638870499714E-3</v>
      </c>
    </row>
    <row r="18" spans="1:8" x14ac:dyDescent="0.35">
      <c r="B18" t="s">
        <v>7</v>
      </c>
      <c r="C18">
        <v>0.02</v>
      </c>
      <c r="D18">
        <f>2*0.109603407208509+0.000241477843595418</f>
        <v>0.21944829226061341</v>
      </c>
      <c r="E18">
        <f>1-(1-0.0177189)^(2)*(1-0.0000137)</f>
        <v>3.5137059386173952E-2</v>
      </c>
    </row>
    <row r="19" spans="1:8" x14ac:dyDescent="0.35">
      <c r="B19" t="s">
        <v>7</v>
      </c>
      <c r="C19">
        <v>0.03</v>
      </c>
      <c r="D19">
        <f>2*0.232022652412205+0.00267874488151533</f>
        <v>0.46672404970592529</v>
      </c>
      <c r="E19">
        <f>1-(1-0.0420669)^(2)*(1-0.0001945)</f>
        <v>8.2542656092172706E-2</v>
      </c>
    </row>
    <row r="20" spans="1:8" x14ac:dyDescent="0.35">
      <c r="B20" t="s">
        <v>7</v>
      </c>
      <c r="C20">
        <v>0.04</v>
      </c>
      <c r="D20">
        <f>2*0.286018665108604+0.0132544640124466</f>
        <v>0.5852917942296546</v>
      </c>
      <c r="E20">
        <f>1-(1-0.0727297)^(2)*(1-0.0011877)</f>
        <v>0.14119101107745058</v>
      </c>
    </row>
    <row r="21" spans="1:8" x14ac:dyDescent="0.35">
      <c r="B21" t="s">
        <v>7</v>
      </c>
      <c r="C21">
        <v>0.05</v>
      </c>
      <c r="D21">
        <f>2*0.264033895750933+0.0418207888692394</f>
        <v>0.56988858037110535</v>
      </c>
      <c r="E21">
        <f>1-(1-0.115548)^(2)*(1-0.0045336)</f>
        <v>0.22129109250680223</v>
      </c>
    </row>
    <row r="23" spans="1:8" x14ac:dyDescent="0.35">
      <c r="A23" t="s">
        <v>9</v>
      </c>
      <c r="B23" t="s">
        <v>10</v>
      </c>
      <c r="C23">
        <v>0.01</v>
      </c>
      <c r="D23" s="1">
        <f>16*0.014468486</f>
        <v>0.23149577599999999</v>
      </c>
      <c r="E23" s="2">
        <f>1-(1-(0.0023866))^(16)</f>
        <v>3.7509650637124303E-2</v>
      </c>
      <c r="F23" t="s">
        <v>14</v>
      </c>
    </row>
    <row r="24" spans="1:8" x14ac:dyDescent="0.35">
      <c r="B24" t="s">
        <v>10</v>
      </c>
      <c r="C24">
        <v>0.02</v>
      </c>
      <c r="D24" s="1">
        <f>16*0.0404010187644307</f>
        <v>0.64641630023089125</v>
      </c>
      <c r="E24" s="2">
        <f>1-(1-0.0090975)^(16)</f>
        <v>0.13603771209140647</v>
      </c>
    </row>
    <row r="25" spans="1:8" x14ac:dyDescent="0.35">
      <c r="B25" t="s">
        <v>10</v>
      </c>
      <c r="C25">
        <v>0.03</v>
      </c>
      <c r="D25" s="1">
        <f>16*0.0687321438095854</f>
        <v>1.0997143009533663</v>
      </c>
      <c r="E25" s="2">
        <f>1-(1-0.0195028)^(16)</f>
        <v>0.27030440471892492</v>
      </c>
    </row>
    <row r="26" spans="1:8" x14ac:dyDescent="0.35">
      <c r="B26" t="s">
        <v>10</v>
      </c>
      <c r="C26">
        <v>0.04</v>
      </c>
      <c r="D26" s="1">
        <f>16*0.0952391644159075</f>
        <v>1.5238266306545201</v>
      </c>
      <c r="E26" s="2">
        <f>1-(1-0.0329654)^(16)</f>
        <v>0.4151126734326922</v>
      </c>
    </row>
    <row r="27" spans="1:8" x14ac:dyDescent="0.35">
      <c r="B27" t="s">
        <v>10</v>
      </c>
      <c r="C27">
        <v>0.05</v>
      </c>
      <c r="D27" s="1">
        <f>16*0.118328500043314</f>
        <v>1.8932560006930239</v>
      </c>
      <c r="E27" s="2">
        <f>1-(1-0.0490965)^(16)</f>
        <v>0.55312800923983108</v>
      </c>
    </row>
    <row r="28" spans="1:8" x14ac:dyDescent="0.35">
      <c r="B28" t="s">
        <v>11</v>
      </c>
      <c r="C28">
        <v>0.01</v>
      </c>
      <c r="D28">
        <f>0.068586197+7*0.014468486</f>
        <v>0.16986559899999998</v>
      </c>
      <c r="E28">
        <f>1-(1-0.0099234)*(1-0.0023866)^(7)</f>
        <v>2.6345861549167293E-2</v>
      </c>
      <c r="G28" s="3"/>
      <c r="H28" s="2"/>
    </row>
    <row r="29" spans="1:8" x14ac:dyDescent="0.35">
      <c r="B29" t="s">
        <v>11</v>
      </c>
      <c r="C29">
        <v>0.02</v>
      </c>
      <c r="D29">
        <f>0.17766725464415+7*0.0404010187644307</f>
        <v>0.46047438599516494</v>
      </c>
      <c r="E29">
        <f>1-(1-0.0397169)*(1-0.0090975)^(7)</f>
        <v>9.9226181636542066E-2</v>
      </c>
      <c r="G29" s="3"/>
      <c r="H29" s="2"/>
    </row>
    <row r="30" spans="1:8" x14ac:dyDescent="0.35">
      <c r="B30" t="s">
        <v>11</v>
      </c>
      <c r="C30">
        <v>0.03</v>
      </c>
      <c r="D30">
        <f>0.16594784715495+7*0.0687321438095854</f>
        <v>0.64707285382204782</v>
      </c>
      <c r="E30">
        <f>1-(1-0.0889478)*(1-0.0195028)^(7)</f>
        <v>0.20627919213373824</v>
      </c>
      <c r="G30" s="3"/>
      <c r="H30" s="2"/>
    </row>
    <row r="31" spans="1:8" x14ac:dyDescent="0.35">
      <c r="B31" t="s">
        <v>11</v>
      </c>
      <c r="C31">
        <v>0.04</v>
      </c>
      <c r="D31">
        <f>0.521695204081721+7*0.0952391644159075</f>
        <v>1.1883693549930734</v>
      </c>
      <c r="E31">
        <f>1-(1-0.157495)*(1-0.0329654)^(7)</f>
        <v>0.33370496156277174</v>
      </c>
      <c r="G31" s="3"/>
      <c r="H31" s="2"/>
    </row>
    <row r="32" spans="1:8" x14ac:dyDescent="0.35">
      <c r="B32" t="s">
        <v>11</v>
      </c>
      <c r="C32">
        <v>0.05</v>
      </c>
      <c r="D32">
        <f>0.680322500688112+7*0.118328500043314</f>
        <v>1.5086220009913101</v>
      </c>
      <c r="E32">
        <f>1-(1-0.2425196)*(1-0.0490965)^(7)</f>
        <v>0.46749152847647424</v>
      </c>
      <c r="G32" s="3"/>
      <c r="H32" s="2"/>
    </row>
    <row r="33" spans="2:8" x14ac:dyDescent="0.35">
      <c r="B33" t="s">
        <v>12</v>
      </c>
      <c r="C33">
        <v>0.01</v>
      </c>
      <c r="D33">
        <f>3*0.020457993+4*0.000389362</f>
        <v>6.2931426999999998E-2</v>
      </c>
      <c r="E33">
        <f>1-(1-0.0049434)^(3)*(1-0.0000248)^4</f>
        <v>1.4854741661157411E-2</v>
      </c>
      <c r="F33" t="s">
        <v>15</v>
      </c>
      <c r="G33" s="3"/>
      <c r="H33" s="4"/>
    </row>
    <row r="34" spans="2:8" x14ac:dyDescent="0.35">
      <c r="B34" t="s">
        <v>12</v>
      </c>
      <c r="C34">
        <v>0.02</v>
      </c>
      <c r="D34">
        <f>3*0.0610150474237859+4*0.00490945345255932</f>
        <v>0.20268295608159498</v>
      </c>
      <c r="E34">
        <f>1-(1-0.020639)^(3)*(1-0.0004054)^(4)</f>
        <v>6.217021394420652E-2</v>
      </c>
      <c r="G34" s="3"/>
      <c r="H34" s="4"/>
    </row>
    <row r="35" spans="2:8" x14ac:dyDescent="0.35">
      <c r="B35" t="s">
        <v>12</v>
      </c>
      <c r="C35">
        <v>0.03</v>
      </c>
      <c r="D35">
        <f>3*0.108744596971424+4*0.0204166570575651</f>
        <v>0.40790041914453234</v>
      </c>
      <c r="E35">
        <f>1-(1-0.0474813)^(3)*(1-0.0021051)^(4)</f>
        <v>0.14304159249987247</v>
      </c>
      <c r="G35" s="3"/>
      <c r="H35" s="3"/>
    </row>
    <row r="36" spans="2:8" x14ac:dyDescent="0.35">
      <c r="B36" t="s">
        <v>12</v>
      </c>
      <c r="C36">
        <v>0.04</v>
      </c>
      <c r="D36">
        <f>3*0.154669377492499+4*0.045635603128273</f>
        <v>0.64655054499058906</v>
      </c>
      <c r="E36">
        <f>1-(1-0.0844252)^(3)*(1-0.0064798)^(4)</f>
        <v>0.25219511413357321</v>
      </c>
      <c r="G36" s="3"/>
      <c r="H36" s="3"/>
    </row>
    <row r="37" spans="2:8" x14ac:dyDescent="0.35">
      <c r="B37" t="s">
        <v>12</v>
      </c>
      <c r="C37">
        <v>0.05</v>
      </c>
      <c r="D37">
        <f>3*0.193341959256303+4*0.0849681749815139</f>
        <v>0.91989857769496453</v>
      </c>
      <c r="E37">
        <f>1-(1-0.1297871)^(3)*(1-0.0151285)^(4)</f>
        <v>0.37999551467472004</v>
      </c>
      <c r="G37" s="3"/>
      <c r="H37" s="3"/>
    </row>
    <row r="38" spans="2:8" x14ac:dyDescent="0.35">
      <c r="B38" t="s">
        <v>13</v>
      </c>
      <c r="C38">
        <v>0.01</v>
      </c>
      <c r="D38">
        <f>3*0.005199438+4*0.014468486</f>
        <v>7.3472257999999999E-2</v>
      </c>
      <c r="E38">
        <f>1-(1-0.0004316)^(3)*(1-0.0023866)^(4)</f>
        <v>1.0794209245816089E-2</v>
      </c>
      <c r="G38" s="3"/>
      <c r="H38" s="2"/>
    </row>
    <row r="39" spans="2:8" x14ac:dyDescent="0.35">
      <c r="B39" t="s">
        <v>13</v>
      </c>
      <c r="C39">
        <v>0.02</v>
      </c>
      <c r="D39">
        <f>3*0.0324689437155027+4*0.0404010187644307</f>
        <v>0.2590109062042309</v>
      </c>
      <c r="E39">
        <f>1-(1-0.0037178)^(3)*(1-0.0090975)^(4)</f>
        <v>4.6609522722620311E-2</v>
      </c>
      <c r="G39" s="3"/>
      <c r="H39" s="2"/>
    </row>
    <row r="40" spans="2:8" x14ac:dyDescent="0.35">
      <c r="B40" t="s">
        <v>13</v>
      </c>
      <c r="C40">
        <v>0.03</v>
      </c>
      <c r="D40">
        <f>3*0.0985686917038639+4*0.0687321438095854</f>
        <v>0.57063465034993333</v>
      </c>
      <c r="E40">
        <f>1-(1-0.0132858)^(3)*(1-0.0195028)^(4)</f>
        <v>0.11210917963945943</v>
      </c>
      <c r="G40" s="3"/>
      <c r="H40" s="2"/>
    </row>
    <row r="41" spans="2:8" x14ac:dyDescent="0.35">
      <c r="B41" t="s">
        <v>13</v>
      </c>
      <c r="C41">
        <v>0.04</v>
      </c>
      <c r="D41">
        <f>3*0.20565039372199+4*0.0952391644159075</f>
        <v>0.9979078388296001</v>
      </c>
      <c r="E41">
        <f>1-(1-0.0331808)^(3)*(1-0.0329654)^(4)</f>
        <v>0.20967839914963593</v>
      </c>
      <c r="G41" s="3"/>
      <c r="H41" s="2"/>
    </row>
    <row r="42" spans="2:8" x14ac:dyDescent="0.35">
      <c r="B42" t="s">
        <v>13</v>
      </c>
      <c r="C42">
        <v>0.05</v>
      </c>
      <c r="D42">
        <f>3*0.351354395744316+4*0.118328500043314</f>
        <v>1.5273771874062039</v>
      </c>
      <c r="E42">
        <f>1-(1-0.0673807)^(3)*(1-0.0490965)^(4)</f>
        <v>0.33677791486675002</v>
      </c>
      <c r="G42" s="3"/>
      <c r="H42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2023-09-16T23:06:40Z</dcterms:created>
  <dcterms:modified xsi:type="dcterms:W3CDTF">2023-09-17T01:19:40Z</dcterms:modified>
</cp:coreProperties>
</file>