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ocuments\TeleworX\RunBook\Core\HLD\MoE\Widgets\"/>
    </mc:Choice>
  </mc:AlternateContent>
  <xr:revisionPtr revIDLastSave="0" documentId="8_{599FF04B-3B66-4549-9C55-4439157AFF4A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MC - Capacity Planning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92" i="25" l="1"/>
  <c r="AR90" i="25"/>
  <c r="AR88" i="25"/>
  <c r="AR86" i="25"/>
  <c r="AR84" i="25"/>
  <c r="AJ48" i="25"/>
  <c r="AJ46" i="25"/>
  <c r="AJ44" i="25"/>
  <c r="AJ42" i="25"/>
  <c r="AJ40" i="25"/>
  <c r="AJ38" i="25"/>
  <c r="AJ36" i="25"/>
  <c r="X75" i="25"/>
  <c r="X73" i="25"/>
  <c r="S71" i="25"/>
  <c r="S28" i="25"/>
  <c r="S69" i="25"/>
  <c r="S10" i="25"/>
  <c r="AB40" i="25" s="1"/>
  <c r="AB44" i="25" l="1"/>
  <c r="S59" i="25" s="1"/>
  <c r="AB46" i="25"/>
  <c r="AB48" i="25"/>
  <c r="AB42" i="25"/>
  <c r="AB36" i="25"/>
  <c r="AB38" i="25"/>
  <c r="AC120" i="25"/>
  <c r="AC118" i="25"/>
  <c r="AC116" i="25"/>
  <c r="AC114" i="25"/>
  <c r="AC112" i="25"/>
  <c r="X120" i="25"/>
  <c r="X118" i="25"/>
  <c r="X116" i="25"/>
  <c r="X114" i="25"/>
  <c r="X112" i="25"/>
  <c r="N120" i="25"/>
  <c r="N118" i="25"/>
  <c r="N116" i="25"/>
  <c r="N114" i="25"/>
  <c r="N112" i="25"/>
  <c r="W22" i="25"/>
  <c r="W24" i="25" s="1"/>
  <c r="S22" i="25"/>
  <c r="S24" i="25" s="1"/>
  <c r="S65" i="25" l="1"/>
  <c r="S67" i="25"/>
  <c r="S61" i="25"/>
  <c r="S63" i="25"/>
  <c r="S57" i="25"/>
  <c r="S16" i="25"/>
  <c r="W16" i="25"/>
  <c r="S75" i="25" l="1"/>
  <c r="S73" i="25"/>
</calcChain>
</file>

<file path=xl/sharedStrings.xml><?xml version="1.0" encoding="utf-8"?>
<sst xmlns="http://schemas.openxmlformats.org/spreadsheetml/2006/main" count="125" uniqueCount="86">
  <si>
    <t>Service Penetration (%)</t>
  </si>
  <si>
    <t>Voice</t>
  </si>
  <si>
    <t>Data</t>
  </si>
  <si>
    <t>Core Service ID (Data, Voice)</t>
  </si>
  <si>
    <t>Traffic amount per hour at Busy Hour (ρ_SU)</t>
  </si>
  <si>
    <t>Session Duration (T_session) [MB]</t>
  </si>
  <si>
    <t>Users per Service (N_SU) [Users]</t>
  </si>
  <si>
    <t>Number of Expected Users (N_U) [Users]</t>
  </si>
  <si>
    <t>Total Population (Pop) [Users]</t>
  </si>
  <si>
    <t>Session Ocurrence (N_session) [Times/User]</t>
  </si>
  <si>
    <t>% of Active Users at Busy Hour(per service/whole network) (%)</t>
  </si>
  <si>
    <t>Roaming Users (if any) [Users]</t>
  </si>
  <si>
    <t>Total Traffic amount per hour at Busy Hour (ρ_BH) [Mbps]</t>
  </si>
  <si>
    <t>Control Plane Calculation</t>
  </si>
  <si>
    <t>User Plane Calculation</t>
  </si>
  <si>
    <t>Number of ocurrence per Hour</t>
  </si>
  <si>
    <t>Mobility Management Entity (MME)</t>
  </si>
  <si>
    <t>Serving Gateway (SGW)</t>
  </si>
  <si>
    <t>Packet Data Network Gateway (PGW)</t>
  </si>
  <si>
    <t>Home Service Subscriber (HSS)</t>
  </si>
  <si>
    <t>Simultaneous</t>
  </si>
  <si>
    <t>Attached Users</t>
  </si>
  <si>
    <t>Operation</t>
  </si>
  <si>
    <t>Capacity</t>
  </si>
  <si>
    <t>Data Processing</t>
  </si>
  <si>
    <t>User Database</t>
  </si>
  <si>
    <t>Capacity [Gbps]</t>
  </si>
  <si>
    <t>-</t>
  </si>
  <si>
    <t>Policy Charging &amp; Rule Function (PCRF)</t>
  </si>
  <si>
    <t>Equipment</t>
  </si>
  <si>
    <t>Quantity</t>
  </si>
  <si>
    <t>Equipment Quantity Calculation</t>
  </si>
  <si>
    <t>S11</t>
  </si>
  <si>
    <t xml:space="preserve">SGi </t>
  </si>
  <si>
    <t>Gx</t>
  </si>
  <si>
    <t>S6a</t>
  </si>
  <si>
    <t>[Mbps]</t>
  </si>
  <si>
    <t>VNF Type</t>
  </si>
  <si>
    <t>Data Forwarding</t>
  </si>
  <si>
    <t>Signaling Operation Processing</t>
  </si>
  <si>
    <t>User Data Management</t>
  </si>
  <si>
    <t>Metric</t>
  </si>
  <si>
    <t>[Gbps]</t>
  </si>
  <si>
    <t>[Operations/sec]</t>
  </si>
  <si>
    <t>[Subscribers]</t>
  </si>
  <si>
    <t>Value</t>
  </si>
  <si>
    <t>Minimum</t>
  </si>
  <si>
    <t>Max Scaled</t>
  </si>
  <si>
    <t>Forwarding</t>
  </si>
  <si>
    <t>Routing</t>
  </si>
  <si>
    <t>Capabilities</t>
  </si>
  <si>
    <t>Signaling Operation</t>
  </si>
  <si>
    <t>Processing</t>
  </si>
  <si>
    <t>User Data</t>
  </si>
  <si>
    <t>Management</t>
  </si>
  <si>
    <t>VNF Mapping &amp; Quantity</t>
  </si>
  <si>
    <t>Interface Throughput Calculation</t>
  </si>
  <si>
    <t>Total</t>
  </si>
  <si>
    <t>Throughput [Mbps]</t>
  </si>
  <si>
    <t>Bandwidth per user at Busy Hour (B_S) [Kbps/user]</t>
  </si>
  <si>
    <t>Se agregó esta nueva métrica</t>
  </si>
  <si>
    <t>Percentage of Simultaneous Attached Users (P_SAU) [%]</t>
  </si>
  <si>
    <t>Modificación: Se agregó "(B_S)"</t>
  </si>
  <si>
    <t>Modificación: Las unidades [Trans/user/hr]</t>
  </si>
  <si>
    <t>Number of attach (N_attach) [Trans/user/hr]</t>
  </si>
  <si>
    <t>Number of detach (N_detach) [Trans/user/hr]</t>
  </si>
  <si>
    <t>Number of idle/active transitions (N_act/idle) [Trans/user/hr]</t>
  </si>
  <si>
    <t>Number of Bearer Activation procedures (N_bearer) [Trans/user/hr]</t>
  </si>
  <si>
    <t>Number of Bearer Modification procedures (N_Bearermod) [Trans/user/hr]</t>
  </si>
  <si>
    <t>Number of TAU procedures (N_TAU) [Trans/user/hr]</t>
  </si>
  <si>
    <t>Number of Handover procedures (N_HO) [Trans/user/hr]</t>
  </si>
  <si>
    <t>If Home Routed</t>
  </si>
  <si>
    <t>S1-MME</t>
  </si>
  <si>
    <t>S1-U</t>
  </si>
  <si>
    <t>S9</t>
  </si>
  <si>
    <t>Gy</t>
  </si>
  <si>
    <t>S8</t>
  </si>
  <si>
    <t>S5</t>
  </si>
  <si>
    <t>Modificación: Se quitó el factor 1.1</t>
  </si>
  <si>
    <t>Active Bearers</t>
  </si>
  <si>
    <t>Agregar: Transacciones por hora</t>
  </si>
  <si>
    <t>Number of Trans/hr</t>
  </si>
  <si>
    <t>Number of Trans/sec</t>
  </si>
  <si>
    <t>Se agregaron nuevas interfaces y se cambiaron los índices</t>
  </si>
  <si>
    <t>Se cambió la fórmula para los SAU (($S$10*$S$34))</t>
  </si>
  <si>
    <t>Se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</si>
</sst>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165" fontId="0" fillId="0" borderId="0" xfId="1" applyNumberFormat="1" applyFont="1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3" fontId="0" fillId="3" borderId="1" xfId="0" applyNumberForma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3" borderId="1" xfId="1" applyNumberFormat="1" applyFont="1" applyFill="1" applyBorder="1" applyAlignment="1">
      <alignment horizontal="center" vertical="center"/>
    </xf>
    <xf numFmtId="1" fontId="0" fillId="3" borderId="2" xfId="1" applyNumberFormat="1" applyFont="1" applyFill="1" applyBorder="1" applyAlignment="1">
      <alignment horizontal="center" vertical="center"/>
    </xf>
    <xf numFmtId="1" fontId="0" fillId="3" borderId="3" xfId="1" applyNumberFormat="1" applyFont="1" applyFill="1" applyBorder="1" applyAlignment="1">
      <alignment horizontal="center" vertical="center"/>
    </xf>
    <xf numFmtId="1" fontId="0" fillId="3" borderId="4" xfId="1" applyNumberFormat="1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4" fillId="4" borderId="0" xfId="0" applyFont="1" applyFill="1" applyAlignment="1"/>
    <xf numFmtId="0" fontId="0" fillId="4" borderId="0" xfId="0" applyFill="1" applyAlignment="1"/>
    <xf numFmtId="9" fontId="0" fillId="0" borderId="1" xfId="2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left" vertic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5" fontId="5" fillId="0" borderId="1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/>
    </xf>
    <xf numFmtId="1" fontId="5" fillId="0" borderId="0" xfId="0" applyNumberFormat="1" applyFont="1"/>
    <xf numFmtId="1" fontId="5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6D2C-1077-4AE2-9938-70F695E8091D}">
  <dimension ref="A1:AX120"/>
  <sheetViews>
    <sheetView showGridLines="0" tabSelected="1" zoomScale="85" zoomScaleNormal="85" workbookViewId="0">
      <selection activeCell="AV101" sqref="AV101"/>
    </sheetView>
  </sheetViews>
  <sheetFormatPr defaultColWidth="3.7109375" defaultRowHeight="15" x14ac:dyDescent="0.25"/>
  <cols>
    <col min="21" max="21" width="5" customWidth="1"/>
    <col min="34" max="34" width="4.140625" bestFit="1" customWidth="1"/>
    <col min="36" max="36" width="5.5703125" bestFit="1" customWidth="1"/>
    <col min="44" max="44" width="3.7109375" customWidth="1"/>
    <col min="62" max="62" width="3.28515625" customWidth="1"/>
  </cols>
  <sheetData>
    <row r="1" spans="1:4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46" x14ac:dyDescent="0.25">
      <c r="A2" s="1"/>
      <c r="B2" s="27" t="s">
        <v>14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</row>
    <row r="3" spans="1:46" x14ac:dyDescent="0.25">
      <c r="A3" s="1"/>
      <c r="B3" s="3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"/>
      <c r="AG3" s="1"/>
      <c r="AH3" s="1"/>
      <c r="AI3" s="1"/>
    </row>
    <row r="4" spans="1:46" x14ac:dyDescent="0.25">
      <c r="A4" s="1"/>
      <c r="B4" s="3" t="s">
        <v>8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8">
        <v>1000000</v>
      </c>
      <c r="T4" s="18"/>
      <c r="U4" s="18"/>
      <c r="V4" s="3"/>
      <c r="W4" s="3"/>
      <c r="X4" s="3"/>
      <c r="Y4" s="3"/>
      <c r="Z4" s="3"/>
      <c r="AA4" s="3"/>
      <c r="AB4" s="3"/>
      <c r="AC4" s="3"/>
      <c r="AD4" s="3"/>
      <c r="AE4" s="3"/>
      <c r="AF4" s="1"/>
      <c r="AG4" s="1"/>
      <c r="AH4" s="1"/>
      <c r="AI4" s="1"/>
    </row>
    <row r="5" spans="1:46" x14ac:dyDescent="0.25">
      <c r="A5" s="1"/>
      <c r="B5" s="3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"/>
      <c r="AG5" s="1"/>
      <c r="AH5" s="1"/>
      <c r="AI5" s="1"/>
    </row>
    <row r="6" spans="1:46" x14ac:dyDescent="0.25">
      <c r="A6" s="1"/>
      <c r="B6" s="3" t="s">
        <v>0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5">
        <v>0.6</v>
      </c>
      <c r="T6" s="35"/>
      <c r="U6" s="35"/>
      <c r="V6" s="3"/>
      <c r="W6" s="3"/>
      <c r="X6" s="3"/>
      <c r="Y6" s="3"/>
      <c r="Z6" s="3"/>
      <c r="AA6" s="3"/>
      <c r="AB6" s="3"/>
      <c r="AC6" s="3"/>
      <c r="AD6" s="3"/>
      <c r="AE6" s="3"/>
      <c r="AF6" s="1"/>
      <c r="AG6" s="1"/>
      <c r="AH6" s="1"/>
      <c r="AI6" s="1"/>
    </row>
    <row r="7" spans="1:46" x14ac:dyDescent="0.25">
      <c r="A7" s="1"/>
      <c r="B7" s="3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1"/>
      <c r="AH7" s="1"/>
      <c r="AI7" s="1"/>
    </row>
    <row r="8" spans="1:46" x14ac:dyDescent="0.25">
      <c r="A8" s="1"/>
      <c r="B8" s="3" t="s">
        <v>11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4">
        <v>50000</v>
      </c>
      <c r="T8" s="24"/>
      <c r="U8" s="24"/>
      <c r="V8" s="3"/>
      <c r="W8" s="3"/>
      <c r="X8" s="3"/>
      <c r="Y8" s="3"/>
      <c r="Z8" s="3"/>
      <c r="AA8" s="3"/>
      <c r="AB8" s="3"/>
      <c r="AC8" s="3"/>
      <c r="AD8" s="3"/>
      <c r="AE8" s="3"/>
      <c r="AF8" s="1"/>
      <c r="AG8" s="1"/>
      <c r="AH8" s="1"/>
      <c r="AI8" s="1"/>
    </row>
    <row r="9" spans="1:46" x14ac:dyDescent="0.25">
      <c r="A9" s="1"/>
      <c r="B9" s="3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"/>
      <c r="AG9" s="1"/>
      <c r="AH9" s="1"/>
      <c r="AI9" s="1"/>
    </row>
    <row r="10" spans="1:46" x14ac:dyDescent="0.25">
      <c r="A10" s="1"/>
      <c r="B10" s="3" t="s">
        <v>7</v>
      </c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0">
        <f>$S$4*$S$6+S8</f>
        <v>650000</v>
      </c>
      <c r="T10" s="21"/>
      <c r="U10" s="21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"/>
      <c r="AG10" s="1"/>
      <c r="AH10" s="1"/>
      <c r="AI10" s="1"/>
    </row>
    <row r="11" spans="1:46" x14ac:dyDescent="0.25">
      <c r="A11" s="1"/>
      <c r="B11" s="3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"/>
      <c r="AG11" s="1"/>
      <c r="AH11" s="1"/>
      <c r="AI11" s="1"/>
    </row>
    <row r="12" spans="1:46" x14ac:dyDescent="0.25">
      <c r="A12" s="1"/>
      <c r="B12" s="3" t="s">
        <v>3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4" t="s">
        <v>1</v>
      </c>
      <c r="T12" s="24"/>
      <c r="U12" s="24"/>
      <c r="V12" s="3"/>
      <c r="W12" s="24" t="s">
        <v>2</v>
      </c>
      <c r="X12" s="24"/>
      <c r="Y12" s="24"/>
      <c r="Z12" s="3"/>
      <c r="AA12" s="3"/>
      <c r="AB12" s="3"/>
      <c r="AC12" s="3"/>
      <c r="AD12" s="3"/>
      <c r="AE12" s="3"/>
      <c r="AF12" s="1"/>
      <c r="AG12" s="1"/>
      <c r="AH12" s="1"/>
      <c r="AI12" s="1"/>
    </row>
    <row r="13" spans="1:46" x14ac:dyDescent="0.25">
      <c r="A13" s="1"/>
      <c r="B13" s="3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"/>
      <c r="AG13" s="1"/>
      <c r="AH13" s="1"/>
      <c r="AI13" s="1"/>
    </row>
    <row r="14" spans="1:46" ht="15" customHeight="1" x14ac:dyDescent="0.25">
      <c r="A14" s="1"/>
      <c r="B14" s="5" t="s"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"/>
      <c r="P14" s="3"/>
      <c r="Q14" s="3"/>
      <c r="R14" s="3"/>
      <c r="S14" s="24">
        <v>100</v>
      </c>
      <c r="T14" s="24"/>
      <c r="U14" s="24"/>
      <c r="V14" s="3"/>
      <c r="W14" s="24">
        <v>100</v>
      </c>
      <c r="X14" s="24"/>
      <c r="Y14" s="24"/>
      <c r="Z14" s="3"/>
      <c r="AA14" s="3"/>
      <c r="AB14" s="3"/>
      <c r="AC14" s="3"/>
      <c r="AD14" s="3"/>
      <c r="AE14" s="3"/>
      <c r="AF14" s="1"/>
      <c r="AG14" s="1"/>
      <c r="AH14" s="1"/>
      <c r="AI14" s="1"/>
    </row>
    <row r="15" spans="1:46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"/>
      <c r="AG15" s="1"/>
      <c r="AH15" s="1"/>
      <c r="AI15" s="1"/>
    </row>
    <row r="16" spans="1:46" ht="15" customHeight="1" x14ac:dyDescent="0.25">
      <c r="A16" s="1"/>
      <c r="B16" s="5" t="s">
        <v>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3"/>
      <c r="P16" s="3"/>
      <c r="Q16" s="3"/>
      <c r="R16" s="3"/>
      <c r="S16" s="20">
        <f>$S$10*$S$14/100</f>
        <v>650000</v>
      </c>
      <c r="T16" s="21"/>
      <c r="U16" s="21"/>
      <c r="V16" s="3"/>
      <c r="W16" s="20">
        <f>$S$10*$W$14/100</f>
        <v>650000</v>
      </c>
      <c r="X16" s="21"/>
      <c r="Y16" s="21"/>
      <c r="Z16" s="3"/>
      <c r="AA16" s="3"/>
      <c r="AB16" s="3"/>
      <c r="AC16" s="3"/>
      <c r="AD16" s="3"/>
      <c r="AE16" s="3"/>
      <c r="AF16" s="1"/>
      <c r="AG16" s="1"/>
      <c r="AH16" s="1"/>
      <c r="AI16" s="1"/>
    </row>
    <row r="17" spans="1:47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"/>
      <c r="AG17" s="1"/>
      <c r="AH17" s="1"/>
      <c r="AI17" s="1"/>
    </row>
    <row r="18" spans="1:47" x14ac:dyDescent="0.25">
      <c r="A18" s="1"/>
      <c r="B18" s="9" t="s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9">
        <v>3.1</v>
      </c>
      <c r="T18" s="19"/>
      <c r="U18" s="19"/>
      <c r="V18" s="3"/>
      <c r="W18" s="19">
        <v>3</v>
      </c>
      <c r="X18" s="19"/>
      <c r="Y18" s="19"/>
      <c r="Z18" s="3"/>
      <c r="AA18" s="3"/>
      <c r="AB18" s="3"/>
      <c r="AC18" s="3"/>
      <c r="AD18" s="3"/>
      <c r="AE18" s="3"/>
      <c r="AF18" s="1"/>
      <c r="AG18" s="1"/>
      <c r="AH18" s="1"/>
      <c r="AI18" s="1"/>
    </row>
    <row r="19" spans="1:47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"/>
      <c r="AG19" s="1"/>
      <c r="AH19" s="1"/>
      <c r="AI19" s="1"/>
    </row>
    <row r="20" spans="1:47" x14ac:dyDescent="0.25">
      <c r="A20" s="1"/>
      <c r="B20" s="3" t="s">
        <v>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9">
        <v>3</v>
      </c>
      <c r="T20" s="19"/>
      <c r="U20" s="19"/>
      <c r="V20" s="3"/>
      <c r="W20" s="19">
        <v>2</v>
      </c>
      <c r="X20" s="19"/>
      <c r="Y20" s="19"/>
      <c r="Z20" s="3"/>
      <c r="AA20" s="3"/>
      <c r="AB20" s="3"/>
      <c r="AC20" s="3"/>
      <c r="AD20" s="3"/>
      <c r="AE20" s="3"/>
      <c r="AF20" s="1"/>
      <c r="AG20" s="1"/>
      <c r="AH20" s="1"/>
      <c r="AI20" s="1"/>
    </row>
    <row r="21" spans="1:47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"/>
      <c r="AG21" s="1"/>
      <c r="AH21" s="1"/>
      <c r="AI21" s="1"/>
    </row>
    <row r="22" spans="1:47" x14ac:dyDescent="0.25">
      <c r="A22" s="1"/>
      <c r="B22" s="9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2">
        <f>S18*S20</f>
        <v>9.3000000000000007</v>
      </c>
      <c r="T22" s="32"/>
      <c r="U22" s="32"/>
      <c r="V22" s="3"/>
      <c r="W22" s="32">
        <f>W18*W20</f>
        <v>6</v>
      </c>
      <c r="X22" s="32"/>
      <c r="Y22" s="32"/>
      <c r="Z22" s="3"/>
      <c r="AA22" s="3"/>
      <c r="AB22" s="3"/>
      <c r="AC22" s="3"/>
      <c r="AD22" s="3"/>
      <c r="AE22" s="3"/>
      <c r="AF22" s="1"/>
      <c r="AG22" s="1"/>
      <c r="AH22" s="1"/>
      <c r="AI22" s="1"/>
    </row>
    <row r="23" spans="1:47" x14ac:dyDescent="0.25">
      <c r="A23" s="1"/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0"/>
      <c r="T23" s="10"/>
      <c r="U23" s="10"/>
      <c r="V23" s="3"/>
      <c r="W23" s="10"/>
      <c r="X23" s="10"/>
      <c r="Y23" s="10"/>
      <c r="Z23" s="3"/>
      <c r="AA23" s="3"/>
      <c r="AB23" s="3"/>
      <c r="AC23" s="3"/>
      <c r="AD23" s="3"/>
      <c r="AE23" s="3"/>
      <c r="AF23" s="1"/>
      <c r="AG23" s="1"/>
      <c r="AH23" s="1"/>
      <c r="AI23" s="1"/>
    </row>
    <row r="24" spans="1:47" x14ac:dyDescent="0.25">
      <c r="A24" s="1"/>
      <c r="B24" s="33" t="s">
        <v>59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"/>
      <c r="O24" s="3"/>
      <c r="P24" s="3"/>
      <c r="Q24" s="3"/>
      <c r="R24" s="3"/>
      <c r="S24" s="25">
        <f>S22*8/3600*1000</f>
        <v>20.666666666666668</v>
      </c>
      <c r="T24" s="21"/>
      <c r="U24" s="21"/>
      <c r="V24" s="3"/>
      <c r="W24" s="25">
        <f>W22*8/3600*1000</f>
        <v>13.333333333333334</v>
      </c>
      <c r="X24" s="21"/>
      <c r="Y24" s="21"/>
      <c r="Z24" s="3"/>
      <c r="AA24" s="3"/>
      <c r="AB24" s="3"/>
      <c r="AC24" s="3"/>
      <c r="AD24" s="3"/>
      <c r="AE24" s="3"/>
      <c r="AF24" s="1"/>
      <c r="AG24" s="1"/>
      <c r="AH24" s="1"/>
      <c r="AI24" s="1"/>
      <c r="AU24" t="s">
        <v>62</v>
      </c>
    </row>
    <row r="25" spans="1:47" x14ac:dyDescent="0.25">
      <c r="A25" s="1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/>
      <c r="T25" s="10"/>
      <c r="U25" s="10"/>
      <c r="V25" s="3"/>
      <c r="W25" s="10"/>
      <c r="X25" s="10"/>
      <c r="Y25" s="10"/>
      <c r="Z25" s="3"/>
      <c r="AA25" s="3"/>
      <c r="AB25" s="3"/>
      <c r="AC25" s="3"/>
      <c r="AD25" s="3"/>
      <c r="AE25" s="3"/>
      <c r="AF25" s="1"/>
      <c r="AG25" s="1"/>
      <c r="AH25" s="1"/>
      <c r="AI25" s="1"/>
    </row>
    <row r="26" spans="1:47" x14ac:dyDescent="0.25">
      <c r="A26" s="1"/>
      <c r="B26" s="9" t="s">
        <v>10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9">
        <v>50</v>
      </c>
      <c r="T26" s="19"/>
      <c r="U26" s="19"/>
      <c r="V26" s="3"/>
      <c r="W26" s="19">
        <v>20</v>
      </c>
      <c r="X26" s="19"/>
      <c r="Y26" s="19"/>
      <c r="Z26" s="3"/>
      <c r="AA26" s="3"/>
      <c r="AB26" s="3"/>
      <c r="AC26" s="3"/>
      <c r="AD26" s="3"/>
      <c r="AE26" s="3"/>
      <c r="AF26" s="1"/>
      <c r="AG26" s="1"/>
      <c r="AH26" s="1"/>
      <c r="AI26" s="1"/>
    </row>
    <row r="27" spans="1:47" x14ac:dyDescent="0.25">
      <c r="A27" s="1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0"/>
      <c r="T27" s="10"/>
      <c r="U27" s="10"/>
      <c r="V27" s="3"/>
      <c r="W27" s="10"/>
      <c r="X27" s="10"/>
      <c r="Y27" s="10"/>
      <c r="Z27" s="3"/>
      <c r="AA27" s="3"/>
      <c r="AB27" s="3"/>
      <c r="AC27" s="3"/>
      <c r="AD27" s="3"/>
      <c r="AE27" s="3"/>
      <c r="AF27" s="1"/>
      <c r="AG27" s="1"/>
      <c r="AH27" s="1"/>
      <c r="AI27" s="1"/>
    </row>
    <row r="28" spans="1:47" x14ac:dyDescent="0.25">
      <c r="A28" s="1"/>
      <c r="B28" s="9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3">
        <f>((S16*S26/100*S24)/1000+(W16*W26/100*W24)/1000)*1</f>
        <v>8450</v>
      </c>
      <c r="T28" s="23"/>
      <c r="U28" s="2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"/>
      <c r="AG28" s="1"/>
      <c r="AH28" s="1"/>
      <c r="AI28" s="1"/>
      <c r="AU28" t="s">
        <v>78</v>
      </c>
    </row>
    <row r="29" spans="1:47" x14ac:dyDescent="0.25">
      <c r="A29" s="1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0"/>
      <c r="T29" s="10"/>
      <c r="U29" s="10"/>
      <c r="V29" s="3"/>
      <c r="W29" s="10"/>
      <c r="X29" s="10"/>
      <c r="Y29" s="10"/>
      <c r="Z29" s="3"/>
      <c r="AA29" s="3"/>
      <c r="AB29" s="3"/>
      <c r="AC29" s="3"/>
      <c r="AD29" s="3"/>
      <c r="AE29" s="3"/>
      <c r="AF29" s="1"/>
      <c r="AG29" s="1"/>
      <c r="AH29" s="1"/>
      <c r="AI29" s="1"/>
    </row>
    <row r="30" spans="1:47" x14ac:dyDescent="0.25">
      <c r="A30" s="1"/>
      <c r="B30" s="27" t="s">
        <v>13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</row>
    <row r="31" spans="1:47" x14ac:dyDescent="0.25">
      <c r="A31" s="1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0"/>
      <c r="T31" s="10"/>
      <c r="U31" s="10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"/>
      <c r="AG31" s="1"/>
      <c r="AH31" s="1"/>
      <c r="AI31" s="1"/>
    </row>
    <row r="32" spans="1:47" x14ac:dyDescent="0.25">
      <c r="A32" s="1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1" t="s">
        <v>15</v>
      </c>
      <c r="T32" s="10"/>
      <c r="U32" s="10"/>
      <c r="V32" s="3"/>
      <c r="W32" s="3"/>
      <c r="X32" s="3"/>
      <c r="Y32" s="3"/>
      <c r="Z32" s="3"/>
      <c r="AA32" s="3"/>
      <c r="AB32" s="3" t="s">
        <v>81</v>
      </c>
      <c r="AC32" s="3"/>
      <c r="AD32" s="3"/>
      <c r="AE32" s="3"/>
      <c r="AF32" s="1"/>
      <c r="AG32" s="1"/>
      <c r="AH32" s="1"/>
      <c r="AI32" s="1"/>
      <c r="AJ32" s="3" t="s">
        <v>82</v>
      </c>
      <c r="AU32" t="s">
        <v>80</v>
      </c>
    </row>
    <row r="33" spans="1:47" x14ac:dyDescent="0.25">
      <c r="A33" s="1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0"/>
      <c r="T33" s="10"/>
      <c r="U33" s="10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1"/>
      <c r="AG33" s="1"/>
      <c r="AH33" s="1"/>
      <c r="AI33" s="1"/>
    </row>
    <row r="34" spans="1:47" x14ac:dyDescent="0.25">
      <c r="A34" s="1"/>
      <c r="B34" s="9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5">
        <v>0.5</v>
      </c>
      <c r="T34" s="35"/>
      <c r="U34" s="35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1"/>
      <c r="AG34" s="1"/>
      <c r="AH34" s="1"/>
      <c r="AI34" s="1"/>
    </row>
    <row r="35" spans="1:47" x14ac:dyDescent="0.25">
      <c r="A35" s="1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0"/>
      <c r="T35" s="10"/>
      <c r="U35" s="10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1"/>
      <c r="AG35" s="1"/>
      <c r="AH35" s="1"/>
      <c r="AI35" s="1"/>
    </row>
    <row r="36" spans="1:47" x14ac:dyDescent="0.25">
      <c r="A36" s="1"/>
      <c r="B36" s="9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2">
        <v>1</v>
      </c>
      <c r="T36" s="22"/>
      <c r="U36" s="22"/>
      <c r="V36" s="3"/>
      <c r="W36" s="3"/>
      <c r="X36" s="3"/>
      <c r="Y36" s="3"/>
      <c r="Z36" s="3"/>
      <c r="AA36" s="3"/>
      <c r="AB36" s="23">
        <f>ROUNDUP(IF(ISBLANK($S36),($S$10*$S$34)*1,($S$10*$S$34)*$S36),0)</f>
        <v>325000</v>
      </c>
      <c r="AC36" s="23"/>
      <c r="AD36" s="23"/>
      <c r="AE36" s="3"/>
      <c r="AF36" s="1"/>
      <c r="AG36" s="1"/>
      <c r="AH36" s="1"/>
      <c r="AI36" s="1"/>
      <c r="AJ36" s="23">
        <f>ROUNDUP(IF(ISBLANK($S36),($S$10*$S$34)*1,($S$10*$S$34)*$S36),0)/3600</f>
        <v>90.277777777777771</v>
      </c>
      <c r="AK36" s="23"/>
      <c r="AL36" s="23"/>
      <c r="AU36" t="s">
        <v>63</v>
      </c>
    </row>
    <row r="37" spans="1:47" x14ac:dyDescent="0.25">
      <c r="A37" s="1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2"/>
      <c r="T37" s="12"/>
      <c r="U37" s="12"/>
      <c r="V37" s="3"/>
      <c r="W37" s="3"/>
      <c r="X37" s="3"/>
      <c r="Y37" s="3"/>
      <c r="Z37" s="3"/>
      <c r="AA37" s="3"/>
      <c r="AB37" s="10"/>
      <c r="AC37" s="10"/>
      <c r="AD37" s="10"/>
      <c r="AE37" s="3"/>
      <c r="AF37" s="1"/>
      <c r="AG37" s="1"/>
      <c r="AH37" s="1"/>
      <c r="AI37" s="1"/>
      <c r="AJ37" s="10"/>
      <c r="AK37" s="10"/>
      <c r="AL37" s="10"/>
    </row>
    <row r="38" spans="1:47" x14ac:dyDescent="0.25">
      <c r="A38" s="1"/>
      <c r="B38" s="9" t="s">
        <v>65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2">
        <v>1</v>
      </c>
      <c r="T38" s="22"/>
      <c r="U38" s="22"/>
      <c r="V38" s="3"/>
      <c r="W38" s="3"/>
      <c r="X38" s="3"/>
      <c r="Y38" s="3"/>
      <c r="Z38" s="3"/>
      <c r="AA38" s="3"/>
      <c r="AB38" s="23">
        <f>ROUNDUP(IF(ISBLANK($S38),($S$10*$S$34)*1,($S$10*$S$34)*$S38),0)</f>
        <v>325000</v>
      </c>
      <c r="AC38" s="23"/>
      <c r="AD38" s="23"/>
      <c r="AE38" s="3"/>
      <c r="AF38" s="1"/>
      <c r="AG38" s="1"/>
      <c r="AH38" s="1"/>
      <c r="AI38" s="1"/>
      <c r="AJ38" s="23">
        <f>ROUNDUP(IF(ISBLANK($S38),($S$10*$S$34)*1,($S$10*$S$34)*$S38),0)/3600</f>
        <v>90.277777777777771</v>
      </c>
      <c r="AK38" s="23"/>
      <c r="AL38" s="23"/>
      <c r="AU38" t="s">
        <v>63</v>
      </c>
    </row>
    <row r="39" spans="1:47" x14ac:dyDescent="0.25">
      <c r="A39" s="1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2"/>
      <c r="T39" s="12"/>
      <c r="U39" s="12"/>
      <c r="V39" s="3"/>
      <c r="W39" s="3"/>
      <c r="X39" s="3"/>
      <c r="Y39" s="3"/>
      <c r="Z39" s="3"/>
      <c r="AA39" s="3"/>
      <c r="AB39" s="10"/>
      <c r="AC39" s="10"/>
      <c r="AD39" s="10"/>
      <c r="AE39" s="3"/>
      <c r="AF39" s="1"/>
      <c r="AG39" s="1"/>
      <c r="AH39" s="1"/>
      <c r="AI39" s="1"/>
      <c r="AJ39" s="10"/>
      <c r="AK39" s="10"/>
      <c r="AL39" s="10"/>
    </row>
    <row r="40" spans="1:47" x14ac:dyDescent="0.25">
      <c r="A40" s="1"/>
      <c r="B40" s="9" t="s">
        <v>66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2">
        <v>5</v>
      </c>
      <c r="T40" s="22"/>
      <c r="U40" s="22"/>
      <c r="V40" s="3"/>
      <c r="W40" s="3"/>
      <c r="X40" s="3"/>
      <c r="Y40" s="3"/>
      <c r="Z40" s="3"/>
      <c r="AA40" s="3"/>
      <c r="AB40" s="23">
        <f>ROUNDUP(IF(ISBLANK($S40),($S$10*$S$34)*1,($S$10*$S$34)*$S40),0)</f>
        <v>1625000</v>
      </c>
      <c r="AC40" s="23"/>
      <c r="AD40" s="23"/>
      <c r="AE40" s="3"/>
      <c r="AF40" s="1"/>
      <c r="AG40" s="1"/>
      <c r="AH40" s="1"/>
      <c r="AI40" s="1"/>
      <c r="AJ40" s="23">
        <f>ROUNDUP(IF(ISBLANK($S40),($S$10*$S$34)*1,($S$10*$S$34)*$S40),0)/3600</f>
        <v>451.38888888888891</v>
      </c>
      <c r="AK40" s="23"/>
      <c r="AL40" s="23"/>
      <c r="AU40" t="s">
        <v>63</v>
      </c>
    </row>
    <row r="41" spans="1:47" x14ac:dyDescent="0.25">
      <c r="A41" s="1"/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2"/>
      <c r="T41" s="12"/>
      <c r="U41" s="12"/>
      <c r="V41" s="3"/>
      <c r="W41" s="3"/>
      <c r="X41" s="3"/>
      <c r="Y41" s="3"/>
      <c r="Z41" s="3"/>
      <c r="AA41" s="3"/>
      <c r="AB41" s="10"/>
      <c r="AC41" s="10"/>
      <c r="AD41" s="10"/>
      <c r="AE41" s="3"/>
      <c r="AF41" s="1"/>
      <c r="AG41" s="1"/>
      <c r="AH41" s="1"/>
      <c r="AI41" s="1"/>
      <c r="AJ41" s="10"/>
      <c r="AK41" s="10"/>
      <c r="AL41" s="10"/>
    </row>
    <row r="42" spans="1:47" x14ac:dyDescent="0.25">
      <c r="A42" s="1"/>
      <c r="B42" s="9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2">
        <v>0.5</v>
      </c>
      <c r="T42" s="22"/>
      <c r="U42" s="22"/>
      <c r="V42" s="3"/>
      <c r="W42" s="3"/>
      <c r="X42" s="3"/>
      <c r="Y42" s="3"/>
      <c r="Z42" s="3"/>
      <c r="AA42" s="3"/>
      <c r="AB42" s="23">
        <f>ROUNDUP(IF(ISBLANK($S42),($S$10*$S$34)*1,($S$10*$S$34)*$S42),0)</f>
        <v>162500</v>
      </c>
      <c r="AC42" s="23"/>
      <c r="AD42" s="23"/>
      <c r="AE42" s="3"/>
      <c r="AF42" s="1"/>
      <c r="AG42" s="1"/>
      <c r="AH42" s="1"/>
      <c r="AI42" s="1"/>
      <c r="AJ42" s="23">
        <f>ROUNDUP(IF(ISBLANK($S42),($S$10*$S$34)*1,($S$10*$S$34)*$S42),0)/3600</f>
        <v>45.138888888888886</v>
      </c>
      <c r="AK42" s="23"/>
      <c r="AL42" s="23"/>
      <c r="AU42" t="s">
        <v>63</v>
      </c>
    </row>
    <row r="43" spans="1:47" x14ac:dyDescent="0.25">
      <c r="A43" s="1"/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2"/>
      <c r="T43" s="12"/>
      <c r="U43" s="12"/>
      <c r="V43" s="3"/>
      <c r="W43" s="3"/>
      <c r="X43" s="3"/>
      <c r="Y43" s="3"/>
      <c r="Z43" s="3"/>
      <c r="AA43" s="3"/>
      <c r="AB43" s="10"/>
      <c r="AC43" s="10"/>
      <c r="AD43" s="10"/>
      <c r="AE43" s="3"/>
      <c r="AF43" s="1"/>
      <c r="AG43" s="1"/>
      <c r="AH43" s="1"/>
      <c r="AI43" s="1"/>
      <c r="AJ43" s="10"/>
      <c r="AK43" s="10"/>
      <c r="AL43" s="10"/>
    </row>
    <row r="44" spans="1:47" x14ac:dyDescent="0.25">
      <c r="A44" s="1"/>
      <c r="B44" s="9" t="s">
        <v>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2">
        <v>0.1</v>
      </c>
      <c r="T44" s="22"/>
      <c r="U44" s="22"/>
      <c r="V44" s="3"/>
      <c r="W44" s="3"/>
      <c r="X44" s="3"/>
      <c r="Y44" s="3"/>
      <c r="Z44" s="3"/>
      <c r="AA44" s="3"/>
      <c r="AB44" s="23">
        <f>ROUNDUP(IF(ISBLANK($S44),($S$10*$S$34)*1,($S$10*$S$34)*$S44),0)</f>
        <v>32500</v>
      </c>
      <c r="AC44" s="23"/>
      <c r="AD44" s="23"/>
      <c r="AE44" s="3"/>
      <c r="AF44" s="1"/>
      <c r="AG44" s="1"/>
      <c r="AH44" s="1"/>
      <c r="AI44" s="1"/>
      <c r="AJ44" s="23">
        <f>ROUNDUP(IF(ISBLANK($S44),($S$10*$S$34)*1,($S$10*$S$34)*$S44),0)/3600</f>
        <v>9.0277777777777786</v>
      </c>
      <c r="AK44" s="23"/>
      <c r="AL44" s="23"/>
      <c r="AU44" t="s">
        <v>60</v>
      </c>
    </row>
    <row r="45" spans="1:47" x14ac:dyDescent="0.25">
      <c r="A45" s="1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2"/>
      <c r="T45" s="12"/>
      <c r="U45" s="12"/>
      <c r="V45" s="3"/>
      <c r="W45" s="3"/>
      <c r="X45" s="3"/>
      <c r="Y45" s="3"/>
      <c r="Z45" s="3"/>
      <c r="AA45" s="3"/>
      <c r="AB45" s="10"/>
      <c r="AC45" s="10"/>
      <c r="AD45" s="10"/>
      <c r="AE45" s="3"/>
      <c r="AF45" s="1"/>
      <c r="AG45" s="1"/>
      <c r="AH45" s="1"/>
      <c r="AI45" s="1"/>
      <c r="AJ45" s="10"/>
      <c r="AK45" s="10"/>
      <c r="AL45" s="10"/>
    </row>
    <row r="46" spans="1:47" x14ac:dyDescent="0.25">
      <c r="A46" s="1"/>
      <c r="B46" s="9" t="s">
        <v>69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2">
        <v>0.3</v>
      </c>
      <c r="T46" s="22"/>
      <c r="U46" s="22"/>
      <c r="V46" s="3"/>
      <c r="W46" s="3"/>
      <c r="X46" s="3"/>
      <c r="Y46" s="3"/>
      <c r="Z46" s="3"/>
      <c r="AA46" s="3"/>
      <c r="AB46" s="23">
        <f>ROUNDUP(IF(ISBLANK($S46),($S$10*$S$34)*1,($S$10*$S$34)*$S46),0)</f>
        <v>97500</v>
      </c>
      <c r="AC46" s="23"/>
      <c r="AD46" s="23"/>
      <c r="AE46" s="3"/>
      <c r="AF46" s="1"/>
      <c r="AG46" s="1"/>
      <c r="AH46" s="1"/>
      <c r="AI46" s="1"/>
      <c r="AJ46" s="23">
        <f>ROUNDUP(IF(ISBLANK($S46),($S$10*$S$34)*1,($S$10*$S$34)*$S46),0)/3600</f>
        <v>27.083333333333332</v>
      </c>
      <c r="AK46" s="23"/>
      <c r="AL46" s="23"/>
      <c r="AU46" t="s">
        <v>63</v>
      </c>
    </row>
    <row r="47" spans="1:47" x14ac:dyDescent="0.25">
      <c r="A47" s="1"/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2"/>
      <c r="T47" s="12"/>
      <c r="U47" s="12"/>
      <c r="V47" s="3"/>
      <c r="W47" s="3"/>
      <c r="X47" s="3"/>
      <c r="Y47" s="3"/>
      <c r="Z47" s="3"/>
      <c r="AA47" s="3"/>
      <c r="AB47" s="10"/>
      <c r="AC47" s="10"/>
      <c r="AD47" s="10"/>
      <c r="AE47" s="3"/>
      <c r="AF47" s="1"/>
      <c r="AG47" s="1"/>
      <c r="AH47" s="1"/>
      <c r="AI47" s="1"/>
      <c r="AJ47" s="10"/>
      <c r="AK47" s="10"/>
      <c r="AL47" s="10"/>
    </row>
    <row r="48" spans="1:47" x14ac:dyDescent="0.25">
      <c r="A48" s="1"/>
      <c r="B48" s="9" t="s">
        <v>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2">
        <v>0.2</v>
      </c>
      <c r="T48" s="22"/>
      <c r="U48" s="22"/>
      <c r="V48" s="3"/>
      <c r="W48" s="3"/>
      <c r="X48" s="3"/>
      <c r="Y48" s="3"/>
      <c r="Z48" s="3"/>
      <c r="AA48" s="3"/>
      <c r="AB48" s="23">
        <f>ROUNDUP(IF(ISBLANK($S48),($S$10*$S$34)*1,($S$10*$S$34)*$S48),0)</f>
        <v>65000</v>
      </c>
      <c r="AC48" s="23"/>
      <c r="AD48" s="23"/>
      <c r="AE48" s="3"/>
      <c r="AF48" s="1"/>
      <c r="AG48" s="1"/>
      <c r="AH48" s="1"/>
      <c r="AI48" s="1"/>
      <c r="AJ48" s="23">
        <f>ROUNDUP(IF(ISBLANK($S48),($S$10*$S$34)*1,($S$10*$S$34)*$S48),0)/3600</f>
        <v>18.055555555555557</v>
      </c>
      <c r="AK48" s="23"/>
      <c r="AL48" s="23"/>
      <c r="AU48" t="s">
        <v>63</v>
      </c>
    </row>
    <row r="49" spans="1:50" x14ac:dyDescent="0.25">
      <c r="A49" s="1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0"/>
      <c r="T49" s="10"/>
      <c r="U49" s="10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</row>
    <row r="50" spans="1:50" x14ac:dyDescent="0.25">
      <c r="A50" s="1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0"/>
      <c r="T50" s="10"/>
      <c r="U50" s="10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</row>
    <row r="51" spans="1:50" x14ac:dyDescent="0.25">
      <c r="A51" s="1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0"/>
      <c r="T51" s="10"/>
      <c r="U51" s="10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</row>
    <row r="52" spans="1:50" ht="15" customHeight="1" x14ac:dyDescent="0.25">
      <c r="A52" s="1"/>
      <c r="B52" s="27" t="s">
        <v>56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</row>
    <row r="53" spans="1:50" ht="15" customHeight="1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  <c r="U53" s="3"/>
      <c r="V53" s="3"/>
      <c r="W53" s="3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 spans="1:50" ht="15" customHeight="1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 t="s">
        <v>57</v>
      </c>
      <c r="U54" s="3"/>
      <c r="V54" s="3"/>
      <c r="W54" s="3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 spans="1:50" ht="15" customHeight="1" x14ac:dyDescent="0.25">
      <c r="A55" s="1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2" t="s">
        <v>58</v>
      </c>
      <c r="U55" s="3"/>
      <c r="V55" s="3"/>
      <c r="W55" s="3"/>
      <c r="Y55" s="15" t="s">
        <v>71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 spans="1:50" ht="15" customHeight="1" x14ac:dyDescent="0.25">
      <c r="A56" s="1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  <c r="P56" s="3"/>
      <c r="Q56" s="3"/>
      <c r="R56" s="3"/>
      <c r="S56" s="3"/>
      <c r="T56" s="3"/>
      <c r="U56" s="3"/>
      <c r="V56" s="13"/>
      <c r="W56" s="13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36" t="s">
        <v>83</v>
      </c>
      <c r="AW56" s="15"/>
      <c r="AX56" s="15"/>
    </row>
    <row r="57" spans="1:50" ht="15" customHeight="1" x14ac:dyDescent="0.25">
      <c r="A57" s="1"/>
      <c r="B57" t="s">
        <v>32</v>
      </c>
      <c r="C57" s="7"/>
      <c r="D57" s="7" t="s">
        <v>36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3"/>
      <c r="Q57" s="3"/>
      <c r="R57" s="3"/>
      <c r="S57" s="26">
        <f>((SUMPRODUCT($AB$36:$AD$48*{0;0;0;0;1;0;1;0;1;0;1;0;1})*100*8)/3600)/1000</f>
        <v>440.55555555555554</v>
      </c>
      <c r="T57" s="26"/>
      <c r="U57" s="26"/>
      <c r="V57" s="13"/>
      <c r="W57" s="13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 spans="1:50" ht="15" customHeight="1" x14ac:dyDescent="0.25">
      <c r="A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7"/>
      <c r="P58" s="3"/>
      <c r="Q58" s="3"/>
      <c r="R58" s="3"/>
      <c r="S58" s="16"/>
      <c r="T58" s="16"/>
      <c r="U58" s="16"/>
      <c r="V58" s="13"/>
      <c r="W58" s="13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 spans="1:50" x14ac:dyDescent="0.25">
      <c r="B59" t="s">
        <v>72</v>
      </c>
      <c r="D59" s="7" t="s">
        <v>36</v>
      </c>
      <c r="S59" s="26">
        <f>((SUMPRODUCT($AB$36:$AD$48*{1;0;1;0;1;0;1;0;1;0;1;0;1})*100*8)/3600)/1000</f>
        <v>585</v>
      </c>
      <c r="T59" s="26"/>
      <c r="U59" s="26"/>
    </row>
    <row r="61" spans="1:50" x14ac:dyDescent="0.25">
      <c r="B61" t="s">
        <v>73</v>
      </c>
      <c r="D61" s="7" t="s">
        <v>36</v>
      </c>
      <c r="S61" s="26">
        <f>((SUMPRODUCT($AB$36:$AD$48*{0;0;0;0;1;0;1;0;1;0;1;0;1})*100*8)/3600)/1000</f>
        <v>440.55555555555554</v>
      </c>
      <c r="T61" s="26"/>
      <c r="U61" s="26"/>
    </row>
    <row r="62" spans="1:50" ht="15" customHeight="1" x14ac:dyDescent="0.25">
      <c r="A62" s="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"/>
      <c r="Q62" s="3"/>
      <c r="R62" s="3"/>
      <c r="S62" s="16"/>
      <c r="T62" s="16"/>
      <c r="U62" s="16"/>
      <c r="V62" s="13"/>
      <c r="W62" s="13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 spans="1:50" ht="15" customHeight="1" x14ac:dyDescent="0.25">
      <c r="A63" s="1"/>
      <c r="B63" t="s">
        <v>34</v>
      </c>
      <c r="C63" s="8"/>
      <c r="D63" s="7" t="s">
        <v>36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3"/>
      <c r="Q63" s="3"/>
      <c r="R63" s="3"/>
      <c r="S63" s="26">
        <f>((SUMPRODUCT($AB$36:$AD$48*{0;0;0;0;0;0;1;0;1;0;0;0;0})*100*8)/3600)/1000</f>
        <v>43.333333333333336</v>
      </c>
      <c r="T63" s="26"/>
      <c r="U63" s="26"/>
      <c r="V63" s="13"/>
      <c r="W63" s="13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 spans="1:50" ht="15" customHeight="1" x14ac:dyDescent="0.25">
      <c r="A64" s="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3"/>
      <c r="Q64" s="3"/>
      <c r="R64" s="3"/>
      <c r="S64" s="16"/>
      <c r="T64" s="16"/>
      <c r="U64" s="16"/>
      <c r="V64" s="13"/>
      <c r="W64" s="13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 spans="1:50" ht="15" customHeight="1" x14ac:dyDescent="0.25">
      <c r="A65" s="1"/>
      <c r="B65" t="s">
        <v>75</v>
      </c>
      <c r="C65" s="4"/>
      <c r="D65" s="7" t="s">
        <v>36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3"/>
      <c r="Q65" s="3"/>
      <c r="R65" s="3"/>
      <c r="S65" s="26">
        <f>((SUMPRODUCT($AB$36:$AD$48*{0;0;0;0;0;0;1;0;1;0;0;0;0})*100*8)/3600)/1000</f>
        <v>43.333333333333336</v>
      </c>
      <c r="T65" s="26"/>
      <c r="U65" s="26"/>
      <c r="V65" s="13"/>
      <c r="W65" s="13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 spans="1:50" ht="15" customHeight="1" x14ac:dyDescent="0.25">
      <c r="A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3"/>
      <c r="Q66" s="3"/>
      <c r="R66" s="3"/>
      <c r="S66" s="16"/>
      <c r="T66" s="16"/>
      <c r="U66" s="16"/>
      <c r="V66" s="13"/>
      <c r="W66" s="13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 spans="1:50" ht="15" customHeight="1" x14ac:dyDescent="0.25">
      <c r="A67" s="1"/>
      <c r="B67" t="s">
        <v>35</v>
      </c>
      <c r="C67" s="4"/>
      <c r="D67" s="7" t="s">
        <v>36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3"/>
      <c r="Q67" s="3"/>
      <c r="R67" s="3"/>
      <c r="S67" s="26">
        <f>((SUMPRODUCT($AB$36:$AD$48*{1;0;1;0;0;0;0;0;0;0;1;0;1})*100*8)/3600)/1000</f>
        <v>180.55555555555557</v>
      </c>
      <c r="T67" s="26"/>
      <c r="U67" s="26"/>
      <c r="V67" s="13"/>
      <c r="W67" s="13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 spans="1:50" ht="15" customHeight="1" x14ac:dyDescent="0.25">
      <c r="A68" s="1"/>
      <c r="C68" s="4"/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3"/>
      <c r="Q68" s="3"/>
      <c r="R68" s="3"/>
      <c r="S68" s="4"/>
      <c r="T68" s="4"/>
      <c r="U68" s="4"/>
      <c r="V68" s="13"/>
      <c r="W68" s="13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 spans="1:50" ht="15" customHeight="1" x14ac:dyDescent="0.25">
      <c r="A69" s="1"/>
      <c r="B69" t="s">
        <v>74</v>
      </c>
      <c r="C69" s="4"/>
      <c r="D69" s="7" t="s">
        <v>36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3"/>
      <c r="Q69" s="3"/>
      <c r="R69" s="3"/>
      <c r="S69" s="26">
        <f>((SUMPRODUCT($AB$36:$AD$48*{1;0;1;0;0;0;0;0;0;0;1;0;1})*100*8)/3600)/1000</f>
        <v>180.55555555555557</v>
      </c>
      <c r="T69" s="26"/>
      <c r="U69" s="26"/>
      <c r="V69" s="13"/>
      <c r="W69" s="13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 spans="1:50" x14ac:dyDescent="0.25">
      <c r="A70" s="1"/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0"/>
      <c r="T70" s="10"/>
      <c r="U70" s="10"/>
      <c r="V70" s="3"/>
      <c r="W70" s="3"/>
      <c r="X70" s="15"/>
      <c r="Y70" s="15"/>
      <c r="Z70" s="15"/>
      <c r="AA70" s="15"/>
      <c r="AB70" s="3"/>
      <c r="AC70" s="3"/>
      <c r="AD70" s="3"/>
      <c r="AE70" s="3"/>
      <c r="AF70" s="1"/>
      <c r="AG70" s="1"/>
      <c r="AH70" s="1"/>
      <c r="AI70" s="1"/>
    </row>
    <row r="71" spans="1:50" ht="15" customHeight="1" x14ac:dyDescent="0.25">
      <c r="A71" s="1"/>
      <c r="B71" t="s">
        <v>76</v>
      </c>
      <c r="C71" s="7"/>
      <c r="D71" s="7" t="s">
        <v>36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3"/>
      <c r="Q71" s="3"/>
      <c r="R71" s="3"/>
      <c r="S71" s="26">
        <f>((SUMPRODUCT($AB$36:$AD$48*{0;0;0;0;0;0;1;0;1;0;0;0;0})*100*8)/3600)/1000+($S$28*($S$8/$S$10))</f>
        <v>693.33333333333337</v>
      </c>
      <c r="T71" s="26"/>
      <c r="U71" s="26"/>
      <c r="V71" s="13"/>
      <c r="W71" s="13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 spans="1:50" ht="15" customHeight="1" x14ac:dyDescent="0.25">
      <c r="A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7"/>
      <c r="P72" s="3"/>
      <c r="Q72" s="3"/>
      <c r="R72" s="3"/>
      <c r="S72" s="16"/>
      <c r="T72" s="16"/>
      <c r="U72" s="16"/>
      <c r="V72" s="13"/>
      <c r="W72" s="13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 spans="1:50" ht="15" customHeight="1" x14ac:dyDescent="0.25">
      <c r="A73" s="1"/>
      <c r="B73" t="s">
        <v>77</v>
      </c>
      <c r="C73" s="6"/>
      <c r="D73" s="7" t="s">
        <v>36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7"/>
      <c r="P73" s="3"/>
      <c r="Q73" s="3"/>
      <c r="R73" s="3"/>
      <c r="S73" s="26">
        <f>((SUMPRODUCT($AB$36:$AD$48*{0;0;0;0;0;0;1;0;1;0;0;0;1})*100*8)/3600)/1000+$S$28</f>
        <v>8507.7777777777774</v>
      </c>
      <c r="T73" s="26"/>
      <c r="U73" s="26"/>
      <c r="V73" s="13"/>
      <c r="W73" s="13"/>
      <c r="X73" s="26">
        <f>$S$73-$S$71</f>
        <v>7814.4444444444443</v>
      </c>
      <c r="Y73" s="26"/>
      <c r="Z73" s="26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 spans="1:50" ht="15" customHeight="1" x14ac:dyDescent="0.25">
      <c r="A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7"/>
      <c r="P74" s="3"/>
      <c r="Q74" s="3"/>
      <c r="R74" s="3"/>
      <c r="S74" s="16"/>
      <c r="T74" s="16"/>
      <c r="U74" s="16"/>
      <c r="V74" s="13"/>
      <c r="W74" s="13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 spans="1:50" ht="15" customHeight="1" x14ac:dyDescent="0.25">
      <c r="A75" s="1"/>
      <c r="B75" t="s">
        <v>33</v>
      </c>
      <c r="C75" s="7"/>
      <c r="D75" s="7" t="s">
        <v>36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26">
        <f>$S$28</f>
        <v>8450</v>
      </c>
      <c r="T75" s="26"/>
      <c r="U75" s="26"/>
      <c r="V75" s="13"/>
      <c r="W75" s="13"/>
      <c r="X75" s="26">
        <f>$S$75-$S$71</f>
        <v>7756.666666666667</v>
      </c>
      <c r="Y75" s="26"/>
      <c r="Z75" s="26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 spans="1:50" x14ac:dyDescent="0.25">
      <c r="A76" s="1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10"/>
      <c r="T76" s="10"/>
      <c r="U76" s="10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"/>
      <c r="AG76" s="1"/>
      <c r="AH76" s="1"/>
      <c r="AI76" s="1"/>
    </row>
    <row r="77" spans="1:50" x14ac:dyDescent="0.25">
      <c r="A77" s="1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10"/>
      <c r="T77" s="10"/>
      <c r="U77" s="10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"/>
      <c r="AG77" s="1"/>
      <c r="AH77" s="1"/>
      <c r="AI77" s="1"/>
    </row>
    <row r="78" spans="1:50" x14ac:dyDescent="0.25">
      <c r="A78" s="1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0"/>
      <c r="T78" s="10"/>
      <c r="U78" s="10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1"/>
      <c r="AG78" s="1"/>
      <c r="AH78" s="1"/>
      <c r="AI78" s="1"/>
    </row>
    <row r="79" spans="1:50" x14ac:dyDescent="0.25">
      <c r="A79" s="1"/>
      <c r="B79" s="27" t="s">
        <v>31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</row>
    <row r="80" spans="1:50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"/>
      <c r="AG80" s="1"/>
      <c r="AH80" s="1"/>
      <c r="AI80" s="1"/>
    </row>
    <row r="81" spans="1:50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 t="s">
        <v>20</v>
      </c>
      <c r="U81" s="3"/>
      <c r="V81" s="3"/>
      <c r="W81" s="3"/>
      <c r="X81" s="3"/>
      <c r="Y81" s="2" t="s">
        <v>22</v>
      </c>
      <c r="Z81" s="3"/>
      <c r="AA81" s="3"/>
      <c r="AB81" s="3"/>
      <c r="AC81" s="3"/>
      <c r="AD81" s="2" t="s">
        <v>24</v>
      </c>
      <c r="AE81" s="3"/>
      <c r="AF81" s="1"/>
      <c r="AG81" s="1"/>
      <c r="AH81" s="3"/>
      <c r="AI81" s="2" t="s">
        <v>79</v>
      </c>
      <c r="AJ81" s="3"/>
      <c r="AM81" s="3"/>
      <c r="AN81" s="2" t="s">
        <v>25</v>
      </c>
      <c r="AO81" s="3"/>
      <c r="AR81" s="3"/>
      <c r="AS81" s="2" t="s">
        <v>29</v>
      </c>
      <c r="AT81" s="3"/>
    </row>
    <row r="82" spans="1:50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 t="s">
        <v>21</v>
      </c>
      <c r="U82" s="3"/>
      <c r="V82" s="3"/>
      <c r="W82" s="3"/>
      <c r="X82" s="3"/>
      <c r="Y82" s="2" t="s">
        <v>23</v>
      </c>
      <c r="Z82" s="3"/>
      <c r="AA82" s="3"/>
      <c r="AB82" s="3"/>
      <c r="AC82" s="3"/>
      <c r="AD82" s="2" t="s">
        <v>26</v>
      </c>
      <c r="AE82" s="3"/>
      <c r="AF82" s="1"/>
      <c r="AG82" s="1"/>
      <c r="AH82" s="3"/>
      <c r="AI82" s="2" t="s">
        <v>23</v>
      </c>
      <c r="AJ82" s="3"/>
      <c r="AM82" s="3"/>
      <c r="AN82" s="2" t="s">
        <v>23</v>
      </c>
      <c r="AO82" s="3"/>
      <c r="AR82" s="3"/>
      <c r="AS82" s="2" t="s">
        <v>30</v>
      </c>
      <c r="AT82" s="3"/>
    </row>
    <row r="83" spans="1:50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1"/>
      <c r="AG83" s="1"/>
      <c r="AH83" s="3"/>
      <c r="AI83" s="3"/>
      <c r="AJ83" s="3"/>
      <c r="AM83" s="3"/>
      <c r="AN83" s="3"/>
      <c r="AO83" s="3"/>
      <c r="AR83" s="3"/>
      <c r="AS83" s="3"/>
      <c r="AT83" s="3"/>
    </row>
    <row r="84" spans="1:50" ht="15" customHeight="1" x14ac:dyDescent="0.25">
      <c r="A84" s="1"/>
      <c r="B84" t="s">
        <v>16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7"/>
      <c r="P84" s="3"/>
      <c r="Q84" s="3"/>
      <c r="R84" s="3"/>
      <c r="S84" s="18">
        <v>600000</v>
      </c>
      <c r="T84" s="18"/>
      <c r="U84" s="18"/>
      <c r="V84" s="13"/>
      <c r="W84" s="13"/>
      <c r="X84" s="18">
        <v>3500</v>
      </c>
      <c r="Y84" s="18"/>
      <c r="Z84" s="18"/>
      <c r="AA84" s="13"/>
      <c r="AB84" s="13"/>
      <c r="AC84" s="18" t="s">
        <v>27</v>
      </c>
      <c r="AD84" s="18"/>
      <c r="AE84" s="18"/>
      <c r="AF84" s="14"/>
      <c r="AG84" s="14"/>
      <c r="AH84" s="18" t="s">
        <v>27</v>
      </c>
      <c r="AI84" s="18"/>
      <c r="AJ84" s="18"/>
      <c r="AK84" s="14"/>
      <c r="AL84" s="14"/>
      <c r="AM84" s="18" t="s">
        <v>27</v>
      </c>
      <c r="AN84" s="18"/>
      <c r="AO84" s="18"/>
      <c r="AR84" s="28">
        <f>ROUNDUP(MAX(IF(S84&lt;&gt;"-",($S$10*$S$34)/(S84*0.8),0),IF(X84&lt;&gt;"-",SUMPRODUCT($AJ$36:$AL$48*{1;0;1;0;1;0;1;0;1;0;1;0;1}/($X$84*0.8)),0),IF(AC84&lt;&gt;"-",($S$28*0.1)/(AC84*800),0),IF(AH84&lt;&gt;"-",($S$16*$S$26/100+$W$16*$W$26/100)/(AH84*0.8),0),IF(AM84&lt;&gt;"-",$S$10/(AM84*0.8),0)),0)</f>
        <v>1</v>
      </c>
      <c r="AS84" s="28"/>
      <c r="AT84" s="28"/>
      <c r="AV84" t="s">
        <v>84</v>
      </c>
    </row>
    <row r="85" spans="1:50" ht="15" customHeight="1" x14ac:dyDescent="0.25">
      <c r="A85" s="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3"/>
      <c r="Q85" s="3"/>
      <c r="R85" s="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/>
      <c r="AG85" s="14"/>
      <c r="AH85" s="13"/>
      <c r="AI85" s="13"/>
      <c r="AJ85" s="13"/>
      <c r="AK85" s="14"/>
      <c r="AL85" s="14"/>
      <c r="AM85" s="13"/>
      <c r="AN85" s="13"/>
      <c r="AO85" s="13"/>
      <c r="AR85" s="17"/>
      <c r="AS85" s="17"/>
      <c r="AT85" s="17"/>
    </row>
    <row r="86" spans="1:50" ht="15" customHeight="1" x14ac:dyDescent="0.25">
      <c r="A86" s="1"/>
      <c r="B86" t="s">
        <v>17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7"/>
      <c r="P86" s="3"/>
      <c r="Q86" s="3"/>
      <c r="R86" s="3"/>
      <c r="S86" s="18" t="s">
        <v>27</v>
      </c>
      <c r="T86" s="18"/>
      <c r="U86" s="18"/>
      <c r="V86" s="13"/>
      <c r="W86" s="13"/>
      <c r="X86" s="18">
        <v>2000</v>
      </c>
      <c r="Y86" s="18"/>
      <c r="Z86" s="18"/>
      <c r="AA86" s="13"/>
      <c r="AB86" s="13"/>
      <c r="AC86" s="18" t="s">
        <v>27</v>
      </c>
      <c r="AD86" s="18"/>
      <c r="AE86" s="18"/>
      <c r="AF86" s="14"/>
      <c r="AG86" s="14"/>
      <c r="AH86" s="18">
        <v>1000000</v>
      </c>
      <c r="AI86" s="18"/>
      <c r="AJ86" s="18"/>
      <c r="AK86" s="14"/>
      <c r="AL86" s="14"/>
      <c r="AM86" s="18" t="s">
        <v>27</v>
      </c>
      <c r="AN86" s="18"/>
      <c r="AO86" s="18"/>
      <c r="AR86" s="28">
        <f>ROUNDUP(MAX(IF(S86&lt;&gt;"-",($S$10*$S$34)/(S86*0.8),0),IF(X86&lt;&gt;"-",SUMPRODUCT($AJ$36:$AL$48*{1;0;1;0;1;0;1;0;1;0;1;0;1}/($X$84*0.8)),0),IF(AC86&lt;&gt;"-",$S$28/(AC86*800),0),IF(AH86&lt;&gt;"-",($S$16*$S$26/100+$W$16*$W$26/100)/(AH86*0.8),0),IF(AM86&lt;&gt;"-",$S$10/(AM86*0.8),0)),0)</f>
        <v>1</v>
      </c>
      <c r="AS86" s="28"/>
      <c r="AT86" s="28"/>
    </row>
    <row r="87" spans="1:50" ht="15" customHeight="1" x14ac:dyDescent="0.25">
      <c r="A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3"/>
      <c r="Q87" s="3"/>
      <c r="R87" s="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  <c r="AG87" s="14"/>
      <c r="AH87" s="13"/>
      <c r="AI87" s="13"/>
      <c r="AJ87" s="13"/>
      <c r="AK87" s="14"/>
      <c r="AL87" s="14"/>
      <c r="AM87" s="13"/>
      <c r="AN87" s="13"/>
      <c r="AO87" s="13"/>
      <c r="AR87" s="17"/>
      <c r="AS87" s="17"/>
      <c r="AT87" s="17"/>
    </row>
    <row r="88" spans="1:50" ht="15" customHeight="1" x14ac:dyDescent="0.25">
      <c r="A88" s="1"/>
      <c r="B88" t="s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3"/>
      <c r="Q88" s="3"/>
      <c r="R88" s="3"/>
      <c r="S88" s="18" t="s">
        <v>27</v>
      </c>
      <c r="T88" s="18"/>
      <c r="U88" s="18"/>
      <c r="V88" s="13"/>
      <c r="W88" s="13"/>
      <c r="X88" s="18">
        <v>2000</v>
      </c>
      <c r="Y88" s="18"/>
      <c r="Z88" s="18"/>
      <c r="AA88" s="13"/>
      <c r="AB88" s="13"/>
      <c r="AC88" s="18" t="s">
        <v>27</v>
      </c>
      <c r="AD88" s="18"/>
      <c r="AE88" s="18"/>
      <c r="AF88" s="14"/>
      <c r="AG88" s="14"/>
      <c r="AH88" s="18">
        <v>1000000</v>
      </c>
      <c r="AI88" s="18"/>
      <c r="AJ88" s="18"/>
      <c r="AK88" s="14"/>
      <c r="AL88" s="14"/>
      <c r="AM88" s="18" t="s">
        <v>27</v>
      </c>
      <c r="AN88" s="18"/>
      <c r="AO88" s="18"/>
      <c r="AR88" s="28">
        <f>ROUNDUP(MAX(IF(S88&lt;&gt;"-",($S$10*$S$34)/(S88*0.8),0),IF(X88&lt;&gt;"-",SUMPRODUCT($AJ$36:$AL$48*{1;0;1;0;1;0;1;0;1;0;1;0;1}/($X$84*0.8)),0),IF(AC88&lt;&gt;"-",$S$28/(AC88*800),0),IF(AH88&lt;&gt;"-",($S$16*$S$26/100+$W$16*$W$26/100)/(AH88*0.8),0),IF(AM88&lt;&gt;"-",$S$10/(AM88*0.8),0)),0)</f>
        <v>1</v>
      </c>
      <c r="AS88" s="28"/>
      <c r="AT88" s="28"/>
    </row>
    <row r="89" spans="1:50" ht="15" customHeight="1" x14ac:dyDescent="0.25">
      <c r="A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3"/>
      <c r="Q89" s="3"/>
      <c r="R89" s="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  <c r="AG89" s="14"/>
      <c r="AH89" s="13"/>
      <c r="AI89" s="13"/>
      <c r="AJ89" s="13"/>
      <c r="AK89" s="14"/>
      <c r="AL89" s="14"/>
      <c r="AM89" s="13"/>
      <c r="AN89" s="13"/>
      <c r="AO89" s="13"/>
      <c r="AR89" s="17"/>
      <c r="AS89" s="17"/>
      <c r="AT89" s="17"/>
    </row>
    <row r="90" spans="1:50" ht="15" customHeight="1" x14ac:dyDescent="0.25">
      <c r="A90" s="1"/>
      <c r="B90" t="s">
        <v>19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3"/>
      <c r="Q90" s="3"/>
      <c r="R90" s="3"/>
      <c r="S90" s="18" t="s">
        <v>27</v>
      </c>
      <c r="T90" s="18"/>
      <c r="U90" s="18"/>
      <c r="V90" s="13"/>
      <c r="W90" s="13"/>
      <c r="X90" s="18">
        <v>2000</v>
      </c>
      <c r="Y90" s="18"/>
      <c r="Z90" s="18"/>
      <c r="AA90" s="13"/>
      <c r="AB90" s="13"/>
      <c r="AC90" s="18" t="s">
        <v>27</v>
      </c>
      <c r="AD90" s="18"/>
      <c r="AE90" s="18"/>
      <c r="AF90" s="14"/>
      <c r="AG90" s="14"/>
      <c r="AH90" s="18" t="s">
        <v>27</v>
      </c>
      <c r="AI90" s="18"/>
      <c r="AJ90" s="18"/>
      <c r="AK90" s="14"/>
      <c r="AL90" s="14"/>
      <c r="AM90" s="18">
        <v>3000000</v>
      </c>
      <c r="AN90" s="18"/>
      <c r="AO90" s="18"/>
      <c r="AR90" s="29">
        <f>ROUNDUP(MAX(IF(S90&lt;&gt;"-",($S$10*$S$34)/(S90*0.8),0),IF(X90&lt;&gt;"-",SUMPRODUCT($AJ$36:$AL$48*{1;0;1;0;1;0;1;0;1;0;1;0;1}/($X$84*0.8)),0),IF(AC90&lt;&gt;"-",$S$28/(AC90*800),0),IF(AH90&lt;&gt;"-",($S$16*$S$26/100+$W$16*$W$26/100)/(AH90*0.8),0),IF(AM90&lt;&gt;"-",$S$10/(AM90*0.8),0)),0)</f>
        <v>1</v>
      </c>
      <c r="AS90" s="30"/>
      <c r="AT90" s="31"/>
    </row>
    <row r="91" spans="1:50" ht="15" customHeight="1" x14ac:dyDescent="0.25">
      <c r="A91" s="1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3"/>
      <c r="Q91" s="3"/>
      <c r="R91" s="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  <c r="AG91" s="14"/>
      <c r="AH91" s="13"/>
      <c r="AI91" s="13"/>
      <c r="AJ91" s="13"/>
      <c r="AK91" s="14"/>
      <c r="AL91" s="14"/>
      <c r="AM91" s="13"/>
      <c r="AN91" s="13"/>
      <c r="AO91" s="13"/>
      <c r="AR91" s="17"/>
      <c r="AS91" s="17"/>
      <c r="AT91" s="17"/>
    </row>
    <row r="92" spans="1:50" ht="15" customHeight="1" x14ac:dyDescent="0.25">
      <c r="A92" s="1"/>
      <c r="B92" t="s">
        <v>28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3"/>
      <c r="Q92" s="3"/>
      <c r="R92" s="3"/>
      <c r="S92" s="18" t="s">
        <v>27</v>
      </c>
      <c r="T92" s="18"/>
      <c r="U92" s="18"/>
      <c r="V92" s="13"/>
      <c r="W92" s="13"/>
      <c r="X92" s="18">
        <v>2000</v>
      </c>
      <c r="Y92" s="18"/>
      <c r="Z92" s="18"/>
      <c r="AA92" s="13"/>
      <c r="AB92" s="13"/>
      <c r="AC92" s="18" t="s">
        <v>27</v>
      </c>
      <c r="AD92" s="18"/>
      <c r="AE92" s="18"/>
      <c r="AF92" s="14"/>
      <c r="AG92" s="14"/>
      <c r="AH92" s="18" t="s">
        <v>27</v>
      </c>
      <c r="AI92" s="18"/>
      <c r="AJ92" s="18"/>
      <c r="AK92" s="14"/>
      <c r="AL92" s="14"/>
      <c r="AM92" s="18" t="s">
        <v>27</v>
      </c>
      <c r="AN92" s="18"/>
      <c r="AO92" s="18"/>
      <c r="AR92" s="29">
        <f>ROUNDUP(MAX(IF(S92&lt;&gt;"-",($S$10*$S$34)/(S92*0.8),0),IF(X92&lt;&gt;"-",SUMPRODUCT($AJ$36:$AL$48*{1;0;1;0;1;0;1;0;1;0;1;0;1}/($X$84*0.8)),0),IF(AC92&lt;&gt;"-",$S$28/(AC92*800),0),IF(AH92&lt;&gt;"-",($S$16*$S$26/100+$W$16*$W$26/100)/(AH92*0.8),0),IF(AM92&lt;&gt;"-",$S$10/(AM92*0.8),0)),0)</f>
        <v>1</v>
      </c>
      <c r="AS92" s="30"/>
      <c r="AT92" s="31"/>
    </row>
    <row r="93" spans="1:50" ht="15" customHeight="1" x14ac:dyDescent="0.25">
      <c r="A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3"/>
      <c r="Q93" s="3"/>
      <c r="R93" s="3"/>
      <c r="S93" s="15"/>
      <c r="T93" s="15"/>
      <c r="U93" s="15"/>
      <c r="V93" s="13"/>
      <c r="W93" s="13"/>
      <c r="X93" s="15"/>
      <c r="Y93" s="15"/>
      <c r="Z93" s="15"/>
      <c r="AA93" s="13"/>
      <c r="AB93" s="13"/>
      <c r="AC93" s="15"/>
      <c r="AD93" s="15"/>
      <c r="AE93" s="15"/>
      <c r="AF93" s="14"/>
      <c r="AG93" s="14"/>
      <c r="AH93" s="15"/>
      <c r="AI93" s="15"/>
      <c r="AJ93" s="15"/>
      <c r="AK93" s="14"/>
      <c r="AL93" s="14"/>
      <c r="AM93" s="15"/>
      <c r="AN93" s="15"/>
      <c r="AO93" s="15"/>
    </row>
    <row r="95" spans="1:50" ht="15" customHeight="1" x14ac:dyDescent="0.25">
      <c r="A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3"/>
      <c r="Q95" s="3"/>
      <c r="R95" s="3"/>
      <c r="S95" s="15"/>
      <c r="T95" s="15"/>
      <c r="U95" s="15"/>
      <c r="V95" s="13"/>
      <c r="W95" s="13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7" spans="2:48" s="37" customFormat="1" x14ac:dyDescent="0.25">
      <c r="B97" s="38" t="s">
        <v>55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spans="2:48" s="37" customFormat="1" x14ac:dyDescent="0.25"/>
    <row r="99" spans="2:48" s="37" customFormat="1" x14ac:dyDescent="0.25">
      <c r="B99" s="37" t="s">
        <v>37</v>
      </c>
      <c r="M99" s="37" t="s">
        <v>41</v>
      </c>
      <c r="U99" s="39" t="s">
        <v>46</v>
      </c>
      <c r="Z99" s="39" t="s">
        <v>47</v>
      </c>
    </row>
    <row r="100" spans="2:48" s="37" customFormat="1" x14ac:dyDescent="0.25">
      <c r="U100" s="39" t="s">
        <v>45</v>
      </c>
      <c r="Z100" s="39" t="s">
        <v>45</v>
      </c>
      <c r="AV100" s="37" t="s">
        <v>85</v>
      </c>
    </row>
    <row r="101" spans="2:48" s="37" customFormat="1" x14ac:dyDescent="0.25"/>
    <row r="102" spans="2:48" s="37" customFormat="1" x14ac:dyDescent="0.25">
      <c r="B102" s="37" t="s">
        <v>38</v>
      </c>
      <c r="M102" s="37" t="s">
        <v>42</v>
      </c>
      <c r="T102" s="40">
        <v>10</v>
      </c>
      <c r="U102" s="40"/>
      <c r="V102" s="40"/>
      <c r="Y102" s="40">
        <v>15</v>
      </c>
      <c r="Z102" s="40"/>
      <c r="AA102" s="40"/>
    </row>
    <row r="103" spans="2:48" s="37" customFormat="1" x14ac:dyDescent="0.25">
      <c r="U103" s="39"/>
      <c r="Z103" s="39"/>
    </row>
    <row r="104" spans="2:48" s="37" customFormat="1" x14ac:dyDescent="0.25">
      <c r="B104" s="37" t="s">
        <v>39</v>
      </c>
      <c r="M104" s="37" t="s">
        <v>43</v>
      </c>
      <c r="T104" s="40">
        <v>1000</v>
      </c>
      <c r="U104" s="40"/>
      <c r="V104" s="40"/>
      <c r="Y104" s="40">
        <v>2000</v>
      </c>
      <c r="Z104" s="40"/>
      <c r="AA104" s="40"/>
    </row>
    <row r="105" spans="2:48" s="37" customFormat="1" x14ac:dyDescent="0.25">
      <c r="U105" s="39"/>
      <c r="Z105" s="39"/>
    </row>
    <row r="106" spans="2:48" s="37" customFormat="1" x14ac:dyDescent="0.25">
      <c r="B106" s="37" t="s">
        <v>40</v>
      </c>
      <c r="M106" s="37" t="s">
        <v>44</v>
      </c>
      <c r="T106" s="40">
        <v>1000000</v>
      </c>
      <c r="U106" s="40"/>
      <c r="V106" s="40"/>
      <c r="Y106" s="40">
        <v>1500000</v>
      </c>
      <c r="Z106" s="40"/>
      <c r="AA106" s="40"/>
    </row>
    <row r="107" spans="2:48" s="37" customFormat="1" x14ac:dyDescent="0.25">
      <c r="T107" s="41"/>
      <c r="U107" s="41"/>
      <c r="V107" s="41"/>
      <c r="Y107" s="41"/>
      <c r="Z107" s="41"/>
      <c r="AA107" s="41"/>
    </row>
    <row r="108" spans="2:48" s="37" customFormat="1" x14ac:dyDescent="0.25"/>
    <row r="109" spans="2:48" s="37" customFormat="1" x14ac:dyDescent="0.25">
      <c r="O109" s="39" t="s">
        <v>2</v>
      </c>
      <c r="T109" s="39" t="s">
        <v>49</v>
      </c>
      <c r="Y109" s="39" t="s">
        <v>51</v>
      </c>
      <c r="AD109" s="39" t="s">
        <v>53</v>
      </c>
    </row>
    <row r="110" spans="2:48" s="37" customFormat="1" x14ac:dyDescent="0.25">
      <c r="O110" s="39" t="s">
        <v>48</v>
      </c>
      <c r="T110" s="39" t="s">
        <v>50</v>
      </c>
      <c r="Y110" s="39" t="s">
        <v>52</v>
      </c>
      <c r="AD110" s="39" t="s">
        <v>54</v>
      </c>
    </row>
    <row r="111" spans="2:48" s="37" customFormat="1" x14ac:dyDescent="0.25"/>
    <row r="112" spans="2:48" s="37" customFormat="1" x14ac:dyDescent="0.25">
      <c r="B112" s="37" t="s">
        <v>16</v>
      </c>
      <c r="N112" s="42">
        <f>IF(AC84&lt;&gt;"-",ROUNDUP(AC84/$T$102,0),0)</f>
        <v>0</v>
      </c>
      <c r="O112" s="42"/>
      <c r="P112" s="42"/>
      <c r="Q112" s="43"/>
      <c r="R112" s="43"/>
      <c r="S112" s="42">
        <v>1</v>
      </c>
      <c r="T112" s="42"/>
      <c r="U112" s="42"/>
      <c r="V112" s="43"/>
      <c r="W112" s="43"/>
      <c r="X112" s="42">
        <f>IF(X84&lt;&gt;"-",ROUNDUP(X84/$T$104,0),0)</f>
        <v>4</v>
      </c>
      <c r="Y112" s="42"/>
      <c r="Z112" s="42"/>
      <c r="AA112" s="43"/>
      <c r="AB112" s="43"/>
      <c r="AC112" s="42">
        <f>IF(OR(AH84&lt;&gt;"-",AM84&lt;&gt;"-"),ROUNDUP((IF(AH84&lt;&gt;"-",AH84,0)+IF(AM84&lt;&gt;"-",AM84,0))/$T$106,0),0)</f>
        <v>0</v>
      </c>
      <c r="AD112" s="42"/>
      <c r="AE112" s="42"/>
    </row>
    <row r="113" spans="2:31" s="37" customFormat="1" x14ac:dyDescent="0.25">
      <c r="N113" s="43"/>
      <c r="O113" s="44"/>
      <c r="P113" s="43"/>
      <c r="Q113" s="43"/>
      <c r="R113" s="43"/>
      <c r="S113" s="43"/>
      <c r="T113" s="44"/>
      <c r="U113" s="43"/>
      <c r="V113" s="43"/>
      <c r="W113" s="43"/>
      <c r="X113" s="43"/>
      <c r="Y113" s="44"/>
      <c r="Z113" s="43"/>
      <c r="AA113" s="43"/>
      <c r="AB113" s="43"/>
      <c r="AC113" s="43"/>
      <c r="AD113" s="44"/>
      <c r="AE113" s="43"/>
    </row>
    <row r="114" spans="2:31" s="37" customFormat="1" x14ac:dyDescent="0.25">
      <c r="B114" s="37" t="s">
        <v>17</v>
      </c>
      <c r="N114" s="42">
        <f>IF(AC86&lt;&gt;"-",ROUNDUP(AC86/$T$102,0),0)</f>
        <v>0</v>
      </c>
      <c r="O114" s="42"/>
      <c r="P114" s="42"/>
      <c r="Q114" s="43"/>
      <c r="R114" s="43"/>
      <c r="S114" s="42">
        <v>1</v>
      </c>
      <c r="T114" s="42"/>
      <c r="U114" s="42"/>
      <c r="V114" s="43"/>
      <c r="W114" s="43"/>
      <c r="X114" s="42">
        <f>IF(X86&lt;&gt;"-",ROUNDUP(X86/$T$104,0),0)</f>
        <v>2</v>
      </c>
      <c r="Y114" s="42"/>
      <c r="Z114" s="42"/>
      <c r="AA114" s="43"/>
      <c r="AB114" s="43"/>
      <c r="AC114" s="42">
        <f>IF(OR(AH86&lt;&gt;"-",AM86&lt;&gt;"-"),ROUNDUP((IF(AH86&lt;&gt;"-",AH86,0)+IF(AM86&lt;&gt;"-",AM86,0))/$T$106,0),0)</f>
        <v>1</v>
      </c>
      <c r="AD114" s="42"/>
      <c r="AE114" s="42"/>
    </row>
    <row r="115" spans="2:31" s="37" customFormat="1" x14ac:dyDescent="0.25">
      <c r="N115" s="43"/>
      <c r="O115" s="44"/>
      <c r="P115" s="43"/>
      <c r="Q115" s="43"/>
      <c r="R115" s="43"/>
      <c r="S115" s="43"/>
      <c r="T115" s="44"/>
      <c r="U115" s="43"/>
      <c r="V115" s="43"/>
      <c r="W115" s="43"/>
      <c r="X115" s="43"/>
      <c r="Y115" s="44"/>
      <c r="Z115" s="43"/>
      <c r="AA115" s="43"/>
      <c r="AB115" s="43"/>
      <c r="AC115" s="43"/>
      <c r="AD115" s="44"/>
      <c r="AE115" s="43"/>
    </row>
    <row r="116" spans="2:31" s="37" customFormat="1" x14ac:dyDescent="0.25">
      <c r="B116" s="37" t="s">
        <v>18</v>
      </c>
      <c r="N116" s="42">
        <f>IF(AC88&lt;&gt;"-",ROUNDUP(AC88/$T$102,0),0)</f>
        <v>0</v>
      </c>
      <c r="O116" s="42"/>
      <c r="P116" s="42"/>
      <c r="Q116" s="43"/>
      <c r="R116" s="43"/>
      <c r="S116" s="42">
        <v>1</v>
      </c>
      <c r="T116" s="42"/>
      <c r="U116" s="42"/>
      <c r="V116" s="43"/>
      <c r="W116" s="43"/>
      <c r="X116" s="42">
        <f>IF(X88&lt;&gt;"-",ROUNDUP(X88/$T$104,0),0)</f>
        <v>2</v>
      </c>
      <c r="Y116" s="42"/>
      <c r="Z116" s="42"/>
      <c r="AA116" s="43"/>
      <c r="AB116" s="43"/>
      <c r="AC116" s="42">
        <f>IF(OR(AH88&lt;&gt;"-",AM88&lt;&gt;"-"),ROUNDUP((IF(AH88&lt;&gt;"-",AH88,0)+IF(AM88&lt;&gt;"-",AM88,0))/$T$106,0),0)</f>
        <v>1</v>
      </c>
      <c r="AD116" s="42"/>
      <c r="AE116" s="42"/>
    </row>
    <row r="117" spans="2:31" s="37" customFormat="1" x14ac:dyDescent="0.25"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</row>
    <row r="118" spans="2:31" s="37" customFormat="1" x14ac:dyDescent="0.25">
      <c r="B118" s="37" t="s">
        <v>19</v>
      </c>
      <c r="N118" s="42">
        <f>IF(AC90&lt;&gt;"-",ROUNDUP(AC90/$T$102,0),0)</f>
        <v>0</v>
      </c>
      <c r="O118" s="42"/>
      <c r="P118" s="42"/>
      <c r="Q118" s="43"/>
      <c r="R118" s="43"/>
      <c r="S118" s="42">
        <v>1</v>
      </c>
      <c r="T118" s="42"/>
      <c r="U118" s="42"/>
      <c r="V118" s="43"/>
      <c r="W118" s="43"/>
      <c r="X118" s="42">
        <f>IF(X90&lt;&gt;"-",ROUNDUP(X90/$T$104,0),0)</f>
        <v>2</v>
      </c>
      <c r="Y118" s="42"/>
      <c r="Z118" s="42"/>
      <c r="AA118" s="43"/>
      <c r="AB118" s="43"/>
      <c r="AC118" s="42">
        <f>IF(OR(AH90&lt;&gt;"-",AM90&lt;&gt;"-"),ROUNDUP((IF(AH90&lt;&gt;"-",AH90,0)+IF(AM90&lt;&gt;"-",AM90,0))/$T$106,0),0)</f>
        <v>3</v>
      </c>
      <c r="AD118" s="42"/>
      <c r="AE118" s="42"/>
    </row>
    <row r="119" spans="2:31" s="37" customFormat="1" x14ac:dyDescent="0.25"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</row>
    <row r="120" spans="2:31" s="37" customFormat="1" x14ac:dyDescent="0.25">
      <c r="B120" s="37" t="s">
        <v>28</v>
      </c>
      <c r="N120" s="42">
        <f>IF(AC92&lt;&gt;"-",ROUNDUP(AC92/$T$102,0),0)</f>
        <v>0</v>
      </c>
      <c r="O120" s="42"/>
      <c r="P120" s="42"/>
      <c r="Q120" s="43"/>
      <c r="R120" s="43"/>
      <c r="S120" s="42">
        <v>1</v>
      </c>
      <c r="T120" s="42"/>
      <c r="U120" s="42"/>
      <c r="V120" s="43"/>
      <c r="W120" s="43"/>
      <c r="X120" s="42">
        <f>IF(X92&lt;&gt;"-",ROUNDUP(X92/$T$104,0),0)</f>
        <v>2</v>
      </c>
      <c r="Y120" s="42"/>
      <c r="Z120" s="42"/>
      <c r="AA120" s="43"/>
      <c r="AB120" s="43"/>
      <c r="AC120" s="42">
        <f>IF(OR(AH92&lt;&gt;"-",AM92&lt;&gt;"-"),ROUNDUP((IF(AH92&lt;&gt;"-",AH92,0)+IF(AM92&lt;&gt;"-",AM92,0))/$T$106,0),0)</f>
        <v>0</v>
      </c>
      <c r="AD120" s="42"/>
      <c r="AE120" s="42"/>
    </row>
  </sheetData>
  <mergeCells count="116">
    <mergeCell ref="AJ48:AL48"/>
    <mergeCell ref="AJ36:AL36"/>
    <mergeCell ref="AJ38:AL38"/>
    <mergeCell ref="AJ40:AL40"/>
    <mergeCell ref="AJ42:AL42"/>
    <mergeCell ref="AJ44:AL44"/>
    <mergeCell ref="AJ46:AL46"/>
    <mergeCell ref="AB44:AD44"/>
    <mergeCell ref="S34:U34"/>
    <mergeCell ref="S59:U59"/>
    <mergeCell ref="S61:U61"/>
    <mergeCell ref="S65:U65"/>
    <mergeCell ref="X112:Z112"/>
    <mergeCell ref="X114:Z114"/>
    <mergeCell ref="X116:Z116"/>
    <mergeCell ref="X118:Z118"/>
    <mergeCell ref="X120:Z120"/>
    <mergeCell ref="AC112:AE112"/>
    <mergeCell ref="AC114:AE114"/>
    <mergeCell ref="AC116:AE116"/>
    <mergeCell ref="AC118:AE118"/>
    <mergeCell ref="AC120:AE120"/>
    <mergeCell ref="N112:P112"/>
    <mergeCell ref="N114:P114"/>
    <mergeCell ref="N116:P116"/>
    <mergeCell ref="N118:P118"/>
    <mergeCell ref="N120:P120"/>
    <mergeCell ref="S112:U112"/>
    <mergeCell ref="S114:U114"/>
    <mergeCell ref="S116:U116"/>
    <mergeCell ref="S118:U118"/>
    <mergeCell ref="S120:U120"/>
    <mergeCell ref="T104:V104"/>
    <mergeCell ref="T106:V106"/>
    <mergeCell ref="Y102:AA102"/>
    <mergeCell ref="Y104:AA104"/>
    <mergeCell ref="Y106:AA106"/>
    <mergeCell ref="T102:V102"/>
    <mergeCell ref="S71:U71"/>
    <mergeCell ref="S75:U75"/>
    <mergeCell ref="S63:U63"/>
    <mergeCell ref="S67:U67"/>
    <mergeCell ref="B97:AT97"/>
    <mergeCell ref="S69:U69"/>
    <mergeCell ref="S73:U73"/>
    <mergeCell ref="X75:Z75"/>
    <mergeCell ref="X73:Z73"/>
    <mergeCell ref="S57:U57"/>
    <mergeCell ref="B79:AT79"/>
    <mergeCell ref="B30:AT30"/>
    <mergeCell ref="B2:AT2"/>
    <mergeCell ref="B52:AT52"/>
    <mergeCell ref="AM84:AO84"/>
    <mergeCell ref="AM86:AO86"/>
    <mergeCell ref="AM88:AO88"/>
    <mergeCell ref="AM90:AO90"/>
    <mergeCell ref="AM92:AO92"/>
    <mergeCell ref="AR84:AT84"/>
    <mergeCell ref="AR86:AT86"/>
    <mergeCell ref="AR88:AT88"/>
    <mergeCell ref="AR90:AT90"/>
    <mergeCell ref="AR92:AT92"/>
    <mergeCell ref="AH84:AJ84"/>
    <mergeCell ref="AH86:AJ86"/>
    <mergeCell ref="AH88:AJ88"/>
    <mergeCell ref="AH90:AJ90"/>
    <mergeCell ref="AH92:AJ92"/>
    <mergeCell ref="X84:Z84"/>
    <mergeCell ref="X86:Z86"/>
    <mergeCell ref="X88:Z88"/>
    <mergeCell ref="X90:Z90"/>
    <mergeCell ref="X92:Z92"/>
    <mergeCell ref="AC84:AE84"/>
    <mergeCell ref="AC86:AE86"/>
    <mergeCell ref="AC88:AE88"/>
    <mergeCell ref="AC90:AE90"/>
    <mergeCell ref="AC92:AE92"/>
    <mergeCell ref="W14:Y14"/>
    <mergeCell ref="S8:U8"/>
    <mergeCell ref="S36:U36"/>
    <mergeCell ref="AB42:AD42"/>
    <mergeCell ref="AB36:AD36"/>
    <mergeCell ref="AB38:AD38"/>
    <mergeCell ref="AB40:AD40"/>
    <mergeCell ref="S28:U28"/>
    <mergeCell ref="W16:Y16"/>
    <mergeCell ref="S18:U18"/>
    <mergeCell ref="AB46:AD46"/>
    <mergeCell ref="AB48:AD48"/>
    <mergeCell ref="S6:U6"/>
    <mergeCell ref="S4:U4"/>
    <mergeCell ref="S24:U24"/>
    <mergeCell ref="W24:Y24"/>
    <mergeCell ref="S26:U26"/>
    <mergeCell ref="W26:Y26"/>
    <mergeCell ref="W18:Y18"/>
    <mergeCell ref="W20:Y20"/>
    <mergeCell ref="W22:Y22"/>
    <mergeCell ref="S12:U12"/>
    <mergeCell ref="S10:U10"/>
    <mergeCell ref="S14:U14"/>
    <mergeCell ref="S16:U16"/>
    <mergeCell ref="W12:Y12"/>
    <mergeCell ref="S92:U92"/>
    <mergeCell ref="S86:U86"/>
    <mergeCell ref="S88:U88"/>
    <mergeCell ref="S90:U90"/>
    <mergeCell ref="S20:U20"/>
    <mergeCell ref="S22:U22"/>
    <mergeCell ref="S84:U84"/>
    <mergeCell ref="S48:U48"/>
    <mergeCell ref="S42:U42"/>
    <mergeCell ref="S46:U46"/>
    <mergeCell ref="S38:U38"/>
    <mergeCell ref="S40:U40"/>
    <mergeCell ref="S44:U4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- Capacity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Miguel</cp:lastModifiedBy>
  <dcterms:created xsi:type="dcterms:W3CDTF">2020-02-15T20:02:38Z</dcterms:created>
  <dcterms:modified xsi:type="dcterms:W3CDTF">2020-07-10T04:01:51Z</dcterms:modified>
</cp:coreProperties>
</file>